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430DC2C5-909F-4E06-9E23-E5794B75E8C1}" xr6:coauthVersionLast="47" xr6:coauthVersionMax="47" xr10:uidLastSave="{00000000-0000-0000-0000-000000000000}"/>
  <bookViews>
    <workbookView xWindow="28680" yWindow="-120" windowWidth="29040" windowHeight="15720" tabRatio="603" xr2:uid="{00000000-000D-0000-FFFF-FFFF00000000}"/>
  </bookViews>
  <sheets>
    <sheet name="Nota" sheetId="40" r:id="rId1"/>
    <sheet name="00_MODE_EMPLOI" sheetId="38" r:id="rId2"/>
    <sheet name="01_AUDIT_FEUILLES" sheetId="9" r:id="rId3"/>
    <sheet name="01_ACCUEIL" sheetId="35" r:id="rId4"/>
    <sheet name="01_QR_METHODE" sheetId="22" r:id="rId5"/>
    <sheet name="01_Equilibre.Semaine" sheetId="32" r:id="rId6"/>
    <sheet name="01_ATELIER_ACTIF " sheetId="19" r:id="rId7"/>
    <sheet name="01_CONVIVES" sheetId="16" r:id="rId8"/>
    <sheet name="01_COULEURS" sheetId="11" r:id="rId9"/>
    <sheet name="01_PLAT_PRINCIPAL" sheetId="4" r:id="rId10"/>
    <sheet name="01_VEGETARIENS" sheetId="6" r:id="rId11"/>
    <sheet name="01_DESSERTS" sheetId="5" r:id="rId12"/>
    <sheet name="01_FINAL_1" sheetId="8" r:id="rId13"/>
    <sheet name="01_FINAL_2" sheetId="7" r:id="rId14"/>
    <sheet name="01_Questions_Réponses.1" sheetId="15" r:id="rId15"/>
    <sheet name="02_COMPOSER_UN_MENU" sheetId="20" r:id="rId16"/>
    <sheet name="02_GRILLE_20_REPAS_SCOLAIRE" sheetId="26" r:id="rId17"/>
    <sheet name="02_MODELE_20_REPAS_SCOLAIRE" sheetId="30" r:id="rId18"/>
    <sheet name="02_GRILLE_28_REPAS_EHPAD" sheetId="25" r:id="rId19"/>
    <sheet name="02_MODELE_28_REPAS_EHPAD" sheetId="31" r:id="rId20"/>
    <sheet name="02_SAISONS" sheetId="33" r:id="rId21"/>
    <sheet name="02_VUE_MOIS" sheetId="36" r:id="rId22"/>
    <sheet name="02_Base de données " sheetId="34" r:id="rId23"/>
    <sheet name="02_Identité.FR-EN-ES. " sheetId="29" r:id="rId24"/>
    <sheet name="02_Contrôles" sheetId="21" r:id="rId25"/>
    <sheet name="ALLERGENES.9.Aout.2026" sheetId="43" r:id="rId26"/>
    <sheet name="02_Guide.pratique.Belge" sheetId="37" r:id="rId27"/>
  </sheets>
  <definedNames>
    <definedName name="_xlnm._FilterDatabase" localSheetId="22" hidden="1">'02_Base de données '!$B$11:$O$174</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X2459" i="43" l="1"/>
  <c r="R4" i="43" s="1"/>
  <c r="U66" i="43"/>
  <c r="U65" i="43"/>
  <c r="V65" i="43" s="1"/>
  <c r="W65" i="43" s="1"/>
  <c r="X65" i="43" s="1"/>
  <c r="Y65" i="43" s="1"/>
  <c r="Z65" i="43" s="1"/>
  <c r="AA65" i="43" s="1"/>
  <c r="BJ65" i="43" s="1"/>
  <c r="U64" i="43"/>
  <c r="U63" i="43"/>
  <c r="U62" i="43"/>
  <c r="U61" i="43"/>
  <c r="V61" i="43" s="1"/>
  <c r="W61" i="43" s="1"/>
  <c r="X61" i="43" s="1"/>
  <c r="Y61" i="43" s="1"/>
  <c r="Z61" i="43" s="1"/>
  <c r="AA61" i="43" s="1"/>
  <c r="U60" i="43"/>
  <c r="V60" i="43" s="1"/>
  <c r="W60" i="43" s="1"/>
  <c r="X60" i="43" s="1"/>
  <c r="Y60" i="43" s="1"/>
  <c r="Z60" i="43" s="1"/>
  <c r="AA60" i="43" s="1"/>
  <c r="BS60" i="43" s="1"/>
  <c r="U59" i="43"/>
  <c r="U58" i="43"/>
  <c r="U57" i="43"/>
  <c r="U56" i="43"/>
  <c r="V56" i="43" s="1"/>
  <c r="W56" i="43" s="1"/>
  <c r="X56" i="43" s="1"/>
  <c r="Y56" i="43" s="1"/>
  <c r="Z56" i="43" s="1"/>
  <c r="AA56" i="43" s="1"/>
  <c r="U55" i="43"/>
  <c r="V55" i="43" s="1"/>
  <c r="W55" i="43" s="1"/>
  <c r="X55" i="43" s="1"/>
  <c r="Y55" i="43" s="1"/>
  <c r="Z55" i="43" s="1"/>
  <c r="AA55" i="43" s="1"/>
  <c r="U54" i="43"/>
  <c r="U53" i="43"/>
  <c r="U52" i="43"/>
  <c r="U51" i="43"/>
  <c r="U50" i="43"/>
  <c r="U49" i="43"/>
  <c r="U48" i="43"/>
  <c r="V48" i="43" s="1"/>
  <c r="W48" i="43" s="1"/>
  <c r="X48" i="43" s="1"/>
  <c r="Y48" i="43" s="1"/>
  <c r="Z48" i="43" s="1"/>
  <c r="AA48" i="43" s="1"/>
  <c r="U47" i="43"/>
  <c r="U46" i="43"/>
  <c r="U45" i="43"/>
  <c r="U44" i="43"/>
  <c r="U43" i="43"/>
  <c r="U42" i="43"/>
  <c r="U41" i="43"/>
  <c r="U40" i="43"/>
  <c r="U39" i="43"/>
  <c r="V39" i="43" s="1"/>
  <c r="W39" i="43" s="1"/>
  <c r="X39" i="43" s="1"/>
  <c r="Y39" i="43" s="1"/>
  <c r="Z39" i="43" s="1"/>
  <c r="AA39" i="43" s="1"/>
  <c r="U38" i="43"/>
  <c r="V38" i="43" s="1"/>
  <c r="W38" i="43" s="1"/>
  <c r="X38" i="43" s="1"/>
  <c r="Y38" i="43" s="1"/>
  <c r="Z38" i="43" s="1"/>
  <c r="AA38" i="43" s="1"/>
  <c r="U37" i="43"/>
  <c r="U36" i="43"/>
  <c r="V36" i="43" s="1"/>
  <c r="W36" i="43" s="1"/>
  <c r="X36" i="43" s="1"/>
  <c r="Y36" i="43" s="1"/>
  <c r="Z36" i="43" s="1"/>
  <c r="AA36" i="43" s="1"/>
  <c r="U35" i="43"/>
  <c r="V35" i="43" s="1"/>
  <c r="W35" i="43" s="1"/>
  <c r="X35" i="43" s="1"/>
  <c r="Y35" i="43" s="1"/>
  <c r="Z35" i="43" s="1"/>
  <c r="AA35" i="43" s="1"/>
  <c r="U34" i="43"/>
  <c r="U33" i="43"/>
  <c r="V33" i="43" s="1"/>
  <c r="W33" i="43" s="1"/>
  <c r="X33" i="43" s="1"/>
  <c r="Y33" i="43" s="1"/>
  <c r="Z33" i="43" s="1"/>
  <c r="AA33" i="43" s="1"/>
  <c r="U32" i="43"/>
  <c r="V32" i="43" s="1"/>
  <c r="W32" i="43" s="1"/>
  <c r="X32" i="43" s="1"/>
  <c r="Y32" i="43" s="1"/>
  <c r="Z32" i="43" s="1"/>
  <c r="AA32" i="43" s="1"/>
  <c r="U31" i="43"/>
  <c r="V31" i="43" s="1"/>
  <c r="W31" i="43" s="1"/>
  <c r="X31" i="43" s="1"/>
  <c r="Y31" i="43" s="1"/>
  <c r="Z31" i="43" s="1"/>
  <c r="AA31" i="43" s="1"/>
  <c r="U30" i="43"/>
  <c r="U29" i="43"/>
  <c r="U28" i="43"/>
  <c r="U27" i="43"/>
  <c r="U26" i="43"/>
  <c r="U25" i="43"/>
  <c r="V25" i="43" s="1"/>
  <c r="W25" i="43" s="1"/>
  <c r="X25" i="43" s="1"/>
  <c r="Y25" i="43" s="1"/>
  <c r="Z25" i="43" s="1"/>
  <c r="AA25" i="43" s="1"/>
  <c r="U24" i="43"/>
  <c r="U23" i="43"/>
  <c r="U22" i="43"/>
  <c r="U21" i="43"/>
  <c r="U20" i="43"/>
  <c r="U19" i="43"/>
  <c r="U18" i="43"/>
  <c r="V18" i="43" s="1"/>
  <c r="W18" i="43" s="1"/>
  <c r="X18" i="43" s="1"/>
  <c r="Y18" i="43" s="1"/>
  <c r="Z18" i="43" s="1"/>
  <c r="AA18" i="43" s="1"/>
  <c r="U17" i="43"/>
  <c r="V17" i="43" s="1"/>
  <c r="W17" i="43" s="1"/>
  <c r="X17" i="43" s="1"/>
  <c r="Y17" i="43" s="1"/>
  <c r="Z17" i="43" s="1"/>
  <c r="AA17" i="43" s="1"/>
  <c r="U16" i="43"/>
  <c r="U15" i="43"/>
  <c r="U14" i="43"/>
  <c r="U13" i="43"/>
  <c r="U12" i="43"/>
  <c r="U11" i="43"/>
  <c r="V11" i="43" s="1"/>
  <c r="W11" i="43" s="1"/>
  <c r="X11" i="43" s="1"/>
  <c r="Y11" i="43" s="1"/>
  <c r="Z11" i="43" s="1"/>
  <c r="AA11" i="43" s="1"/>
  <c r="U10" i="43"/>
  <c r="U9" i="43"/>
  <c r="U8" i="43"/>
  <c r="U7" i="43"/>
  <c r="D49" i="40"/>
  <c r="BJ17" i="43" l="1"/>
  <c r="AJ17" i="43"/>
  <c r="AL17" i="43"/>
  <c r="AK17" i="43" s="1"/>
  <c r="AH17" i="43"/>
  <c r="BS17" i="43"/>
  <c r="BU17" i="43"/>
  <c r="BD17" i="43"/>
  <c r="V34" i="43"/>
  <c r="W34" i="43" s="1"/>
  <c r="X34" i="43" s="1"/>
  <c r="Y34" i="43" s="1"/>
  <c r="Z34" i="43" s="1"/>
  <c r="AA34" i="43" s="1"/>
  <c r="BU34" i="43" s="1"/>
  <c r="V51" i="43"/>
  <c r="W51" i="43" s="1"/>
  <c r="X51" i="43" s="1"/>
  <c r="Y51" i="43" s="1"/>
  <c r="Z51" i="43" s="1"/>
  <c r="AA51" i="43" s="1"/>
  <c r="BJ51" i="43" s="1"/>
  <c r="V14" i="43"/>
  <c r="W14" i="43" s="1"/>
  <c r="X14" i="43" s="1"/>
  <c r="Y14" i="43" s="1"/>
  <c r="Z14" i="43" s="1"/>
  <c r="AA14" i="43" s="1"/>
  <c r="BR14" i="43" s="1"/>
  <c r="V28" i="43"/>
  <c r="W28" i="43" s="1"/>
  <c r="X28" i="43" s="1"/>
  <c r="Y28" i="43" s="1"/>
  <c r="Z28" i="43" s="1"/>
  <c r="AA28" i="43" s="1"/>
  <c r="BV28" i="43" s="1"/>
  <c r="CA17" i="43"/>
  <c r="V54" i="43"/>
  <c r="W54" i="43" s="1"/>
  <c r="X54" i="43" s="1"/>
  <c r="Y54" i="43" s="1"/>
  <c r="Z54" i="43" s="1"/>
  <c r="AA54" i="43" s="1"/>
  <c r="AL54" i="43" s="1"/>
  <c r="AK54" i="43" s="1"/>
  <c r="V19" i="43"/>
  <c r="W19" i="43" s="1"/>
  <c r="X19" i="43" s="1"/>
  <c r="Y19" i="43" s="1"/>
  <c r="Z19" i="43" s="1"/>
  <c r="AA19" i="43" s="1"/>
  <c r="CE19" i="43" s="1"/>
  <c r="V52" i="43"/>
  <c r="W52" i="43" s="1"/>
  <c r="X52" i="43" s="1"/>
  <c r="Y52" i="43" s="1"/>
  <c r="Z52" i="43" s="1"/>
  <c r="AA52" i="43" s="1"/>
  <c r="BS52" i="43" s="1"/>
  <c r="BH65" i="43"/>
  <c r="BL65" i="43"/>
  <c r="BK65" i="43" s="1"/>
  <c r="CD32" i="43"/>
  <c r="BJ32" i="43"/>
  <c r="CE32" i="43"/>
  <c r="AJ32" i="43"/>
  <c r="CB32" i="43"/>
  <c r="BD32" i="43"/>
  <c r="BC32" i="43" s="1"/>
  <c r="BU32" i="43"/>
  <c r="AD32" i="43"/>
  <c r="BO32" i="43"/>
  <c r="AL32" i="43"/>
  <c r="AK32" i="43" s="1"/>
  <c r="AH32" i="43"/>
  <c r="BY32" i="43"/>
  <c r="AG32" i="43"/>
  <c r="AX32" i="43"/>
  <c r="AU32" i="43" s="1"/>
  <c r="CJ32" i="43"/>
  <c r="BA32" i="43"/>
  <c r="BB32" i="43" s="1"/>
  <c r="I32" i="43" s="1"/>
  <c r="BS32" i="43"/>
  <c r="BR32" i="43"/>
  <c r="BV11" i="43"/>
  <c r="BU11" i="43"/>
  <c r="BW11" i="43" s="1"/>
  <c r="N11" i="43" s="1"/>
  <c r="CA11" i="43"/>
  <c r="AL11" i="43"/>
  <c r="AK11" i="43" s="1"/>
  <c r="BY11" i="43"/>
  <c r="BD11" i="43"/>
  <c r="AJ11" i="43"/>
  <c r="AG11" i="43"/>
  <c r="AH11" i="43"/>
  <c r="BJ11" i="43"/>
  <c r="CE11" i="43"/>
  <c r="AD11" i="43"/>
  <c r="CD11" i="43"/>
  <c r="BS11" i="43"/>
  <c r="CJ11" i="43"/>
  <c r="CG11" i="43" s="1"/>
  <c r="CB11" i="43"/>
  <c r="AX11" i="43"/>
  <c r="BX11" i="43"/>
  <c r="BO11" i="43"/>
  <c r="BR11" i="43"/>
  <c r="CB25" i="43"/>
  <c r="BJ25" i="43"/>
  <c r="BI25" i="43" s="1"/>
  <c r="BR25" i="43"/>
  <c r="AL25" i="43"/>
  <c r="AK25" i="43" s="1"/>
  <c r="CE25" i="43"/>
  <c r="CA25" i="43"/>
  <c r="BX25" i="43"/>
  <c r="BA25" i="43"/>
  <c r="BB25" i="43" s="1"/>
  <c r="I25" i="43" s="1"/>
  <c r="CJ25" i="43"/>
  <c r="BS25" i="43"/>
  <c r="H25" i="43"/>
  <c r="AJ25" i="43"/>
  <c r="BV25" i="43"/>
  <c r="AG25" i="43"/>
  <c r="BO25" i="43"/>
  <c r="BU25" i="43"/>
  <c r="AD25" i="43"/>
  <c r="AC25" i="43" s="1"/>
  <c r="BD25" i="43"/>
  <c r="CE18" i="43"/>
  <c r="BY18" i="43"/>
  <c r="BD18" i="43"/>
  <c r="AJ18" i="43"/>
  <c r="BV18" i="43"/>
  <c r="BU18" i="43"/>
  <c r="BW18" i="43" s="1"/>
  <c r="N18" i="43" s="1"/>
  <c r="BS18" i="43"/>
  <c r="BA18" i="43"/>
  <c r="BB18" i="43" s="1"/>
  <c r="I18" i="43" s="1"/>
  <c r="AH18" i="43"/>
  <c r="BR18" i="43"/>
  <c r="AG18" i="43"/>
  <c r="CJ18" i="43"/>
  <c r="CG18" i="43" s="1"/>
  <c r="AL18" i="43"/>
  <c r="AK18" i="43" s="1"/>
  <c r="CB18" i="43"/>
  <c r="CA18" i="43"/>
  <c r="AX18" i="43"/>
  <c r="AV18" i="43" s="1"/>
  <c r="BO18" i="43"/>
  <c r="BX36" i="43"/>
  <c r="BA36" i="43"/>
  <c r="BB36" i="43" s="1"/>
  <c r="I36" i="43" s="1"/>
  <c r="BY36" i="43"/>
  <c r="BU36" i="43"/>
  <c r="AJ36" i="43"/>
  <c r="AM36" i="43" s="1"/>
  <c r="G36" i="43" s="1"/>
  <c r="CJ36" i="43"/>
  <c r="CK36" i="43" s="1"/>
  <c r="AX36" i="43"/>
  <c r="AU36" i="43" s="1"/>
  <c r="BS36" i="43"/>
  <c r="AH36" i="43"/>
  <c r="AG36" i="43"/>
  <c r="CD36" i="43"/>
  <c r="AH55" i="43"/>
  <c r="BA55" i="43"/>
  <c r="BB55" i="43" s="1"/>
  <c r="I55" i="43" s="1"/>
  <c r="CD55" i="43"/>
  <c r="BY55" i="43"/>
  <c r="BX55" i="43"/>
  <c r="BJ55" i="43"/>
  <c r="BL55" i="43" s="1"/>
  <c r="BK55" i="43" s="1"/>
  <c r="AL55" i="43"/>
  <c r="AK55" i="43" s="1"/>
  <c r="AJ55" i="43"/>
  <c r="CA55" i="43"/>
  <c r="CB55" i="43"/>
  <c r="BV55" i="43"/>
  <c r="CJ38" i="43"/>
  <c r="CG38" i="43" s="1"/>
  <c r="BR38" i="43"/>
  <c r="AG38" i="43"/>
  <c r="AX38" i="43"/>
  <c r="AV38" i="43" s="1"/>
  <c r="CD38" i="43"/>
  <c r="BV38" i="43"/>
  <c r="BU38" i="43"/>
  <c r="AD38" i="43"/>
  <c r="CA38" i="43"/>
  <c r="BD38" i="43"/>
  <c r="BY38" i="43"/>
  <c r="CE38" i="43"/>
  <c r="AL38" i="43"/>
  <c r="AK38" i="43" s="1"/>
  <c r="BO38" i="43"/>
  <c r="BJ38" i="43"/>
  <c r="AJ38" i="43"/>
  <c r="BI17" i="43"/>
  <c r="BL17" i="43"/>
  <c r="BK17" i="43" s="1"/>
  <c r="BG17" i="43"/>
  <c r="BH17" i="43"/>
  <c r="BX35" i="43"/>
  <c r="BD35" i="43"/>
  <c r="AL35" i="43"/>
  <c r="AK35" i="43" s="1"/>
  <c r="CJ35" i="43"/>
  <c r="CG35" i="43" s="1"/>
  <c r="BR35" i="43"/>
  <c r="AG35" i="43"/>
  <c r="BO35" i="43"/>
  <c r="CE35" i="43"/>
  <c r="BY35" i="43"/>
  <c r="BU35" i="43"/>
  <c r="AJ35" i="43"/>
  <c r="AH35" i="43"/>
  <c r="AX35" i="43"/>
  <c r="CD35" i="43"/>
  <c r="CB35" i="43"/>
  <c r="CA35" i="43"/>
  <c r="BS35" i="43"/>
  <c r="AD35" i="43"/>
  <c r="CA61" i="43"/>
  <c r="CC61" i="43" s="1"/>
  <c r="P61" i="43" s="1"/>
  <c r="BX61" i="43"/>
  <c r="CD61" i="43"/>
  <c r="BV61" i="43"/>
  <c r="BR61" i="43"/>
  <c r="BD61" i="43"/>
  <c r="BC61" i="43" s="1"/>
  <c r="AL61" i="43"/>
  <c r="AK61" i="43" s="1"/>
  <c r="AG39" i="43"/>
  <c r="BD39" i="43"/>
  <c r="BC39" i="43" s="1"/>
  <c r="CE39" i="43"/>
  <c r="CD39" i="43"/>
  <c r="AL39" i="43"/>
  <c r="AK39" i="43" s="1"/>
  <c r="CB39" i="43"/>
  <c r="CA39" i="43"/>
  <c r="BS39" i="43"/>
  <c r="AH39" i="43"/>
  <c r="BO39" i="43"/>
  <c r="BN39" i="43" s="1"/>
  <c r="BA48" i="43"/>
  <c r="BB48" i="43" s="1"/>
  <c r="I48" i="43" s="1"/>
  <c r="BR48" i="43"/>
  <c r="CD48" i="43"/>
  <c r="CE48" i="43"/>
  <c r="BS33" i="43"/>
  <c r="AX33" i="43"/>
  <c r="AN33" i="43" s="1"/>
  <c r="BR33" i="43"/>
  <c r="BT33" i="43" s="1"/>
  <c r="M33" i="43" s="1"/>
  <c r="CB60" i="43"/>
  <c r="CA60" i="43"/>
  <c r="BD60" i="43"/>
  <c r="CD60" i="43"/>
  <c r="BU60" i="43"/>
  <c r="BY60" i="43"/>
  <c r="BX60" i="43"/>
  <c r="BZ60" i="43" s="1"/>
  <c r="O60" i="43" s="1"/>
  <c r="BV60" i="43"/>
  <c r="BR60" i="43"/>
  <c r="BT60" i="43" s="1"/>
  <c r="M60" i="43" s="1"/>
  <c r="AH60" i="43"/>
  <c r="BO60" i="43"/>
  <c r="BN60" i="43" s="1"/>
  <c r="AG60" i="43"/>
  <c r="BJ60" i="43"/>
  <c r="CJ60" i="43"/>
  <c r="CG60" i="43" s="1"/>
  <c r="AL60" i="43"/>
  <c r="AK60" i="43" s="1"/>
  <c r="AD60" i="43"/>
  <c r="AX60" i="43"/>
  <c r="CE60" i="43"/>
  <c r="AH38" i="43"/>
  <c r="BU65" i="43"/>
  <c r="CE65" i="43"/>
  <c r="BD65" i="43"/>
  <c r="CB65" i="43"/>
  <c r="AD65" i="43"/>
  <c r="CJ65" i="43"/>
  <c r="BA65" i="43"/>
  <c r="BB65" i="43" s="1"/>
  <c r="I65" i="43" s="1"/>
  <c r="BO65" i="43"/>
  <c r="BP65" i="43" s="1"/>
  <c r="BX65" i="43"/>
  <c r="AL65" i="43"/>
  <c r="AK65" i="43" s="1"/>
  <c r="BV65" i="43"/>
  <c r="BS65" i="43"/>
  <c r="AJ65" i="43"/>
  <c r="BR65" i="43"/>
  <c r="BJ35" i="43"/>
  <c r="CJ56" i="43"/>
  <c r="CK56" i="43" s="1"/>
  <c r="BJ56" i="43"/>
  <c r="BG56" i="43" s="1"/>
  <c r="BA56" i="43"/>
  <c r="BB56" i="43" s="1"/>
  <c r="I56" i="43" s="1"/>
  <c r="AX56" i="43"/>
  <c r="BU56" i="43"/>
  <c r="V40" i="43"/>
  <c r="W40" i="43" s="1"/>
  <c r="X40" i="43" s="1"/>
  <c r="Y40" i="43" s="1"/>
  <c r="Z40" i="43" s="1"/>
  <c r="AA40" i="43" s="1"/>
  <c r="AH40" i="43" s="1"/>
  <c r="CB40" i="43"/>
  <c r="V9" i="43"/>
  <c r="W9" i="43" s="1"/>
  <c r="X9" i="43" s="1"/>
  <c r="Y9" i="43" s="1"/>
  <c r="Z9" i="43" s="1"/>
  <c r="AA9" i="43" s="1"/>
  <c r="BA9" i="43" s="1"/>
  <c r="BB9" i="43" s="1"/>
  <c r="I9" i="43" s="1"/>
  <c r="V16" i="43"/>
  <c r="W16" i="43" s="1"/>
  <c r="X16" i="43" s="1"/>
  <c r="Y16" i="43" s="1"/>
  <c r="Z16" i="43" s="1"/>
  <c r="AA16" i="43" s="1"/>
  <c r="BX16" i="43" s="1"/>
  <c r="CA16" i="43"/>
  <c r="BS38" i="43"/>
  <c r="BX38" i="43"/>
  <c r="AD31" i="43"/>
  <c r="AC31" i="43" s="1"/>
  <c r="CE31" i="43"/>
  <c r="BV31" i="43"/>
  <c r="CD31" i="43"/>
  <c r="BS31" i="43"/>
  <c r="V27" i="43"/>
  <c r="W27" i="43" s="1"/>
  <c r="X27" i="43" s="1"/>
  <c r="Y27" i="43" s="1"/>
  <c r="Z27" i="43" s="1"/>
  <c r="AA27" i="43" s="1"/>
  <c r="CJ27" i="43" s="1"/>
  <c r="V41" i="43"/>
  <c r="W41" i="43" s="1"/>
  <c r="X41" i="43" s="1"/>
  <c r="Y41" i="43" s="1"/>
  <c r="Z41" i="43" s="1"/>
  <c r="AA41" i="43" s="1"/>
  <c r="V8" i="43"/>
  <c r="W8" i="43" s="1"/>
  <c r="X8" i="43" s="1"/>
  <c r="Y8" i="43" s="1"/>
  <c r="Z8" i="43" s="1"/>
  <c r="AA8" i="43" s="1"/>
  <c r="CA8" i="43" s="1"/>
  <c r="CJ39" i="43"/>
  <c r="CK39" i="43" s="1"/>
  <c r="V15" i="43"/>
  <c r="W15" i="43" s="1"/>
  <c r="X15" i="43" s="1"/>
  <c r="Y15" i="43" s="1"/>
  <c r="Z15" i="43" s="1"/>
  <c r="AA15" i="43" s="1"/>
  <c r="AD15" i="43" s="1"/>
  <c r="V21" i="43"/>
  <c r="W21" i="43" s="1"/>
  <c r="X21" i="43" s="1"/>
  <c r="Y21" i="43" s="1"/>
  <c r="Z21" i="43" s="1"/>
  <c r="AA21" i="43" s="1"/>
  <c r="BA21" i="43" s="1"/>
  <c r="BB21" i="43" s="1"/>
  <c r="I21" i="43" s="1"/>
  <c r="CJ33" i="43"/>
  <c r="BD33" i="43"/>
  <c r="BE33" i="43" s="1"/>
  <c r="CE33" i="43"/>
  <c r="BO33" i="43"/>
  <c r="AD33" i="43"/>
  <c r="CB33" i="43"/>
  <c r="BJ33" i="43"/>
  <c r="BG33" i="43" s="1"/>
  <c r="CD33" i="43"/>
  <c r="AL33" i="43"/>
  <c r="AK33" i="43" s="1"/>
  <c r="BY33" i="43"/>
  <c r="AG33" i="43"/>
  <c r="AH33" i="43"/>
  <c r="CA33" i="43"/>
  <c r="BA33" i="43"/>
  <c r="BB33" i="43" s="1"/>
  <c r="I33" i="43" s="1"/>
  <c r="BX33" i="43"/>
  <c r="BV33" i="43"/>
  <c r="BU33" i="43"/>
  <c r="AJ33" i="43"/>
  <c r="V59" i="43"/>
  <c r="W59" i="43" s="1"/>
  <c r="X59" i="43" s="1"/>
  <c r="Y59" i="43" s="1"/>
  <c r="Z59" i="43" s="1"/>
  <c r="AA59" i="43" s="1"/>
  <c r="CB59" i="43" s="1"/>
  <c r="V30" i="43"/>
  <c r="W30" i="43" s="1"/>
  <c r="X30" i="43" s="1"/>
  <c r="Y30" i="43" s="1"/>
  <c r="Z30" i="43" s="1"/>
  <c r="AA30" i="43" s="1"/>
  <c r="BY30" i="43" s="1"/>
  <c r="CE17" i="43"/>
  <c r="CD17" i="43"/>
  <c r="CJ17" i="43"/>
  <c r="BO17" i="43"/>
  <c r="CB17" i="43"/>
  <c r="BY17" i="43"/>
  <c r="BX17" i="43"/>
  <c r="AX17" i="43"/>
  <c r="BV17" i="43"/>
  <c r="AD17" i="43"/>
  <c r="V12" i="43"/>
  <c r="W12" i="43" s="1"/>
  <c r="X12" i="43" s="1"/>
  <c r="Y12" i="43" s="1"/>
  <c r="Z12" i="43" s="1"/>
  <c r="AA12" i="43" s="1"/>
  <c r="BY12" i="43" s="1"/>
  <c r="V37" i="43"/>
  <c r="W37" i="43" s="1"/>
  <c r="X37" i="43" s="1"/>
  <c r="Y37" i="43" s="1"/>
  <c r="Z37" i="43" s="1"/>
  <c r="AA37" i="43" s="1"/>
  <c r="BR37" i="43" s="1"/>
  <c r="V66" i="43"/>
  <c r="W66" i="43" s="1"/>
  <c r="X66" i="43" s="1"/>
  <c r="Y66" i="43" s="1"/>
  <c r="Z66" i="43" s="1"/>
  <c r="AA66" i="43" s="1"/>
  <c r="BS66" i="43" s="1"/>
  <c r="AG17" i="43"/>
  <c r="BR17" i="43"/>
  <c r="V22" i="43"/>
  <c r="W22" i="43" s="1"/>
  <c r="X22" i="43" s="1"/>
  <c r="Y22" i="43" s="1"/>
  <c r="Z22" i="43" s="1"/>
  <c r="AA22" i="43" s="1"/>
  <c r="V29" i="43"/>
  <c r="W29" i="43" s="1"/>
  <c r="X29" i="43" s="1"/>
  <c r="Y29" i="43" s="1"/>
  <c r="Z29" i="43" s="1"/>
  <c r="AA29" i="43" s="1"/>
  <c r="AL29" i="43" s="1"/>
  <c r="AK29" i="43" s="1"/>
  <c r="V10" i="43"/>
  <c r="W10" i="43" s="1"/>
  <c r="X10" i="43" s="1"/>
  <c r="Y10" i="43" s="1"/>
  <c r="Z10" i="43" s="1"/>
  <c r="AA10" i="43" s="1"/>
  <c r="AG10" i="43" s="1"/>
  <c r="V20" i="43"/>
  <c r="W20" i="43" s="1"/>
  <c r="X20" i="43" s="1"/>
  <c r="Y20" i="43" s="1"/>
  <c r="Z20" i="43" s="1"/>
  <c r="AA20" i="43" s="1"/>
  <c r="V26" i="43"/>
  <c r="W26" i="43" s="1"/>
  <c r="X26" i="43" s="1"/>
  <c r="Y26" i="43" s="1"/>
  <c r="Z26" i="43" s="1"/>
  <c r="AA26" i="43" s="1"/>
  <c r="V45" i="43"/>
  <c r="W45" i="43" s="1"/>
  <c r="X45" i="43" s="1"/>
  <c r="Y45" i="43" s="1"/>
  <c r="Z45" i="43" s="1"/>
  <c r="AA45" i="43" s="1"/>
  <c r="CB45" i="43" s="1"/>
  <c r="BR31" i="43"/>
  <c r="AL31" i="43"/>
  <c r="AK31" i="43" s="1"/>
  <c r="BY31" i="43"/>
  <c r="BX31" i="43"/>
  <c r="BA31" i="43"/>
  <c r="BB31" i="43" s="1"/>
  <c r="I31" i="43" s="1"/>
  <c r="CB31" i="43"/>
  <c r="AH31" i="43"/>
  <c r="CA31" i="43"/>
  <c r="BD31" i="43"/>
  <c r="BC31" i="43" s="1"/>
  <c r="AG31" i="43"/>
  <c r="BU31" i="43"/>
  <c r="AX31" i="43"/>
  <c r="BO31" i="43"/>
  <c r="AJ31" i="43"/>
  <c r="CJ31" i="43"/>
  <c r="CG31" i="43" s="1"/>
  <c r="BJ31" i="43"/>
  <c r="BG31" i="43" s="1"/>
  <c r="V50" i="43"/>
  <c r="W50" i="43" s="1"/>
  <c r="X50" i="43" s="1"/>
  <c r="Y50" i="43" s="1"/>
  <c r="Z50" i="43" s="1"/>
  <c r="AA50" i="43" s="1"/>
  <c r="BS50" i="43" s="1"/>
  <c r="V42" i="43"/>
  <c r="W42" i="43" s="1"/>
  <c r="X42" i="43" s="1"/>
  <c r="Y42" i="43" s="1"/>
  <c r="Z42" i="43" s="1"/>
  <c r="AA42" i="43" s="1"/>
  <c r="CJ42" i="43" s="1"/>
  <c r="CG42" i="43" s="1"/>
  <c r="V44" i="43"/>
  <c r="W44" i="43" s="1"/>
  <c r="X44" i="43" s="1"/>
  <c r="Y44" i="43" s="1"/>
  <c r="Z44" i="43" s="1"/>
  <c r="AA44" i="43" s="1"/>
  <c r="AL44" i="43" s="1"/>
  <c r="AK44" i="43" s="1"/>
  <c r="V7" i="43"/>
  <c r="W7" i="43" s="1"/>
  <c r="X7" i="43" s="1"/>
  <c r="Y7" i="43" s="1"/>
  <c r="Z7" i="43" s="1"/>
  <c r="AA7" i="43" s="1"/>
  <c r="V13" i="43"/>
  <c r="W13" i="43" s="1"/>
  <c r="X13" i="43" s="1"/>
  <c r="Y13" i="43" s="1"/>
  <c r="Z13" i="43" s="1"/>
  <c r="AA13" i="43" s="1"/>
  <c r="BS13" i="43" s="1"/>
  <c r="BJ18" i="43"/>
  <c r="BG18" i="43" s="1"/>
  <c r="AD18" i="43"/>
  <c r="AE18" i="43" s="1"/>
  <c r="CD18" i="43"/>
  <c r="BX18" i="43"/>
  <c r="CA48" i="43"/>
  <c r="BJ48" i="43"/>
  <c r="BH48" i="43" s="1"/>
  <c r="AD48" i="43"/>
  <c r="BV48" i="43"/>
  <c r="CB48" i="43"/>
  <c r="BY48" i="43"/>
  <c r="AL48" i="43"/>
  <c r="AK48" i="43" s="1"/>
  <c r="BX48" i="43"/>
  <c r="BD48" i="43"/>
  <c r="AX48" i="43"/>
  <c r="AQ48" i="43" s="1"/>
  <c r="BS48" i="43"/>
  <c r="BO48" i="43"/>
  <c r="BN48" i="43" s="1"/>
  <c r="AH48" i="43"/>
  <c r="AG48" i="43"/>
  <c r="CJ48" i="43"/>
  <c r="BU48" i="43"/>
  <c r="AJ48" i="43"/>
  <c r="BA11" i="43"/>
  <c r="BB11" i="43" s="1"/>
  <c r="I11" i="43" s="1"/>
  <c r="CD25" i="43"/>
  <c r="AX25" i="43"/>
  <c r="AS25" i="43" s="1"/>
  <c r="AH25" i="43"/>
  <c r="BY25" i="43"/>
  <c r="CE36" i="43"/>
  <c r="BO36" i="43"/>
  <c r="AY36" i="43"/>
  <c r="BJ36" i="43"/>
  <c r="BI36" i="43" s="1"/>
  <c r="AT36" i="43"/>
  <c r="AD36" i="43"/>
  <c r="CB36" i="43"/>
  <c r="CA36" i="43"/>
  <c r="BV36" i="43"/>
  <c r="BD36" i="43"/>
  <c r="AL36" i="43"/>
  <c r="AK36" i="43" s="1"/>
  <c r="BR36" i="43"/>
  <c r="BO55" i="43"/>
  <c r="BN55" i="43" s="1"/>
  <c r="AG56" i="43"/>
  <c r="CB56" i="43"/>
  <c r="CA56" i="43"/>
  <c r="BV56" i="43"/>
  <c r="BD56" i="43"/>
  <c r="AL56" i="43"/>
  <c r="AK56" i="43" s="1"/>
  <c r="BO56" i="43"/>
  <c r="BP56" i="43" s="1"/>
  <c r="CD56" i="43"/>
  <c r="AH56" i="43"/>
  <c r="CE56" i="43"/>
  <c r="AD56" i="43"/>
  <c r="AE56" i="43" s="1"/>
  <c r="BR56" i="43"/>
  <c r="AJ56" i="43"/>
  <c r="BY56" i="43"/>
  <c r="BX56" i="43"/>
  <c r="BS56" i="43"/>
  <c r="V23" i="43"/>
  <c r="W23" i="43" s="1"/>
  <c r="X23" i="43" s="1"/>
  <c r="Y23" i="43" s="1"/>
  <c r="Z23" i="43" s="1"/>
  <c r="AA23" i="43" s="1"/>
  <c r="V24" i="43"/>
  <c r="W24" i="43" s="1"/>
  <c r="X24" i="43" s="1"/>
  <c r="Y24" i="43" s="1"/>
  <c r="Z24" i="43" s="1"/>
  <c r="AA24" i="43" s="1"/>
  <c r="BS24" i="43" s="1"/>
  <c r="BJ39" i="43"/>
  <c r="BL39" i="43" s="1"/>
  <c r="BK39" i="43" s="1"/>
  <c r="AD39" i="43"/>
  <c r="AE39" i="43" s="1"/>
  <c r="BU39" i="43"/>
  <c r="BV39" i="43"/>
  <c r="AJ39" i="43"/>
  <c r="AX39" i="43"/>
  <c r="AT39" i="43" s="1"/>
  <c r="BY39" i="43"/>
  <c r="BA39" i="43"/>
  <c r="BB39" i="43" s="1"/>
  <c r="I39" i="43" s="1"/>
  <c r="BX39" i="43"/>
  <c r="BR39" i="43"/>
  <c r="V49" i="43"/>
  <c r="W49" i="43" s="1"/>
  <c r="X49" i="43" s="1"/>
  <c r="Y49" i="43" s="1"/>
  <c r="Z49" i="43" s="1"/>
  <c r="AA49" i="43" s="1"/>
  <c r="AD49" i="43" s="1"/>
  <c r="AB49" i="43" s="1"/>
  <c r="V43" i="43"/>
  <c r="W43" i="43" s="1"/>
  <c r="X43" i="43" s="1"/>
  <c r="Y43" i="43" s="1"/>
  <c r="Z43" i="43" s="1"/>
  <c r="AA43" i="43" s="1"/>
  <c r="V46" i="43"/>
  <c r="W46" i="43" s="1"/>
  <c r="X46" i="43" s="1"/>
  <c r="Y46" i="43" s="1"/>
  <c r="Z46" i="43" s="1"/>
  <c r="AA46" i="43" s="1"/>
  <c r="BA17" i="43"/>
  <c r="BB17" i="43" s="1"/>
  <c r="I17" i="43" s="1"/>
  <c r="CA32" i="43"/>
  <c r="BV32" i="43"/>
  <c r="BX32" i="43"/>
  <c r="V53" i="43"/>
  <c r="W53" i="43" s="1"/>
  <c r="X53" i="43" s="1"/>
  <c r="Y53" i="43" s="1"/>
  <c r="Z53" i="43" s="1"/>
  <c r="AA53" i="43" s="1"/>
  <c r="AL53" i="43" s="1"/>
  <c r="AK53" i="43" s="1"/>
  <c r="V58" i="43"/>
  <c r="W58" i="43" s="1"/>
  <c r="X58" i="43" s="1"/>
  <c r="Y58" i="43" s="1"/>
  <c r="Z58" i="43" s="1"/>
  <c r="AA58" i="43" s="1"/>
  <c r="BA58" i="43" s="1"/>
  <c r="BB58" i="43" s="1"/>
  <c r="I58" i="43" s="1"/>
  <c r="V63" i="43"/>
  <c r="W63" i="43" s="1"/>
  <c r="X63" i="43" s="1"/>
  <c r="Y63" i="43" s="1"/>
  <c r="Z63" i="43" s="1"/>
  <c r="AA63" i="43" s="1"/>
  <c r="CJ63" i="43" s="1"/>
  <c r="V57" i="43"/>
  <c r="W57" i="43" s="1"/>
  <c r="X57" i="43" s="1"/>
  <c r="Y57" i="43" s="1"/>
  <c r="Z57" i="43" s="1"/>
  <c r="AA57" i="43" s="1"/>
  <c r="CE57" i="43" s="1"/>
  <c r="BJ61" i="43"/>
  <c r="AD61" i="43"/>
  <c r="BY61" i="43"/>
  <c r="BU61" i="43"/>
  <c r="BA61" i="43"/>
  <c r="BB61" i="43" s="1"/>
  <c r="I61" i="43" s="1"/>
  <c r="AH61" i="43"/>
  <c r="BS61" i="43"/>
  <c r="AG61" i="43"/>
  <c r="BO61" i="43"/>
  <c r="BP61" i="43" s="1"/>
  <c r="CJ61" i="43"/>
  <c r="CH61" i="43" s="1"/>
  <c r="CE61" i="43"/>
  <c r="AJ61" i="43"/>
  <c r="AX61" i="43"/>
  <c r="AT61" i="43" s="1"/>
  <c r="CB61" i="43"/>
  <c r="V62" i="43"/>
  <c r="W62" i="43" s="1"/>
  <c r="X62" i="43" s="1"/>
  <c r="Y62" i="43" s="1"/>
  <c r="Z62" i="43" s="1"/>
  <c r="AA62" i="43" s="1"/>
  <c r="BX62" i="43" s="1"/>
  <c r="CJ55" i="43"/>
  <c r="CI55" i="43" s="1"/>
  <c r="BD55" i="43"/>
  <c r="BE55" i="43" s="1"/>
  <c r="BS55" i="43"/>
  <c r="AG55" i="43"/>
  <c r="BR55" i="43"/>
  <c r="AX55" i="43"/>
  <c r="AW55" i="43" s="1"/>
  <c r="AD55" i="43"/>
  <c r="CE55" i="43"/>
  <c r="BU55" i="43"/>
  <c r="BA35" i="43"/>
  <c r="BB35" i="43" s="1"/>
  <c r="I35" i="43" s="1"/>
  <c r="CB38" i="43"/>
  <c r="V64" i="43"/>
  <c r="W64" i="43" s="1"/>
  <c r="X64" i="43" s="1"/>
  <c r="Y64" i="43" s="1"/>
  <c r="Z64" i="43" s="1"/>
  <c r="AA64" i="43" s="1"/>
  <c r="BO64" i="43" s="1"/>
  <c r="BV35" i="43"/>
  <c r="BA38" i="43"/>
  <c r="BB38" i="43" s="1"/>
  <c r="I38" i="43" s="1"/>
  <c r="V47" i="43"/>
  <c r="W47" i="43" s="1"/>
  <c r="X47" i="43" s="1"/>
  <c r="Y47" i="43" s="1"/>
  <c r="Z47" i="43" s="1"/>
  <c r="AA47" i="43" s="1"/>
  <c r="CD65" i="43"/>
  <c r="AX65" i="43"/>
  <c r="AW65" i="43" s="1"/>
  <c r="AH65" i="43"/>
  <c r="AG65" i="43"/>
  <c r="BY65" i="43"/>
  <c r="BI65" i="43"/>
  <c r="BG65" i="43"/>
  <c r="CA65" i="43"/>
  <c r="AJ60" i="43"/>
  <c r="BA60" i="43"/>
  <c r="BB60" i="43" s="1"/>
  <c r="I60" i="43" s="1"/>
  <c r="E46" i="32"/>
  <c r="I46" i="32"/>
  <c r="E47" i="32"/>
  <c r="I47" i="32"/>
  <c r="E48" i="32"/>
  <c r="I48" i="32"/>
  <c r="E49" i="32"/>
  <c r="I49" i="32"/>
  <c r="E50" i="32"/>
  <c r="I50" i="32"/>
  <c r="E51" i="32"/>
  <c r="I51" i="32"/>
  <c r="E52" i="32"/>
  <c r="I52" i="32"/>
  <c r="E53" i="32"/>
  <c r="I53" i="32"/>
  <c r="E54" i="32"/>
  <c r="I54" i="32"/>
  <c r="E55" i="32"/>
  <c r="I55" i="32"/>
  <c r="Y249" i="31"/>
  <c r="AC249" i="31" s="1"/>
  <c r="Q249" i="31"/>
  <c r="U249" i="31" s="1"/>
  <c r="Y248" i="31"/>
  <c r="AC248" i="31" s="1"/>
  <c r="Q248" i="31"/>
  <c r="U248" i="31" s="1"/>
  <c r="Y247" i="31"/>
  <c r="AC247" i="31" s="1"/>
  <c r="Q247" i="31"/>
  <c r="U247" i="31" s="1"/>
  <c r="Y246" i="31"/>
  <c r="AC246" i="31" s="1"/>
  <c r="Q246" i="31"/>
  <c r="U246" i="31" s="1"/>
  <c r="Y245" i="31"/>
  <c r="AC245" i="31" s="1"/>
  <c r="Q245" i="31"/>
  <c r="U245" i="31" s="1"/>
  <c r="Y244" i="31"/>
  <c r="AC244" i="31" s="1"/>
  <c r="Q244" i="31"/>
  <c r="U244" i="31" s="1"/>
  <c r="Y243" i="31"/>
  <c r="AC243" i="31" s="1"/>
  <c r="Q243" i="31"/>
  <c r="U243" i="31" s="1"/>
  <c r="AC242" i="31"/>
  <c r="Y242" i="31"/>
  <c r="Q242" i="31"/>
  <c r="U242" i="31" s="1"/>
  <c r="Y241" i="31"/>
  <c r="AC241" i="31" s="1"/>
  <c r="Q241" i="31"/>
  <c r="U241" i="31" s="1"/>
  <c r="Y240" i="31"/>
  <c r="AC240" i="31" s="1"/>
  <c r="Q240" i="31"/>
  <c r="U240" i="31" s="1"/>
  <c r="Y239" i="31"/>
  <c r="AC239" i="31" s="1"/>
  <c r="Q239" i="31"/>
  <c r="U239" i="31" s="1"/>
  <c r="Y238" i="31"/>
  <c r="AC238" i="31" s="1"/>
  <c r="U238" i="31"/>
  <c r="Q238" i="31"/>
  <c r="AC237" i="31"/>
  <c r="Y237" i="31"/>
  <c r="Q237" i="31"/>
  <c r="U237" i="31" s="1"/>
  <c r="Y236" i="31"/>
  <c r="AC236" i="31" s="1"/>
  <c r="Q236" i="31"/>
  <c r="U236" i="31" s="1"/>
  <c r="I103" i="30"/>
  <c r="M103" i="30" s="1"/>
  <c r="I102" i="30"/>
  <c r="M102" i="30" s="1"/>
  <c r="I101" i="30"/>
  <c r="M101" i="30" s="1"/>
  <c r="I100" i="30"/>
  <c r="M100" i="30" s="1"/>
  <c r="I99" i="30"/>
  <c r="M99" i="30" s="1"/>
  <c r="I98" i="30"/>
  <c r="M98" i="30" s="1"/>
  <c r="I97" i="30"/>
  <c r="M97" i="30" s="1"/>
  <c r="I96" i="30"/>
  <c r="M96" i="30" s="1"/>
  <c r="I95" i="30"/>
  <c r="M95" i="30" s="1"/>
  <c r="I94" i="30"/>
  <c r="M94" i="30" s="1"/>
  <c r="I93" i="30"/>
  <c r="M93" i="30" s="1"/>
  <c r="I92" i="30"/>
  <c r="M92" i="30" s="1"/>
  <c r="I91" i="30"/>
  <c r="M91" i="30" s="1"/>
  <c r="CB2" i="29"/>
  <c r="BZ2" i="29"/>
  <c r="CB1" i="29"/>
  <c r="BZ1" i="29"/>
  <c r="AZ2" i="29"/>
  <c r="AZ1" i="29"/>
  <c r="W2" i="29"/>
  <c r="W1" i="29"/>
  <c r="U2" i="29"/>
  <c r="U1" i="29"/>
  <c r="S2" i="29"/>
  <c r="S1" i="29"/>
  <c r="B3" i="29"/>
  <c r="B2" i="29"/>
  <c r="B1" i="29"/>
  <c r="D3" i="29"/>
  <c r="D2" i="29"/>
  <c r="D1" i="29"/>
  <c r="F2" i="29"/>
  <c r="F1" i="29"/>
  <c r="H2" i="29"/>
  <c r="H1" i="29"/>
  <c r="J2" i="29"/>
  <c r="J1" i="29"/>
  <c r="L2" i="29"/>
  <c r="L1" i="29"/>
  <c r="P2" i="29"/>
  <c r="P1" i="29"/>
  <c r="CG226" i="29"/>
  <c r="CE226" i="29"/>
  <c r="BX2" i="29"/>
  <c r="BV2" i="29"/>
  <c r="BT2" i="29"/>
  <c r="BR2" i="29"/>
  <c r="BP2" i="29"/>
  <c r="BN2" i="29"/>
  <c r="BL2" i="29"/>
  <c r="BJ2" i="29"/>
  <c r="BH2" i="29"/>
  <c r="BF2" i="29"/>
  <c r="BD2" i="29"/>
  <c r="AX2" i="29"/>
  <c r="AV2" i="29"/>
  <c r="AT2" i="29"/>
  <c r="AR2" i="29"/>
  <c r="AP2" i="29"/>
  <c r="AN2" i="29"/>
  <c r="AL2" i="29"/>
  <c r="AJ2" i="29"/>
  <c r="AH2" i="29"/>
  <c r="AF2" i="29"/>
  <c r="AD2" i="29"/>
  <c r="AA2" i="29"/>
  <c r="Y2" i="29"/>
  <c r="N2" i="29"/>
  <c r="CG1" i="29"/>
  <c r="CF1" i="29"/>
  <c r="BX1" i="29"/>
  <c r="BV1" i="29"/>
  <c r="BT1" i="29"/>
  <c r="BR1" i="29"/>
  <c r="BP1" i="29"/>
  <c r="BN1" i="29"/>
  <c r="BL1" i="29"/>
  <c r="BJ1" i="29"/>
  <c r="BH1" i="29"/>
  <c r="BF1" i="29"/>
  <c r="BD1" i="29"/>
  <c r="AX1" i="29"/>
  <c r="AV1" i="29"/>
  <c r="AT1" i="29"/>
  <c r="AR1" i="29"/>
  <c r="AP1" i="29"/>
  <c r="AN1" i="29"/>
  <c r="AL1" i="29"/>
  <c r="AJ1" i="29"/>
  <c r="AH1" i="29"/>
  <c r="AF1" i="29"/>
  <c r="AD1" i="29"/>
  <c r="AA1" i="29"/>
  <c r="Y1" i="29"/>
  <c r="N1" i="29"/>
  <c r="A1" i="29"/>
  <c r="BY66" i="43" l="1"/>
  <c r="BW25" i="43"/>
  <c r="N25" i="43" s="1"/>
  <c r="BZ36" i="43"/>
  <c r="O36" i="43" s="1"/>
  <c r="AI65" i="43"/>
  <c r="F65" i="43" s="1"/>
  <c r="AM39" i="43"/>
  <c r="G39" i="43" s="1"/>
  <c r="BW17" i="43"/>
  <c r="N17" i="43" s="1"/>
  <c r="CB66" i="43"/>
  <c r="CE16" i="43"/>
  <c r="CA50" i="43"/>
  <c r="AD8" i="43"/>
  <c r="AE8" i="43" s="1"/>
  <c r="AJ40" i="43"/>
  <c r="BY53" i="43"/>
  <c r="AX44" i="43"/>
  <c r="AW44" i="43" s="1"/>
  <c r="BV49" i="43"/>
  <c r="AJ49" i="43"/>
  <c r="AI31" i="43"/>
  <c r="F31" i="43" s="1"/>
  <c r="BZ31" i="43"/>
  <c r="O31" i="43" s="1"/>
  <c r="BT25" i="43"/>
  <c r="M25" i="43" s="1"/>
  <c r="BA34" i="43"/>
  <c r="BB34" i="43" s="1"/>
  <c r="I34" i="43" s="1"/>
  <c r="BV40" i="43"/>
  <c r="AM17" i="43"/>
  <c r="G17" i="43" s="1"/>
  <c r="BC55" i="43"/>
  <c r="BF55" i="43" s="1"/>
  <c r="J55" i="43" s="1"/>
  <c r="AH66" i="43"/>
  <c r="BZ55" i="43"/>
  <c r="O55" i="43" s="1"/>
  <c r="BS21" i="43"/>
  <c r="BY34" i="43"/>
  <c r="BR49" i="43"/>
  <c r="CE12" i="43"/>
  <c r="BX21" i="43"/>
  <c r="BA66" i="43"/>
  <c r="BB66" i="43" s="1"/>
  <c r="I66" i="43" s="1"/>
  <c r="BP60" i="43"/>
  <c r="BQ60" i="43" s="1"/>
  <c r="L60" i="43" s="1"/>
  <c r="BN61" i="43"/>
  <c r="BQ61" i="43" s="1"/>
  <c r="L61" i="43" s="1"/>
  <c r="CE44" i="43"/>
  <c r="BU66" i="43"/>
  <c r="CC39" i="43"/>
  <c r="P39" i="43" s="1"/>
  <c r="CJ21" i="43"/>
  <c r="CG21" i="43" s="1"/>
  <c r="AW33" i="43"/>
  <c r="BA49" i="43"/>
  <c r="BB49" i="43" s="1"/>
  <c r="I49" i="43" s="1"/>
  <c r="BT31" i="43"/>
  <c r="M31" i="43" s="1"/>
  <c r="AY33" i="43"/>
  <c r="BX30" i="43"/>
  <c r="BZ30" i="43" s="1"/>
  <c r="O30" i="43" s="1"/>
  <c r="AV33" i="43"/>
  <c r="AG30" i="43"/>
  <c r="AO33" i="43"/>
  <c r="CD62" i="43"/>
  <c r="CF62" i="43" s="1"/>
  <c r="Q62" i="43" s="1"/>
  <c r="BZ56" i="43"/>
  <c r="O56" i="43" s="1"/>
  <c r="BO8" i="43"/>
  <c r="BN8" i="43" s="1"/>
  <c r="AP33" i="43"/>
  <c r="AG52" i="43"/>
  <c r="BD66" i="43"/>
  <c r="BC66" i="43" s="1"/>
  <c r="AG19" i="43"/>
  <c r="AI61" i="43"/>
  <c r="F61" i="43" s="1"/>
  <c r="BO45" i="43"/>
  <c r="BP45" i="43" s="1"/>
  <c r="AD66" i="43"/>
  <c r="AC66" i="43" s="1"/>
  <c r="BO21" i="43"/>
  <c r="BP21" i="43" s="1"/>
  <c r="AP32" i="43"/>
  <c r="CD66" i="43"/>
  <c r="CF17" i="43"/>
  <c r="Q17" i="43" s="1"/>
  <c r="CE40" i="43"/>
  <c r="CH39" i="43"/>
  <c r="AR33" i="43"/>
  <c r="BD8" i="43"/>
  <c r="BE8" i="43" s="1"/>
  <c r="BY21" i="43"/>
  <c r="AG37" i="43"/>
  <c r="CF60" i="43"/>
  <c r="Q60" i="43" s="1"/>
  <c r="BT32" i="43"/>
  <c r="M32" i="43" s="1"/>
  <c r="BU19" i="43"/>
  <c r="AH62" i="43"/>
  <c r="BV44" i="43"/>
  <c r="CC31" i="43"/>
  <c r="P31" i="43" s="1"/>
  <c r="BR12" i="43"/>
  <c r="BU21" i="43"/>
  <c r="CB28" i="43"/>
  <c r="BE39" i="43"/>
  <c r="BF39" i="43" s="1"/>
  <c r="J39" i="43" s="1"/>
  <c r="BN65" i="43"/>
  <c r="BQ65" i="43" s="1"/>
  <c r="L65" i="43" s="1"/>
  <c r="AX62" i="43"/>
  <c r="AS62" i="43" s="1"/>
  <c r="BJ49" i="43"/>
  <c r="BH49" i="43" s="1"/>
  <c r="BO12" i="43"/>
  <c r="BN12" i="43" s="1"/>
  <c r="CD16" i="43"/>
  <c r="CC60" i="43"/>
  <c r="P60" i="43" s="1"/>
  <c r="BA19" i="43"/>
  <c r="BB19" i="43" s="1"/>
  <c r="I19" i="43" s="1"/>
  <c r="AJ52" i="43"/>
  <c r="AJ19" i="43"/>
  <c r="BD52" i="43"/>
  <c r="BO19" i="43"/>
  <c r="BP19" i="43" s="1"/>
  <c r="AL19" i="43"/>
  <c r="AK19" i="43" s="1"/>
  <c r="AD19" i="43"/>
  <c r="AC19" i="43" s="1"/>
  <c r="AQ55" i="43"/>
  <c r="AD44" i="43"/>
  <c r="AB44" i="43" s="1"/>
  <c r="BD13" i="43"/>
  <c r="BE13" i="43" s="1"/>
  <c r="CA19" i="43"/>
  <c r="BY19" i="43"/>
  <c r="CB19" i="43"/>
  <c r="AL37" i="43"/>
  <c r="AK37" i="43" s="1"/>
  <c r="BO37" i="43"/>
  <c r="BN37" i="43" s="1"/>
  <c r="AJ51" i="43"/>
  <c r="CE62" i="43"/>
  <c r="CD53" i="43"/>
  <c r="AG54" i="43"/>
  <c r="BA52" i="43"/>
  <c r="BB52" i="43" s="1"/>
  <c r="I52" i="43" s="1"/>
  <c r="BV19" i="43"/>
  <c r="BR52" i="43"/>
  <c r="BT52" i="43" s="1"/>
  <c r="M52" i="43" s="1"/>
  <c r="BS62" i="43"/>
  <c r="AL52" i="43"/>
  <c r="AK52" i="43" s="1"/>
  <c r="CA57" i="43"/>
  <c r="BS34" i="43"/>
  <c r="AH19" i="43"/>
  <c r="BT39" i="43"/>
  <c r="M39" i="43" s="1"/>
  <c r="AJ34" i="43"/>
  <c r="BJ44" i="43"/>
  <c r="BL44" i="43" s="1"/>
  <c r="BK44" i="43" s="1"/>
  <c r="BJ19" i="43"/>
  <c r="BG19" i="43" s="1"/>
  <c r="CC33" i="43"/>
  <c r="P33" i="43" s="1"/>
  <c r="CJ19" i="43"/>
  <c r="CI19" i="43" s="1"/>
  <c r="BD19" i="43"/>
  <c r="BE19" i="43" s="1"/>
  <c r="BX19" i="43"/>
  <c r="CA51" i="43"/>
  <c r="BS19" i="43"/>
  <c r="BU52" i="43"/>
  <c r="BX8" i="43"/>
  <c r="BT48" i="43"/>
  <c r="M48" i="43" s="1"/>
  <c r="CJ52" i="43"/>
  <c r="CK52" i="43" s="1"/>
  <c r="CA28" i="43"/>
  <c r="AL28" i="43"/>
  <c r="AK28" i="43" s="1"/>
  <c r="BR19" i="43"/>
  <c r="BV57" i="43"/>
  <c r="CD19" i="43"/>
  <c r="CF19" i="43" s="1"/>
  <c r="Q19" i="43" s="1"/>
  <c r="AD52" i="43"/>
  <c r="AB52" i="43" s="1"/>
  <c r="BD28" i="43"/>
  <c r="BC28" i="43" s="1"/>
  <c r="AV61" i="43"/>
  <c r="CJ58" i="43"/>
  <c r="CK58" i="43" s="1"/>
  <c r="CJ28" i="43"/>
  <c r="CK28" i="43" s="1"/>
  <c r="BY28" i="43"/>
  <c r="BZ32" i="43"/>
  <c r="O32" i="43" s="1"/>
  <c r="BP39" i="43"/>
  <c r="BQ39" i="43" s="1"/>
  <c r="L39" i="43" s="1"/>
  <c r="AH49" i="43"/>
  <c r="CD13" i="43"/>
  <c r="AX19" i="43"/>
  <c r="AO19" i="43" s="1"/>
  <c r="BS12" i="43"/>
  <c r="AL8" i="43"/>
  <c r="AK8" i="43" s="1"/>
  <c r="BI33" i="43"/>
  <c r="CF31" i="43"/>
  <c r="Q31" i="43" s="1"/>
  <c r="AM55" i="43"/>
  <c r="G55" i="43" s="1"/>
  <c r="AX37" i="43"/>
  <c r="AY37" i="43" s="1"/>
  <c r="CA30" i="43"/>
  <c r="BD63" i="43"/>
  <c r="BC63" i="43" s="1"/>
  <c r="CE37" i="43"/>
  <c r="BX63" i="43"/>
  <c r="BT36" i="43"/>
  <c r="M36" i="43" s="1"/>
  <c r="BR28" i="43"/>
  <c r="BL48" i="43"/>
  <c r="BK48" i="43" s="1"/>
  <c r="BZ18" i="43"/>
  <c r="O18" i="43" s="1"/>
  <c r="AD37" i="43"/>
  <c r="AB37" i="43" s="1"/>
  <c r="BA40" i="43"/>
  <c r="BB40" i="43" s="1"/>
  <c r="I40" i="43" s="1"/>
  <c r="BO28" i="43"/>
  <c r="BN28" i="43" s="1"/>
  <c r="BT11" i="43"/>
  <c r="M11" i="43" s="1"/>
  <c r="CC11" i="43"/>
  <c r="P11" i="43" s="1"/>
  <c r="AS61" i="43"/>
  <c r="CJ29" i="43"/>
  <c r="CH29" i="43" s="1"/>
  <c r="BR40" i="43"/>
  <c r="BU28" i="43"/>
  <c r="BW28" i="43" s="1"/>
  <c r="N28" i="43" s="1"/>
  <c r="AI25" i="43"/>
  <c r="F25" i="43" s="1"/>
  <c r="BJ28" i="43"/>
  <c r="AL59" i="43"/>
  <c r="AK59" i="43" s="1"/>
  <c r="BI48" i="43"/>
  <c r="CB30" i="43"/>
  <c r="AM31" i="43"/>
  <c r="G31" i="43" s="1"/>
  <c r="CI31" i="43"/>
  <c r="BS28" i="43"/>
  <c r="AL9" i="43"/>
  <c r="AK9" i="43" s="1"/>
  <c r="CK31" i="43"/>
  <c r="CH31" i="43"/>
  <c r="AJ28" i="43"/>
  <c r="BJ9" i="43"/>
  <c r="BG9" i="43" s="1"/>
  <c r="CA9" i="43"/>
  <c r="CC18" i="43"/>
  <c r="P18" i="43" s="1"/>
  <c r="CB63" i="43"/>
  <c r="AS36" i="43"/>
  <c r="AH28" i="43"/>
  <c r="BS37" i="43"/>
  <c r="BT37" i="43" s="1"/>
  <c r="M37" i="43" s="1"/>
  <c r="AL40" i="43"/>
  <c r="AK40" i="43" s="1"/>
  <c r="AG28" i="43"/>
  <c r="AD54" i="43"/>
  <c r="AC54" i="43" s="1"/>
  <c r="CB58" i="43"/>
  <c r="CG56" i="43"/>
  <c r="BJ13" i="43"/>
  <c r="BH13" i="43" s="1"/>
  <c r="BJ54" i="43"/>
  <c r="BG54" i="43" s="1"/>
  <c r="BJ58" i="43"/>
  <c r="BI58" i="43" s="1"/>
  <c r="AX49" i="43"/>
  <c r="AV49" i="43" s="1"/>
  <c r="CD29" i="43"/>
  <c r="AH8" i="43"/>
  <c r="CA40" i="43"/>
  <c r="CC40" i="43" s="1"/>
  <c r="P40" i="43" s="1"/>
  <c r="AX28" i="43"/>
  <c r="AN28" i="43" s="1"/>
  <c r="AI18" i="43"/>
  <c r="F18" i="43" s="1"/>
  <c r="BR54" i="43"/>
  <c r="BD59" i="43"/>
  <c r="BC59" i="43" s="1"/>
  <c r="AI11" i="43"/>
  <c r="F11" i="43" s="1"/>
  <c r="CA54" i="43"/>
  <c r="AM25" i="43"/>
  <c r="G25" i="43" s="1"/>
  <c r="CD28" i="43"/>
  <c r="AG58" i="43"/>
  <c r="CE28" i="43"/>
  <c r="BJ57" i="43"/>
  <c r="BH57" i="43" s="1"/>
  <c r="AM48" i="43"/>
  <c r="G48" i="43" s="1"/>
  <c r="BD54" i="43"/>
  <c r="BE54" i="43" s="1"/>
  <c r="AI17" i="43"/>
  <c r="F17" i="43" s="1"/>
  <c r="BX28" i="43"/>
  <c r="AX14" i="43"/>
  <c r="AV14" i="43" s="1"/>
  <c r="BV54" i="43"/>
  <c r="BV37" i="43"/>
  <c r="CJ30" i="43"/>
  <c r="CK30" i="43" s="1"/>
  <c r="AD28" i="43"/>
  <c r="AC28" i="43" s="1"/>
  <c r="CF33" i="43"/>
  <c r="Q33" i="43" s="1"/>
  <c r="CA58" i="43"/>
  <c r="BY9" i="43"/>
  <c r="BT61" i="43"/>
  <c r="M61" i="43" s="1"/>
  <c r="AM56" i="43"/>
  <c r="G56" i="43" s="1"/>
  <c r="CF25" i="43"/>
  <c r="Q25" i="43" s="1"/>
  <c r="BO14" i="43"/>
  <c r="BN14" i="43" s="1"/>
  <c r="BS40" i="43"/>
  <c r="BA28" i="43"/>
  <c r="BB28" i="43" s="1"/>
  <c r="I28" i="43" s="1"/>
  <c r="CD57" i="43"/>
  <c r="CF57" i="43" s="1"/>
  <c r="Q57" i="43" s="1"/>
  <c r="BM65" i="43"/>
  <c r="K65" i="43" s="1"/>
  <c r="BX24" i="43"/>
  <c r="CC56" i="43"/>
  <c r="P56" i="43" s="1"/>
  <c r="AG14" i="43"/>
  <c r="BU44" i="43"/>
  <c r="BY52" i="43"/>
  <c r="AJ37" i="43"/>
  <c r="BA30" i="43"/>
  <c r="BB30" i="43" s="1"/>
  <c r="I30" i="43" s="1"/>
  <c r="BD16" i="43"/>
  <c r="BE16" i="43" s="1"/>
  <c r="BW65" i="43"/>
  <c r="N65" i="43" s="1"/>
  <c r="AI32" i="43"/>
  <c r="F32" i="43" s="1"/>
  <c r="BA51" i="43"/>
  <c r="BB51" i="43" s="1"/>
  <c r="I51" i="43" s="1"/>
  <c r="CB51" i="43"/>
  <c r="BV51" i="43"/>
  <c r="AH51" i="43"/>
  <c r="BO51" i="43"/>
  <c r="CJ51" i="43"/>
  <c r="CK51" i="43" s="1"/>
  <c r="BR51" i="43"/>
  <c r="AL51" i="43"/>
  <c r="AK51" i="43" s="1"/>
  <c r="BY51" i="43"/>
  <c r="AX51" i="43"/>
  <c r="AR51" i="43" s="1"/>
  <c r="CE51" i="43"/>
  <c r="CD51" i="43"/>
  <c r="AG51" i="43"/>
  <c r="AS56" i="43"/>
  <c r="AQ56" i="43"/>
  <c r="AO56" i="43"/>
  <c r="BS51" i="43"/>
  <c r="CC32" i="43"/>
  <c r="P32" i="43" s="1"/>
  <c r="BN56" i="43"/>
  <c r="BQ56" i="43" s="1"/>
  <c r="L56" i="43" s="1"/>
  <c r="BR50" i="43"/>
  <c r="BT50" i="43" s="1"/>
  <c r="M50" i="43" s="1"/>
  <c r="BV10" i="43"/>
  <c r="BU14" i="43"/>
  <c r="BU42" i="43"/>
  <c r="BW60" i="43"/>
  <c r="N60" i="43" s="1"/>
  <c r="AD51" i="43"/>
  <c r="AB51" i="43" s="1"/>
  <c r="BU16" i="43"/>
  <c r="CB16" i="43"/>
  <c r="CC16" i="43" s="1"/>
  <c r="P16" i="43" s="1"/>
  <c r="AD16" i="43"/>
  <c r="BS16" i="43"/>
  <c r="BA16" i="43"/>
  <c r="BB16" i="43" s="1"/>
  <c r="I16" i="43" s="1"/>
  <c r="BY16" i="43"/>
  <c r="BZ16" i="43" s="1"/>
  <c r="O16" i="43" s="1"/>
  <c r="BO16" i="43"/>
  <c r="BN16" i="43" s="1"/>
  <c r="AJ16" i="43"/>
  <c r="AX16" i="43"/>
  <c r="AP16" i="43" s="1"/>
  <c r="BR16" i="43"/>
  <c r="CJ16" i="43"/>
  <c r="BJ16" i="43"/>
  <c r="BI16" i="43" s="1"/>
  <c r="BX51" i="43"/>
  <c r="CC65" i="43"/>
  <c r="P65" i="43" s="1"/>
  <c r="CH56" i="43"/>
  <c r="CD22" i="43"/>
  <c r="BJ22" i="43"/>
  <c r="BH22" i="43" s="1"/>
  <c r="AX22" i="43"/>
  <c r="AQ22" i="43" s="1"/>
  <c r="AG22" i="43"/>
  <c r="AH22" i="43"/>
  <c r="BV22" i="43"/>
  <c r="AD22" i="43"/>
  <c r="BR22" i="43"/>
  <c r="CA14" i="43"/>
  <c r="BS9" i="43"/>
  <c r="CE9" i="43"/>
  <c r="AG9" i="43"/>
  <c r="CD9" i="43"/>
  <c r="AH9" i="43"/>
  <c r="CJ9" i="43"/>
  <c r="BO9" i="43"/>
  <c r="BR9" i="43"/>
  <c r="AD9" i="43"/>
  <c r="AB9" i="43" s="1"/>
  <c r="BV9" i="43"/>
  <c r="AJ9" i="43"/>
  <c r="BU51" i="43"/>
  <c r="BC48" i="43"/>
  <c r="BE48" i="43"/>
  <c r="AJ42" i="43"/>
  <c r="BJ34" i="43"/>
  <c r="BI34" i="43" s="1"/>
  <c r="BV34" i="43"/>
  <c r="BW34" i="43" s="1"/>
  <c r="N34" i="43" s="1"/>
  <c r="BP55" i="43"/>
  <c r="BQ55" i="43" s="1"/>
  <c r="L55" i="43" s="1"/>
  <c r="CA45" i="43"/>
  <c r="CC45" i="43" s="1"/>
  <c r="P45" i="43" s="1"/>
  <c r="AL45" i="43"/>
  <c r="AK45" i="43" s="1"/>
  <c r="BU45" i="43"/>
  <c r="CE45" i="43"/>
  <c r="AX45" i="43"/>
  <c r="AT45" i="43" s="1"/>
  <c r="AL16" i="43"/>
  <c r="AK16" i="43" s="1"/>
  <c r="BJ42" i="43"/>
  <c r="BG42" i="43" s="1"/>
  <c r="BP33" i="43"/>
  <c r="BN33" i="43"/>
  <c r="CA20" i="43"/>
  <c r="AD20" i="43"/>
  <c r="AE20" i="43" s="1"/>
  <c r="BR20" i="43"/>
  <c r="AX20" i="43"/>
  <c r="AP20" i="43" s="1"/>
  <c r="AD42" i="43"/>
  <c r="AE42" i="43" s="1"/>
  <c r="BA50" i="43"/>
  <c r="BB50" i="43" s="1"/>
  <c r="I50" i="43" s="1"/>
  <c r="CD50" i="43"/>
  <c r="BY50" i="43"/>
  <c r="CB50" i="43"/>
  <c r="CC50" i="43" s="1"/>
  <c r="P50" i="43" s="1"/>
  <c r="BO50" i="43"/>
  <c r="AX50" i="43"/>
  <c r="AU50" i="43" s="1"/>
  <c r="BX50" i="43"/>
  <c r="AH50" i="43"/>
  <c r="AG50" i="43"/>
  <c r="BV50" i="43"/>
  <c r="CE50" i="43"/>
  <c r="AJ50" i="43"/>
  <c r="AL50" i="43"/>
  <c r="AK50" i="43" s="1"/>
  <c r="CJ50" i="43"/>
  <c r="CK50" i="43" s="1"/>
  <c r="AJ24" i="43"/>
  <c r="CI56" i="43"/>
  <c r="BD50" i="43"/>
  <c r="AR55" i="43"/>
  <c r="AS55" i="43"/>
  <c r="AT55" i="43"/>
  <c r="AN55" i="43"/>
  <c r="BU50" i="43"/>
  <c r="BO26" i="43"/>
  <c r="AD26" i="43"/>
  <c r="AB26" i="43" s="1"/>
  <c r="AX26" i="43"/>
  <c r="AU26" i="43" s="1"/>
  <c r="CJ26" i="43"/>
  <c r="CK26" i="43" s="1"/>
  <c r="BS26" i="43"/>
  <c r="BV16" i="43"/>
  <c r="BD51" i="43"/>
  <c r="CJ14" i="43"/>
  <c r="CK14" i="43" s="1"/>
  <c r="BS14" i="43"/>
  <c r="BT14" i="43" s="1"/>
  <c r="M14" i="43" s="1"/>
  <c r="BY14" i="43"/>
  <c r="CB14" i="43"/>
  <c r="BD14" i="43"/>
  <c r="BE14" i="43" s="1"/>
  <c r="AH14" i="43"/>
  <c r="BX14" i="43"/>
  <c r="AL14" i="43"/>
  <c r="AK14" i="43" s="1"/>
  <c r="CD14" i="43"/>
  <c r="AD14" i="43"/>
  <c r="AB14" i="43" s="1"/>
  <c r="BA14" i="43"/>
  <c r="BB14" i="43" s="1"/>
  <c r="I14" i="43" s="1"/>
  <c r="BV14" i="43"/>
  <c r="AJ14" i="43"/>
  <c r="BJ14" i="43"/>
  <c r="BG14" i="43" s="1"/>
  <c r="AI33" i="43"/>
  <c r="F33" i="43" s="1"/>
  <c r="BH56" i="43"/>
  <c r="BI56" i="43"/>
  <c r="BL56" i="43"/>
  <c r="BK56" i="43" s="1"/>
  <c r="CE14" i="43"/>
  <c r="BO54" i="43"/>
  <c r="BU54" i="43"/>
  <c r="AX54" i="43"/>
  <c r="AP54" i="43" s="1"/>
  <c r="CB54" i="43"/>
  <c r="AJ54" i="43"/>
  <c r="AM54" i="43" s="1"/>
  <c r="G54" i="43" s="1"/>
  <c r="CE54" i="43"/>
  <c r="BX54" i="43"/>
  <c r="AH54" i="43"/>
  <c r="CJ54" i="43"/>
  <c r="CD54" i="43"/>
  <c r="BY24" i="43"/>
  <c r="AN56" i="43"/>
  <c r="BS54" i="43"/>
  <c r="BX10" i="43"/>
  <c r="BS22" i="43"/>
  <c r="BC25" i="43"/>
  <c r="BE25" i="43"/>
  <c r="BX42" i="43"/>
  <c r="BS42" i="43"/>
  <c r="AL34" i="43"/>
  <c r="AK34" i="43" s="1"/>
  <c r="BO34" i="43"/>
  <c r="BP34" i="43" s="1"/>
  <c r="CJ34" i="43"/>
  <c r="CG34" i="43" s="1"/>
  <c r="AX34" i="43"/>
  <c r="CB34" i="43"/>
  <c r="AD34" i="43"/>
  <c r="AB34" i="43" s="1"/>
  <c r="AG34" i="43"/>
  <c r="AH34" i="43"/>
  <c r="CA34" i="43"/>
  <c r="BR34" i="43"/>
  <c r="CE34" i="43"/>
  <c r="BD34" i="43"/>
  <c r="BE34" i="43" s="1"/>
  <c r="BX34" i="43"/>
  <c r="CD34" i="43"/>
  <c r="BA24" i="43"/>
  <c r="BB24" i="43" s="1"/>
  <c r="I24" i="43" s="1"/>
  <c r="AW48" i="43"/>
  <c r="AP48" i="43"/>
  <c r="BA54" i="43"/>
  <c r="BB54" i="43" s="1"/>
  <c r="I54" i="43" s="1"/>
  <c r="BY54" i="43"/>
  <c r="BW32" i="43"/>
  <c r="N32" i="43" s="1"/>
  <c r="BW39" i="43"/>
  <c r="N39" i="43" s="1"/>
  <c r="BT55" i="43"/>
  <c r="M55" i="43" s="1"/>
  <c r="BZ48" i="43"/>
  <c r="O48" i="43" s="1"/>
  <c r="CC17" i="43"/>
  <c r="P17" i="43" s="1"/>
  <c r="AM33" i="43"/>
  <c r="G33" i="43" s="1"/>
  <c r="BD21" i="43"/>
  <c r="BC21" i="43" s="1"/>
  <c r="BY13" i="43"/>
  <c r="BT18" i="43"/>
  <c r="M18" i="43" s="1"/>
  <c r="BA63" i="43"/>
  <c r="BB63" i="43" s="1"/>
  <c r="I63" i="43" s="1"/>
  <c r="BO58" i="43"/>
  <c r="BP58" i="43" s="1"/>
  <c r="BW56" i="43"/>
  <c r="N56" i="43" s="1"/>
  <c r="BG48" i="43"/>
  <c r="BX52" i="43"/>
  <c r="AX52" i="43"/>
  <c r="AW52" i="43" s="1"/>
  <c r="AX66" i="43"/>
  <c r="AY66" i="43" s="1"/>
  <c r="BW33" i="43"/>
  <c r="N33" i="43" s="1"/>
  <c r="AD21" i="43"/>
  <c r="AC21" i="43" s="1"/>
  <c r="AG40" i="43"/>
  <c r="AI40" i="43" s="1"/>
  <c r="F40" i="43" s="1"/>
  <c r="AM65" i="43"/>
  <c r="G65" i="43" s="1"/>
  <c r="BZ35" i="43"/>
  <c r="O35" i="43" s="1"/>
  <c r="BE17" i="43"/>
  <c r="BC17" i="43"/>
  <c r="CD58" i="43"/>
  <c r="BS64" i="43"/>
  <c r="BR62" i="43"/>
  <c r="CE58" i="43"/>
  <c r="BW48" i="43"/>
  <c r="N48" i="43" s="1"/>
  <c r="CA52" i="43"/>
  <c r="BJ21" i="43"/>
  <c r="BL21" i="43" s="1"/>
  <c r="BK21" i="43" s="1"/>
  <c r="BO15" i="43"/>
  <c r="BP15" i="43" s="1"/>
  <c r="CC35" i="43"/>
  <c r="P35" i="43" s="1"/>
  <c r="CF35" i="43"/>
  <c r="Q35" i="43" s="1"/>
  <c r="CE52" i="43"/>
  <c r="CD52" i="43"/>
  <c r="AJ64" i="43"/>
  <c r="BA62" i="43"/>
  <c r="BB62" i="43" s="1"/>
  <c r="I62" i="43" s="1"/>
  <c r="BA53" i="43"/>
  <c r="BB53" i="43" s="1"/>
  <c r="I53" i="43" s="1"/>
  <c r="CF56" i="43"/>
  <c r="Q56" i="43" s="1"/>
  <c r="AI48" i="43"/>
  <c r="F48" i="43" s="1"/>
  <c r="BO52" i="43"/>
  <c r="BV52" i="43"/>
  <c r="BX66" i="43"/>
  <c r="BZ66" i="43" s="1"/>
  <c r="O66" i="43" s="1"/>
  <c r="BV66" i="43"/>
  <c r="BV21" i="43"/>
  <c r="BU40" i="43"/>
  <c r="CF36" i="43"/>
  <c r="Q36" i="43" s="1"/>
  <c r="BZ61" i="43"/>
  <c r="O61" i="43" s="1"/>
  <c r="AL63" i="43"/>
  <c r="AK63" i="43" s="1"/>
  <c r="AJ63" i="43"/>
  <c r="BV63" i="43"/>
  <c r="AH52" i="43"/>
  <c r="BJ52" i="43"/>
  <c r="CA66" i="43"/>
  <c r="CC66" i="43" s="1"/>
  <c r="P66" i="43" s="1"/>
  <c r="BZ33" i="43"/>
  <c r="O33" i="43" s="1"/>
  <c r="AG21" i="43"/>
  <c r="AI60" i="43"/>
  <c r="F60" i="43" s="1"/>
  <c r="AI39" i="43"/>
  <c r="F39" i="43" s="1"/>
  <c r="CF65" i="43"/>
  <c r="Q65" i="43" s="1"/>
  <c r="CB52" i="43"/>
  <c r="BT17" i="43"/>
  <c r="M17" i="43" s="1"/>
  <c r="AG66" i="43"/>
  <c r="CD40" i="43"/>
  <c r="AM35" i="43"/>
  <c r="G35" i="43" s="1"/>
  <c r="BW38" i="43"/>
  <c r="N38" i="43" s="1"/>
  <c r="BV7" i="43"/>
  <c r="BD7" i="43"/>
  <c r="BS7" i="43"/>
  <c r="AH7" i="43"/>
  <c r="CJ7" i="43"/>
  <c r="BO7" i="43"/>
  <c r="AX7" i="43"/>
  <c r="BJ7" i="43"/>
  <c r="BA7" i="43"/>
  <c r="BB7" i="43" s="1"/>
  <c r="I7" i="43" s="1"/>
  <c r="AD7" i="43"/>
  <c r="CE7" i="43"/>
  <c r="CD7" i="43"/>
  <c r="CB7" i="43"/>
  <c r="CA7" i="43"/>
  <c r="BY7" i="43"/>
  <c r="BU7" i="43"/>
  <c r="AJ7" i="43"/>
  <c r="BR7" i="43"/>
  <c r="BX7" i="43"/>
  <c r="AG7" i="43"/>
  <c r="AI7" i="43" s="1"/>
  <c r="F7" i="43" s="1"/>
  <c r="AL7" i="43"/>
  <c r="AK7" i="43" s="1"/>
  <c r="CG27" i="43"/>
  <c r="CH27" i="43"/>
  <c r="CI27" i="43"/>
  <c r="AB33" i="43"/>
  <c r="AC33" i="43"/>
  <c r="AE33" i="43"/>
  <c r="BE56" i="43"/>
  <c r="BC56" i="43"/>
  <c r="CK27" i="43"/>
  <c r="BL61" i="43"/>
  <c r="BK61" i="43" s="1"/>
  <c r="BH61" i="43"/>
  <c r="BG61" i="43"/>
  <c r="BI61" i="43"/>
  <c r="CJ47" i="43"/>
  <c r="BO47" i="43"/>
  <c r="BJ47" i="43"/>
  <c r="CA47" i="43"/>
  <c r="AD47" i="43"/>
  <c r="CE47" i="43"/>
  <c r="CD47" i="43"/>
  <c r="AX47" i="43"/>
  <c r="BX47" i="43"/>
  <c r="BD47" i="43"/>
  <c r="BY47" i="43"/>
  <c r="BV47" i="43"/>
  <c r="BU47" i="43"/>
  <c r="CB47" i="43"/>
  <c r="BS47" i="43"/>
  <c r="AJ47" i="43"/>
  <c r="AH47" i="43"/>
  <c r="AL47" i="43"/>
  <c r="AK47" i="43" s="1"/>
  <c r="BR47" i="43"/>
  <c r="AG47" i="43"/>
  <c r="BA47" i="43"/>
  <c r="BB47" i="43" s="1"/>
  <c r="I47" i="43" s="1"/>
  <c r="CI17" i="43"/>
  <c r="CH17" i="43"/>
  <c r="CK17" i="43"/>
  <c r="CG17" i="43"/>
  <c r="AU31" i="43"/>
  <c r="AS31" i="43"/>
  <c r="AT31" i="43"/>
  <c r="AY31" i="43"/>
  <c r="AV31" i="43"/>
  <c r="AW31" i="43"/>
  <c r="AQ31" i="43"/>
  <c r="AR31" i="43"/>
  <c r="AO31" i="43"/>
  <c r="AP31" i="43"/>
  <c r="AN31" i="43"/>
  <c r="BO43" i="43"/>
  <c r="BV43" i="43"/>
  <c r="BS43" i="43"/>
  <c r="BJ43" i="43"/>
  <c r="CA43" i="43"/>
  <c r="BX43" i="43"/>
  <c r="AD43" i="43"/>
  <c r="CB43" i="43"/>
  <c r="BR43" i="43"/>
  <c r="AG43" i="43"/>
  <c r="BD43" i="43"/>
  <c r="BA43" i="43"/>
  <c r="BB43" i="43" s="1"/>
  <c r="I43" i="43" s="1"/>
  <c r="AL43" i="43"/>
  <c r="AK43" i="43" s="1"/>
  <c r="AH43" i="43"/>
  <c r="AJ43" i="43"/>
  <c r="AX43" i="43"/>
  <c r="CD43" i="43"/>
  <c r="BY43" i="43"/>
  <c r="CJ43" i="43"/>
  <c r="CE43" i="43"/>
  <c r="BU43" i="43"/>
  <c r="CH63" i="43"/>
  <c r="CG63" i="43"/>
  <c r="CK63" i="43"/>
  <c r="CI63" i="43"/>
  <c r="AB15" i="43"/>
  <c r="AC15" i="43"/>
  <c r="AE15" i="43"/>
  <c r="BV41" i="43"/>
  <c r="BO41" i="43"/>
  <c r="BU41" i="43"/>
  <c r="CE41" i="43"/>
  <c r="BS41" i="43"/>
  <c r="BR41" i="43"/>
  <c r="AD41" i="43"/>
  <c r="AJ41" i="43"/>
  <c r="BJ41" i="43"/>
  <c r="BY41" i="43"/>
  <c r="AG41" i="43"/>
  <c r="CD41" i="43"/>
  <c r="CA41" i="43"/>
  <c r="BD41" i="43"/>
  <c r="BA41" i="43"/>
  <c r="BB41" i="43" s="1"/>
  <c r="I41" i="43" s="1"/>
  <c r="AH41" i="43"/>
  <c r="CJ41" i="43"/>
  <c r="CB41" i="43"/>
  <c r="AL41" i="43"/>
  <c r="AK41" i="43" s="1"/>
  <c r="AC32" i="43"/>
  <c r="AB32" i="43"/>
  <c r="AE32" i="43"/>
  <c r="AC36" i="43"/>
  <c r="AB36" i="43"/>
  <c r="AE36" i="43"/>
  <c r="AB18" i="43"/>
  <c r="AC18" i="43"/>
  <c r="CE20" i="43"/>
  <c r="BA20" i="43"/>
  <c r="BB20" i="43" s="1"/>
  <c r="I20" i="43" s="1"/>
  <c r="BV20" i="43"/>
  <c r="AL20" i="43"/>
  <c r="AK20" i="43" s="1"/>
  <c r="BO20" i="43"/>
  <c r="BJ20" i="43"/>
  <c r="AG20" i="43"/>
  <c r="CD20" i="43"/>
  <c r="CJ20" i="43"/>
  <c r="CB20" i="43"/>
  <c r="AH20" i="43"/>
  <c r="BS20" i="43"/>
  <c r="AJ20" i="43"/>
  <c r="BX20" i="43"/>
  <c r="BY20" i="43"/>
  <c r="BD20" i="43"/>
  <c r="AE17" i="43"/>
  <c r="AB17" i="43"/>
  <c r="AC17" i="43"/>
  <c r="BV46" i="43"/>
  <c r="BS46" i="43"/>
  <c r="AG46" i="43"/>
  <c r="BJ46" i="43"/>
  <c r="AD46" i="43"/>
  <c r="BO46" i="43"/>
  <c r="AX46" i="43"/>
  <c r="AL46" i="43"/>
  <c r="AK46" i="43" s="1"/>
  <c r="AJ46" i="43"/>
  <c r="CE46" i="43"/>
  <c r="CA46" i="43"/>
  <c r="BX46" i="43"/>
  <c r="BU46" i="43"/>
  <c r="CD46" i="43"/>
  <c r="BA46" i="43"/>
  <c r="BB46" i="43" s="1"/>
  <c r="I46" i="43" s="1"/>
  <c r="AH46" i="43"/>
  <c r="BY46" i="43"/>
  <c r="CJ46" i="43"/>
  <c r="CB46" i="43"/>
  <c r="BD46" i="43"/>
  <c r="BR46" i="43"/>
  <c r="BU20" i="43"/>
  <c r="AI36" i="43"/>
  <c r="F36" i="43" s="1"/>
  <c r="AM32" i="43"/>
  <c r="G32" i="43" s="1"/>
  <c r="CF48" i="43"/>
  <c r="Q48" i="43" s="1"/>
  <c r="AM11" i="43"/>
  <c r="G11" i="43" s="1"/>
  <c r="BN32" i="43"/>
  <c r="BP32" i="43"/>
  <c r="H59" i="43"/>
  <c r="BO59" i="43"/>
  <c r="CA59" i="43"/>
  <c r="CC59" i="43" s="1"/>
  <c r="P59" i="43" s="1"/>
  <c r="BX59" i="43"/>
  <c r="BJ59" i="43"/>
  <c r="AX59" i="43"/>
  <c r="BY59" i="43"/>
  <c r="CJ59" i="43"/>
  <c r="BS59" i="43"/>
  <c r="BU59" i="43"/>
  <c r="BR59" i="43"/>
  <c r="BV59" i="43"/>
  <c r="AH59" i="43"/>
  <c r="CE59" i="43"/>
  <c r="AJ59" i="43"/>
  <c r="CH42" i="43"/>
  <c r="CK42" i="43"/>
  <c r="CI42" i="43"/>
  <c r="CF18" i="43"/>
  <c r="Q18" i="43" s="1"/>
  <c r="BD27" i="43"/>
  <c r="BA27" i="43"/>
  <c r="BB27" i="43" s="1"/>
  <c r="I27" i="43" s="1"/>
  <c r="BO27" i="43"/>
  <c r="BY27" i="43"/>
  <c r="AG27" i="43"/>
  <c r="AH27" i="43"/>
  <c r="CB27" i="43"/>
  <c r="BU27" i="43"/>
  <c r="BR27" i="43"/>
  <c r="CD27" i="43"/>
  <c r="AJ27" i="43"/>
  <c r="CA27" i="43"/>
  <c r="BX27" i="43"/>
  <c r="CE27" i="43"/>
  <c r="AD27" i="43"/>
  <c r="BV27" i="43"/>
  <c r="AL27" i="43"/>
  <c r="AK27" i="43" s="1"/>
  <c r="BJ27" i="43"/>
  <c r="BP38" i="43"/>
  <c r="BN38" i="43"/>
  <c r="BP25" i="43"/>
  <c r="BN25" i="43"/>
  <c r="BN11" i="43"/>
  <c r="BP11" i="43"/>
  <c r="AC55" i="43"/>
  <c r="AB55" i="43"/>
  <c r="AE55" i="43"/>
  <c r="AC49" i="43"/>
  <c r="AE49" i="43"/>
  <c r="CI33" i="43"/>
  <c r="CH33" i="43"/>
  <c r="CG33" i="43"/>
  <c r="CK33" i="43"/>
  <c r="CJ23" i="43"/>
  <c r="BO23" i="43"/>
  <c r="CD23" i="43"/>
  <c r="BJ23" i="43"/>
  <c r="BR23" i="43"/>
  <c r="AJ23" i="43"/>
  <c r="AG23" i="43"/>
  <c r="CE23" i="43"/>
  <c r="CB23" i="43"/>
  <c r="CA23" i="43"/>
  <c r="AX23" i="43"/>
  <c r="BA23" i="43"/>
  <c r="BB23" i="43" s="1"/>
  <c r="I23" i="43" s="1"/>
  <c r="BY23" i="43"/>
  <c r="BX23" i="43"/>
  <c r="BS23" i="43"/>
  <c r="AD23" i="43"/>
  <c r="BV23" i="43"/>
  <c r="AH23" i="43"/>
  <c r="AL23" i="43"/>
  <c r="AK23" i="43" s="1"/>
  <c r="BD23" i="43"/>
  <c r="BU23" i="43"/>
  <c r="CC48" i="43"/>
  <c r="P48" i="43" s="1"/>
  <c r="CB12" i="43"/>
  <c r="BD12" i="43"/>
  <c r="BX12" i="43"/>
  <c r="BZ12" i="43" s="1"/>
  <c r="O12" i="43" s="1"/>
  <c r="BV12" i="43"/>
  <c r="AX12" i="43"/>
  <c r="AJ12" i="43"/>
  <c r="AD12" i="43"/>
  <c r="CA12" i="43"/>
  <c r="CJ12" i="43"/>
  <c r="BA12" i="43"/>
  <c r="BB12" i="43" s="1"/>
  <c r="I12" i="43" s="1"/>
  <c r="AH12" i="43"/>
  <c r="CD12" i="43"/>
  <c r="BJ12" i="43"/>
  <c r="AG12" i="43"/>
  <c r="AL12" i="43"/>
  <c r="AK12" i="43" s="1"/>
  <c r="BU12" i="43"/>
  <c r="AD59" i="43"/>
  <c r="CA15" i="43"/>
  <c r="CB15" i="43"/>
  <c r="BD15" i="43"/>
  <c r="AL15" i="43"/>
  <c r="AK15" i="43" s="1"/>
  <c r="AH15" i="43"/>
  <c r="BY15" i="43"/>
  <c r="BX15" i="43"/>
  <c r="BS15" i="43"/>
  <c r="AX15" i="43"/>
  <c r="BA15" i="43"/>
  <c r="BB15" i="43" s="1"/>
  <c r="I15" i="43" s="1"/>
  <c r="AJ15" i="43"/>
  <c r="CD15" i="43"/>
  <c r="CJ15" i="43"/>
  <c r="BU15" i="43"/>
  <c r="BR15" i="43"/>
  <c r="CE15" i="43"/>
  <c r="BV15" i="43"/>
  <c r="BJ15" i="43"/>
  <c r="BG36" i="43"/>
  <c r="BL36" i="43"/>
  <c r="BK36" i="43" s="1"/>
  <c r="BH36" i="43"/>
  <c r="BA59" i="43"/>
  <c r="BB59" i="43" s="1"/>
  <c r="I59" i="43" s="1"/>
  <c r="BN64" i="43"/>
  <c r="BP64" i="43"/>
  <c r="BJ53" i="43"/>
  <c r="AH53" i="43"/>
  <c r="AG53" i="43"/>
  <c r="CB53" i="43"/>
  <c r="BU53" i="43"/>
  <c r="AJ53" i="43"/>
  <c r="AM53" i="43" s="1"/>
  <c r="G53" i="43" s="1"/>
  <c r="AX53" i="43"/>
  <c r="BV53" i="43"/>
  <c r="BS53" i="43"/>
  <c r="CA53" i="43"/>
  <c r="BX53" i="43"/>
  <c r="AD53" i="43"/>
  <c r="BD53" i="43"/>
  <c r="CJ53" i="43"/>
  <c r="CE53" i="43"/>
  <c r="BR53" i="43"/>
  <c r="BO53" i="43"/>
  <c r="AB39" i="43"/>
  <c r="AC39" i="43"/>
  <c r="BN31" i="43"/>
  <c r="BP31" i="43"/>
  <c r="CE29" i="43"/>
  <c r="BX29" i="43"/>
  <c r="BS29" i="43"/>
  <c r="AD29" i="43"/>
  <c r="BV29" i="43"/>
  <c r="AJ29" i="43"/>
  <c r="AM29" i="43" s="1"/>
  <c r="G29" i="43" s="1"/>
  <c r="BO29" i="43"/>
  <c r="AG29" i="43"/>
  <c r="BD29" i="43"/>
  <c r="BU29" i="43"/>
  <c r="CA29" i="43"/>
  <c r="CB29" i="43"/>
  <c r="AH29" i="43"/>
  <c r="BJ29" i="43"/>
  <c r="BY29" i="43"/>
  <c r="BR29" i="43"/>
  <c r="BA29" i="43"/>
  <c r="BB29" i="43" s="1"/>
  <c r="I29" i="43" s="1"/>
  <c r="AX29" i="43"/>
  <c r="BG38" i="43"/>
  <c r="BI38" i="43"/>
  <c r="BH38" i="43"/>
  <c r="BL38" i="43"/>
  <c r="BK38" i="43" s="1"/>
  <c r="AG15" i="43"/>
  <c r="AE31" i="43"/>
  <c r="AB31" i="43"/>
  <c r="BZ39" i="43"/>
  <c r="O39" i="43" s="1"/>
  <c r="CD59" i="43"/>
  <c r="BL33" i="43"/>
  <c r="BK33" i="43" s="1"/>
  <c r="BH33" i="43"/>
  <c r="BX41" i="43"/>
  <c r="AX27" i="43"/>
  <c r="AY35" i="43"/>
  <c r="AR35" i="43"/>
  <c r="AS35" i="43"/>
  <c r="AQ35" i="43"/>
  <c r="AV35" i="43"/>
  <c r="AU35" i="43"/>
  <c r="AT35" i="43"/>
  <c r="AO35" i="43"/>
  <c r="AW35" i="43"/>
  <c r="AN35" i="43"/>
  <c r="AP35" i="43"/>
  <c r="AN18" i="43"/>
  <c r="AW18" i="43"/>
  <c r="AS18" i="43"/>
  <c r="AQ18" i="43"/>
  <c r="AR18" i="43"/>
  <c r="AY18" i="43"/>
  <c r="AT18" i="43"/>
  <c r="AU18" i="43"/>
  <c r="AP18" i="43"/>
  <c r="AO18" i="43"/>
  <c r="CH48" i="43"/>
  <c r="CG48" i="43"/>
  <c r="CI48" i="43"/>
  <c r="CK48" i="43"/>
  <c r="BL25" i="43"/>
  <c r="BK25" i="43" s="1"/>
  <c r="BH25" i="43"/>
  <c r="BG25" i="43"/>
  <c r="AE61" i="43"/>
  <c r="AB61" i="43"/>
  <c r="AC61" i="43"/>
  <c r="BH39" i="43"/>
  <c r="BI39" i="43"/>
  <c r="BG39" i="43"/>
  <c r="CA10" i="43"/>
  <c r="AL10" i="43"/>
  <c r="AK10" i="43" s="1"/>
  <c r="BO10" i="43"/>
  <c r="BY10" i="43"/>
  <c r="BJ10" i="43"/>
  <c r="AJ10" i="43"/>
  <c r="AD10" i="43"/>
  <c r="CD10" i="43"/>
  <c r="BD10" i="43"/>
  <c r="CB10" i="43"/>
  <c r="AX10" i="43"/>
  <c r="CE10" i="43"/>
  <c r="BS10" i="43"/>
  <c r="CJ10" i="43"/>
  <c r="BR10" i="43"/>
  <c r="BA10" i="43"/>
  <c r="BB10" i="43" s="1"/>
  <c r="I10" i="43" s="1"/>
  <c r="BU10" i="43"/>
  <c r="AH10" i="43"/>
  <c r="AI10" i="43" s="1"/>
  <c r="F10" i="43" s="1"/>
  <c r="AG59" i="43"/>
  <c r="AX41" i="43"/>
  <c r="BS27" i="43"/>
  <c r="BN17" i="43"/>
  <c r="BP17" i="43"/>
  <c r="BT65" i="43"/>
  <c r="M65" i="43" s="1"/>
  <c r="AE25" i="43"/>
  <c r="AB25" i="43"/>
  <c r="BE11" i="43"/>
  <c r="BC11" i="43"/>
  <c r="AR39" i="43"/>
  <c r="AY39" i="43"/>
  <c r="AQ39" i="43"/>
  <c r="AP39" i="43"/>
  <c r="AN39" i="43"/>
  <c r="AU39" i="43"/>
  <c r="AW39" i="43"/>
  <c r="AV39" i="43"/>
  <c r="BW31" i="43"/>
  <c r="N31" i="43" s="1"/>
  <c r="BA8" i="43"/>
  <c r="BB8" i="43" s="1"/>
  <c r="I8" i="43" s="1"/>
  <c r="CE8" i="43"/>
  <c r="BR8" i="43"/>
  <c r="CD8" i="43"/>
  <c r="BS8" i="43"/>
  <c r="BY8" i="43"/>
  <c r="AD30" i="43"/>
  <c r="AR25" i="43"/>
  <c r="AQ25" i="43"/>
  <c r="AV25" i="43"/>
  <c r="AT25" i="43"/>
  <c r="AU25" i="43"/>
  <c r="AN25" i="43"/>
  <c r="AY25" i="43"/>
  <c r="AP25" i="43"/>
  <c r="AW25" i="43"/>
  <c r="AO25" i="43"/>
  <c r="BR45" i="43"/>
  <c r="AD45" i="43"/>
  <c r="BJ45" i="43"/>
  <c r="BA45" i="43"/>
  <c r="BB45" i="43" s="1"/>
  <c r="I45" i="43" s="1"/>
  <c r="AJ45" i="43"/>
  <c r="AJ8" i="43"/>
  <c r="BZ65" i="43"/>
  <c r="O65" i="43" s="1"/>
  <c r="AE60" i="43"/>
  <c r="AC60" i="43"/>
  <c r="AB60" i="43"/>
  <c r="CC38" i="43"/>
  <c r="P38" i="43" s="1"/>
  <c r="CA26" i="43"/>
  <c r="AJ26" i="43"/>
  <c r="AH26" i="43"/>
  <c r="BV26" i="43"/>
  <c r="CE26" i="43"/>
  <c r="BY26" i="43"/>
  <c r="AG26" i="43"/>
  <c r="CD26" i="43"/>
  <c r="BX26" i="43"/>
  <c r="BA26" i="43"/>
  <c r="BB26" i="43" s="1"/>
  <c r="I26" i="43" s="1"/>
  <c r="BU30" i="43"/>
  <c r="CK11" i="43"/>
  <c r="CI11" i="43"/>
  <c r="CH11" i="43"/>
  <c r="AD64" i="43"/>
  <c r="CE64" i="43"/>
  <c r="CD64" i="43"/>
  <c r="CA64" i="43"/>
  <c r="BR64" i="43"/>
  <c r="AH64" i="43"/>
  <c r="CB64" i="43"/>
  <c r="BY64" i="43"/>
  <c r="AG64" i="43"/>
  <c r="AL64" i="43"/>
  <c r="AK64" i="43" s="1"/>
  <c r="BX64" i="43"/>
  <c r="AX64" i="43"/>
  <c r="BA64" i="43"/>
  <c r="BB64" i="43" s="1"/>
  <c r="I64" i="43" s="1"/>
  <c r="AX57" i="43"/>
  <c r="BX57" i="43"/>
  <c r="BR57" i="43"/>
  <c r="AL57" i="43"/>
  <c r="AK57" i="43" s="1"/>
  <c r="AG57" i="43"/>
  <c r="BO57" i="43"/>
  <c r="CJ57" i="43"/>
  <c r="CB57" i="43"/>
  <c r="AJ57" i="43"/>
  <c r="BA57" i="43"/>
  <c r="BB57" i="43" s="1"/>
  <c r="I57" i="43" s="1"/>
  <c r="AH57" i="43"/>
  <c r="BD57" i="43"/>
  <c r="AD57" i="43"/>
  <c r="BE32" i="43"/>
  <c r="BF32" i="43" s="1"/>
  <c r="J32" i="43" s="1"/>
  <c r="BP48" i="43"/>
  <c r="BQ48" i="43" s="1"/>
  <c r="L48" i="43" s="1"/>
  <c r="BX44" i="43"/>
  <c r="BL31" i="43"/>
  <c r="BK31" i="43" s="1"/>
  <c r="BI31" i="43"/>
  <c r="BH31" i="43"/>
  <c r="AL26" i="43"/>
  <c r="AK26" i="43" s="1"/>
  <c r="CJ45" i="43"/>
  <c r="CJ8" i="43"/>
  <c r="BU37" i="43"/>
  <c r="BJ37" i="43"/>
  <c r="CB37" i="43"/>
  <c r="AX8" i="43"/>
  <c r="CB8" i="43"/>
  <c r="CC8" i="43" s="1"/>
  <c r="P8" i="43" s="1"/>
  <c r="AJ66" i="43"/>
  <c r="AJ30" i="43"/>
  <c r="BZ38" i="43"/>
  <c r="O38" i="43" s="1"/>
  <c r="BX40" i="43"/>
  <c r="CB9" i="43"/>
  <c r="BJ40" i="43"/>
  <c r="BD9" i="43"/>
  <c r="CC55" i="43"/>
  <c r="P55" i="43" s="1"/>
  <c r="BL32" i="43"/>
  <c r="BK32" i="43" s="1"/>
  <c r="BG32" i="43"/>
  <c r="BI32" i="43"/>
  <c r="BH32" i="43"/>
  <c r="AM60" i="43"/>
  <c r="G60" i="43" s="1"/>
  <c r="BV64" i="43"/>
  <c r="BD64" i="43"/>
  <c r="BU24" i="43"/>
  <c r="BE36" i="43"/>
  <c r="BC36" i="43"/>
  <c r="AC48" i="43"/>
  <c r="AB48" i="43"/>
  <c r="BR44" i="43"/>
  <c r="AD50" i="43"/>
  <c r="BJ50" i="43"/>
  <c r="AH45" i="43"/>
  <c r="BC33" i="43"/>
  <c r="BF33" i="43" s="1"/>
  <c r="J33" i="43" s="1"/>
  <c r="AG16" i="43"/>
  <c r="BY40" i="43"/>
  <c r="CI65" i="43"/>
  <c r="CH65" i="43"/>
  <c r="CG65" i="43"/>
  <c r="CK65" i="43"/>
  <c r="CI60" i="43"/>
  <c r="CH60" i="43"/>
  <c r="CK60" i="43"/>
  <c r="BU9" i="43"/>
  <c r="CF61" i="43"/>
  <c r="Q61" i="43" s="1"/>
  <c r="BN35" i="43"/>
  <c r="BP35" i="43"/>
  <c r="AX9" i="43"/>
  <c r="BW36" i="43"/>
  <c r="N36" i="43" s="1"/>
  <c r="CK25" i="43"/>
  <c r="CH25" i="43"/>
  <c r="CG25" i="43"/>
  <c r="CI25" i="43"/>
  <c r="CF11" i="43"/>
  <c r="Q11" i="43" s="1"/>
  <c r="CF32" i="43"/>
  <c r="Q32" i="43" s="1"/>
  <c r="BE60" i="43"/>
  <c r="BC60" i="43"/>
  <c r="BJ30" i="43"/>
  <c r="BD30" i="43"/>
  <c r="AX30" i="43"/>
  <c r="AV65" i="43"/>
  <c r="AP65" i="43"/>
  <c r="AO65" i="43"/>
  <c r="AT65" i="43"/>
  <c r="AR65" i="43"/>
  <c r="AU65" i="43"/>
  <c r="AQ65" i="43"/>
  <c r="AY65" i="43"/>
  <c r="BH51" i="43"/>
  <c r="BL51" i="43"/>
  <c r="BK51" i="43" s="1"/>
  <c r="BG51" i="43"/>
  <c r="BI51" i="43"/>
  <c r="AY61" i="43"/>
  <c r="AW61" i="43"/>
  <c r="AU61" i="43"/>
  <c r="AR61" i="43"/>
  <c r="AQ61" i="43"/>
  <c r="AP56" i="43"/>
  <c r="BN36" i="43"/>
  <c r="BP36" i="43"/>
  <c r="BR42" i="43"/>
  <c r="BD42" i="43"/>
  <c r="AH42" i="43"/>
  <c r="CA42" i="43"/>
  <c r="AG42" i="43"/>
  <c r="CB42" i="43"/>
  <c r="CD42" i="43"/>
  <c r="BV42" i="43"/>
  <c r="BA42" i="43"/>
  <c r="BB42" i="43" s="1"/>
  <c r="I42" i="43" s="1"/>
  <c r="AL42" i="43"/>
  <c r="AK42" i="43" s="1"/>
  <c r="AG8" i="43"/>
  <c r="AE38" i="43"/>
  <c r="AB38" i="43"/>
  <c r="AC38" i="43"/>
  <c r="CI36" i="43"/>
  <c r="CH36" i="43"/>
  <c r="CG36" i="43"/>
  <c r="AV55" i="43"/>
  <c r="AP55" i="43"/>
  <c r="AO55" i="43"/>
  <c r="AU55" i="43"/>
  <c r="AI56" i="43"/>
  <c r="F56" i="43" s="1"/>
  <c r="AY48" i="43"/>
  <c r="AS48" i="43"/>
  <c r="AV48" i="43"/>
  <c r="AR48" i="43"/>
  <c r="AO48" i="43"/>
  <c r="BJ8" i="43"/>
  <c r="AE65" i="43"/>
  <c r="AB65" i="43"/>
  <c r="BL60" i="43"/>
  <c r="BK60" i="43" s="1"/>
  <c r="BI60" i="43"/>
  <c r="BH60" i="43"/>
  <c r="BG60" i="43"/>
  <c r="CF38" i="43"/>
  <c r="Q38" i="43" s="1"/>
  <c r="CK32" i="43"/>
  <c r="CH32" i="43"/>
  <c r="CG32" i="43"/>
  <c r="CI32" i="43"/>
  <c r="CJ64" i="43"/>
  <c r="AY55" i="43"/>
  <c r="AN61" i="43"/>
  <c r="BE61" i="43"/>
  <c r="BF61" i="43" s="1"/>
  <c r="J61" i="43" s="1"/>
  <c r="CJ49" i="43"/>
  <c r="BY49" i="43"/>
  <c r="BD49" i="43"/>
  <c r="AG49" i="43"/>
  <c r="CD49" i="43"/>
  <c r="CB49" i="43"/>
  <c r="CA49" i="43"/>
  <c r="CE49" i="43"/>
  <c r="BO24" i="43"/>
  <c r="CJ24" i="43"/>
  <c r="CE24" i="43"/>
  <c r="BJ24" i="43"/>
  <c r="AL24" i="43"/>
  <c r="AK24" i="43" s="1"/>
  <c r="CD24" i="43"/>
  <c r="BV24" i="43"/>
  <c r="BR24" i="43"/>
  <c r="BT24" i="43" s="1"/>
  <c r="M24" i="43" s="1"/>
  <c r="AG24" i="43"/>
  <c r="CA24" i="43"/>
  <c r="AD24" i="43"/>
  <c r="AX24" i="43"/>
  <c r="CB24" i="43"/>
  <c r="BD24" i="43"/>
  <c r="BS49" i="43"/>
  <c r="BX49" i="43"/>
  <c r="CB13" i="43"/>
  <c r="AJ13" i="43"/>
  <c r="BO13" i="43"/>
  <c r="AL13" i="43"/>
  <c r="AK13" i="43" s="1"/>
  <c r="CJ13" i="43"/>
  <c r="BA13" i="43"/>
  <c r="BB13" i="43" s="1"/>
  <c r="I13" i="43" s="1"/>
  <c r="CE13" i="43"/>
  <c r="CA13" i="43"/>
  <c r="BV13" i="43"/>
  <c r="AX13" i="43"/>
  <c r="BU13" i="43"/>
  <c r="AH13" i="43"/>
  <c r="AD13" i="43"/>
  <c r="AG13" i="43"/>
  <c r="BR13" i="43"/>
  <c r="BT13" i="43" s="1"/>
  <c r="M13" i="43" s="1"/>
  <c r="BY42" i="43"/>
  <c r="CI39" i="43"/>
  <c r="CG39" i="43"/>
  <c r="AL30" i="43"/>
  <c r="AK30" i="43" s="1"/>
  <c r="BV30" i="43"/>
  <c r="BO40" i="43"/>
  <c r="BM17" i="43"/>
  <c r="K17" i="43" s="1"/>
  <c r="AY38" i="43"/>
  <c r="AS38" i="43"/>
  <c r="AW38" i="43"/>
  <c r="AT38" i="43"/>
  <c r="AR38" i="43"/>
  <c r="AQ38" i="43"/>
  <c r="AO38" i="43"/>
  <c r="AN38" i="43"/>
  <c r="AP38" i="43"/>
  <c r="AU38" i="43"/>
  <c r="BI55" i="43"/>
  <c r="BH55" i="43"/>
  <c r="BG55" i="43"/>
  <c r="AN48" i="43"/>
  <c r="AG45" i="43"/>
  <c r="BO22" i="43"/>
  <c r="BD22" i="43"/>
  <c r="CJ22" i="43"/>
  <c r="CE22" i="43"/>
  <c r="CB22" i="43"/>
  <c r="CA22" i="43"/>
  <c r="AL22" i="43"/>
  <c r="AK22" i="43" s="1"/>
  <c r="BY22" i="43"/>
  <c r="BX22" i="43"/>
  <c r="BU22" i="43"/>
  <c r="BR30" i="43"/>
  <c r="AD40" i="43"/>
  <c r="CI35" i="43"/>
  <c r="CK35" i="43"/>
  <c r="CH35" i="43"/>
  <c r="AC65" i="43"/>
  <c r="BD62" i="43"/>
  <c r="CB62" i="43"/>
  <c r="BU62" i="43"/>
  <c r="AJ62" i="43"/>
  <c r="BJ62" i="43"/>
  <c r="AD62" i="43"/>
  <c r="CJ62" i="43"/>
  <c r="CA62" i="43"/>
  <c r="AG62" i="43"/>
  <c r="BY62" i="43"/>
  <c r="BZ62" i="43" s="1"/>
  <c r="O62" i="43" s="1"/>
  <c r="BO62" i="43"/>
  <c r="BV62" i="43"/>
  <c r="BO49" i="43"/>
  <c r="BT56" i="43"/>
  <c r="M56" i="43" s="1"/>
  <c r="CC36" i="43"/>
  <c r="P36" i="43" s="1"/>
  <c r="AE48" i="43"/>
  <c r="BX13" i="43"/>
  <c r="AX42" i="43"/>
  <c r="BJ26" i="43"/>
  <c r="BY45" i="43"/>
  <c r="BD45" i="43"/>
  <c r="BD37" i="43"/>
  <c r="AJ22" i="43"/>
  <c r="CJ37" i="43"/>
  <c r="BJ66" i="43"/>
  <c r="CJ66" i="43"/>
  <c r="BR66" i="43"/>
  <c r="BT66" i="43" s="1"/>
  <c r="M66" i="43" s="1"/>
  <c r="BY37" i="43"/>
  <c r="AH37" i="43"/>
  <c r="AW17" i="43"/>
  <c r="AV17" i="43"/>
  <c r="AR17" i="43"/>
  <c r="AS17" i="43"/>
  <c r="AQ17" i="43"/>
  <c r="AP17" i="43"/>
  <c r="AY17" i="43"/>
  <c r="AU17" i="43"/>
  <c r="AT17" i="43"/>
  <c r="AO17" i="43"/>
  <c r="AN17" i="43"/>
  <c r="CE30" i="43"/>
  <c r="BC65" i="43"/>
  <c r="BF65" i="43" s="1"/>
  <c r="J65" i="43" s="1"/>
  <c r="BE65" i="43"/>
  <c r="CF39" i="43"/>
  <c r="Q39" i="43" s="1"/>
  <c r="BT38" i="43"/>
  <c r="M38" i="43" s="1"/>
  <c r="BC18" i="43"/>
  <c r="BE18" i="43"/>
  <c r="BH11" i="43"/>
  <c r="BG11" i="43"/>
  <c r="BI11" i="43"/>
  <c r="BL11" i="43"/>
  <c r="BK11" i="43" s="1"/>
  <c r="CK18" i="43"/>
  <c r="CI18" i="43"/>
  <c r="CH18" i="43"/>
  <c r="BZ11" i="43"/>
  <c r="O11" i="43" s="1"/>
  <c r="CH55" i="43"/>
  <c r="CG55" i="43"/>
  <c r="AV60" i="43"/>
  <c r="AP60" i="43"/>
  <c r="AO60" i="43"/>
  <c r="AW60" i="43"/>
  <c r="AU60" i="43"/>
  <c r="AT60" i="43"/>
  <c r="AS60" i="43"/>
  <c r="AN60" i="43"/>
  <c r="AY60" i="43"/>
  <c r="AR60" i="43"/>
  <c r="AQ60" i="43"/>
  <c r="BE38" i="43"/>
  <c r="BC38" i="43"/>
  <c r="AP11" i="43"/>
  <c r="AO11" i="43"/>
  <c r="AY11" i="43"/>
  <c r="AS11" i="43"/>
  <c r="AW11" i="43"/>
  <c r="AU11" i="43"/>
  <c r="AT11" i="43"/>
  <c r="AR11" i="43"/>
  <c r="AV11" i="43"/>
  <c r="AQ11" i="43"/>
  <c r="AN11" i="43"/>
  <c r="BH18" i="43"/>
  <c r="BI18" i="43"/>
  <c r="CJ44" i="43"/>
  <c r="BA44" i="43"/>
  <c r="BB44" i="43" s="1"/>
  <c r="I44" i="43" s="1"/>
  <c r="AJ44" i="43"/>
  <c r="AM44" i="43" s="1"/>
  <c r="G44" i="43" s="1"/>
  <c r="AH44" i="43"/>
  <c r="BD44" i="43"/>
  <c r="AG44" i="43"/>
  <c r="CA44" i="43"/>
  <c r="BO44" i="43"/>
  <c r="BY44" i="43"/>
  <c r="CB44" i="43"/>
  <c r="AY56" i="43"/>
  <c r="AT56" i="43"/>
  <c r="AU56" i="43"/>
  <c r="BW35" i="43"/>
  <c r="N35" i="43" s="1"/>
  <c r="AV36" i="43"/>
  <c r="AO36" i="43"/>
  <c r="AR36" i="43"/>
  <c r="AW36" i="43"/>
  <c r="AN36" i="43"/>
  <c r="BY63" i="43"/>
  <c r="BU63" i="43"/>
  <c r="AH63" i="43"/>
  <c r="BS63" i="43"/>
  <c r="AX63" i="43"/>
  <c r="AG63" i="43"/>
  <c r="BO63" i="43"/>
  <c r="CD63" i="43"/>
  <c r="AV56" i="43"/>
  <c r="AH30" i="43"/>
  <c r="AI30" i="43" s="1"/>
  <c r="F30" i="43" s="1"/>
  <c r="CD30" i="43"/>
  <c r="BO30" i="43"/>
  <c r="AM61" i="43"/>
  <c r="G61" i="43" s="1"/>
  <c r="BJ64" i="43"/>
  <c r="AI55" i="43"/>
  <c r="F55" i="43" s="1"/>
  <c r="AO61" i="43"/>
  <c r="BS57" i="43"/>
  <c r="BD58" i="43"/>
  <c r="BY58" i="43"/>
  <c r="AD58" i="43"/>
  <c r="BX58" i="43"/>
  <c r="BR58" i="43"/>
  <c r="AJ58" i="43"/>
  <c r="BJ63" i="43"/>
  <c r="BS58" i="43"/>
  <c r="AR56" i="43"/>
  <c r="AT48" i="43"/>
  <c r="BO42" i="43"/>
  <c r="BE31" i="43"/>
  <c r="BF31" i="43" s="1"/>
  <c r="J31" i="43" s="1"/>
  <c r="BR26" i="43"/>
  <c r="AI35" i="43"/>
  <c r="F35" i="43" s="1"/>
  <c r="AE11" i="43"/>
  <c r="AB11" i="43"/>
  <c r="AC11" i="43"/>
  <c r="AW56" i="43"/>
  <c r="AP36" i="43"/>
  <c r="AH24" i="43"/>
  <c r="BU26" i="43"/>
  <c r="BS45" i="43"/>
  <c r="BX45" i="43"/>
  <c r="BV45" i="43"/>
  <c r="AL66" i="43"/>
  <c r="AK66" i="43" s="1"/>
  <c r="BA37" i="43"/>
  <c r="BB37" i="43" s="1"/>
  <c r="I37" i="43" s="1"/>
  <c r="CA37" i="43"/>
  <c r="BX37" i="43"/>
  <c r="BT35" i="43"/>
  <c r="M35" i="43" s="1"/>
  <c r="BZ25" i="43"/>
  <c r="O25" i="43" s="1"/>
  <c r="AS32" i="43"/>
  <c r="AR32" i="43"/>
  <c r="AV32" i="43"/>
  <c r="AO32" i="43"/>
  <c r="AT32" i="43"/>
  <c r="AQ32" i="43"/>
  <c r="AW32" i="43"/>
  <c r="AY32" i="43"/>
  <c r="AN32" i="43"/>
  <c r="AN65" i="43"/>
  <c r="BW61" i="43"/>
  <c r="N61" i="43" s="1"/>
  <c r="AD63" i="43"/>
  <c r="CA63" i="43"/>
  <c r="AH58" i="43"/>
  <c r="BU58" i="43"/>
  <c r="AL49" i="43"/>
  <c r="AK49" i="43" s="1"/>
  <c r="BO66" i="43"/>
  <c r="CD37" i="43"/>
  <c r="BU8" i="43"/>
  <c r="CJ40" i="43"/>
  <c r="BI35" i="43"/>
  <c r="BL35" i="43"/>
  <c r="BK35" i="43" s="1"/>
  <c r="BG35" i="43"/>
  <c r="BH35" i="43"/>
  <c r="AI38" i="43"/>
  <c r="F38" i="43" s="1"/>
  <c r="AM18" i="43"/>
  <c r="G18" i="43" s="1"/>
  <c r="CC25" i="43"/>
  <c r="P25" i="43" s="1"/>
  <c r="CK55" i="43"/>
  <c r="CI61" i="43"/>
  <c r="CG61" i="43"/>
  <c r="CK61" i="43"/>
  <c r="BV58" i="43"/>
  <c r="AX58" i="43"/>
  <c r="AS39" i="43"/>
  <c r="AS65" i="43"/>
  <c r="BU64" i="43"/>
  <c r="BW55" i="43"/>
  <c r="N55" i="43" s="1"/>
  <c r="AL62" i="43"/>
  <c r="AK62" i="43" s="1"/>
  <c r="AP61" i="43"/>
  <c r="BY57" i="43"/>
  <c r="BU57" i="43"/>
  <c r="CE63" i="43"/>
  <c r="BR63" i="43"/>
  <c r="AL58" i="43"/>
  <c r="AK58" i="43" s="1"/>
  <c r="AO39" i="43"/>
  <c r="BU49" i="43"/>
  <c r="AC56" i="43"/>
  <c r="AB56" i="43"/>
  <c r="AQ36" i="43"/>
  <c r="AU48" i="43"/>
  <c r="BL18" i="43"/>
  <c r="BK18" i="43" s="1"/>
  <c r="BS44" i="43"/>
  <c r="CD44" i="43"/>
  <c r="CE42" i="43"/>
  <c r="BD26" i="43"/>
  <c r="CB26" i="43"/>
  <c r="CD45" i="43"/>
  <c r="BA22" i="43"/>
  <c r="BB22" i="43" s="1"/>
  <c r="I22" i="43" s="1"/>
  <c r="CE66" i="43"/>
  <c r="BZ17" i="43"/>
  <c r="O17" i="43" s="1"/>
  <c r="BV8" i="43"/>
  <c r="BR21" i="43"/>
  <c r="AH21" i="43"/>
  <c r="AX21" i="43"/>
  <c r="CE21" i="43"/>
  <c r="CD21" i="43"/>
  <c r="CB21" i="43"/>
  <c r="CA21" i="43"/>
  <c r="AL21" i="43"/>
  <c r="AK21" i="43" s="1"/>
  <c r="AJ21" i="43"/>
  <c r="BS30" i="43"/>
  <c r="AH16" i="43"/>
  <c r="BD40" i="43"/>
  <c r="AX40" i="43"/>
  <c r="BX9" i="43"/>
  <c r="AU33" i="43"/>
  <c r="AT33" i="43"/>
  <c r="AQ33" i="43"/>
  <c r="AS33" i="43"/>
  <c r="AE35" i="43"/>
  <c r="AB35" i="43"/>
  <c r="AC35" i="43"/>
  <c r="BE35" i="43"/>
  <c r="BC35" i="43"/>
  <c r="AM38" i="43"/>
  <c r="G38" i="43" s="1"/>
  <c r="CI38" i="43"/>
  <c r="CK38" i="43"/>
  <c r="CH38" i="43"/>
  <c r="CF55" i="43"/>
  <c r="Q55" i="43" s="1"/>
  <c r="BP18" i="43"/>
  <c r="BN18" i="43"/>
  <c r="E60" i="32"/>
  <c r="E59" i="32"/>
  <c r="I59" i="32"/>
  <c r="I60" i="32"/>
  <c r="I58" i="32"/>
  <c r="E58" i="32"/>
  <c r="AJ237" i="31"/>
  <c r="AJ238" i="31"/>
  <c r="AJ239" i="31"/>
  <c r="AJ236" i="31"/>
  <c r="AC94" i="30"/>
  <c r="AC93" i="30"/>
  <c r="AC92" i="30"/>
  <c r="AC91" i="30"/>
  <c r="CG3" i="29"/>
  <c r="CF4" i="29"/>
  <c r="CF5" i="29"/>
  <c r="CF3" i="29"/>
  <c r="BZ53" i="43" l="1"/>
  <c r="O53" i="43" s="1"/>
  <c r="AS44" i="43"/>
  <c r="AY44" i="43"/>
  <c r="AB8" i="43"/>
  <c r="AF8" i="43" s="1"/>
  <c r="E8" i="43" s="1"/>
  <c r="AC8" i="43"/>
  <c r="AM49" i="43"/>
  <c r="G49" i="43" s="1"/>
  <c r="BW49" i="43"/>
  <c r="N49" i="43" s="1"/>
  <c r="AO49" i="43"/>
  <c r="BZ21" i="43"/>
  <c r="O21" i="43" s="1"/>
  <c r="BH9" i="43"/>
  <c r="CF16" i="43"/>
  <c r="Q16" i="43" s="1"/>
  <c r="AQ44" i="43"/>
  <c r="AR44" i="43"/>
  <c r="AO44" i="43"/>
  <c r="AU44" i="43"/>
  <c r="AN44" i="43"/>
  <c r="AZ44" i="43" s="1"/>
  <c r="H44" i="43" s="1"/>
  <c r="AT44" i="43"/>
  <c r="AP44" i="43"/>
  <c r="AV44" i="43"/>
  <c r="BG58" i="43"/>
  <c r="AU16" i="43"/>
  <c r="AM40" i="43"/>
  <c r="G40" i="43" s="1"/>
  <c r="BT49" i="43"/>
  <c r="M49" i="43" s="1"/>
  <c r="BN45" i="43"/>
  <c r="BQ45" i="43" s="1"/>
  <c r="L45" i="43" s="1"/>
  <c r="AY22" i="43"/>
  <c r="AC9" i="43"/>
  <c r="AF9" i="43" s="1"/>
  <c r="E9" i="43" s="1"/>
  <c r="AE9" i="43"/>
  <c r="AI62" i="43"/>
  <c r="F62" i="43" s="1"/>
  <c r="AU22" i="43"/>
  <c r="CH28" i="43"/>
  <c r="CI28" i="43"/>
  <c r="BW40" i="43"/>
  <c r="N40" i="43" s="1"/>
  <c r="BZ63" i="43"/>
  <c r="O63" i="43" s="1"/>
  <c r="AP22" i="43"/>
  <c r="AR22" i="43"/>
  <c r="AT22" i="43"/>
  <c r="BE59" i="43"/>
  <c r="BF59" i="43" s="1"/>
  <c r="J59" i="43" s="1"/>
  <c r="BH42" i="43"/>
  <c r="AI66" i="43"/>
  <c r="F66" i="43" s="1"/>
  <c r="BN21" i="43"/>
  <c r="BN19" i="43"/>
  <c r="BQ19" i="43" s="1"/>
  <c r="L19" i="43" s="1"/>
  <c r="CC51" i="43"/>
  <c r="P51" i="43" s="1"/>
  <c r="BZ34" i="43"/>
  <c r="O34" i="43" s="1"/>
  <c r="BP16" i="43"/>
  <c r="BQ16" i="43" s="1"/>
  <c r="L16" i="43" s="1"/>
  <c r="BT21" i="43"/>
  <c r="M21" i="43" s="1"/>
  <c r="AM19" i="43"/>
  <c r="G19" i="43" s="1"/>
  <c r="AE26" i="43"/>
  <c r="BZ13" i="43"/>
  <c r="O13" i="43" s="1"/>
  <c r="BT19" i="43"/>
  <c r="M19" i="43" s="1"/>
  <c r="CC20" i="43"/>
  <c r="P20" i="43" s="1"/>
  <c r="BW66" i="43"/>
  <c r="N66" i="43" s="1"/>
  <c r="BT40" i="43"/>
  <c r="M40" i="43" s="1"/>
  <c r="CF44" i="43"/>
  <c r="Q44" i="43" s="1"/>
  <c r="CG28" i="43"/>
  <c r="CF12" i="43"/>
  <c r="Q12" i="43" s="1"/>
  <c r="BW44" i="43"/>
  <c r="N44" i="43" s="1"/>
  <c r="BW19" i="43"/>
  <c r="N19" i="43" s="1"/>
  <c r="BI57" i="43"/>
  <c r="BG57" i="43"/>
  <c r="CC27" i="43"/>
  <c r="P27" i="43" s="1"/>
  <c r="AM8" i="43"/>
  <c r="G8" i="43" s="1"/>
  <c r="BL57" i="43"/>
  <c r="BK57" i="43" s="1"/>
  <c r="BF35" i="43"/>
  <c r="J35" i="43" s="1"/>
  <c r="CC21" i="43"/>
  <c r="P21" i="43" s="1"/>
  <c r="BG16" i="43"/>
  <c r="BH16" i="43"/>
  <c r="BL16" i="43"/>
  <c r="BK16" i="43" s="1"/>
  <c r="BI42" i="43"/>
  <c r="BP12" i="43"/>
  <c r="BQ12" i="43" s="1"/>
  <c r="L12" i="43" s="1"/>
  <c r="BT46" i="43"/>
  <c r="M46" i="43" s="1"/>
  <c r="CF47" i="43"/>
  <c r="Q47" i="43" s="1"/>
  <c r="CF37" i="43"/>
  <c r="Q37" i="43" s="1"/>
  <c r="CF53" i="43"/>
  <c r="Q53" i="43" s="1"/>
  <c r="AN50" i="43"/>
  <c r="CH58" i="43"/>
  <c r="BW10" i="43"/>
  <c r="N10" i="43" s="1"/>
  <c r="AW50" i="43"/>
  <c r="CG58" i="43"/>
  <c r="BT10" i="43"/>
  <c r="M10" i="43" s="1"/>
  <c r="AU14" i="43"/>
  <c r="BZ24" i="43"/>
  <c r="O24" i="43" s="1"/>
  <c r="CK21" i="43"/>
  <c r="BT12" i="43"/>
  <c r="M12" i="43" s="1"/>
  <c r="CC28" i="43"/>
  <c r="P28" i="43" s="1"/>
  <c r="AR14" i="43"/>
  <c r="CI21" i="43"/>
  <c r="AY14" i="43"/>
  <c r="BC19" i="43"/>
  <c r="BF19" i="43" s="1"/>
  <c r="J19" i="43" s="1"/>
  <c r="CH21" i="43"/>
  <c r="AM52" i="43"/>
  <c r="G52" i="43" s="1"/>
  <c r="CI58" i="43"/>
  <c r="AN54" i="43"/>
  <c r="CK19" i="43"/>
  <c r="AS54" i="43"/>
  <c r="BE28" i="43"/>
  <c r="BF28" i="43" s="1"/>
  <c r="J28" i="43" s="1"/>
  <c r="AN14" i="43"/>
  <c r="CG29" i="43"/>
  <c r="CC58" i="43"/>
  <c r="P58" i="43" s="1"/>
  <c r="AO54" i="43"/>
  <c r="BZ45" i="43"/>
  <c r="O45" i="43" s="1"/>
  <c r="CF63" i="43"/>
  <c r="Q63" i="43" s="1"/>
  <c r="CI29" i="43"/>
  <c r="AI28" i="43"/>
  <c r="F28" i="43" s="1"/>
  <c r="BT64" i="43"/>
  <c r="M64" i="43" s="1"/>
  <c r="BW45" i="43"/>
  <c r="N45" i="43" s="1"/>
  <c r="CG19" i="43"/>
  <c r="CL19" i="43" s="1"/>
  <c r="R19" i="43" s="1"/>
  <c r="CH19" i="43"/>
  <c r="BW20" i="43"/>
  <c r="N20" i="43" s="1"/>
  <c r="AC52" i="43"/>
  <c r="AU37" i="43"/>
  <c r="BN34" i="43"/>
  <c r="BQ34" i="43" s="1"/>
  <c r="L34" i="43" s="1"/>
  <c r="CC9" i="43"/>
  <c r="P9" i="43" s="1"/>
  <c r="AY54" i="43"/>
  <c r="CF29" i="43"/>
  <c r="Q29" i="43" s="1"/>
  <c r="AO28" i="43"/>
  <c r="AI51" i="43"/>
  <c r="F51" i="43" s="1"/>
  <c r="AP37" i="43"/>
  <c r="AV37" i="43"/>
  <c r="AE52" i="43"/>
  <c r="AI19" i="43"/>
  <c r="F19" i="43" s="1"/>
  <c r="AS28" i="43"/>
  <c r="AM16" i="43"/>
  <c r="G16" i="43" s="1"/>
  <c r="AM9" i="43"/>
  <c r="G9" i="43" s="1"/>
  <c r="AT49" i="43"/>
  <c r="BZ22" i="43"/>
  <c r="O22" i="43" s="1"/>
  <c r="BF60" i="43"/>
  <c r="J60" i="43" s="1"/>
  <c r="AR54" i="43"/>
  <c r="BL58" i="43"/>
  <c r="BK58" i="43" s="1"/>
  <c r="AP28" i="43"/>
  <c r="BW46" i="43"/>
  <c r="N46" i="43" s="1"/>
  <c r="CF51" i="43"/>
  <c r="Q51" i="43" s="1"/>
  <c r="AM37" i="43"/>
  <c r="G37" i="43" s="1"/>
  <c r="AR37" i="43"/>
  <c r="AS49" i="43"/>
  <c r="AW54" i="43"/>
  <c r="BH58" i="43"/>
  <c r="AR28" i="43"/>
  <c r="BZ46" i="43"/>
  <c r="O46" i="43" s="1"/>
  <c r="BE66" i="43"/>
  <c r="BF66" i="43" s="1"/>
  <c r="J66" i="43" s="1"/>
  <c r="BE63" i="43"/>
  <c r="CC54" i="43"/>
  <c r="P54" i="43" s="1"/>
  <c r="CC63" i="43"/>
  <c r="P63" i="43" s="1"/>
  <c r="AY52" i="43"/>
  <c r="BC54" i="43"/>
  <c r="BF54" i="43" s="1"/>
  <c r="J54" i="43" s="1"/>
  <c r="AU49" i="43"/>
  <c r="AC26" i="43"/>
  <c r="AT28" i="43"/>
  <c r="BL9" i="43"/>
  <c r="BK9" i="43" s="1"/>
  <c r="AI52" i="43"/>
  <c r="F52" i="43" s="1"/>
  <c r="CF9" i="43"/>
  <c r="Q9" i="43" s="1"/>
  <c r="CC30" i="43"/>
  <c r="P30" i="43" s="1"/>
  <c r="AI37" i="43"/>
  <c r="F37" i="43" s="1"/>
  <c r="AM28" i="43"/>
  <c r="G28" i="43" s="1"/>
  <c r="AW28" i="43"/>
  <c r="BI9" i="43"/>
  <c r="AM20" i="43"/>
  <c r="G20" i="43" s="1"/>
  <c r="AI14" i="43"/>
  <c r="F14" i="43" s="1"/>
  <c r="BZ28" i="43"/>
  <c r="O28" i="43" s="1"/>
  <c r="AQ49" i="43"/>
  <c r="AR49" i="43"/>
  <c r="AU54" i="43"/>
  <c r="AP14" i="43"/>
  <c r="AV28" i="43"/>
  <c r="CK29" i="43"/>
  <c r="BP8" i="43"/>
  <c r="BQ8" i="43" s="1"/>
  <c r="L8" i="43" s="1"/>
  <c r="AY49" i="43"/>
  <c r="AF56" i="43"/>
  <c r="E56" i="43" s="1"/>
  <c r="AT14" i="43"/>
  <c r="CL39" i="43"/>
  <c r="R39" i="43" s="1"/>
  <c r="AQ19" i="43"/>
  <c r="AN19" i="43"/>
  <c r="AI34" i="43"/>
  <c r="F34" i="43" s="1"/>
  <c r="BC13" i="43"/>
  <c r="BF13" i="43" s="1"/>
  <c r="J13" i="43" s="1"/>
  <c r="AY62" i="43"/>
  <c r="AP19" i="43"/>
  <c r="AV50" i="43"/>
  <c r="CF40" i="43"/>
  <c r="Q40" i="43" s="1"/>
  <c r="CH52" i="43"/>
  <c r="AW62" i="43"/>
  <c r="CI52" i="43"/>
  <c r="CC57" i="43"/>
  <c r="P57" i="43" s="1"/>
  <c r="BL54" i="43"/>
  <c r="BK54" i="43" s="1"/>
  <c r="AU19" i="43"/>
  <c r="AW14" i="43"/>
  <c r="AU28" i="43"/>
  <c r="CF7" i="43"/>
  <c r="Q7" i="43" s="1"/>
  <c r="AI54" i="43"/>
  <c r="F54" i="43" s="1"/>
  <c r="BT51" i="43"/>
  <c r="M51" i="43" s="1"/>
  <c r="BT54" i="43"/>
  <c r="M54" i="43" s="1"/>
  <c r="AR62" i="43"/>
  <c r="BZ8" i="43"/>
  <c r="O8" i="43" s="1"/>
  <c r="AQ45" i="43"/>
  <c r="BH54" i="43"/>
  <c r="BW21" i="43"/>
  <c r="N21" i="43" s="1"/>
  <c r="BF48" i="43"/>
  <c r="J48" i="43" s="1"/>
  <c r="AE66" i="43"/>
  <c r="AB66" i="43"/>
  <c r="BL49" i="43"/>
  <c r="BK49" i="43" s="1"/>
  <c r="AR45" i="43"/>
  <c r="BT16" i="43"/>
  <c r="M16" i="43" s="1"/>
  <c r="BZ19" i="43"/>
  <c r="O19" i="43" s="1"/>
  <c r="CF28" i="43"/>
  <c r="Q28" i="43" s="1"/>
  <c r="BM60" i="43"/>
  <c r="K60" i="43" s="1"/>
  <c r="AC44" i="43"/>
  <c r="AO45" i="43"/>
  <c r="BM48" i="43"/>
  <c r="K48" i="43" s="1"/>
  <c r="BW51" i="43"/>
  <c r="N51" i="43" s="1"/>
  <c r="AN62" i="43"/>
  <c r="AY50" i="43"/>
  <c r="AQ62" i="43"/>
  <c r="AT62" i="43"/>
  <c r="BG49" i="43"/>
  <c r="AV62" i="43"/>
  <c r="BI54" i="43"/>
  <c r="CF66" i="43"/>
  <c r="Q66" i="43" s="1"/>
  <c r="BT63" i="43"/>
  <c r="M63" i="43" s="1"/>
  <c r="AE44" i="43"/>
  <c r="AO14" i="43"/>
  <c r="AW45" i="43"/>
  <c r="CF14" i="43"/>
  <c r="Q14" i="43" s="1"/>
  <c r="CL56" i="43"/>
  <c r="R56" i="43" s="1"/>
  <c r="AR19" i="43"/>
  <c r="AO62" i="43"/>
  <c r="AI49" i="43"/>
  <c r="F49" i="43" s="1"/>
  <c r="BC14" i="43"/>
  <c r="BF14" i="43" s="1"/>
  <c r="J14" i="43" s="1"/>
  <c r="AR50" i="43"/>
  <c r="BW52" i="43"/>
  <c r="N52" i="43" s="1"/>
  <c r="AT50" i="43"/>
  <c r="BI49" i="43"/>
  <c r="AU62" i="43"/>
  <c r="CF22" i="43"/>
  <c r="Q22" i="43" s="1"/>
  <c r="BG21" i="43"/>
  <c r="AO50" i="43"/>
  <c r="AP62" i="43"/>
  <c r="CF30" i="43"/>
  <c r="Q30" i="43" s="1"/>
  <c r="BC8" i="43"/>
  <c r="BF8" i="43" s="1"/>
  <c r="J8" i="43" s="1"/>
  <c r="AU45" i="43"/>
  <c r="BH21" i="43"/>
  <c r="BF25" i="43"/>
  <c r="J25" i="43" s="1"/>
  <c r="AF31" i="43"/>
  <c r="E31" i="43" s="1"/>
  <c r="BQ38" i="43"/>
  <c r="L38" i="43" s="1"/>
  <c r="CF52" i="43"/>
  <c r="Q52" i="43" s="1"/>
  <c r="AF33" i="43"/>
  <c r="E33" i="43" s="1"/>
  <c r="AM62" i="43"/>
  <c r="G62" i="43" s="1"/>
  <c r="CC19" i="43"/>
  <c r="P19" i="43" s="1"/>
  <c r="CL36" i="43"/>
  <c r="R36" i="43" s="1"/>
  <c r="AM51" i="43"/>
  <c r="G51" i="43" s="1"/>
  <c r="AI21" i="43"/>
  <c r="F21" i="43" s="1"/>
  <c r="BF36" i="43"/>
  <c r="J36" i="43" s="1"/>
  <c r="AQ54" i="43"/>
  <c r="BZ29" i="43"/>
  <c r="O29" i="43" s="1"/>
  <c r="AS14" i="43"/>
  <c r="AQ28" i="43"/>
  <c r="CL42" i="43"/>
  <c r="R42" i="43" s="1"/>
  <c r="AQ52" i="43"/>
  <c r="BZ52" i="43"/>
  <c r="O52" i="43" s="1"/>
  <c r="BT20" i="43"/>
  <c r="M20" i="43" s="1"/>
  <c r="BP37" i="43"/>
  <c r="BQ37" i="43" s="1"/>
  <c r="L37" i="43" s="1"/>
  <c r="CF13" i="43"/>
  <c r="Q13" i="43" s="1"/>
  <c r="BH19" i="43"/>
  <c r="BT62" i="43"/>
  <c r="M62" i="43" s="1"/>
  <c r="BQ18" i="43"/>
  <c r="L18" i="43" s="1"/>
  <c r="BZ9" i="43"/>
  <c r="O9" i="43" s="1"/>
  <c r="BM55" i="43"/>
  <c r="K55" i="43" s="1"/>
  <c r="BT8" i="43"/>
  <c r="M8" i="43" s="1"/>
  <c r="AQ14" i="43"/>
  <c r="AY28" i="43"/>
  <c r="AI50" i="43"/>
  <c r="F50" i="43" s="1"/>
  <c r="BQ33" i="43"/>
  <c r="L33" i="43" s="1"/>
  <c r="BI19" i="43"/>
  <c r="BL19" i="43"/>
  <c r="BK19" i="43" s="1"/>
  <c r="BI44" i="43"/>
  <c r="AM34" i="43"/>
  <c r="G34" i="43" s="1"/>
  <c r="CH14" i="43"/>
  <c r="CG26" i="43"/>
  <c r="AE37" i="43"/>
  <c r="CF58" i="43"/>
  <c r="Q58" i="43" s="1"/>
  <c r="BZ14" i="43"/>
  <c r="O14" i="43" s="1"/>
  <c r="CF45" i="43"/>
  <c r="Q45" i="43" s="1"/>
  <c r="CI14" i="43"/>
  <c r="CF59" i="43"/>
  <c r="Q59" i="43" s="1"/>
  <c r="BP14" i="43"/>
  <c r="AS19" i="43"/>
  <c r="AC37" i="43"/>
  <c r="CF42" i="43"/>
  <c r="Q42" i="43" s="1"/>
  <c r="AM47" i="43"/>
  <c r="G47" i="43" s="1"/>
  <c r="BH44" i="43"/>
  <c r="AV19" i="43"/>
  <c r="BG44" i="43"/>
  <c r="AE21" i="43"/>
  <c r="BC52" i="43"/>
  <c r="BE52" i="43"/>
  <c r="BW57" i="43"/>
  <c r="N57" i="43" s="1"/>
  <c r="CL38" i="43"/>
  <c r="R38" i="43" s="1"/>
  <c r="CG14" i="43"/>
  <c r="BW37" i="43"/>
  <c r="N37" i="43" s="1"/>
  <c r="BZ64" i="43"/>
  <c r="O64" i="43" s="1"/>
  <c r="AW19" i="43"/>
  <c r="AC20" i="43"/>
  <c r="BF17" i="43"/>
  <c r="J17" i="43" s="1"/>
  <c r="AE19" i="43"/>
  <c r="AB19" i="43"/>
  <c r="AT19" i="43"/>
  <c r="AM22" i="43"/>
  <c r="G22" i="43" s="1"/>
  <c r="BW22" i="43"/>
  <c r="N22" i="43" s="1"/>
  <c r="BZ42" i="43"/>
  <c r="O42" i="43" s="1"/>
  <c r="AI8" i="43"/>
  <c r="F8" i="43" s="1"/>
  <c r="BW9" i="43"/>
  <c r="N9" i="43" s="1"/>
  <c r="CG52" i="43"/>
  <c r="AB21" i="43"/>
  <c r="AY19" i="43"/>
  <c r="CI30" i="43"/>
  <c r="AM43" i="43"/>
  <c r="G43" i="43" s="1"/>
  <c r="BT34" i="43"/>
  <c r="M34" i="43" s="1"/>
  <c r="BM56" i="43"/>
  <c r="K56" i="43" s="1"/>
  <c r="AR52" i="43"/>
  <c r="CL31" i="43"/>
  <c r="R31" i="43" s="1"/>
  <c r="BF63" i="43"/>
  <c r="J63" i="43" s="1"/>
  <c r="BW16" i="43"/>
  <c r="N16" i="43" s="1"/>
  <c r="BG13" i="43"/>
  <c r="BL13" i="43"/>
  <c r="BK13" i="43" s="1"/>
  <c r="AN52" i="43"/>
  <c r="AM42" i="43"/>
  <c r="G42" i="43" s="1"/>
  <c r="AU51" i="43"/>
  <c r="AI64" i="43"/>
  <c r="F64" i="43" s="1"/>
  <c r="BP28" i="43"/>
  <c r="BQ28" i="43" s="1"/>
  <c r="L28" i="43" s="1"/>
  <c r="BI13" i="43"/>
  <c r="AU52" i="43"/>
  <c r="BC16" i="43"/>
  <c r="BF16" i="43" s="1"/>
  <c r="J16" i="43" s="1"/>
  <c r="CC14" i="43"/>
  <c r="P14" i="43" s="1"/>
  <c r="BW14" i="43"/>
  <c r="N14" i="43" s="1"/>
  <c r="CI34" i="43"/>
  <c r="AN51" i="43"/>
  <c r="AM45" i="43"/>
  <c r="G45" i="43" s="1"/>
  <c r="BZ27" i="43"/>
  <c r="O27" i="43" s="1"/>
  <c r="BW54" i="43"/>
  <c r="N54" i="43" s="1"/>
  <c r="BL28" i="43"/>
  <c r="BK28" i="43" s="1"/>
  <c r="BH28" i="43"/>
  <c r="BI28" i="43"/>
  <c r="BH14" i="43"/>
  <c r="CC23" i="43"/>
  <c r="P23" i="43" s="1"/>
  <c r="BN58" i="43"/>
  <c r="BQ58" i="43" s="1"/>
  <c r="L58" i="43" s="1"/>
  <c r="CF34" i="43"/>
  <c r="Q34" i="43" s="1"/>
  <c r="BI21" i="43"/>
  <c r="AI9" i="43"/>
  <c r="F9" i="43" s="1"/>
  <c r="AT51" i="43"/>
  <c r="BW63" i="43"/>
  <c r="N63" i="43" s="1"/>
  <c r="AI44" i="43"/>
  <c r="F44" i="43" s="1"/>
  <c r="CF24" i="43"/>
  <c r="Q24" i="43" s="1"/>
  <c r="BT42" i="43"/>
  <c r="M42" i="43" s="1"/>
  <c r="AS52" i="43"/>
  <c r="CC12" i="43"/>
  <c r="P12" i="43" s="1"/>
  <c r="BT27" i="43"/>
  <c r="M27" i="43" s="1"/>
  <c r="BW50" i="43"/>
  <c r="N50" i="43" s="1"/>
  <c r="BZ50" i="43"/>
  <c r="O50" i="43" s="1"/>
  <c r="AM14" i="43"/>
  <c r="G14" i="43" s="1"/>
  <c r="AS66" i="43"/>
  <c r="AM21" i="43"/>
  <c r="G21" i="43" s="1"/>
  <c r="AB28" i="43"/>
  <c r="AM24" i="43"/>
  <c r="G24" i="43" s="1"/>
  <c r="AF38" i="43"/>
  <c r="E38" i="43" s="1"/>
  <c r="AE54" i="43"/>
  <c r="CG30" i="43"/>
  <c r="CC34" i="43"/>
  <c r="P34" i="43" s="1"/>
  <c r="AT52" i="43"/>
  <c r="AI58" i="43"/>
  <c r="F58" i="43" s="1"/>
  <c r="CC13" i="43"/>
  <c r="P13" i="43" s="1"/>
  <c r="AE28" i="43"/>
  <c r="AM12" i="43"/>
  <c r="G12" i="43" s="1"/>
  <c r="AI23" i="43"/>
  <c r="F23" i="43" s="1"/>
  <c r="AB54" i="43"/>
  <c r="AT20" i="43"/>
  <c r="CH30" i="43"/>
  <c r="BT28" i="43"/>
  <c r="M28" i="43" s="1"/>
  <c r="BI14" i="43"/>
  <c r="AZ56" i="43"/>
  <c r="H56" i="43" s="1"/>
  <c r="AM59" i="43"/>
  <c r="G59" i="43" s="1"/>
  <c r="AP52" i="43"/>
  <c r="AM41" i="43"/>
  <c r="G41" i="43" s="1"/>
  <c r="AP49" i="43"/>
  <c r="AN49" i="43"/>
  <c r="AW49" i="43"/>
  <c r="AS37" i="43"/>
  <c r="AQ37" i="43"/>
  <c r="AT37" i="43"/>
  <c r="AO37" i="43"/>
  <c r="AN37" i="43"/>
  <c r="AW37" i="43"/>
  <c r="BQ35" i="43"/>
  <c r="L35" i="43" s="1"/>
  <c r="BQ11" i="43"/>
  <c r="L11" i="43" s="1"/>
  <c r="AO52" i="43"/>
  <c r="BL14" i="43"/>
  <c r="BK14" i="43" s="1"/>
  <c r="AI43" i="43"/>
  <c r="F43" i="43" s="1"/>
  <c r="BW64" i="43"/>
  <c r="N64" i="43" s="1"/>
  <c r="AY26" i="43"/>
  <c r="BF38" i="43"/>
  <c r="J38" i="43" s="1"/>
  <c r="CL18" i="43"/>
  <c r="R18" i="43" s="1"/>
  <c r="BW23" i="43"/>
  <c r="N23" i="43" s="1"/>
  <c r="AV52" i="43"/>
  <c r="BG28" i="43"/>
  <c r="CF54" i="43"/>
  <c r="Q54" i="43" s="1"/>
  <c r="AE22" i="43"/>
  <c r="AB22" i="43"/>
  <c r="AC22" i="43"/>
  <c r="CG16" i="43"/>
  <c r="CH16" i="43"/>
  <c r="CI16" i="43"/>
  <c r="CK16" i="43"/>
  <c r="AC14" i="43"/>
  <c r="AE14" i="43"/>
  <c r="CC15" i="43"/>
  <c r="P15" i="43" s="1"/>
  <c r="AR20" i="43"/>
  <c r="AN45" i="43"/>
  <c r="BL34" i="43"/>
  <c r="BK34" i="43" s="1"/>
  <c r="BL42" i="43"/>
  <c r="BK42" i="43" s="1"/>
  <c r="AQ50" i="43"/>
  <c r="AS50" i="43"/>
  <c r="AP50" i="43"/>
  <c r="BN51" i="43"/>
  <c r="BP51" i="43"/>
  <c r="AU20" i="43"/>
  <c r="BZ20" i="43"/>
  <c r="O20" i="43" s="1"/>
  <c r="AF49" i="43"/>
  <c r="E49" i="43" s="1"/>
  <c r="CF49" i="43"/>
  <c r="Q49" i="43" s="1"/>
  <c r="AM64" i="43"/>
  <c r="G64" i="43" s="1"/>
  <c r="AF39" i="43"/>
  <c r="E39" i="43" s="1"/>
  <c r="BQ17" i="43"/>
  <c r="L17" i="43" s="1"/>
  <c r="AQ66" i="43"/>
  <c r="AP66" i="43"/>
  <c r="AT66" i="43"/>
  <c r="AP34" i="43"/>
  <c r="AV34" i="43"/>
  <c r="AO34" i="43"/>
  <c r="AY34" i="43"/>
  <c r="AU34" i="43"/>
  <c r="AQ34" i="43"/>
  <c r="AW34" i="43"/>
  <c r="AT34" i="43"/>
  <c r="AN34" i="43"/>
  <c r="AR34" i="43"/>
  <c r="AS34" i="43"/>
  <c r="CG54" i="43"/>
  <c r="CI54" i="43"/>
  <c r="CH54" i="43"/>
  <c r="CK54" i="43"/>
  <c r="AY16" i="43"/>
  <c r="AW16" i="43"/>
  <c r="AN16" i="43"/>
  <c r="AV16" i="43"/>
  <c r="AS16" i="43"/>
  <c r="AT16" i="43"/>
  <c r="AO16" i="43"/>
  <c r="AR16" i="43"/>
  <c r="AQ16" i="43"/>
  <c r="BZ37" i="43"/>
  <c r="O37" i="43" s="1"/>
  <c r="BT30" i="43"/>
  <c r="M30" i="43" s="1"/>
  <c r="CC42" i="43"/>
  <c r="P42" i="43" s="1"/>
  <c r="AP51" i="43"/>
  <c r="CC64" i="43"/>
  <c r="P64" i="43" s="1"/>
  <c r="BT45" i="43"/>
  <c r="M45" i="43" s="1"/>
  <c r="AE51" i="43"/>
  <c r="AV66" i="43"/>
  <c r="AQ20" i="43"/>
  <c r="AS45" i="43"/>
  <c r="BG34" i="43"/>
  <c r="BT7" i="43"/>
  <c r="M7" i="43" s="1"/>
  <c r="BG52" i="43"/>
  <c r="BH52" i="43"/>
  <c r="BL52" i="43"/>
  <c r="BK52" i="43" s="1"/>
  <c r="BI52" i="43"/>
  <c r="CH34" i="43"/>
  <c r="CK34" i="43"/>
  <c r="AI22" i="43"/>
  <c r="F22" i="43" s="1"/>
  <c r="CL60" i="43"/>
  <c r="R60" i="43" s="1"/>
  <c r="AM50" i="43"/>
  <c r="G50" i="43" s="1"/>
  <c r="CC43" i="43"/>
  <c r="P43" i="43" s="1"/>
  <c r="CF27" i="43"/>
  <c r="Q27" i="43" s="1"/>
  <c r="AZ55" i="43"/>
  <c r="H55" i="43" s="1"/>
  <c r="CF43" i="43"/>
  <c r="Q43" i="43" s="1"/>
  <c r="BH34" i="43"/>
  <c r="BP50" i="43"/>
  <c r="BN50" i="43"/>
  <c r="CI51" i="43"/>
  <c r="AQ51" i="43"/>
  <c r="AE34" i="43"/>
  <c r="CF64" i="43"/>
  <c r="Q64" i="43" s="1"/>
  <c r="AM10" i="43"/>
  <c r="G10" i="43" s="1"/>
  <c r="AC51" i="43"/>
  <c r="AW66" i="43"/>
  <c r="AV20" i="43"/>
  <c r="AV45" i="43"/>
  <c r="AM7" i="43"/>
  <c r="G7" i="43" s="1"/>
  <c r="BP52" i="43"/>
  <c r="BN52" i="43"/>
  <c r="CC52" i="43"/>
  <c r="P52" i="43" s="1"/>
  <c r="BZ54" i="43"/>
  <c r="O54" i="43" s="1"/>
  <c r="BC51" i="43"/>
  <c r="BE51" i="43"/>
  <c r="AO22" i="43"/>
  <c r="AN22" i="43"/>
  <c r="AV22" i="43"/>
  <c r="AW22" i="43"/>
  <c r="AS22" i="43"/>
  <c r="AF18" i="43"/>
  <c r="E18" i="43" s="1"/>
  <c r="AQ26" i="43"/>
  <c r="AW26" i="43"/>
  <c r="AV26" i="43"/>
  <c r="AP26" i="43"/>
  <c r="AO26" i="43"/>
  <c r="BC34" i="43"/>
  <c r="BF34" i="43" s="1"/>
  <c r="J34" i="43" s="1"/>
  <c r="CH26" i="43"/>
  <c r="CC24" i="43"/>
  <c r="P24" i="43" s="1"/>
  <c r="BP26" i="43"/>
  <c r="BN26" i="43"/>
  <c r="BZ51" i="43"/>
  <c r="O51" i="43" s="1"/>
  <c r="BW42" i="43"/>
  <c r="N42" i="43" s="1"/>
  <c r="BT22" i="43"/>
  <c r="M22" i="43" s="1"/>
  <c r="AF65" i="43"/>
  <c r="E65" i="43" s="1"/>
  <c r="AZ17" i="43"/>
  <c r="H17" i="43" s="1"/>
  <c r="CL25" i="43"/>
  <c r="R25" i="43" s="1"/>
  <c r="AV51" i="43"/>
  <c r="AY20" i="43"/>
  <c r="CG50" i="43"/>
  <c r="CC62" i="43"/>
  <c r="P62" i="43" s="1"/>
  <c r="CG51" i="43"/>
  <c r="AW51" i="43"/>
  <c r="AC34" i="43"/>
  <c r="BM31" i="43"/>
  <c r="K31" i="43" s="1"/>
  <c r="AI57" i="43"/>
  <c r="F57" i="43" s="1"/>
  <c r="AR66" i="43"/>
  <c r="BQ64" i="43"/>
  <c r="L64" i="43" s="1"/>
  <c r="AS20" i="43"/>
  <c r="AY45" i="43"/>
  <c r="AI47" i="43"/>
  <c r="F47" i="43" s="1"/>
  <c r="CC47" i="43"/>
  <c r="P47" i="43" s="1"/>
  <c r="BF56" i="43"/>
  <c r="J56" i="43" s="1"/>
  <c r="BW7" i="43"/>
  <c r="N7" i="43" s="1"/>
  <c r="BC50" i="43"/>
  <c r="BE50" i="43"/>
  <c r="CF50" i="43"/>
  <c r="Q50" i="43" s="1"/>
  <c r="BT9" i="43"/>
  <c r="M9" i="43" s="1"/>
  <c r="BL22" i="43"/>
  <c r="BK22" i="43" s="1"/>
  <c r="BI22" i="43"/>
  <c r="BG22" i="43"/>
  <c r="BP54" i="43"/>
  <c r="BN54" i="43"/>
  <c r="AB20" i="43"/>
  <c r="AT26" i="43"/>
  <c r="CI50" i="43"/>
  <c r="AM58" i="43"/>
  <c r="G58" i="43" s="1"/>
  <c r="AM13" i="43"/>
  <c r="G13" i="43" s="1"/>
  <c r="CH51" i="43"/>
  <c r="AS51" i="43"/>
  <c r="AY51" i="43"/>
  <c r="AM26" i="43"/>
  <c r="G26" i="43" s="1"/>
  <c r="BZ10" i="43"/>
  <c r="O10" i="43" s="1"/>
  <c r="BE21" i="43"/>
  <c r="BF21" i="43" s="1"/>
  <c r="J21" i="43" s="1"/>
  <c r="AN66" i="43"/>
  <c r="CC53" i="43"/>
  <c r="P53" i="43" s="1"/>
  <c r="BT59" i="43"/>
  <c r="M59" i="43" s="1"/>
  <c r="AN20" i="43"/>
  <c r="AP45" i="43"/>
  <c r="AI41" i="43"/>
  <c r="F41" i="43" s="1"/>
  <c r="BT47" i="43"/>
  <c r="M47" i="43" s="1"/>
  <c r="BP9" i="43"/>
  <c r="BN9" i="43"/>
  <c r="AW20" i="43"/>
  <c r="CI26" i="43"/>
  <c r="AI24" i="43"/>
  <c r="F24" i="43" s="1"/>
  <c r="AN26" i="43"/>
  <c r="BZ47" i="43"/>
  <c r="O47" i="43" s="1"/>
  <c r="AZ11" i="43"/>
  <c r="H11" i="43" s="1"/>
  <c r="AZ33" i="43"/>
  <c r="H33" i="43" s="1"/>
  <c r="BT58" i="43"/>
  <c r="M58" i="43" s="1"/>
  <c r="AZ36" i="43"/>
  <c r="H36" i="43" s="1"/>
  <c r="AO51" i="43"/>
  <c r="BT57" i="43"/>
  <c r="M57" i="43" s="1"/>
  <c r="CL11" i="43"/>
  <c r="R11" i="43" s="1"/>
  <c r="CC26" i="43"/>
  <c r="P26" i="43" s="1"/>
  <c r="AZ35" i="43"/>
  <c r="H35" i="43" s="1"/>
  <c r="BN15" i="43"/>
  <c r="AO66" i="43"/>
  <c r="AO20" i="43"/>
  <c r="AM63" i="43"/>
  <c r="G63" i="43" s="1"/>
  <c r="AB42" i="43"/>
  <c r="AC42" i="43"/>
  <c r="CH9" i="43"/>
  <c r="CG9" i="43"/>
  <c r="CK9" i="43"/>
  <c r="CI9" i="43"/>
  <c r="BM36" i="43"/>
  <c r="K36" i="43" s="1"/>
  <c r="CL61" i="43"/>
  <c r="R61" i="43" s="1"/>
  <c r="AR26" i="43"/>
  <c r="AZ25" i="43"/>
  <c r="BM18" i="43"/>
  <c r="K18" i="43" s="1"/>
  <c r="AS26" i="43"/>
  <c r="AZ32" i="43"/>
  <c r="H32" i="43" s="1"/>
  <c r="BT26" i="43"/>
  <c r="M26" i="43" s="1"/>
  <c r="BZ58" i="43"/>
  <c r="O58" i="43" s="1"/>
  <c r="BQ36" i="43"/>
  <c r="L36" i="43" s="1"/>
  <c r="CH50" i="43"/>
  <c r="BZ57" i="43"/>
  <c r="O57" i="43" s="1"/>
  <c r="CF8" i="43"/>
  <c r="Q8" i="43" s="1"/>
  <c r="BM33" i="43"/>
  <c r="K33" i="43" s="1"/>
  <c r="AU66" i="43"/>
  <c r="AV54" i="43"/>
  <c r="AT54" i="43"/>
  <c r="AE16" i="43"/>
  <c r="AB16" i="43"/>
  <c r="AC16" i="43"/>
  <c r="BP40" i="43"/>
  <c r="BN40" i="43"/>
  <c r="BM25" i="43"/>
  <c r="K25" i="43" s="1"/>
  <c r="BT53" i="43"/>
  <c r="M53" i="43" s="1"/>
  <c r="BH53" i="43"/>
  <c r="BL53" i="43"/>
  <c r="BK53" i="43" s="1"/>
  <c r="BG53" i="43"/>
  <c r="BI53" i="43"/>
  <c r="BZ15" i="43"/>
  <c r="O15" i="43" s="1"/>
  <c r="BZ23" i="43"/>
  <c r="O23" i="43" s="1"/>
  <c r="CL33" i="43"/>
  <c r="R33" i="43" s="1"/>
  <c r="BQ25" i="43"/>
  <c r="L25" i="43" s="1"/>
  <c r="BE27" i="43"/>
  <c r="BC27" i="43"/>
  <c r="BE20" i="43"/>
  <c r="BC20" i="43"/>
  <c r="BI41" i="43"/>
  <c r="BG41" i="43"/>
  <c r="BH41" i="43"/>
  <c r="BL41" i="43"/>
  <c r="BK41" i="43" s="1"/>
  <c r="BM61" i="43"/>
  <c r="K61" i="43" s="1"/>
  <c r="AZ48" i="43"/>
  <c r="H48" i="43" s="1"/>
  <c r="BG37" i="43"/>
  <c r="BH37" i="43"/>
  <c r="BI37" i="43"/>
  <c r="BL37" i="43"/>
  <c r="BK37" i="43" s="1"/>
  <c r="AE64" i="43"/>
  <c r="AB64" i="43"/>
  <c r="AC64" i="43"/>
  <c r="AZ39" i="43"/>
  <c r="H39" i="43" s="1"/>
  <c r="BM38" i="43"/>
  <c r="K38" i="43" s="1"/>
  <c r="CC46" i="43"/>
  <c r="P46" i="43" s="1"/>
  <c r="BE47" i="43"/>
  <c r="BC47" i="43"/>
  <c r="CC7" i="43"/>
  <c r="P7" i="43" s="1"/>
  <c r="BE40" i="43"/>
  <c r="BC40" i="43"/>
  <c r="AE29" i="43"/>
  <c r="AB29" i="43"/>
  <c r="AC29" i="43"/>
  <c r="CI53" i="43"/>
  <c r="CK53" i="43"/>
  <c r="CH53" i="43"/>
  <c r="CG53" i="43"/>
  <c r="CH12" i="43"/>
  <c r="CI12" i="43"/>
  <c r="CG12" i="43"/>
  <c r="CK12" i="43"/>
  <c r="AC27" i="43"/>
  <c r="AE27" i="43"/>
  <c r="AB27" i="43"/>
  <c r="AB41" i="43"/>
  <c r="AE41" i="43"/>
  <c r="AC41" i="43"/>
  <c r="AR43" i="43"/>
  <c r="AT43" i="43"/>
  <c r="AO43" i="43"/>
  <c r="AU43" i="43"/>
  <c r="AN43" i="43"/>
  <c r="AV43" i="43"/>
  <c r="AY43" i="43"/>
  <c r="AP43" i="43"/>
  <c r="AW43" i="43"/>
  <c r="AS43" i="43"/>
  <c r="AQ43" i="43"/>
  <c r="BP43" i="43"/>
  <c r="BN43" i="43"/>
  <c r="BH63" i="43"/>
  <c r="BG63" i="43"/>
  <c r="BI63" i="43"/>
  <c r="BL63" i="43"/>
  <c r="BK63" i="43" s="1"/>
  <c r="BL45" i="43"/>
  <c r="BK45" i="43" s="1"/>
  <c r="BG45" i="43"/>
  <c r="BI45" i="43"/>
  <c r="BH45" i="43"/>
  <c r="BH27" i="43"/>
  <c r="BG27" i="43"/>
  <c r="BI27" i="43"/>
  <c r="BL27" i="43"/>
  <c r="BK27" i="43" s="1"/>
  <c r="BH43" i="43"/>
  <c r="BG43" i="43"/>
  <c r="BL43" i="43"/>
  <c r="BK43" i="43" s="1"/>
  <c r="BI43" i="43"/>
  <c r="AS58" i="43"/>
  <c r="AR58" i="43"/>
  <c r="AP58" i="43"/>
  <c r="AU58" i="43"/>
  <c r="AN58" i="43"/>
  <c r="AO58" i="43"/>
  <c r="AW58" i="43"/>
  <c r="AQ58" i="43"/>
  <c r="AT58" i="43"/>
  <c r="AV58" i="43"/>
  <c r="AY58" i="43"/>
  <c r="BM32" i="43"/>
  <c r="K32" i="43" s="1"/>
  <c r="BZ44" i="43"/>
  <c r="O44" i="43" s="1"/>
  <c r="AR57" i="43"/>
  <c r="AT57" i="43"/>
  <c r="AS57" i="43"/>
  <c r="AY57" i="43"/>
  <c r="AO57" i="43"/>
  <c r="AW57" i="43"/>
  <c r="AQ57" i="43"/>
  <c r="AU57" i="43"/>
  <c r="AV57" i="43"/>
  <c r="AN57" i="43"/>
  <c r="AP57" i="43"/>
  <c r="AZ18" i="43"/>
  <c r="H18" i="43" s="1"/>
  <c r="AS29" i="43"/>
  <c r="AP29" i="43"/>
  <c r="AO29" i="43"/>
  <c r="AN29" i="43"/>
  <c r="AT29" i="43"/>
  <c r="AV29" i="43"/>
  <c r="AU29" i="43"/>
  <c r="AR29" i="43"/>
  <c r="AY29" i="43"/>
  <c r="AQ29" i="43"/>
  <c r="AW29" i="43"/>
  <c r="BE53" i="43"/>
  <c r="BC53" i="43"/>
  <c r="AU23" i="43"/>
  <c r="AT23" i="43"/>
  <c r="AS23" i="43"/>
  <c r="AO23" i="43"/>
  <c r="AN23" i="43"/>
  <c r="AW23" i="43"/>
  <c r="AR23" i="43"/>
  <c r="AP23" i="43"/>
  <c r="AV23" i="43"/>
  <c r="AY23" i="43"/>
  <c r="AQ23" i="43"/>
  <c r="AM46" i="43"/>
  <c r="G46" i="43" s="1"/>
  <c r="BT41" i="43"/>
  <c r="M41" i="43" s="1"/>
  <c r="AZ31" i="43"/>
  <c r="H31" i="43" s="1"/>
  <c r="AU47" i="43"/>
  <c r="AT47" i="43"/>
  <c r="AS47" i="43"/>
  <c r="AN47" i="43"/>
  <c r="AY47" i="43"/>
  <c r="AP47" i="43"/>
  <c r="AV47" i="43"/>
  <c r="AR47" i="43"/>
  <c r="AQ47" i="43"/>
  <c r="AO47" i="43"/>
  <c r="AW47" i="43"/>
  <c r="BP57" i="43"/>
  <c r="BN57" i="43"/>
  <c r="AZ60" i="43"/>
  <c r="H60" i="43" s="1"/>
  <c r="AC40" i="43"/>
  <c r="AE40" i="43"/>
  <c r="AB40" i="43"/>
  <c r="BE49" i="43"/>
  <c r="BC49" i="43"/>
  <c r="AQ10" i="43"/>
  <c r="AP10" i="43"/>
  <c r="AN10" i="43"/>
  <c r="AO10" i="43"/>
  <c r="AW10" i="43"/>
  <c r="AY10" i="43"/>
  <c r="AT10" i="43"/>
  <c r="AR10" i="43"/>
  <c r="AU10" i="43"/>
  <c r="AS10" i="43"/>
  <c r="AV10" i="43"/>
  <c r="BE37" i="43"/>
  <c r="BC37" i="43"/>
  <c r="BW8" i="43"/>
  <c r="N8" i="43" s="1"/>
  <c r="BE45" i="43"/>
  <c r="BC45" i="43"/>
  <c r="CG62" i="43"/>
  <c r="CK62" i="43"/>
  <c r="CI62" i="43"/>
  <c r="CH62" i="43"/>
  <c r="BI24" i="43"/>
  <c r="BH24" i="43"/>
  <c r="BL24" i="43"/>
  <c r="BK24" i="43" s="1"/>
  <c r="BG24" i="43"/>
  <c r="CI8" i="43"/>
  <c r="CG8" i="43"/>
  <c r="CK8" i="43"/>
  <c r="CH8" i="43"/>
  <c r="BW59" i="43"/>
  <c r="N59" i="43" s="1"/>
  <c r="BL66" i="43"/>
  <c r="BK66" i="43" s="1"/>
  <c r="BH66" i="43"/>
  <c r="BI66" i="43"/>
  <c r="BG66" i="43"/>
  <c r="BP62" i="43"/>
  <c r="BN62" i="43"/>
  <c r="CG43" i="43"/>
  <c r="CH43" i="43"/>
  <c r="CK43" i="43"/>
  <c r="CI43" i="43"/>
  <c r="BF18" i="43"/>
  <c r="J18" i="43" s="1"/>
  <c r="CK13" i="43"/>
  <c r="CH13" i="43"/>
  <c r="CG13" i="43"/>
  <c r="CI13" i="43"/>
  <c r="AE50" i="43"/>
  <c r="AC50" i="43"/>
  <c r="AB50" i="43"/>
  <c r="BN42" i="43"/>
  <c r="BP42" i="43"/>
  <c r="BE58" i="43"/>
  <c r="BC58" i="43"/>
  <c r="BP30" i="43"/>
  <c r="BN30" i="43"/>
  <c r="AY30" i="43"/>
  <c r="AU30" i="43"/>
  <c r="AQ30" i="43"/>
  <c r="AO30" i="43"/>
  <c r="AN30" i="43"/>
  <c r="AR30" i="43"/>
  <c r="AP30" i="43"/>
  <c r="AW30" i="43"/>
  <c r="AS30" i="43"/>
  <c r="AT30" i="43"/>
  <c r="AV30" i="43"/>
  <c r="CL65" i="43"/>
  <c r="R65" i="43" s="1"/>
  <c r="AE30" i="43"/>
  <c r="AB30" i="43"/>
  <c r="AC30" i="43"/>
  <c r="BC10" i="43"/>
  <c r="BE10" i="43"/>
  <c r="AE53" i="43"/>
  <c r="AB53" i="43"/>
  <c r="AC53" i="43"/>
  <c r="BC15" i="43"/>
  <c r="BE15" i="43"/>
  <c r="AC12" i="43"/>
  <c r="AB12" i="43"/>
  <c r="AE12" i="43"/>
  <c r="BW26" i="43"/>
  <c r="N26" i="43" s="1"/>
  <c r="BN44" i="43"/>
  <c r="BP44" i="43"/>
  <c r="AE62" i="43"/>
  <c r="AC62" i="43"/>
  <c r="AB62" i="43"/>
  <c r="BP13" i="43"/>
  <c r="BN13" i="43"/>
  <c r="BL8" i="43"/>
  <c r="BK8" i="43" s="1"/>
  <c r="BI8" i="43"/>
  <c r="BG8" i="43"/>
  <c r="BH8" i="43"/>
  <c r="BM51" i="43"/>
  <c r="K51" i="43" s="1"/>
  <c r="BT44" i="43"/>
  <c r="M44" i="43" s="1"/>
  <c r="CF10" i="43"/>
  <c r="Q10" i="43" s="1"/>
  <c r="BM39" i="43"/>
  <c r="K39" i="43" s="1"/>
  <c r="BQ14" i="43"/>
  <c r="L14" i="43" s="1"/>
  <c r="BT29" i="43"/>
  <c r="M29" i="43" s="1"/>
  <c r="BQ15" i="43"/>
  <c r="L15" i="43" s="1"/>
  <c r="BI15" i="43"/>
  <c r="BL15" i="43"/>
  <c r="BK15" i="43" s="1"/>
  <c r="BH15" i="43"/>
  <c r="BG15" i="43"/>
  <c r="BQ32" i="43"/>
  <c r="L32" i="43" s="1"/>
  <c r="AW46" i="43"/>
  <c r="AP46" i="43"/>
  <c r="AY46" i="43"/>
  <c r="AR46" i="43"/>
  <c r="AT46" i="43"/>
  <c r="AV46" i="43"/>
  <c r="AU46" i="43"/>
  <c r="AS46" i="43"/>
  <c r="AN46" i="43"/>
  <c r="AQ46" i="43"/>
  <c r="AO46" i="43"/>
  <c r="AF36" i="43"/>
  <c r="E36" i="43" s="1"/>
  <c r="AF15" i="43"/>
  <c r="E15" i="43" s="1"/>
  <c r="AE7" i="43"/>
  <c r="AC7" i="43"/>
  <c r="AB7" i="43"/>
  <c r="BL64" i="43"/>
  <c r="BK64" i="43" s="1"/>
  <c r="BI64" i="43"/>
  <c r="BG64" i="43"/>
  <c r="BH64" i="43"/>
  <c r="AB45" i="43"/>
  <c r="AC45" i="43"/>
  <c r="AE45" i="43"/>
  <c r="CC44" i="43"/>
  <c r="P44" i="43" s="1"/>
  <c r="BI26" i="43"/>
  <c r="BH26" i="43"/>
  <c r="BG26" i="43"/>
  <c r="BL26" i="43"/>
  <c r="BK26" i="43" s="1"/>
  <c r="BI62" i="43"/>
  <c r="BH62" i="43"/>
  <c r="BL62" i="43"/>
  <c r="BK62" i="43" s="1"/>
  <c r="BG62" i="43"/>
  <c r="CC22" i="43"/>
  <c r="P22" i="43" s="1"/>
  <c r="AZ38" i="43"/>
  <c r="H38" i="43" s="1"/>
  <c r="CI24" i="43"/>
  <c r="CG24" i="43"/>
  <c r="CH24" i="43"/>
  <c r="CK24" i="43"/>
  <c r="AZ61" i="43"/>
  <c r="H61" i="43" s="1"/>
  <c r="AI42" i="43"/>
  <c r="F42" i="43" s="1"/>
  <c r="BC30" i="43"/>
  <c r="BE30" i="43"/>
  <c r="AF48" i="43"/>
  <c r="E48" i="43" s="1"/>
  <c r="BE9" i="43"/>
  <c r="BC9" i="43"/>
  <c r="AR64" i="43"/>
  <c r="AP64" i="43"/>
  <c r="AS64" i="43"/>
  <c r="AY64" i="43"/>
  <c r="AO64" i="43"/>
  <c r="AW64" i="43"/>
  <c r="AU64" i="43"/>
  <c r="AT64" i="43"/>
  <c r="AQ64" i="43"/>
  <c r="AN64" i="43"/>
  <c r="AV64" i="43"/>
  <c r="AF60" i="43"/>
  <c r="E60" i="43" s="1"/>
  <c r="AE10" i="43"/>
  <c r="AC10" i="43"/>
  <c r="AB10" i="43"/>
  <c r="AS12" i="43"/>
  <c r="AQ12" i="43"/>
  <c r="AO12" i="43"/>
  <c r="AP12" i="43"/>
  <c r="AY12" i="43"/>
  <c r="AV12" i="43"/>
  <c r="AT12" i="43"/>
  <c r="AR12" i="43"/>
  <c r="AW12" i="43"/>
  <c r="AU12" i="43"/>
  <c r="AN12" i="43"/>
  <c r="AM27" i="43"/>
  <c r="G27" i="43" s="1"/>
  <c r="CG59" i="43"/>
  <c r="CK59" i="43"/>
  <c r="CH59" i="43"/>
  <c r="CI59" i="43"/>
  <c r="BN46" i="43"/>
  <c r="BP46" i="43"/>
  <c r="BW41" i="43"/>
  <c r="N41" i="43" s="1"/>
  <c r="AE47" i="43"/>
  <c r="AC47" i="43"/>
  <c r="AB47" i="43"/>
  <c r="CL27" i="43"/>
  <c r="R27" i="43" s="1"/>
  <c r="I6" i="43"/>
  <c r="AB63" i="43"/>
  <c r="AE63" i="43"/>
  <c r="AC63" i="43"/>
  <c r="AW21" i="43"/>
  <c r="AT21" i="43"/>
  <c r="AS21" i="43"/>
  <c r="AN21" i="43"/>
  <c r="AR21" i="43"/>
  <c r="AY21" i="43"/>
  <c r="AP21" i="43"/>
  <c r="AV21" i="43"/>
  <c r="AO21" i="43"/>
  <c r="AQ21" i="43"/>
  <c r="AU21" i="43"/>
  <c r="AZ65" i="43"/>
  <c r="H65" i="43" s="1"/>
  <c r="CH37" i="43"/>
  <c r="CI37" i="43"/>
  <c r="CG37" i="43"/>
  <c r="CK37" i="43"/>
  <c r="CH66" i="43"/>
  <c r="CK66" i="43"/>
  <c r="CI66" i="43"/>
  <c r="CG66" i="43"/>
  <c r="AT8" i="43"/>
  <c r="AN8" i="43"/>
  <c r="AW8" i="43"/>
  <c r="AV8" i="43"/>
  <c r="AS8" i="43"/>
  <c r="AP8" i="43"/>
  <c r="AY8" i="43"/>
  <c r="AR8" i="43"/>
  <c r="AQ8" i="43"/>
  <c r="AU8" i="43"/>
  <c r="AO8" i="43"/>
  <c r="BM11" i="43"/>
  <c r="K11" i="43" s="1"/>
  <c r="AN40" i="43"/>
  <c r="AW40" i="43"/>
  <c r="AV40" i="43"/>
  <c r="AO40" i="43"/>
  <c r="AS40" i="43"/>
  <c r="AP40" i="43"/>
  <c r="AY40" i="43"/>
  <c r="AR40" i="43"/>
  <c r="AU40" i="43"/>
  <c r="AQ40" i="43"/>
  <c r="AT40" i="43"/>
  <c r="CH49" i="43"/>
  <c r="CI49" i="43"/>
  <c r="CG49" i="43"/>
  <c r="CK49" i="43"/>
  <c r="BL30" i="43"/>
  <c r="BK30" i="43" s="1"/>
  <c r="BH30" i="43"/>
  <c r="BG30" i="43"/>
  <c r="BI30" i="43"/>
  <c r="BL40" i="43"/>
  <c r="BK40" i="43" s="1"/>
  <c r="BH40" i="43"/>
  <c r="BI40" i="43"/>
  <c r="BG40" i="43"/>
  <c r="BL7" i="43"/>
  <c r="BK7" i="43" s="1"/>
  <c r="BG7" i="43"/>
  <c r="BH7" i="43"/>
  <c r="BI7" i="43"/>
  <c r="BT15" i="43"/>
  <c r="M15" i="43" s="1"/>
  <c r="BL46" i="43"/>
  <c r="BK46" i="43" s="1"/>
  <c r="BI46" i="43"/>
  <c r="BH46" i="43"/>
  <c r="BG46" i="43"/>
  <c r="CF20" i="43"/>
  <c r="Q20" i="43" s="1"/>
  <c r="BL47" i="43"/>
  <c r="BK47" i="43" s="1"/>
  <c r="BI47" i="43"/>
  <c r="BH47" i="43"/>
  <c r="BG47" i="43"/>
  <c r="CK22" i="43"/>
  <c r="CH22" i="43"/>
  <c r="CG22" i="43"/>
  <c r="CI22" i="43"/>
  <c r="AI13" i="43"/>
  <c r="F13" i="43" s="1"/>
  <c r="BE42" i="43"/>
  <c r="BC42" i="43"/>
  <c r="AI16" i="43"/>
  <c r="F16" i="43" s="1"/>
  <c r="AI59" i="43"/>
  <c r="F59" i="43" s="1"/>
  <c r="AT53" i="43"/>
  <c r="AS53" i="43"/>
  <c r="AP53" i="43"/>
  <c r="AN53" i="43"/>
  <c r="AU53" i="43"/>
  <c r="AO53" i="43"/>
  <c r="AQ53" i="43"/>
  <c r="AW53" i="43"/>
  <c r="AY53" i="43"/>
  <c r="AR53" i="43"/>
  <c r="AV53" i="43"/>
  <c r="BW15" i="43"/>
  <c r="N15" i="43" s="1"/>
  <c r="BE12" i="43"/>
  <c r="BC12" i="43"/>
  <c r="AM23" i="43"/>
  <c r="G23" i="43" s="1"/>
  <c r="BW27" i="43"/>
  <c r="N27" i="43" s="1"/>
  <c r="BH59" i="43"/>
  <c r="BI59" i="43"/>
  <c r="BL59" i="43"/>
  <c r="BK59" i="43" s="1"/>
  <c r="BG59" i="43"/>
  <c r="CK46" i="43"/>
  <c r="CI46" i="43"/>
  <c r="CH46" i="43"/>
  <c r="CG46" i="43"/>
  <c r="AI46" i="43"/>
  <c r="F46" i="43" s="1"/>
  <c r="AI20" i="43"/>
  <c r="F20" i="43" s="1"/>
  <c r="CL63" i="43"/>
  <c r="R63" i="43" s="1"/>
  <c r="BT43" i="43"/>
  <c r="M43" i="43" s="1"/>
  <c r="BN7" i="43"/>
  <c r="BP7" i="43"/>
  <c r="CH10" i="43"/>
  <c r="CG10" i="43"/>
  <c r="CI10" i="43"/>
  <c r="CK10" i="43"/>
  <c r="CG40" i="43"/>
  <c r="CH40" i="43"/>
  <c r="CK40" i="43"/>
  <c r="CI40" i="43"/>
  <c r="AE57" i="43"/>
  <c r="AC57" i="43"/>
  <c r="AB57" i="43"/>
  <c r="CL55" i="43"/>
  <c r="R55" i="43" s="1"/>
  <c r="BE57" i="43"/>
  <c r="BC57" i="43"/>
  <c r="BW30" i="43"/>
  <c r="N30" i="43" s="1"/>
  <c r="BM49" i="43"/>
  <c r="K49" i="43" s="1"/>
  <c r="AV59" i="43"/>
  <c r="AR59" i="43"/>
  <c r="AO59" i="43"/>
  <c r="AU59" i="43"/>
  <c r="AQ59" i="43"/>
  <c r="AW59" i="43"/>
  <c r="AT59" i="43"/>
  <c r="AS59" i="43"/>
  <c r="AP59" i="43"/>
  <c r="AN59" i="43"/>
  <c r="AY59" i="43"/>
  <c r="AF32" i="43"/>
  <c r="E32" i="43" s="1"/>
  <c r="CH41" i="43"/>
  <c r="CG41" i="43"/>
  <c r="CK41" i="43"/>
  <c r="CI41" i="43"/>
  <c r="AQ7" i="43"/>
  <c r="AP7" i="43"/>
  <c r="AO7" i="43"/>
  <c r="AY7" i="43"/>
  <c r="AV7" i="43"/>
  <c r="AU7" i="43"/>
  <c r="AR7" i="43"/>
  <c r="AT7" i="43"/>
  <c r="AS7" i="43"/>
  <c r="AN7" i="43"/>
  <c r="AW7" i="43"/>
  <c r="BC26" i="43"/>
  <c r="BE26" i="43"/>
  <c r="BN63" i="43"/>
  <c r="BP63" i="43"/>
  <c r="AF35" i="43"/>
  <c r="E35" i="43" s="1"/>
  <c r="AI63" i="43"/>
  <c r="F63" i="43" s="1"/>
  <c r="BE62" i="43"/>
  <c r="BC62" i="43"/>
  <c r="BC22" i="43"/>
  <c r="BE22" i="43"/>
  <c r="AE13" i="43"/>
  <c r="AC13" i="43"/>
  <c r="AB13" i="43"/>
  <c r="BC24" i="43"/>
  <c r="BE24" i="43"/>
  <c r="CL32" i="43"/>
  <c r="R32" i="43" s="1"/>
  <c r="BW24" i="43"/>
  <c r="N24" i="43" s="1"/>
  <c r="BZ40" i="43"/>
  <c r="O40" i="43" s="1"/>
  <c r="CK45" i="43"/>
  <c r="CI45" i="43"/>
  <c r="CH45" i="43"/>
  <c r="CG45" i="43"/>
  <c r="BF11" i="43"/>
  <c r="J11" i="43" s="1"/>
  <c r="AF61" i="43"/>
  <c r="E61" i="43" s="1"/>
  <c r="AI15" i="43"/>
  <c r="F15" i="43" s="1"/>
  <c r="CC29" i="43"/>
  <c r="P29" i="43" s="1"/>
  <c r="BQ31" i="43"/>
  <c r="L31" i="43" s="1"/>
  <c r="CH15" i="43"/>
  <c r="CI15" i="43"/>
  <c r="CK15" i="43"/>
  <c r="CG15" i="43"/>
  <c r="AC59" i="43"/>
  <c r="AE59" i="43"/>
  <c r="AB59" i="43"/>
  <c r="BE23" i="43"/>
  <c r="BC23" i="43"/>
  <c r="BT23" i="43"/>
  <c r="M23" i="43" s="1"/>
  <c r="BZ59" i="43"/>
  <c r="O59" i="43" s="1"/>
  <c r="BG20" i="43"/>
  <c r="BL20" i="43"/>
  <c r="BK20" i="43" s="1"/>
  <c r="BI20" i="43"/>
  <c r="BH20" i="43"/>
  <c r="BN47" i="43"/>
  <c r="BP47" i="43"/>
  <c r="CK7" i="43"/>
  <c r="CI7" i="43"/>
  <c r="CG7" i="43"/>
  <c r="CH7" i="43"/>
  <c r="BP29" i="43"/>
  <c r="BN29" i="43"/>
  <c r="BN53" i="43"/>
  <c r="BP53" i="43"/>
  <c r="BL50" i="43"/>
  <c r="BK50" i="43" s="1"/>
  <c r="BH50" i="43"/>
  <c r="BI50" i="43"/>
  <c r="BG50" i="43"/>
  <c r="BN41" i="43"/>
  <c r="BP41" i="43"/>
  <c r="BE43" i="43"/>
  <c r="BC43" i="43"/>
  <c r="BZ49" i="43"/>
  <c r="O49" i="43" s="1"/>
  <c r="CG64" i="43"/>
  <c r="CK64" i="43"/>
  <c r="CH64" i="43"/>
  <c r="CI64" i="43"/>
  <c r="AY41" i="43"/>
  <c r="AU41" i="43"/>
  <c r="AT41" i="43"/>
  <c r="AS41" i="43"/>
  <c r="AN41" i="43"/>
  <c r="AR41" i="43"/>
  <c r="AP41" i="43"/>
  <c r="AV41" i="43"/>
  <c r="AW41" i="43"/>
  <c r="AO41" i="43"/>
  <c r="AQ41" i="43"/>
  <c r="BI10" i="43"/>
  <c r="BG10" i="43"/>
  <c r="BL10" i="43"/>
  <c r="BK10" i="43" s="1"/>
  <c r="BH10" i="43"/>
  <c r="BW58" i="43"/>
  <c r="N58" i="43" s="1"/>
  <c r="BN22" i="43"/>
  <c r="BP22" i="43"/>
  <c r="BZ26" i="43"/>
  <c r="O26" i="43" s="1"/>
  <c r="BW29" i="43"/>
  <c r="N29" i="43" s="1"/>
  <c r="CF15" i="43"/>
  <c r="Q15" i="43" s="1"/>
  <c r="BW12" i="43"/>
  <c r="N12" i="43" s="1"/>
  <c r="BI23" i="43"/>
  <c r="BL23" i="43"/>
  <c r="BK23" i="43" s="1"/>
  <c r="BH23" i="43"/>
  <c r="BG23" i="43"/>
  <c r="BN20" i="43"/>
  <c r="BP20" i="43"/>
  <c r="BE41" i="43"/>
  <c r="BC41" i="43"/>
  <c r="AB43" i="43"/>
  <c r="AE43" i="43"/>
  <c r="AC43" i="43"/>
  <c r="CI47" i="43"/>
  <c r="CK47" i="43"/>
  <c r="CG47" i="43"/>
  <c r="CH47" i="43"/>
  <c r="BZ7" i="43"/>
  <c r="O7" i="43" s="1"/>
  <c r="AC58" i="43"/>
  <c r="AE58" i="43"/>
  <c r="AB58" i="43"/>
  <c r="AU42" i="43"/>
  <c r="AT42" i="43"/>
  <c r="AR42" i="43"/>
  <c r="AY42" i="43"/>
  <c r="AS42" i="43"/>
  <c r="AQ42" i="43"/>
  <c r="AW42" i="43"/>
  <c r="AV42" i="43"/>
  <c r="AO42" i="43"/>
  <c r="AP42" i="43"/>
  <c r="AN42" i="43"/>
  <c r="BN24" i="43"/>
  <c r="BP24" i="43"/>
  <c r="BL29" i="43"/>
  <c r="BK29" i="43" s="1"/>
  <c r="BG29" i="43"/>
  <c r="BI29" i="43"/>
  <c r="BH29" i="43"/>
  <c r="BE44" i="43"/>
  <c r="BC44" i="43"/>
  <c r="BW62" i="43"/>
  <c r="N62" i="43" s="1"/>
  <c r="AN63" i="43"/>
  <c r="AW63" i="43"/>
  <c r="AS63" i="43"/>
  <c r="AR63" i="43"/>
  <c r="AP63" i="43"/>
  <c r="AO63" i="43"/>
  <c r="AV63" i="43"/>
  <c r="AY63" i="43"/>
  <c r="AU63" i="43"/>
  <c r="AQ63" i="43"/>
  <c r="AT63" i="43"/>
  <c r="AU9" i="43"/>
  <c r="AW9" i="43"/>
  <c r="AN9" i="43"/>
  <c r="AY9" i="43"/>
  <c r="AQ9" i="43"/>
  <c r="AO9" i="43"/>
  <c r="AT9" i="43"/>
  <c r="AP9" i="43"/>
  <c r="AS9" i="43"/>
  <c r="AV9" i="43"/>
  <c r="AR9" i="43"/>
  <c r="AM57" i="43"/>
  <c r="G57" i="43" s="1"/>
  <c r="BN10" i="43"/>
  <c r="BP10" i="43"/>
  <c r="AF11" i="43"/>
  <c r="E11" i="43" s="1"/>
  <c r="CG44" i="43"/>
  <c r="CH44" i="43"/>
  <c r="CI44" i="43"/>
  <c r="CK44" i="43"/>
  <c r="BN49" i="43"/>
  <c r="BP49" i="43"/>
  <c r="BW13" i="43"/>
  <c r="N13" i="43" s="1"/>
  <c r="AT24" i="43"/>
  <c r="AR24" i="43"/>
  <c r="AS24" i="43"/>
  <c r="AQ24" i="43"/>
  <c r="AP24" i="43"/>
  <c r="AY24" i="43"/>
  <c r="AV24" i="43"/>
  <c r="AW24" i="43"/>
  <c r="AU24" i="43"/>
  <c r="AN24" i="43"/>
  <c r="AO24" i="43"/>
  <c r="CC49" i="43"/>
  <c r="P49" i="43" s="1"/>
  <c r="AM30" i="43"/>
  <c r="G30" i="43" s="1"/>
  <c r="CF26" i="43"/>
  <c r="Q26" i="43" s="1"/>
  <c r="AF25" i="43"/>
  <c r="E25" i="43" s="1"/>
  <c r="AN27" i="43"/>
  <c r="AO27" i="43"/>
  <c r="AQ27" i="43"/>
  <c r="AR27" i="43"/>
  <c r="AV27" i="43"/>
  <c r="AP27" i="43"/>
  <c r="AU27" i="43"/>
  <c r="AW27" i="43"/>
  <c r="AT27" i="43"/>
  <c r="AY27" i="43"/>
  <c r="AS27" i="43"/>
  <c r="BE29" i="43"/>
  <c r="BC29" i="43"/>
  <c r="BW53" i="43"/>
  <c r="N53" i="43" s="1"/>
  <c r="AM15" i="43"/>
  <c r="G15" i="43" s="1"/>
  <c r="CF23" i="43"/>
  <c r="Q23" i="43" s="1"/>
  <c r="AF55" i="43"/>
  <c r="E55" i="43" s="1"/>
  <c r="AI27" i="43"/>
  <c r="F27" i="43" s="1"/>
  <c r="BN59" i="43"/>
  <c r="BP59" i="43"/>
  <c r="CC41" i="43"/>
  <c r="P41" i="43" s="1"/>
  <c r="BZ43" i="43"/>
  <c r="O43" i="43" s="1"/>
  <c r="BM35" i="43"/>
  <c r="K35" i="43" s="1"/>
  <c r="BP66" i="43"/>
  <c r="BN66" i="43"/>
  <c r="BE46" i="43"/>
  <c r="BC46" i="43"/>
  <c r="AE46" i="43"/>
  <c r="AB46" i="43"/>
  <c r="AC46" i="43"/>
  <c r="CH20" i="43"/>
  <c r="CG20" i="43"/>
  <c r="CK20" i="43"/>
  <c r="CI20" i="43"/>
  <c r="CL48" i="43"/>
  <c r="R48" i="43" s="1"/>
  <c r="CF21" i="43"/>
  <c r="Q21" i="43" s="1"/>
  <c r="CC37" i="43"/>
  <c r="P37" i="43" s="1"/>
  <c r="CL35" i="43"/>
  <c r="R35" i="43" s="1"/>
  <c r="AI45" i="43"/>
  <c r="F45" i="43" s="1"/>
  <c r="AN13" i="43"/>
  <c r="AT13" i="43"/>
  <c r="AS13" i="43"/>
  <c r="AY13" i="43"/>
  <c r="AV13" i="43"/>
  <c r="AW13" i="43"/>
  <c r="AU13" i="43"/>
  <c r="AR13" i="43"/>
  <c r="AP13" i="43"/>
  <c r="AQ13" i="43"/>
  <c r="AO13" i="43"/>
  <c r="AE24" i="43"/>
  <c r="AB24" i="43"/>
  <c r="AC24" i="43"/>
  <c r="BC64" i="43"/>
  <c r="BE64" i="43"/>
  <c r="AM66" i="43"/>
  <c r="G66" i="43" s="1"/>
  <c r="CI57" i="43"/>
  <c r="CH57" i="43"/>
  <c r="CG57" i="43"/>
  <c r="CK57" i="43"/>
  <c r="AI26" i="43"/>
  <c r="F26" i="43" s="1"/>
  <c r="CC10" i="43"/>
  <c r="P10" i="43" s="1"/>
  <c r="BZ41" i="43"/>
  <c r="O41" i="43" s="1"/>
  <c r="AI29" i="43"/>
  <c r="F29" i="43" s="1"/>
  <c r="AI12" i="43"/>
  <c r="F12" i="43" s="1"/>
  <c r="BN23" i="43"/>
  <c r="BP23" i="43"/>
  <c r="CF41" i="43"/>
  <c r="Q41" i="43" s="1"/>
  <c r="BW43" i="43"/>
  <c r="N43" i="43" s="1"/>
  <c r="BE7" i="43"/>
  <c r="BC7" i="43"/>
  <c r="BQ21" i="43"/>
  <c r="L21" i="43" s="1"/>
  <c r="AI53" i="43"/>
  <c r="F53" i="43" s="1"/>
  <c r="AT15" i="43"/>
  <c r="AQ15" i="43"/>
  <c r="AR15" i="43"/>
  <c r="AU15" i="43"/>
  <c r="AP15" i="43"/>
  <c r="AO15" i="43"/>
  <c r="AN15" i="43"/>
  <c r="AW15" i="43"/>
  <c r="AS15" i="43"/>
  <c r="AV15" i="43"/>
  <c r="AY15" i="43"/>
  <c r="BH12" i="43"/>
  <c r="BL12" i="43"/>
  <c r="BK12" i="43" s="1"/>
  <c r="BG12" i="43"/>
  <c r="BI12" i="43"/>
  <c r="AE23" i="43"/>
  <c r="AB23" i="43"/>
  <c r="AC23" i="43"/>
  <c r="CI23" i="43"/>
  <c r="CH23" i="43"/>
  <c r="CK23" i="43"/>
  <c r="CG23" i="43"/>
  <c r="BP27" i="43"/>
  <c r="BN27" i="43"/>
  <c r="CF46" i="43"/>
  <c r="Q46" i="43" s="1"/>
  <c r="AF17" i="43"/>
  <c r="E17" i="43" s="1"/>
  <c r="CL17" i="43"/>
  <c r="R17" i="43" s="1"/>
  <c r="BW47" i="43"/>
  <c r="N47" i="43" s="1"/>
  <c r="I103" i="26"/>
  <c r="M103" i="26" s="1"/>
  <c r="I102" i="26"/>
  <c r="M102" i="26" s="1"/>
  <c r="I101" i="26"/>
  <c r="M101" i="26" s="1"/>
  <c r="I100" i="26"/>
  <c r="M100" i="26" s="1"/>
  <c r="I99" i="26"/>
  <c r="M99" i="26" s="1"/>
  <c r="I98" i="26"/>
  <c r="M98" i="26" s="1"/>
  <c r="I97" i="26"/>
  <c r="M97" i="26" s="1"/>
  <c r="I96" i="26"/>
  <c r="M96" i="26" s="1"/>
  <c r="I95" i="26"/>
  <c r="M95" i="26" s="1"/>
  <c r="I94" i="26"/>
  <c r="M94" i="26" s="1"/>
  <c r="I93" i="26"/>
  <c r="M93" i="26" s="1"/>
  <c r="I92" i="26"/>
  <c r="M92" i="26" s="1"/>
  <c r="I91" i="26"/>
  <c r="M91" i="26" s="1"/>
  <c r="Y249" i="25"/>
  <c r="AC249" i="25" s="1"/>
  <c r="Q249" i="25"/>
  <c r="U249" i="25" s="1"/>
  <c r="Y248" i="25"/>
  <c r="AC248" i="25" s="1"/>
  <c r="Q248" i="25"/>
  <c r="U248" i="25" s="1"/>
  <c r="Y247" i="25"/>
  <c r="AC247" i="25" s="1"/>
  <c r="Q247" i="25"/>
  <c r="U247" i="25" s="1"/>
  <c r="Y246" i="25"/>
  <c r="AC246" i="25" s="1"/>
  <c r="Q246" i="25"/>
  <c r="U246" i="25" s="1"/>
  <c r="Y245" i="25"/>
  <c r="AC245" i="25" s="1"/>
  <c r="Q245" i="25"/>
  <c r="U245" i="25" s="1"/>
  <c r="Y244" i="25"/>
  <c r="AC244" i="25" s="1"/>
  <c r="Q244" i="25"/>
  <c r="U244" i="25" s="1"/>
  <c r="Y243" i="25"/>
  <c r="AC243" i="25" s="1"/>
  <c r="Q243" i="25"/>
  <c r="U243" i="25" s="1"/>
  <c r="AC242" i="25"/>
  <c r="Y242" i="25"/>
  <c r="Q242" i="25"/>
  <c r="U242" i="25" s="1"/>
  <c r="Y241" i="25"/>
  <c r="AC241" i="25" s="1"/>
  <c r="Q241" i="25"/>
  <c r="U241" i="25" s="1"/>
  <c r="Y240" i="25"/>
  <c r="AC240" i="25" s="1"/>
  <c r="Q240" i="25"/>
  <c r="U240" i="25" s="1"/>
  <c r="Y239" i="25"/>
  <c r="AC239" i="25" s="1"/>
  <c r="Q239" i="25"/>
  <c r="U239" i="25" s="1"/>
  <c r="Y238" i="25"/>
  <c r="AC238" i="25" s="1"/>
  <c r="U238" i="25"/>
  <c r="Q238" i="25"/>
  <c r="AC237" i="25"/>
  <c r="Y237" i="25"/>
  <c r="Q237" i="25"/>
  <c r="U237" i="25" s="1"/>
  <c r="Y236" i="25"/>
  <c r="AC236" i="25" s="1"/>
  <c r="Q236" i="25"/>
  <c r="U236" i="25" s="1"/>
  <c r="T245" i="21"/>
  <c r="S245" i="21"/>
  <c r="R245" i="21"/>
  <c r="Q245" i="21"/>
  <c r="P245" i="21"/>
  <c r="O245" i="21"/>
  <c r="N245" i="21"/>
  <c r="M245" i="21"/>
  <c r="L245" i="21"/>
  <c r="K245" i="21"/>
  <c r="J245" i="21"/>
  <c r="I245" i="21"/>
  <c r="H245" i="21"/>
  <c r="G245" i="21"/>
  <c r="F245" i="21"/>
  <c r="E245" i="21"/>
  <c r="T244" i="21"/>
  <c r="S244" i="21"/>
  <c r="R244" i="21"/>
  <c r="Q244" i="21"/>
  <c r="P244" i="21"/>
  <c r="O244" i="21"/>
  <c r="N244" i="21"/>
  <c r="M244" i="21"/>
  <c r="L244" i="21"/>
  <c r="K244" i="21"/>
  <c r="J244" i="21"/>
  <c r="I244" i="21"/>
  <c r="H244" i="21"/>
  <c r="G244" i="21"/>
  <c r="F244" i="21"/>
  <c r="E244" i="21"/>
  <c r="D244" i="21"/>
  <c r="C244" i="21"/>
  <c r="T243" i="21"/>
  <c r="S243" i="21"/>
  <c r="R243" i="21"/>
  <c r="Q243" i="21"/>
  <c r="P243" i="21"/>
  <c r="O243" i="21"/>
  <c r="N243" i="21"/>
  <c r="M243" i="21"/>
  <c r="L243" i="21"/>
  <c r="K243" i="21"/>
  <c r="H243" i="21"/>
  <c r="G243" i="21"/>
  <c r="F243" i="21"/>
  <c r="E243" i="21"/>
  <c r="D243" i="21"/>
  <c r="C243" i="21"/>
  <c r="T242" i="21"/>
  <c r="S242" i="21"/>
  <c r="R242" i="21"/>
  <c r="Q242" i="21"/>
  <c r="P242" i="21"/>
  <c r="O242" i="21"/>
  <c r="N242" i="21"/>
  <c r="M242" i="21"/>
  <c r="L242" i="21"/>
  <c r="K242" i="21"/>
  <c r="D242" i="21"/>
  <c r="C242" i="21"/>
  <c r="T241" i="21"/>
  <c r="S241" i="21"/>
  <c r="R241" i="21"/>
  <c r="Q241" i="21"/>
  <c r="P241" i="21"/>
  <c r="O241" i="21"/>
  <c r="N241" i="21"/>
  <c r="M241" i="21"/>
  <c r="L241" i="21"/>
  <c r="K241" i="21"/>
  <c r="D241" i="21"/>
  <c r="C241" i="21"/>
  <c r="R239" i="21"/>
  <c r="Q239" i="21"/>
  <c r="P239" i="21"/>
  <c r="O239" i="21"/>
  <c r="N239" i="21"/>
  <c r="M239" i="21"/>
  <c r="L239" i="21"/>
  <c r="K239" i="21"/>
  <c r="F239" i="21"/>
  <c r="E239" i="21"/>
  <c r="R238" i="21"/>
  <c r="Q238" i="21"/>
  <c r="P238" i="21"/>
  <c r="O238" i="21"/>
  <c r="N238" i="21"/>
  <c r="M238" i="21"/>
  <c r="L238" i="21"/>
  <c r="K238" i="21"/>
  <c r="F238" i="21"/>
  <c r="E238" i="21"/>
  <c r="F237" i="21"/>
  <c r="E237" i="21"/>
  <c r="F236" i="21"/>
  <c r="E236" i="21"/>
  <c r="S235" i="21"/>
  <c r="T235" i="21" s="1"/>
  <c r="Q235" i="21"/>
  <c r="O235" i="21"/>
  <c r="P235" i="21" s="1"/>
  <c r="M235" i="21"/>
  <c r="N235" i="21" s="1"/>
  <c r="K235" i="21"/>
  <c r="L235" i="21" s="1"/>
  <c r="I235" i="21"/>
  <c r="J235" i="21" s="1"/>
  <c r="G235" i="21"/>
  <c r="H235" i="21" s="1"/>
  <c r="F235" i="21"/>
  <c r="E235" i="21"/>
  <c r="C235" i="21"/>
  <c r="D235" i="21" s="1"/>
  <c r="S232" i="21"/>
  <c r="T232" i="21" s="1"/>
  <c r="Q232" i="21"/>
  <c r="R232" i="21" s="1"/>
  <c r="O232" i="21"/>
  <c r="P232" i="21" s="1"/>
  <c r="M232" i="21"/>
  <c r="N232" i="21" s="1"/>
  <c r="K232" i="21"/>
  <c r="L232" i="21" s="1"/>
  <c r="J232" i="21"/>
  <c r="I232" i="21"/>
  <c r="H232" i="21"/>
  <c r="G232" i="21"/>
  <c r="F232" i="21"/>
  <c r="E232" i="21"/>
  <c r="C232" i="21"/>
  <c r="D232" i="21" s="1"/>
  <c r="R231" i="21"/>
  <c r="Q231" i="21"/>
  <c r="J230" i="21"/>
  <c r="I230" i="21"/>
  <c r="H230" i="21"/>
  <c r="G230" i="21"/>
  <c r="F230" i="21"/>
  <c r="E230" i="21"/>
  <c r="J229" i="21"/>
  <c r="I229" i="21"/>
  <c r="H229" i="21"/>
  <c r="G229" i="21"/>
  <c r="F229" i="21"/>
  <c r="E229" i="21"/>
  <c r="H228" i="21"/>
  <c r="G228" i="21"/>
  <c r="F228" i="21"/>
  <c r="E228" i="21"/>
  <c r="S227" i="21"/>
  <c r="T227" i="21" s="1"/>
  <c r="R227" i="21"/>
  <c r="Q227" i="21"/>
  <c r="O227" i="21"/>
  <c r="P227" i="21" s="1"/>
  <c r="M227" i="21"/>
  <c r="N227" i="21" s="1"/>
  <c r="K227" i="21"/>
  <c r="L227" i="21" s="1"/>
  <c r="I227" i="21"/>
  <c r="J227" i="21" s="1"/>
  <c r="H227" i="21"/>
  <c r="G227" i="21"/>
  <c r="F227" i="21"/>
  <c r="E227" i="21"/>
  <c r="C227" i="21"/>
  <c r="D227" i="21" s="1"/>
  <c r="H226" i="21"/>
  <c r="G226" i="21"/>
  <c r="F226" i="21"/>
  <c r="E226" i="21"/>
  <c r="S221" i="21"/>
  <c r="C245" i="21" s="1"/>
  <c r="D245" i="21" s="1"/>
  <c r="S38" i="21"/>
  <c r="R38" i="21"/>
  <c r="S37" i="21"/>
  <c r="R37" i="21"/>
  <c r="S36" i="21"/>
  <c r="R36" i="21"/>
  <c r="S35" i="21"/>
  <c r="R35" i="21"/>
  <c r="S34" i="21"/>
  <c r="R34" i="21"/>
  <c r="S33" i="21"/>
  <c r="R33" i="21"/>
  <c r="S32" i="21"/>
  <c r="R32" i="21"/>
  <c r="S31" i="21"/>
  <c r="R31" i="21"/>
  <c r="S30" i="21"/>
  <c r="R30" i="21"/>
  <c r="S29" i="21"/>
  <c r="R29" i="21"/>
  <c r="S28" i="21"/>
  <c r="R28" i="21"/>
  <c r="S27" i="21"/>
  <c r="R27" i="21"/>
  <c r="S26" i="21"/>
  <c r="R26" i="21"/>
  <c r="S25" i="21"/>
  <c r="R25" i="21"/>
  <c r="S24" i="21"/>
  <c r="R24" i="21"/>
  <c r="S23" i="21"/>
  <c r="R23" i="21"/>
  <c r="S22" i="21"/>
  <c r="R22" i="21"/>
  <c r="S21" i="21"/>
  <c r="R21" i="21"/>
  <c r="S20" i="21"/>
  <c r="R20" i="21"/>
  <c r="S19" i="21"/>
  <c r="R19" i="21"/>
  <c r="S18" i="21"/>
  <c r="R18" i="21"/>
  <c r="S17" i="21"/>
  <c r="R17" i="21"/>
  <c r="S16" i="21"/>
  <c r="R16" i="21"/>
  <c r="S15" i="21"/>
  <c r="R15" i="21"/>
  <c r="E11" i="21"/>
  <c r="E32" i="21" s="1"/>
  <c r="F32" i="21" s="1"/>
  <c r="D13" i="21"/>
  <c r="D14" i="21"/>
  <c r="D15" i="21"/>
  <c r="E15" i="21"/>
  <c r="F15" i="21" s="1"/>
  <c r="D16" i="21"/>
  <c r="E16" i="21"/>
  <c r="F16" i="21" s="1"/>
  <c r="D17" i="21"/>
  <c r="D18" i="21"/>
  <c r="E18" i="21"/>
  <c r="F18" i="21" s="1"/>
  <c r="D19" i="21"/>
  <c r="E19" i="21"/>
  <c r="F19" i="21" s="1"/>
  <c r="D20" i="21"/>
  <c r="D21" i="21"/>
  <c r="E21" i="21"/>
  <c r="F21" i="21" s="1"/>
  <c r="D22" i="21"/>
  <c r="D23" i="21"/>
  <c r="D24" i="21"/>
  <c r="D25" i="21"/>
  <c r="E25" i="21"/>
  <c r="F25" i="21" s="1"/>
  <c r="D26" i="21"/>
  <c r="E26" i="21"/>
  <c r="F26" i="21" s="1"/>
  <c r="D27" i="21"/>
  <c r="E27" i="21"/>
  <c r="F27" i="21" s="1"/>
  <c r="D28" i="21"/>
  <c r="D29" i="21"/>
  <c r="D30" i="21"/>
  <c r="E30" i="21"/>
  <c r="F30" i="21" s="1"/>
  <c r="D31" i="21"/>
  <c r="D32" i="21"/>
  <c r="D33" i="21"/>
  <c r="E33" i="21"/>
  <c r="F33" i="21" s="1"/>
  <c r="D34" i="21"/>
  <c r="D35" i="21"/>
  <c r="D36" i="21"/>
  <c r="D37" i="21"/>
  <c r="E37" i="21"/>
  <c r="F37" i="21" s="1"/>
  <c r="D38" i="21"/>
  <c r="E38" i="21"/>
  <c r="F38" i="21" s="1"/>
  <c r="D39" i="21"/>
  <c r="E39" i="21"/>
  <c r="F39" i="21" s="1"/>
  <c r="D40" i="21"/>
  <c r="E40" i="21"/>
  <c r="F40" i="21" s="1"/>
  <c r="H72" i="21"/>
  <c r="H73" i="21"/>
  <c r="H74" i="21"/>
  <c r="H92" i="21"/>
  <c r="H93" i="21"/>
  <c r="H94" i="21"/>
  <c r="H95" i="21"/>
  <c r="H96" i="21"/>
  <c r="H97" i="21"/>
  <c r="H98" i="21"/>
  <c r="H99" i="21"/>
  <c r="H100" i="21"/>
  <c r="H101" i="21"/>
  <c r="H102" i="21"/>
  <c r="H103" i="21"/>
  <c r="E111" i="21"/>
  <c r="E127" i="21" s="1"/>
  <c r="F127" i="21" s="1"/>
  <c r="D113" i="21"/>
  <c r="D114" i="21"/>
  <c r="D115" i="21"/>
  <c r="E115" i="21"/>
  <c r="F115" i="21" s="1"/>
  <c r="D116" i="21"/>
  <c r="E116" i="21"/>
  <c r="F116" i="21" s="1"/>
  <c r="D117" i="21"/>
  <c r="D118" i="21"/>
  <c r="E118" i="21"/>
  <c r="F118" i="21" s="1"/>
  <c r="D119" i="21"/>
  <c r="E119" i="21"/>
  <c r="F119" i="21" s="1"/>
  <c r="D120" i="21"/>
  <c r="D121" i="21"/>
  <c r="E121" i="21"/>
  <c r="F121" i="21" s="1"/>
  <c r="D122" i="21"/>
  <c r="D123" i="21"/>
  <c r="D124" i="21"/>
  <c r="D125" i="21"/>
  <c r="E125" i="21"/>
  <c r="F125" i="21" s="1"/>
  <c r="D126" i="21"/>
  <c r="E126" i="21"/>
  <c r="F126" i="21" s="1"/>
  <c r="D127" i="21"/>
  <c r="D128" i="21"/>
  <c r="E128" i="21"/>
  <c r="F128" i="21" s="1"/>
  <c r="D129" i="21"/>
  <c r="D130" i="21"/>
  <c r="E130" i="21"/>
  <c r="F130" i="21" s="1"/>
  <c r="D131" i="21"/>
  <c r="D132" i="21"/>
  <c r="D133" i="21"/>
  <c r="E133" i="21"/>
  <c r="F133" i="21" s="1"/>
  <c r="D134" i="21"/>
  <c r="D135" i="21"/>
  <c r="D136" i="21"/>
  <c r="D137" i="21"/>
  <c r="D138" i="21"/>
  <c r="E138" i="21"/>
  <c r="F138" i="21" s="1"/>
  <c r="D139" i="21"/>
  <c r="E139" i="21"/>
  <c r="F139" i="21" s="1"/>
  <c r="D140" i="21"/>
  <c r="E140" i="21"/>
  <c r="F140" i="21" s="1"/>
  <c r="I146" i="21"/>
  <c r="I147" i="21"/>
  <c r="I148" i="21"/>
  <c r="I149" i="21"/>
  <c r="I150" i="21"/>
  <c r="I151" i="21"/>
  <c r="I152" i="21"/>
  <c r="I153" i="21"/>
  <c r="I154" i="21"/>
  <c r="I155" i="21"/>
  <c r="I156" i="21"/>
  <c r="I157" i="21"/>
  <c r="I158" i="21"/>
  <c r="I159" i="21"/>
  <c r="I160" i="21"/>
  <c r="I161" i="21"/>
  <c r="H167" i="21"/>
  <c r="H168" i="21"/>
  <c r="H169" i="21"/>
  <c r="H170" i="21"/>
  <c r="H171" i="21"/>
  <c r="H172" i="21"/>
  <c r="H173" i="21"/>
  <c r="H174" i="21"/>
  <c r="H175" i="21"/>
  <c r="H176" i="21"/>
  <c r="H177" i="21"/>
  <c r="H178" i="21"/>
  <c r="H179" i="21"/>
  <c r="H180" i="21"/>
  <c r="H181" i="21"/>
  <c r="D192" i="21"/>
  <c r="E192" i="21"/>
  <c r="F192" i="21" s="1"/>
  <c r="D193" i="21"/>
  <c r="E193" i="21"/>
  <c r="F193" i="21" s="1"/>
  <c r="D194" i="21"/>
  <c r="E194" i="21"/>
  <c r="F194" i="21" s="1"/>
  <c r="D195" i="21"/>
  <c r="E195" i="21"/>
  <c r="F195" i="21" s="1"/>
  <c r="D196" i="21"/>
  <c r="E196" i="21"/>
  <c r="F196" i="21" s="1"/>
  <c r="E197" i="21"/>
  <c r="D202" i="21"/>
  <c r="E202" i="21"/>
  <c r="F202" i="21" s="1"/>
  <c r="D203" i="21"/>
  <c r="E203" i="21"/>
  <c r="F203" i="21" s="1"/>
  <c r="D204" i="21"/>
  <c r="E204" i="21"/>
  <c r="F204" i="21" s="1"/>
  <c r="D205" i="21"/>
  <c r="E205" i="21"/>
  <c r="F205" i="21" s="1"/>
  <c r="D206" i="21"/>
  <c r="E206" i="21"/>
  <c r="F206" i="21" s="1"/>
  <c r="E207" i="21"/>
  <c r="D212" i="21"/>
  <c r="E212" i="21"/>
  <c r="F212" i="21" s="1"/>
  <c r="D213" i="21"/>
  <c r="E213" i="21"/>
  <c r="F213" i="21" s="1"/>
  <c r="D214" i="21"/>
  <c r="E214" i="21"/>
  <c r="F214" i="21" s="1"/>
  <c r="D215" i="21"/>
  <c r="E215" i="21"/>
  <c r="F215" i="21" s="1"/>
  <c r="D216" i="21"/>
  <c r="E216" i="21"/>
  <c r="F216" i="21" s="1"/>
  <c r="E217" i="21"/>
  <c r="B38" i="20"/>
  <c r="R38" i="20" s="1"/>
  <c r="B37" i="20"/>
  <c r="R37" i="20" s="1"/>
  <c r="B36" i="20"/>
  <c r="Q36" i="20" s="1"/>
  <c r="B35" i="20"/>
  <c r="R35" i="20" s="1"/>
  <c r="B34" i="20"/>
  <c r="Q34" i="20" s="1"/>
  <c r="B33" i="20"/>
  <c r="Q33" i="20" s="1"/>
  <c r="B32" i="20"/>
  <c r="Q32" i="20" s="1"/>
  <c r="B31" i="20"/>
  <c r="Q31" i="20" s="1"/>
  <c r="B30" i="20"/>
  <c r="R30" i="20" s="1"/>
  <c r="B29" i="20"/>
  <c r="S25" i="20"/>
  <c r="R25" i="20"/>
  <c r="S24" i="20"/>
  <c r="R24" i="20"/>
  <c r="B23" i="20"/>
  <c r="S23" i="20" s="1"/>
  <c r="R22" i="20"/>
  <c r="B21" i="20"/>
  <c r="S21" i="20" s="1"/>
  <c r="R20" i="20"/>
  <c r="S19" i="20"/>
  <c r="R19" i="20"/>
  <c r="S18" i="20"/>
  <c r="R18" i="20"/>
  <c r="B17" i="20"/>
  <c r="R17" i="20" s="1"/>
  <c r="B16" i="20"/>
  <c r="S16" i="20" s="1"/>
  <c r="S15" i="20"/>
  <c r="R15" i="20"/>
  <c r="S14" i="20"/>
  <c r="R14" i="20"/>
  <c r="B13" i="20"/>
  <c r="R13" i="20" s="1"/>
  <c r="B12" i="20"/>
  <c r="S12" i="20" s="1"/>
  <c r="S11" i="20"/>
  <c r="R11" i="20"/>
  <c r="B10" i="20"/>
  <c r="S10" i="20" s="1"/>
  <c r="AH33" i="19"/>
  <c r="AG33" i="19"/>
  <c r="AF33" i="19"/>
  <c r="AE33" i="19"/>
  <c r="AD33" i="19"/>
  <c r="AC33" i="19"/>
  <c r="AB33" i="19"/>
  <c r="I33" i="19" s="1"/>
  <c r="AA33" i="19"/>
  <c r="H33" i="19" s="1"/>
  <c r="AH32" i="19"/>
  <c r="AG32" i="19"/>
  <c r="AF32" i="19"/>
  <c r="AE32" i="19"/>
  <c r="AD32" i="19"/>
  <c r="AC32" i="19"/>
  <c r="AB32" i="19"/>
  <c r="C32" i="19" s="1"/>
  <c r="AA32" i="19"/>
  <c r="B32" i="19" s="1"/>
  <c r="AH31" i="19"/>
  <c r="AG31" i="19"/>
  <c r="AF31" i="19"/>
  <c r="AE31" i="19"/>
  <c r="AD31" i="19"/>
  <c r="AC31" i="19"/>
  <c r="AB31" i="19"/>
  <c r="I31" i="19" s="1"/>
  <c r="AA31" i="19"/>
  <c r="H31" i="19" s="1"/>
  <c r="AH30" i="19"/>
  <c r="AG30" i="19"/>
  <c r="AF30" i="19"/>
  <c r="AE30" i="19"/>
  <c r="AD30" i="19"/>
  <c r="AC30" i="19"/>
  <c r="AB30" i="19"/>
  <c r="I30" i="19" s="1"/>
  <c r="AA30" i="19"/>
  <c r="H30" i="19" s="1"/>
  <c r="AH29" i="19"/>
  <c r="AG29" i="19"/>
  <c r="AF29" i="19"/>
  <c r="AE29" i="19"/>
  <c r="AD29" i="19"/>
  <c r="AC29" i="19"/>
  <c r="AB29" i="19"/>
  <c r="I29" i="19" s="1"/>
  <c r="AA29" i="19"/>
  <c r="H29" i="19" s="1"/>
  <c r="AH28" i="19"/>
  <c r="AG28" i="19"/>
  <c r="AF28" i="19"/>
  <c r="AE28" i="19"/>
  <c r="AD28" i="19"/>
  <c r="AC28" i="19"/>
  <c r="AB28" i="19"/>
  <c r="I28" i="19" s="1"/>
  <c r="AA28" i="19"/>
  <c r="B28" i="19" s="1"/>
  <c r="L23" i="19"/>
  <c r="J23" i="19"/>
  <c r="H23" i="19"/>
  <c r="F23" i="19"/>
  <c r="D23" i="19"/>
  <c r="B23" i="19"/>
  <c r="I19" i="19"/>
  <c r="B19" i="19"/>
  <c r="I17" i="19"/>
  <c r="B17" i="19"/>
  <c r="I13" i="19"/>
  <c r="B13" i="19"/>
  <c r="I9" i="19"/>
  <c r="B9" i="19"/>
  <c r="AA7" i="19"/>
  <c r="AA6" i="19"/>
  <c r="B6" i="19"/>
  <c r="AI5" i="19"/>
  <c r="AA5" i="19"/>
  <c r="B5" i="19"/>
  <c r="AI4" i="19"/>
  <c r="AA4" i="19"/>
  <c r="M4" i="19"/>
  <c r="J4" i="19"/>
  <c r="F4" i="19"/>
  <c r="D4" i="19"/>
  <c r="CL29" i="43" l="1"/>
  <c r="R29" i="43" s="1"/>
  <c r="CL28" i="43"/>
  <c r="R28" i="43" s="1"/>
  <c r="BM57" i="43"/>
  <c r="K57" i="43" s="1"/>
  <c r="BM34" i="43"/>
  <c r="K34" i="43" s="1"/>
  <c r="AF21" i="43"/>
  <c r="E21" i="43" s="1"/>
  <c r="BM14" i="43"/>
  <c r="K14" i="43" s="1"/>
  <c r="BM54" i="43"/>
  <c r="K54" i="43" s="1"/>
  <c r="CL21" i="43"/>
  <c r="R21" i="43" s="1"/>
  <c r="BM58" i="43"/>
  <c r="K58" i="43" s="1"/>
  <c r="CL50" i="43"/>
  <c r="R50" i="43" s="1"/>
  <c r="BM13" i="43"/>
  <c r="K13" i="43" s="1"/>
  <c r="AZ49" i="43"/>
  <c r="H49" i="43" s="1"/>
  <c r="BM16" i="43"/>
  <c r="K16" i="43" s="1"/>
  <c r="CL58" i="43"/>
  <c r="R58" i="43" s="1"/>
  <c r="S38" i="43"/>
  <c r="BM9" i="43"/>
  <c r="K9" i="43" s="1"/>
  <c r="AZ26" i="43"/>
  <c r="H26" i="43" s="1"/>
  <c r="AZ50" i="43"/>
  <c r="H50" i="43" s="1"/>
  <c r="AZ14" i="43"/>
  <c r="H14" i="43" s="1"/>
  <c r="BM42" i="43"/>
  <c r="K42" i="43" s="1"/>
  <c r="CL30" i="43"/>
  <c r="R30" i="43" s="1"/>
  <c r="S39" i="43"/>
  <c r="AF26" i="43"/>
  <c r="E26" i="43" s="1"/>
  <c r="C38" i="43"/>
  <c r="CL34" i="43"/>
  <c r="R34" i="43" s="1"/>
  <c r="AF54" i="43"/>
  <c r="E54" i="43" s="1"/>
  <c r="D31" i="43"/>
  <c r="D38" i="43"/>
  <c r="AF19" i="43"/>
  <c r="E19" i="43" s="1"/>
  <c r="BQ26" i="43"/>
  <c r="L26" i="43" s="1"/>
  <c r="CL52" i="43"/>
  <c r="R52" i="43" s="1"/>
  <c r="AF66" i="43"/>
  <c r="E66" i="43" s="1"/>
  <c r="BF52" i="43"/>
  <c r="J52" i="43" s="1"/>
  <c r="C33" i="43"/>
  <c r="AZ28" i="43"/>
  <c r="H28" i="43" s="1"/>
  <c r="AZ19" i="43"/>
  <c r="H19" i="43" s="1"/>
  <c r="CL14" i="43"/>
  <c r="R14" i="43" s="1"/>
  <c r="C56" i="43"/>
  <c r="AZ54" i="43"/>
  <c r="H54" i="43" s="1"/>
  <c r="AF52" i="43"/>
  <c r="E52" i="43" s="1"/>
  <c r="S33" i="43"/>
  <c r="D33" i="43"/>
  <c r="BF51" i="43"/>
  <c r="J51" i="43" s="1"/>
  <c r="BQ50" i="43"/>
  <c r="L50" i="43" s="1"/>
  <c r="D56" i="43"/>
  <c r="M6" i="43"/>
  <c r="BM44" i="43"/>
  <c r="K44" i="43" s="1"/>
  <c r="AZ62" i="43"/>
  <c r="H62" i="43" s="1"/>
  <c r="C31" i="43"/>
  <c r="BM28" i="43"/>
  <c r="K28" i="43" s="1"/>
  <c r="S31" i="43"/>
  <c r="BF41" i="43"/>
  <c r="J41" i="43" s="1"/>
  <c r="BF44" i="43"/>
  <c r="J44" i="43" s="1"/>
  <c r="AF37" i="43"/>
  <c r="E37" i="43" s="1"/>
  <c r="AF44" i="43"/>
  <c r="E44" i="43" s="1"/>
  <c r="AZ52" i="43"/>
  <c r="H52" i="43" s="1"/>
  <c r="AF28" i="43"/>
  <c r="E28" i="43" s="1"/>
  <c r="BM21" i="43"/>
  <c r="K21" i="43" s="1"/>
  <c r="AZ16" i="43"/>
  <c r="H16" i="43" s="1"/>
  <c r="BQ51" i="43"/>
  <c r="L51" i="43" s="1"/>
  <c r="AF20" i="43"/>
  <c r="E20" i="43" s="1"/>
  <c r="BQ41" i="43"/>
  <c r="L41" i="43" s="1"/>
  <c r="BQ54" i="43"/>
  <c r="L54" i="43" s="1"/>
  <c r="BM52" i="43"/>
  <c r="K52" i="43" s="1"/>
  <c r="CL16" i="43"/>
  <c r="R16" i="43" s="1"/>
  <c r="C39" i="43"/>
  <c r="D39" i="43"/>
  <c r="BQ13" i="43"/>
  <c r="L13" i="43" s="1"/>
  <c r="AF34" i="43"/>
  <c r="E34" i="43" s="1"/>
  <c r="CL26" i="43"/>
  <c r="R26" i="43" s="1"/>
  <c r="AZ37" i="43"/>
  <c r="H37" i="43" s="1"/>
  <c r="AF42" i="43"/>
  <c r="E42" i="43" s="1"/>
  <c r="BQ66" i="43"/>
  <c r="L66" i="43" s="1"/>
  <c r="N6" i="43"/>
  <c r="S56" i="43"/>
  <c r="AF51" i="43"/>
  <c r="E51" i="43" s="1"/>
  <c r="BQ47" i="43"/>
  <c r="L47" i="43" s="1"/>
  <c r="AF47" i="43"/>
  <c r="E47" i="43" s="1"/>
  <c r="AF14" i="43"/>
  <c r="E14" i="43" s="1"/>
  <c r="BM19" i="43"/>
  <c r="K19" i="43" s="1"/>
  <c r="BF64" i="43"/>
  <c r="J64" i="43" s="1"/>
  <c r="BQ52" i="43"/>
  <c r="L52" i="43" s="1"/>
  <c r="BQ7" i="43"/>
  <c r="L7" i="43" s="1"/>
  <c r="BQ10" i="43"/>
  <c r="L10" i="43" s="1"/>
  <c r="F6" i="43"/>
  <c r="AF63" i="43"/>
  <c r="E63" i="43" s="1"/>
  <c r="AZ20" i="43"/>
  <c r="H20" i="43" s="1"/>
  <c r="AZ66" i="43"/>
  <c r="H66" i="43" s="1"/>
  <c r="AZ45" i="43"/>
  <c r="H45" i="43" s="1"/>
  <c r="BF24" i="43"/>
  <c r="J24" i="43" s="1"/>
  <c r="AZ22" i="43"/>
  <c r="H22" i="43" s="1"/>
  <c r="AZ51" i="43"/>
  <c r="H51" i="43" s="1"/>
  <c r="BF15" i="43"/>
  <c r="J15" i="43" s="1"/>
  <c r="BQ57" i="43"/>
  <c r="L57" i="43" s="1"/>
  <c r="BM22" i="43"/>
  <c r="K22" i="43" s="1"/>
  <c r="BF23" i="43"/>
  <c r="J23" i="43" s="1"/>
  <c r="CL45" i="43"/>
  <c r="R45" i="43" s="1"/>
  <c r="CL66" i="43"/>
  <c r="R66" i="43" s="1"/>
  <c r="BF20" i="43"/>
  <c r="J20" i="43" s="1"/>
  <c r="BQ9" i="43"/>
  <c r="L9" i="43" s="1"/>
  <c r="AF16" i="43"/>
  <c r="E16" i="43" s="1"/>
  <c r="AZ53" i="43"/>
  <c r="H53" i="43" s="1"/>
  <c r="BF9" i="43"/>
  <c r="J9" i="43" s="1"/>
  <c r="BM15" i="43"/>
  <c r="K15" i="43" s="1"/>
  <c r="AF53" i="43"/>
  <c r="E53" i="43" s="1"/>
  <c r="AZ58" i="43"/>
  <c r="H58" i="43" s="1"/>
  <c r="AF64" i="43"/>
  <c r="E64" i="43" s="1"/>
  <c r="BF27" i="43"/>
  <c r="J27" i="43" s="1"/>
  <c r="CL54" i="43"/>
  <c r="R54" i="43" s="1"/>
  <c r="CL40" i="43"/>
  <c r="R40" i="43" s="1"/>
  <c r="BQ53" i="43"/>
  <c r="L53" i="43" s="1"/>
  <c r="BQ29" i="43"/>
  <c r="L29" i="43" s="1"/>
  <c r="BF10" i="43"/>
  <c r="J10" i="43" s="1"/>
  <c r="BQ30" i="43"/>
  <c r="L30" i="43" s="1"/>
  <c r="BF40" i="43"/>
  <c r="J40" i="43" s="1"/>
  <c r="AZ34" i="43"/>
  <c r="H34" i="43" s="1"/>
  <c r="BQ23" i="43"/>
  <c r="L23" i="43" s="1"/>
  <c r="BM12" i="43"/>
  <c r="K12" i="43" s="1"/>
  <c r="G6" i="43"/>
  <c r="BQ49" i="43"/>
  <c r="L49" i="43" s="1"/>
  <c r="BQ43" i="43"/>
  <c r="L43" i="43" s="1"/>
  <c r="BF22" i="43"/>
  <c r="J22" i="43" s="1"/>
  <c r="BF12" i="43"/>
  <c r="J12" i="43" s="1"/>
  <c r="CL9" i="43"/>
  <c r="R9" i="43" s="1"/>
  <c r="BQ22" i="43"/>
  <c r="L22" i="43" s="1"/>
  <c r="BF26" i="43"/>
  <c r="J26" i="43" s="1"/>
  <c r="BF46" i="43"/>
  <c r="J46" i="43" s="1"/>
  <c r="AF22" i="43"/>
  <c r="E22" i="43" s="1"/>
  <c r="AF43" i="43"/>
  <c r="E43" i="43" s="1"/>
  <c r="BF7" i="43"/>
  <c r="J7" i="43" s="1"/>
  <c r="D65" i="43"/>
  <c r="CL51" i="43"/>
  <c r="R51" i="43" s="1"/>
  <c r="Q6" i="43"/>
  <c r="BQ27" i="43"/>
  <c r="L27" i="43" s="1"/>
  <c r="CL46" i="43"/>
  <c r="R46" i="43" s="1"/>
  <c r="AF12" i="43"/>
  <c r="E12" i="43" s="1"/>
  <c r="BM66" i="43"/>
  <c r="K66" i="43" s="1"/>
  <c r="D18" i="43"/>
  <c r="BF50" i="43"/>
  <c r="J50" i="43" s="1"/>
  <c r="BQ40" i="43"/>
  <c r="L40" i="43" s="1"/>
  <c r="CL20" i="43"/>
  <c r="R20" i="43" s="1"/>
  <c r="D55" i="43"/>
  <c r="S55" i="43"/>
  <c r="C55" i="43"/>
  <c r="AZ27" i="43"/>
  <c r="H27" i="43" s="1"/>
  <c r="BM29" i="43"/>
  <c r="K29" i="43" s="1"/>
  <c r="BF62" i="43"/>
  <c r="J62" i="43" s="1"/>
  <c r="BM40" i="43"/>
  <c r="K40" i="43" s="1"/>
  <c r="BM8" i="43"/>
  <c r="K8" i="43" s="1"/>
  <c r="AZ30" i="43"/>
  <c r="H30" i="43" s="1"/>
  <c r="AZ29" i="43"/>
  <c r="H29" i="43" s="1"/>
  <c r="BM43" i="43"/>
  <c r="K43" i="43" s="1"/>
  <c r="S18" i="43"/>
  <c r="C65" i="43"/>
  <c r="BM59" i="43"/>
  <c r="K59" i="43" s="1"/>
  <c r="AZ8" i="43"/>
  <c r="H8" i="43" s="1"/>
  <c r="BQ46" i="43"/>
  <c r="L46" i="43" s="1"/>
  <c r="AZ10" i="43"/>
  <c r="H10" i="43" s="1"/>
  <c r="AF27" i="43"/>
  <c r="E27" i="43" s="1"/>
  <c r="S65" i="43"/>
  <c r="AZ23" i="43"/>
  <c r="H23" i="43" s="1"/>
  <c r="AF46" i="43"/>
  <c r="E46" i="43" s="1"/>
  <c r="BQ24" i="43"/>
  <c r="L24" i="43" s="1"/>
  <c r="BQ20" i="43"/>
  <c r="L20" i="43" s="1"/>
  <c r="AZ21" i="43"/>
  <c r="H21" i="43" s="1"/>
  <c r="AF10" i="43"/>
  <c r="E10" i="43" s="1"/>
  <c r="CL62" i="43"/>
  <c r="R62" i="43" s="1"/>
  <c r="CL57" i="43"/>
  <c r="R57" i="43" s="1"/>
  <c r="BF29" i="43"/>
  <c r="J29" i="43" s="1"/>
  <c r="AZ9" i="43"/>
  <c r="H9" i="43" s="1"/>
  <c r="AZ42" i="43"/>
  <c r="H42" i="43" s="1"/>
  <c r="BM23" i="43"/>
  <c r="K23" i="43" s="1"/>
  <c r="AF59" i="43"/>
  <c r="E59" i="43" s="1"/>
  <c r="D35" i="43"/>
  <c r="S35" i="43"/>
  <c r="C35" i="43"/>
  <c r="CL10" i="43"/>
  <c r="R10" i="43" s="1"/>
  <c r="BM46" i="43"/>
  <c r="K46" i="43" s="1"/>
  <c r="S48" i="43"/>
  <c r="D48" i="43"/>
  <c r="C48" i="43"/>
  <c r="BM26" i="43"/>
  <c r="K26" i="43" s="1"/>
  <c r="S36" i="43"/>
  <c r="D36" i="43"/>
  <c r="C36" i="43"/>
  <c r="BF45" i="43"/>
  <c r="J45" i="43" s="1"/>
  <c r="BF49" i="43"/>
  <c r="J49" i="43" s="1"/>
  <c r="AZ47" i="43"/>
  <c r="H47" i="43" s="1"/>
  <c r="BM27" i="43"/>
  <c r="K27" i="43" s="1"/>
  <c r="O6" i="43"/>
  <c r="BM30" i="43"/>
  <c r="K30" i="43" s="1"/>
  <c r="CL59" i="43"/>
  <c r="R59" i="43" s="1"/>
  <c r="AF62" i="43"/>
  <c r="E62" i="43" s="1"/>
  <c r="CL12" i="43"/>
  <c r="R12" i="43" s="1"/>
  <c r="P6" i="43"/>
  <c r="BM37" i="43"/>
  <c r="K37" i="43" s="1"/>
  <c r="D17" i="43"/>
  <c r="C17" i="43"/>
  <c r="S17" i="43"/>
  <c r="AZ24" i="43"/>
  <c r="H24" i="43" s="1"/>
  <c r="CL44" i="43"/>
  <c r="R44" i="43" s="1"/>
  <c r="BM10" i="43"/>
  <c r="K10" i="43" s="1"/>
  <c r="CL7" i="43"/>
  <c r="R7" i="43" s="1"/>
  <c r="BQ63" i="43"/>
  <c r="L63" i="43" s="1"/>
  <c r="AZ40" i="43"/>
  <c r="H40" i="43" s="1"/>
  <c r="D60" i="43"/>
  <c r="S60" i="43"/>
  <c r="C60" i="43"/>
  <c r="BF30" i="43"/>
  <c r="J30" i="43" s="1"/>
  <c r="AF40" i="43"/>
  <c r="E40" i="43" s="1"/>
  <c r="AZ57" i="43"/>
  <c r="H57" i="43" s="1"/>
  <c r="AZ43" i="43"/>
  <c r="H43" i="43" s="1"/>
  <c r="BF47" i="43"/>
  <c r="J47" i="43" s="1"/>
  <c r="C25" i="43"/>
  <c r="S25" i="43"/>
  <c r="D25" i="43"/>
  <c r="D11" i="43"/>
  <c r="S11" i="43"/>
  <c r="C11" i="43"/>
  <c r="AZ63" i="43"/>
  <c r="H63" i="43" s="1"/>
  <c r="CL47" i="43"/>
  <c r="R47" i="43" s="1"/>
  <c r="CL64" i="43"/>
  <c r="R64" i="43" s="1"/>
  <c r="CL15" i="43"/>
  <c r="R15" i="43" s="1"/>
  <c r="CL41" i="43"/>
  <c r="R41" i="43" s="1"/>
  <c r="BF57" i="43"/>
  <c r="J57" i="43" s="1"/>
  <c r="AZ12" i="43"/>
  <c r="H12" i="43" s="1"/>
  <c r="AZ46" i="43"/>
  <c r="H46" i="43" s="1"/>
  <c r="AF30" i="43"/>
  <c r="E30" i="43" s="1"/>
  <c r="BF58" i="43"/>
  <c r="J58" i="43" s="1"/>
  <c r="BF37" i="43"/>
  <c r="J37" i="43" s="1"/>
  <c r="BF53" i="43"/>
  <c r="J53" i="43" s="1"/>
  <c r="AZ15" i="43"/>
  <c r="H15" i="43" s="1"/>
  <c r="BF42" i="43"/>
  <c r="J42" i="43" s="1"/>
  <c r="CL37" i="43"/>
  <c r="R37" i="43" s="1"/>
  <c r="AZ64" i="43"/>
  <c r="H64" i="43" s="1"/>
  <c r="BM45" i="43"/>
  <c r="K45" i="43" s="1"/>
  <c r="CL53" i="43"/>
  <c r="R53" i="43" s="1"/>
  <c r="BM53" i="43"/>
  <c r="K53" i="43" s="1"/>
  <c r="CL23" i="43"/>
  <c r="R23" i="43" s="1"/>
  <c r="BF43" i="43"/>
  <c r="J43" i="43" s="1"/>
  <c r="D32" i="43"/>
  <c r="C32" i="43"/>
  <c r="S32" i="43"/>
  <c r="CL49" i="43"/>
  <c r="R49" i="43" s="1"/>
  <c r="BQ44" i="43"/>
  <c r="L44" i="43" s="1"/>
  <c r="CL43" i="43"/>
  <c r="R43" i="43" s="1"/>
  <c r="AZ13" i="43"/>
  <c r="H13" i="43" s="1"/>
  <c r="AZ7" i="43"/>
  <c r="H7" i="43" s="1"/>
  <c r="AF45" i="43"/>
  <c r="E45" i="43" s="1"/>
  <c r="BQ42" i="43"/>
  <c r="L42" i="43" s="1"/>
  <c r="CL8" i="43"/>
  <c r="R8" i="43" s="1"/>
  <c r="AF24" i="43"/>
  <c r="E24" i="43" s="1"/>
  <c r="AF13" i="43"/>
  <c r="E13" i="43" s="1"/>
  <c r="AZ59" i="43"/>
  <c r="AF57" i="43"/>
  <c r="E57" i="43" s="1"/>
  <c r="CL24" i="43"/>
  <c r="R24" i="43" s="1"/>
  <c r="AF50" i="43"/>
  <c r="E50" i="43" s="1"/>
  <c r="BQ62" i="43"/>
  <c r="L62" i="43" s="1"/>
  <c r="BM41" i="43"/>
  <c r="K41" i="43" s="1"/>
  <c r="CL22" i="43"/>
  <c r="R22" i="43" s="1"/>
  <c r="BM64" i="43"/>
  <c r="K64" i="43" s="1"/>
  <c r="BM24" i="43"/>
  <c r="K24" i="43" s="1"/>
  <c r="BM63" i="43"/>
  <c r="K63" i="43" s="1"/>
  <c r="BM50" i="43"/>
  <c r="K50" i="43" s="1"/>
  <c r="AF41" i="43"/>
  <c r="E41" i="43" s="1"/>
  <c r="AF29" i="43"/>
  <c r="E29" i="43" s="1"/>
  <c r="AF23" i="43"/>
  <c r="E23" i="43" s="1"/>
  <c r="BQ59" i="43"/>
  <c r="L59" i="43" s="1"/>
  <c r="AZ41" i="43"/>
  <c r="H41" i="43" s="1"/>
  <c r="BM7" i="43"/>
  <c r="K7" i="43" s="1"/>
  <c r="C18" i="43"/>
  <c r="AF58" i="43"/>
  <c r="E58" i="43" s="1"/>
  <c r="BM20" i="43"/>
  <c r="K20" i="43" s="1"/>
  <c r="S61" i="43"/>
  <c r="D61" i="43"/>
  <c r="C61" i="43"/>
  <c r="BM47" i="43"/>
  <c r="K47" i="43" s="1"/>
  <c r="BM62" i="43"/>
  <c r="K62" i="43" s="1"/>
  <c r="AF7" i="43"/>
  <c r="E7" i="43" s="1"/>
  <c r="CL13" i="43"/>
  <c r="R13" i="43" s="1"/>
  <c r="AC92" i="26"/>
  <c r="AC94" i="26"/>
  <c r="AC93" i="26"/>
  <c r="AC91" i="26"/>
  <c r="AJ237" i="25"/>
  <c r="AJ239" i="25"/>
  <c r="AJ236" i="25"/>
  <c r="AJ238" i="25"/>
  <c r="E240" i="21"/>
  <c r="F240" i="21" s="1"/>
  <c r="S238" i="21"/>
  <c r="T238" i="21" s="1"/>
  <c r="S240" i="21"/>
  <c r="T240" i="21" s="1"/>
  <c r="G236" i="21"/>
  <c r="H236" i="21" s="1"/>
  <c r="C239" i="21"/>
  <c r="D239" i="21" s="1"/>
  <c r="Q226" i="21"/>
  <c r="R226" i="21" s="1"/>
  <c r="S230" i="21"/>
  <c r="T230" i="21" s="1"/>
  <c r="M233" i="21"/>
  <c r="N233" i="21" s="1"/>
  <c r="O240" i="21"/>
  <c r="P240" i="21" s="1"/>
  <c r="C231" i="21"/>
  <c r="D231" i="21" s="1"/>
  <c r="Q240" i="21"/>
  <c r="R240" i="21" s="1"/>
  <c r="K228" i="21"/>
  <c r="L228" i="21" s="1"/>
  <c r="G231" i="21"/>
  <c r="H231" i="21" s="1"/>
  <c r="G237" i="21"/>
  <c r="H237" i="21" s="1"/>
  <c r="I237" i="21"/>
  <c r="J237" i="21" s="1"/>
  <c r="K234" i="21"/>
  <c r="L234" i="21" s="1"/>
  <c r="I243" i="21"/>
  <c r="J243" i="21" s="1"/>
  <c r="I228" i="21"/>
  <c r="J228" i="21" s="1"/>
  <c r="G239" i="21"/>
  <c r="H239" i="21" s="1"/>
  <c r="C230" i="21"/>
  <c r="D230" i="21" s="1"/>
  <c r="M228" i="21"/>
  <c r="N228" i="21" s="1"/>
  <c r="E231" i="21"/>
  <c r="F231" i="21" s="1"/>
  <c r="C233" i="21"/>
  <c r="D233" i="21" s="1"/>
  <c r="K237" i="21"/>
  <c r="L237" i="21" s="1"/>
  <c r="C238" i="21"/>
  <c r="D238" i="21" s="1"/>
  <c r="R235" i="21"/>
  <c r="G238" i="21"/>
  <c r="H238" i="21" s="1"/>
  <c r="S231" i="21"/>
  <c r="T231" i="21" s="1"/>
  <c r="O233" i="21"/>
  <c r="P233" i="21" s="1"/>
  <c r="I238" i="21"/>
  <c r="J238" i="21" s="1"/>
  <c r="Q233" i="21"/>
  <c r="R233" i="21" s="1"/>
  <c r="K229" i="21"/>
  <c r="L229" i="21" s="1"/>
  <c r="S233" i="21"/>
  <c r="T233" i="21" s="1"/>
  <c r="M234" i="21"/>
  <c r="N234" i="21" s="1"/>
  <c r="I236" i="21"/>
  <c r="J236" i="21" s="1"/>
  <c r="K226" i="21"/>
  <c r="L226" i="21" s="1"/>
  <c r="O234" i="21"/>
  <c r="P234" i="21" s="1"/>
  <c r="K236" i="21"/>
  <c r="L236" i="21" s="1"/>
  <c r="M226" i="21"/>
  <c r="N226" i="21" s="1"/>
  <c r="Q234" i="21"/>
  <c r="R234" i="21" s="1"/>
  <c r="M236" i="21"/>
  <c r="N236" i="21" s="1"/>
  <c r="S239" i="21"/>
  <c r="T239" i="21" s="1"/>
  <c r="O226" i="21"/>
  <c r="P226" i="21" s="1"/>
  <c r="C240" i="21"/>
  <c r="D240" i="21" s="1"/>
  <c r="Q228" i="21"/>
  <c r="R228" i="21" s="1"/>
  <c r="O229" i="21"/>
  <c r="P229" i="21" s="1"/>
  <c r="M230" i="21"/>
  <c r="N230" i="21" s="1"/>
  <c r="K231" i="21"/>
  <c r="L231" i="21" s="1"/>
  <c r="G233" i="21"/>
  <c r="H233" i="21" s="1"/>
  <c r="E234" i="21"/>
  <c r="F234" i="21" s="1"/>
  <c r="Q236" i="21"/>
  <c r="R236" i="21" s="1"/>
  <c r="O237" i="21"/>
  <c r="P237" i="21" s="1"/>
  <c r="I240" i="21"/>
  <c r="J240" i="21" s="1"/>
  <c r="G241" i="21"/>
  <c r="H241" i="21" s="1"/>
  <c r="E242" i="21"/>
  <c r="F242" i="21" s="1"/>
  <c r="C228" i="21"/>
  <c r="D228" i="21" s="1"/>
  <c r="S228" i="21"/>
  <c r="T228" i="21" s="1"/>
  <c r="Q229" i="21"/>
  <c r="R229" i="21" s="1"/>
  <c r="O230" i="21"/>
  <c r="P230" i="21" s="1"/>
  <c r="M231" i="21"/>
  <c r="N231" i="21" s="1"/>
  <c r="I233" i="21"/>
  <c r="J233" i="21" s="1"/>
  <c r="G234" i="21"/>
  <c r="H234" i="21" s="1"/>
  <c r="C236" i="21"/>
  <c r="D236" i="21" s="1"/>
  <c r="S236" i="21"/>
  <c r="T236" i="21" s="1"/>
  <c r="Q237" i="21"/>
  <c r="R237" i="21" s="1"/>
  <c r="K240" i="21"/>
  <c r="L240" i="21" s="1"/>
  <c r="I241" i="21"/>
  <c r="J241" i="21" s="1"/>
  <c r="G242" i="21"/>
  <c r="H242" i="21" s="1"/>
  <c r="C226" i="21"/>
  <c r="D226" i="21" s="1"/>
  <c r="S226" i="21"/>
  <c r="T226" i="21" s="1"/>
  <c r="O228" i="21"/>
  <c r="P228" i="21" s="1"/>
  <c r="M229" i="21"/>
  <c r="N229" i="21" s="1"/>
  <c r="K230" i="21"/>
  <c r="L230" i="21" s="1"/>
  <c r="I231" i="21"/>
  <c r="J231" i="21" s="1"/>
  <c r="E233" i="21"/>
  <c r="F233" i="21" s="1"/>
  <c r="C234" i="21"/>
  <c r="D234" i="21" s="1"/>
  <c r="S234" i="21"/>
  <c r="T234" i="21" s="1"/>
  <c r="O236" i="21"/>
  <c r="P236" i="21" s="1"/>
  <c r="M237" i="21"/>
  <c r="N237" i="21" s="1"/>
  <c r="I239" i="21"/>
  <c r="J239" i="21" s="1"/>
  <c r="G240" i="21"/>
  <c r="H240" i="21" s="1"/>
  <c r="E241" i="21"/>
  <c r="F241" i="21" s="1"/>
  <c r="I226" i="21"/>
  <c r="J226" i="21" s="1"/>
  <c r="C229" i="21"/>
  <c r="D229" i="21" s="1"/>
  <c r="S229" i="21"/>
  <c r="T229" i="21" s="1"/>
  <c r="Q230" i="21"/>
  <c r="R230" i="21" s="1"/>
  <c r="O231" i="21"/>
  <c r="P231" i="21" s="1"/>
  <c r="K233" i="21"/>
  <c r="L233" i="21" s="1"/>
  <c r="I234" i="21"/>
  <c r="J234" i="21" s="1"/>
  <c r="C237" i="21"/>
  <c r="D237" i="21" s="1"/>
  <c r="S237" i="21"/>
  <c r="T237" i="21" s="1"/>
  <c r="M240" i="21"/>
  <c r="N240" i="21" s="1"/>
  <c r="I242" i="21"/>
  <c r="J242" i="21" s="1"/>
  <c r="E31" i="21"/>
  <c r="F31" i="21" s="1"/>
  <c r="E13" i="21"/>
  <c r="F13" i="21" s="1"/>
  <c r="E24" i="21"/>
  <c r="F24" i="21" s="1"/>
  <c r="E36" i="21"/>
  <c r="F36" i="21" s="1"/>
  <c r="E23" i="21"/>
  <c r="F23" i="21" s="1"/>
  <c r="E35" i="21"/>
  <c r="F35" i="21" s="1"/>
  <c r="E29" i="21"/>
  <c r="F29" i="21" s="1"/>
  <c r="E17" i="21"/>
  <c r="F17" i="21" s="1"/>
  <c r="E28" i="21"/>
  <c r="F28" i="21" s="1"/>
  <c r="E22" i="21"/>
  <c r="F22" i="21" s="1"/>
  <c r="E34" i="21"/>
  <c r="F34" i="21" s="1"/>
  <c r="E20" i="21"/>
  <c r="F20" i="21" s="1"/>
  <c r="E14" i="21"/>
  <c r="F14" i="21" s="1"/>
  <c r="E134" i="21"/>
  <c r="F134" i="21" s="1"/>
  <c r="D217" i="21"/>
  <c r="E136" i="21"/>
  <c r="F136" i="21" s="1"/>
  <c r="E117" i="21"/>
  <c r="F117" i="21" s="1"/>
  <c r="E129" i="21"/>
  <c r="F129" i="21" s="1"/>
  <c r="E114" i="21"/>
  <c r="F114" i="21" s="1"/>
  <c r="E137" i="21"/>
  <c r="F137" i="21" s="1"/>
  <c r="E131" i="21"/>
  <c r="F131" i="21" s="1"/>
  <c r="E113" i="21"/>
  <c r="F113" i="21" s="1"/>
  <c r="E124" i="21"/>
  <c r="F124" i="21" s="1"/>
  <c r="E135" i="21"/>
  <c r="F135" i="21" s="1"/>
  <c r="E123" i="21"/>
  <c r="F123" i="21" s="1"/>
  <c r="E132" i="21"/>
  <c r="F132" i="21" s="1"/>
  <c r="E120" i="21"/>
  <c r="F120" i="21" s="1"/>
  <c r="E122" i="21"/>
  <c r="F122" i="21" s="1"/>
  <c r="S20" i="20"/>
  <c r="B43" i="20"/>
  <c r="R34" i="20"/>
  <c r="S22" i="20"/>
  <c r="Q29" i="20"/>
  <c r="R29" i="20"/>
  <c r="S13" i="20"/>
  <c r="Q35" i="20"/>
  <c r="R36" i="20"/>
  <c r="R16" i="20"/>
  <c r="Q37" i="20"/>
  <c r="R10" i="20"/>
  <c r="R23" i="20"/>
  <c r="R32" i="20"/>
  <c r="Q38" i="20"/>
  <c r="S17" i="20"/>
  <c r="R33" i="20"/>
  <c r="B42" i="20"/>
  <c r="Q30" i="20"/>
  <c r="R21" i="20"/>
  <c r="R31" i="20"/>
  <c r="R12" i="20"/>
  <c r="K33" i="19"/>
  <c r="L33" i="19" s="1"/>
  <c r="B29" i="19"/>
  <c r="C30" i="19"/>
  <c r="E30" i="19" s="1"/>
  <c r="J33" i="19"/>
  <c r="C31" i="19"/>
  <c r="E31" i="19" s="1"/>
  <c r="C33" i="19"/>
  <c r="E33" i="19" s="1"/>
  <c r="J30" i="19"/>
  <c r="B31" i="19"/>
  <c r="D31" i="19" s="1"/>
  <c r="C28" i="19"/>
  <c r="D28" i="19" s="1"/>
  <c r="D32" i="19"/>
  <c r="B33" i="19"/>
  <c r="J29" i="19"/>
  <c r="B30" i="19"/>
  <c r="D30" i="19" s="1"/>
  <c r="K29" i="19"/>
  <c r="C29" i="19"/>
  <c r="E32" i="19"/>
  <c r="K30" i="19"/>
  <c r="H28" i="19"/>
  <c r="J28" i="19" s="1"/>
  <c r="J31" i="19"/>
  <c r="H32" i="19"/>
  <c r="K31" i="19"/>
  <c r="L31" i="19" s="1"/>
  <c r="I32" i="19"/>
  <c r="K32" i="19" s="1"/>
  <c r="K28" i="19"/>
  <c r="D26" i="43" l="1"/>
  <c r="S66" i="43"/>
  <c r="D34" i="43"/>
  <c r="C14" i="43"/>
  <c r="C16" i="43"/>
  <c r="S19" i="43"/>
  <c r="C52" i="43"/>
  <c r="D28" i="43"/>
  <c r="C20" i="43"/>
  <c r="S43" i="43"/>
  <c r="S54" i="43"/>
  <c r="S21" i="43"/>
  <c r="D16" i="43"/>
  <c r="S16" i="43"/>
  <c r="C28" i="43"/>
  <c r="S26" i="43"/>
  <c r="S28" i="43"/>
  <c r="S44" i="43"/>
  <c r="C19" i="43"/>
  <c r="D19" i="43"/>
  <c r="C37" i="43"/>
  <c r="D51" i="43"/>
  <c r="S34" i="43"/>
  <c r="S15" i="43"/>
  <c r="C54" i="43"/>
  <c r="D14" i="43"/>
  <c r="D54" i="43"/>
  <c r="S14" i="43"/>
  <c r="C66" i="43"/>
  <c r="S52" i="43"/>
  <c r="S64" i="43"/>
  <c r="D66" i="43"/>
  <c r="C43" i="43"/>
  <c r="D12" i="43"/>
  <c r="C63" i="43"/>
  <c r="C34" i="43"/>
  <c r="D43" i="43"/>
  <c r="D52" i="43"/>
  <c r="C26" i="43"/>
  <c r="D37" i="43"/>
  <c r="L6" i="43"/>
  <c r="S37" i="43"/>
  <c r="D44" i="43"/>
  <c r="S12" i="43"/>
  <c r="D47" i="43"/>
  <c r="C12" i="43"/>
  <c r="D49" i="43"/>
  <c r="D42" i="43"/>
  <c r="S49" i="43"/>
  <c r="J6" i="43"/>
  <c r="D63" i="43"/>
  <c r="D53" i="43"/>
  <c r="D21" i="43"/>
  <c r="H6" i="43"/>
  <c r="C51" i="43"/>
  <c r="D22" i="43"/>
  <c r="S51" i="43"/>
  <c r="S13" i="43"/>
  <c r="D13" i="43"/>
  <c r="C13" i="43"/>
  <c r="S63" i="43"/>
  <c r="D10" i="43"/>
  <c r="C10" i="43"/>
  <c r="S10" i="43"/>
  <c r="K6" i="43"/>
  <c r="S24" i="43"/>
  <c r="C24" i="43"/>
  <c r="D24" i="43"/>
  <c r="C8" i="43"/>
  <c r="D8" i="43"/>
  <c r="S8" i="43"/>
  <c r="C44" i="43"/>
  <c r="S47" i="43"/>
  <c r="C30" i="43"/>
  <c r="S30" i="43"/>
  <c r="D30" i="43"/>
  <c r="C21" i="43"/>
  <c r="D23" i="43"/>
  <c r="C23" i="43"/>
  <c r="S23" i="43"/>
  <c r="C47" i="43"/>
  <c r="C46" i="43"/>
  <c r="S46" i="43"/>
  <c r="D46" i="43"/>
  <c r="C42" i="43"/>
  <c r="S45" i="43"/>
  <c r="C45" i="43"/>
  <c r="D45" i="43"/>
  <c r="R6" i="43"/>
  <c r="S59" i="43"/>
  <c r="C59" i="43"/>
  <c r="D59" i="43"/>
  <c r="C22" i="43"/>
  <c r="S20" i="43"/>
  <c r="E6" i="43"/>
  <c r="S7" i="43"/>
  <c r="C7" i="43"/>
  <c r="D7" i="43"/>
  <c r="S22" i="43"/>
  <c r="C9" i="43"/>
  <c r="D9" i="43"/>
  <c r="S9" i="43"/>
  <c r="S53" i="43"/>
  <c r="S29" i="43"/>
  <c r="D29" i="43"/>
  <c r="C29" i="43"/>
  <c r="C53" i="43"/>
  <c r="C41" i="43"/>
  <c r="D41" i="43"/>
  <c r="S41" i="43"/>
  <c r="D64" i="43"/>
  <c r="D40" i="43"/>
  <c r="C40" i="43"/>
  <c r="S40" i="43"/>
  <c r="C64" i="43"/>
  <c r="D20" i="43"/>
  <c r="D50" i="43"/>
  <c r="S50" i="43"/>
  <c r="C50" i="43"/>
  <c r="C15" i="43"/>
  <c r="S27" i="43"/>
  <c r="C27" i="43"/>
  <c r="D27" i="43"/>
  <c r="S42" i="43"/>
  <c r="D57" i="43"/>
  <c r="S57" i="43"/>
  <c r="C57" i="43"/>
  <c r="D15" i="43"/>
  <c r="S58" i="43"/>
  <c r="C58" i="43"/>
  <c r="D58" i="43"/>
  <c r="C49" i="43"/>
  <c r="D62" i="43"/>
  <c r="C62" i="43"/>
  <c r="S62" i="43"/>
  <c r="B44" i="20"/>
  <c r="D29" i="19"/>
  <c r="E28" i="19"/>
  <c r="F28" i="19" s="1"/>
  <c r="E29" i="19"/>
  <c r="F30" i="19"/>
  <c r="D33" i="19"/>
  <c r="F33" i="19" s="1"/>
  <c r="L30" i="19"/>
  <c r="L29" i="19"/>
  <c r="F32" i="19"/>
  <c r="F31" i="19"/>
  <c r="J32" i="19"/>
  <c r="I34" i="19" s="1"/>
  <c r="L28" i="19"/>
  <c r="I35" i="19"/>
  <c r="F29" i="19" l="1"/>
  <c r="C35" i="19"/>
  <c r="C34" i="19"/>
  <c r="I36" i="19"/>
  <c r="L32" i="19"/>
  <c r="C36" i="19" l="1"/>
  <c r="AH33" i="16"/>
  <c r="AG33" i="16"/>
  <c r="AF33" i="16"/>
  <c r="AE33" i="16"/>
  <c r="AD33" i="16"/>
  <c r="AC33" i="16"/>
  <c r="AB33" i="16"/>
  <c r="I33" i="16" s="1"/>
  <c r="AA33" i="16"/>
  <c r="H33" i="16" s="1"/>
  <c r="AH32" i="16"/>
  <c r="AG32" i="16"/>
  <c r="AF32" i="16"/>
  <c r="AE32" i="16"/>
  <c r="AD32" i="16"/>
  <c r="AC32" i="16"/>
  <c r="AB32" i="16"/>
  <c r="I32" i="16" s="1"/>
  <c r="AA32" i="16"/>
  <c r="B32" i="16" s="1"/>
  <c r="AH31" i="16"/>
  <c r="AG31" i="16"/>
  <c r="AF31" i="16"/>
  <c r="AE31" i="16"/>
  <c r="AD31" i="16"/>
  <c r="AC31" i="16"/>
  <c r="AB31" i="16"/>
  <c r="I31" i="16" s="1"/>
  <c r="AA31" i="16"/>
  <c r="H31" i="16" s="1"/>
  <c r="AH30" i="16"/>
  <c r="AG30" i="16"/>
  <c r="AF30" i="16"/>
  <c r="AE30" i="16"/>
  <c r="AD30" i="16"/>
  <c r="AC30" i="16"/>
  <c r="AB30" i="16"/>
  <c r="C30" i="16" s="1"/>
  <c r="AA30" i="16"/>
  <c r="H30" i="16" s="1"/>
  <c r="AH29" i="16"/>
  <c r="AG29" i="16"/>
  <c r="AF29" i="16"/>
  <c r="AE29" i="16"/>
  <c r="AD29" i="16"/>
  <c r="AC29" i="16"/>
  <c r="AB29" i="16"/>
  <c r="I29" i="16" s="1"/>
  <c r="AA29" i="16"/>
  <c r="H29" i="16" s="1"/>
  <c r="AH28" i="16"/>
  <c r="AG28" i="16"/>
  <c r="AF28" i="16"/>
  <c r="AE28" i="16"/>
  <c r="AD28" i="16"/>
  <c r="AC28" i="16"/>
  <c r="AB28" i="16"/>
  <c r="I28" i="16" s="1"/>
  <c r="AA28" i="16"/>
  <c r="B28" i="16" s="1"/>
  <c r="L23" i="16"/>
  <c r="J23" i="16"/>
  <c r="H23" i="16"/>
  <c r="F23" i="16"/>
  <c r="D23" i="16"/>
  <c r="B23" i="16"/>
  <c r="I19" i="16"/>
  <c r="B19" i="16"/>
  <c r="I17" i="16"/>
  <c r="B17" i="16"/>
  <c r="I13" i="16"/>
  <c r="B13" i="16"/>
  <c r="I9" i="16"/>
  <c r="B9" i="16"/>
  <c r="AA7" i="16"/>
  <c r="AA6" i="16"/>
  <c r="B6" i="16"/>
  <c r="AI5" i="16"/>
  <c r="AA5" i="16"/>
  <c r="B5" i="16"/>
  <c r="AI4" i="16"/>
  <c r="AA4" i="16"/>
  <c r="M4" i="16"/>
  <c r="J4" i="16"/>
  <c r="F4" i="16"/>
  <c r="D4" i="16"/>
  <c r="O6" i="15"/>
  <c r="N6" i="15"/>
  <c r="M6" i="15"/>
  <c r="L6" i="15"/>
  <c r="K6" i="15"/>
  <c r="J6" i="15"/>
  <c r="I6" i="15"/>
  <c r="H6" i="15"/>
  <c r="G6" i="15"/>
  <c r="F6" i="15"/>
  <c r="E6" i="15"/>
  <c r="O4" i="15"/>
  <c r="N4" i="15"/>
  <c r="M4" i="15"/>
  <c r="L4" i="15"/>
  <c r="K4" i="15"/>
  <c r="J4" i="15"/>
  <c r="I4" i="15"/>
  <c r="H4" i="15"/>
  <c r="G4" i="15"/>
  <c r="F4" i="15"/>
  <c r="E4" i="15"/>
  <c r="C29" i="16" l="1"/>
  <c r="E29" i="16" s="1"/>
  <c r="C33" i="16"/>
  <c r="E33" i="16" s="1"/>
  <c r="K32" i="16"/>
  <c r="C32" i="16"/>
  <c r="E32" i="16" s="1"/>
  <c r="B31" i="16"/>
  <c r="D31" i="16" s="1"/>
  <c r="C31" i="16"/>
  <c r="E31" i="16" s="1"/>
  <c r="B29" i="16"/>
  <c r="J33" i="16"/>
  <c r="C28" i="16"/>
  <c r="E28" i="16" s="1"/>
  <c r="E30" i="16"/>
  <c r="J31" i="16"/>
  <c r="B30" i="16"/>
  <c r="D30" i="16" s="1"/>
  <c r="D32" i="16"/>
  <c r="B33" i="16"/>
  <c r="J29" i="16"/>
  <c r="I30" i="16"/>
  <c r="J30" i="16" s="1"/>
  <c r="K33" i="16"/>
  <c r="H28" i="16"/>
  <c r="J28" i="16" s="1"/>
  <c r="H32" i="16"/>
  <c r="J32" i="16" s="1"/>
  <c r="K31" i="16"/>
  <c r="K29" i="16"/>
  <c r="K28" i="16"/>
  <c r="AH33" i="11"/>
  <c r="AG33" i="11"/>
  <c r="AF33" i="11"/>
  <c r="AE33" i="11"/>
  <c r="AD33" i="11"/>
  <c r="AC33" i="11"/>
  <c r="AB33" i="11"/>
  <c r="I33" i="11" s="1"/>
  <c r="AA33" i="11"/>
  <c r="H33" i="11" s="1"/>
  <c r="AH32" i="11"/>
  <c r="AG32" i="11"/>
  <c r="AF32" i="11"/>
  <c r="AE32" i="11"/>
  <c r="AD32" i="11"/>
  <c r="AC32" i="11"/>
  <c r="AB32" i="11"/>
  <c r="C32" i="11" s="1"/>
  <c r="AA32" i="11"/>
  <c r="B32" i="11" s="1"/>
  <c r="AH31" i="11"/>
  <c r="AG31" i="11"/>
  <c r="AF31" i="11"/>
  <c r="AE31" i="11"/>
  <c r="AD31" i="11"/>
  <c r="AC31" i="11"/>
  <c r="AB31" i="11"/>
  <c r="I31" i="11" s="1"/>
  <c r="AA31" i="11"/>
  <c r="B31" i="11" s="1"/>
  <c r="AH30" i="11"/>
  <c r="AG30" i="11"/>
  <c r="AF30" i="11"/>
  <c r="AE30" i="11"/>
  <c r="AD30" i="11"/>
  <c r="AC30" i="11"/>
  <c r="AB30" i="11"/>
  <c r="C30" i="11" s="1"/>
  <c r="AA30" i="11"/>
  <c r="H30" i="11" s="1"/>
  <c r="AH29" i="11"/>
  <c r="AG29" i="11"/>
  <c r="AF29" i="11"/>
  <c r="AE29" i="11"/>
  <c r="AD29" i="11"/>
  <c r="AC29" i="11"/>
  <c r="AB29" i="11"/>
  <c r="I29" i="11" s="1"/>
  <c r="AA29" i="11"/>
  <c r="H29" i="11" s="1"/>
  <c r="AH28" i="11"/>
  <c r="AG28" i="11"/>
  <c r="AF28" i="11"/>
  <c r="AE28" i="11"/>
  <c r="AD28" i="11"/>
  <c r="AC28" i="11"/>
  <c r="AB28" i="11"/>
  <c r="C28" i="11" s="1"/>
  <c r="AA28" i="11"/>
  <c r="B28" i="11" s="1"/>
  <c r="L23" i="11"/>
  <c r="J23" i="11"/>
  <c r="H23" i="11"/>
  <c r="F23" i="11"/>
  <c r="D23" i="11"/>
  <c r="B23" i="11"/>
  <c r="I19" i="11"/>
  <c r="B19" i="11"/>
  <c r="I17" i="11"/>
  <c r="B17" i="11"/>
  <c r="I13" i="11"/>
  <c r="B13" i="11"/>
  <c r="I9" i="11"/>
  <c r="B9" i="11"/>
  <c r="AA7" i="11"/>
  <c r="AA6" i="11"/>
  <c r="B6" i="11"/>
  <c r="AI5" i="11"/>
  <c r="AA5" i="11"/>
  <c r="B5" i="11"/>
  <c r="AI4" i="11"/>
  <c r="AA4" i="11"/>
  <c r="M4" i="11"/>
  <c r="J4" i="11"/>
  <c r="F4" i="11"/>
  <c r="D4" i="11"/>
  <c r="AH33" i="8"/>
  <c r="AG33" i="8"/>
  <c r="AF33" i="8"/>
  <c r="AE33" i="8"/>
  <c r="AD33" i="8"/>
  <c r="AC33" i="8"/>
  <c r="AB33" i="8"/>
  <c r="I33" i="8" s="1"/>
  <c r="AA33" i="8"/>
  <c r="H33" i="8" s="1"/>
  <c r="AH32" i="8"/>
  <c r="AG32" i="8"/>
  <c r="AF32" i="8"/>
  <c r="AE32" i="8"/>
  <c r="AD32" i="8"/>
  <c r="AC32" i="8"/>
  <c r="AB32" i="8"/>
  <c r="C32" i="8" s="1"/>
  <c r="AA32" i="8"/>
  <c r="B32" i="8" s="1"/>
  <c r="AH31" i="8"/>
  <c r="AG31" i="8"/>
  <c r="AF31" i="8"/>
  <c r="AE31" i="8"/>
  <c r="AD31" i="8"/>
  <c r="AC31" i="8"/>
  <c r="AB31" i="8"/>
  <c r="C31" i="8" s="1"/>
  <c r="AA31" i="8"/>
  <c r="B31" i="8" s="1"/>
  <c r="AH30" i="8"/>
  <c r="AG30" i="8"/>
  <c r="AF30" i="8"/>
  <c r="AE30" i="8"/>
  <c r="AD30" i="8"/>
  <c r="AC30" i="8"/>
  <c r="AB30" i="8"/>
  <c r="C30" i="8" s="1"/>
  <c r="AA30" i="8"/>
  <c r="H30" i="8" s="1"/>
  <c r="AH29" i="8"/>
  <c r="AG29" i="8"/>
  <c r="AF29" i="8"/>
  <c r="AE29" i="8"/>
  <c r="AD29" i="8"/>
  <c r="AC29" i="8"/>
  <c r="AB29" i="8"/>
  <c r="I29" i="8" s="1"/>
  <c r="AA29" i="8"/>
  <c r="H29" i="8" s="1"/>
  <c r="AH28" i="8"/>
  <c r="AG28" i="8"/>
  <c r="AF28" i="8"/>
  <c r="AE28" i="8"/>
  <c r="AD28" i="8"/>
  <c r="AC28" i="8"/>
  <c r="AB28" i="8"/>
  <c r="C28" i="8" s="1"/>
  <c r="AA28" i="8"/>
  <c r="B28" i="8" s="1"/>
  <c r="L23" i="8"/>
  <c r="J23" i="8"/>
  <c r="H23" i="8"/>
  <c r="F23" i="8"/>
  <c r="D23" i="8"/>
  <c r="B23" i="8"/>
  <c r="I19" i="8"/>
  <c r="B19" i="8"/>
  <c r="I17" i="8"/>
  <c r="B17" i="8"/>
  <c r="I13" i="8"/>
  <c r="B13" i="8"/>
  <c r="I9" i="8"/>
  <c r="B9" i="8"/>
  <c r="AA7" i="8"/>
  <c r="AA6" i="8"/>
  <c r="B6" i="8"/>
  <c r="AI5" i="8"/>
  <c r="AA5" i="8"/>
  <c r="B5" i="8"/>
  <c r="AI4" i="8"/>
  <c r="AA4" i="8"/>
  <c r="M4" i="8"/>
  <c r="J4" i="8"/>
  <c r="F4" i="8"/>
  <c r="D4" i="8"/>
  <c r="AH33" i="7"/>
  <c r="AG33" i="7"/>
  <c r="AF33" i="7"/>
  <c r="AE33" i="7"/>
  <c r="AD33" i="7"/>
  <c r="AC33" i="7"/>
  <c r="AB33" i="7"/>
  <c r="C33" i="7" s="1"/>
  <c r="AA33" i="7"/>
  <c r="B33" i="7" s="1"/>
  <c r="AH32" i="7"/>
  <c r="AG32" i="7"/>
  <c r="AF32" i="7"/>
  <c r="AE32" i="7"/>
  <c r="AD32" i="7"/>
  <c r="AC32" i="7"/>
  <c r="AB32" i="7"/>
  <c r="I32" i="7" s="1"/>
  <c r="AA32" i="7"/>
  <c r="H32" i="7" s="1"/>
  <c r="AH31" i="7"/>
  <c r="AG31" i="7"/>
  <c r="AF31" i="7"/>
  <c r="AE31" i="7"/>
  <c r="AD31" i="7"/>
  <c r="AC31" i="7"/>
  <c r="AB31" i="7"/>
  <c r="I31" i="7" s="1"/>
  <c r="AA31" i="7"/>
  <c r="H31" i="7" s="1"/>
  <c r="AH30" i="7"/>
  <c r="AG30" i="7"/>
  <c r="AF30" i="7"/>
  <c r="AE30" i="7"/>
  <c r="AD30" i="7"/>
  <c r="AC30" i="7"/>
  <c r="AB30" i="7"/>
  <c r="C30" i="7" s="1"/>
  <c r="AA30" i="7"/>
  <c r="B30" i="7" s="1"/>
  <c r="AH29" i="7"/>
  <c r="AG29" i="7"/>
  <c r="AF29" i="7"/>
  <c r="AE29" i="7"/>
  <c r="AD29" i="7"/>
  <c r="AC29" i="7"/>
  <c r="AB29" i="7"/>
  <c r="C29" i="7" s="1"/>
  <c r="AA29" i="7"/>
  <c r="B29" i="7" s="1"/>
  <c r="AH28" i="7"/>
  <c r="AG28" i="7"/>
  <c r="AF28" i="7"/>
  <c r="AE28" i="7"/>
  <c r="AD28" i="7"/>
  <c r="AC28" i="7"/>
  <c r="AB28" i="7"/>
  <c r="I28" i="7" s="1"/>
  <c r="AA28" i="7"/>
  <c r="B28" i="7" s="1"/>
  <c r="L23" i="7"/>
  <c r="J23" i="7"/>
  <c r="H23" i="7"/>
  <c r="F23" i="7"/>
  <c r="D23" i="7"/>
  <c r="B23" i="7"/>
  <c r="I19" i="7"/>
  <c r="B19" i="7"/>
  <c r="I17" i="7"/>
  <c r="B17" i="7"/>
  <c r="I13" i="7"/>
  <c r="B13" i="7"/>
  <c r="I9" i="7"/>
  <c r="B9" i="7"/>
  <c r="AA7" i="7"/>
  <c r="AA6" i="7"/>
  <c r="B6" i="7"/>
  <c r="AI5" i="7"/>
  <c r="AA5" i="7"/>
  <c r="B5" i="7"/>
  <c r="AI4" i="7"/>
  <c r="AA4" i="7"/>
  <c r="M4" i="7"/>
  <c r="J4" i="7"/>
  <c r="F4" i="7"/>
  <c r="D4" i="7"/>
  <c r="H36" i="6"/>
  <c r="B36" i="6"/>
  <c r="H35" i="6"/>
  <c r="B35" i="6"/>
  <c r="H34" i="6"/>
  <c r="B34" i="6"/>
  <c r="AH33" i="6"/>
  <c r="AG33" i="6"/>
  <c r="AF33" i="6"/>
  <c r="AE33" i="6"/>
  <c r="AD33" i="6"/>
  <c r="AC33" i="6"/>
  <c r="AB33" i="6"/>
  <c r="I33" i="6" s="1"/>
  <c r="AA33" i="6"/>
  <c r="H33" i="6" s="1"/>
  <c r="AH32" i="6"/>
  <c r="AG32" i="6"/>
  <c r="AF32" i="6"/>
  <c r="AE32" i="6"/>
  <c r="AD32" i="6"/>
  <c r="AC32" i="6"/>
  <c r="AB32" i="6"/>
  <c r="I32" i="6" s="1"/>
  <c r="AA32" i="6"/>
  <c r="H32" i="6" s="1"/>
  <c r="AH31" i="6"/>
  <c r="AG31" i="6"/>
  <c r="AF31" i="6"/>
  <c r="AE31" i="6"/>
  <c r="AD31" i="6"/>
  <c r="AC31" i="6"/>
  <c r="AB31" i="6"/>
  <c r="C31" i="6" s="1"/>
  <c r="AA31" i="6"/>
  <c r="B31" i="6" s="1"/>
  <c r="AH30" i="6"/>
  <c r="AG30" i="6"/>
  <c r="AF30" i="6"/>
  <c r="AE30" i="6"/>
  <c r="AD30" i="6"/>
  <c r="AC30" i="6"/>
  <c r="AB30" i="6"/>
  <c r="I30" i="6" s="1"/>
  <c r="AA30" i="6"/>
  <c r="B30" i="6" s="1"/>
  <c r="AH29" i="6"/>
  <c r="AG29" i="6"/>
  <c r="AF29" i="6"/>
  <c r="AE29" i="6"/>
  <c r="AD29" i="6"/>
  <c r="AC29" i="6"/>
  <c r="AB29" i="6"/>
  <c r="I29" i="6" s="1"/>
  <c r="AA29" i="6"/>
  <c r="H29" i="6" s="1"/>
  <c r="AH28" i="6"/>
  <c r="AG28" i="6"/>
  <c r="AF28" i="6"/>
  <c r="AE28" i="6"/>
  <c r="AD28" i="6"/>
  <c r="AC28" i="6"/>
  <c r="AB28" i="6"/>
  <c r="I28" i="6" s="1"/>
  <c r="AA28" i="6"/>
  <c r="H28" i="6" s="1"/>
  <c r="L23" i="6"/>
  <c r="J23" i="6"/>
  <c r="H23" i="6"/>
  <c r="F23" i="6"/>
  <c r="D23" i="6"/>
  <c r="B23" i="6"/>
  <c r="I19" i="6"/>
  <c r="B19" i="6"/>
  <c r="I17" i="6"/>
  <c r="B17" i="6"/>
  <c r="I13" i="6"/>
  <c r="B13" i="6"/>
  <c r="I9" i="6"/>
  <c r="B9" i="6"/>
  <c r="AA7" i="6"/>
  <c r="AA6" i="6"/>
  <c r="B6" i="6"/>
  <c r="AI5" i="6"/>
  <c r="AA5" i="6"/>
  <c r="B5" i="6"/>
  <c r="AI4" i="6"/>
  <c r="AA4" i="6"/>
  <c r="M4" i="6"/>
  <c r="J4" i="6"/>
  <c r="F4" i="6"/>
  <c r="D4" i="6"/>
  <c r="AH33" i="5"/>
  <c r="AG33" i="5"/>
  <c r="AF33" i="5"/>
  <c r="AE33" i="5"/>
  <c r="AD33" i="5"/>
  <c r="AC33" i="5"/>
  <c r="AB33" i="5"/>
  <c r="C33" i="5" s="1"/>
  <c r="AA33" i="5"/>
  <c r="B33" i="5" s="1"/>
  <c r="AH32" i="5"/>
  <c r="AG32" i="5"/>
  <c r="AF32" i="5"/>
  <c r="AE32" i="5"/>
  <c r="AD32" i="5"/>
  <c r="AC32" i="5"/>
  <c r="AB32" i="5"/>
  <c r="I32" i="5" s="1"/>
  <c r="AA32" i="5"/>
  <c r="H32" i="5" s="1"/>
  <c r="AH31" i="5"/>
  <c r="AG31" i="5"/>
  <c r="AF31" i="5"/>
  <c r="AE31" i="5"/>
  <c r="AD31" i="5"/>
  <c r="AC31" i="5"/>
  <c r="AB31" i="5"/>
  <c r="I31" i="5" s="1"/>
  <c r="AA31" i="5"/>
  <c r="B31" i="5" s="1"/>
  <c r="AH30" i="5"/>
  <c r="AG30" i="5"/>
  <c r="AF30" i="5"/>
  <c r="AE30" i="5"/>
  <c r="AD30" i="5"/>
  <c r="AC30" i="5"/>
  <c r="AB30" i="5"/>
  <c r="I30" i="5" s="1"/>
  <c r="AA30" i="5"/>
  <c r="H30" i="5" s="1"/>
  <c r="AH29" i="5"/>
  <c r="AG29" i="5"/>
  <c r="AF29" i="5"/>
  <c r="AE29" i="5"/>
  <c r="AD29" i="5"/>
  <c r="AC29" i="5"/>
  <c r="AB29" i="5"/>
  <c r="C29" i="5" s="1"/>
  <c r="AA29" i="5"/>
  <c r="B29" i="5" s="1"/>
  <c r="AH28" i="5"/>
  <c r="AG28" i="5"/>
  <c r="AF28" i="5"/>
  <c r="AE28" i="5"/>
  <c r="AD28" i="5"/>
  <c r="AC28" i="5"/>
  <c r="AB28" i="5"/>
  <c r="I28" i="5" s="1"/>
  <c r="AA28" i="5"/>
  <c r="B28" i="5" s="1"/>
  <c r="L23" i="5"/>
  <c r="J23" i="5"/>
  <c r="H23" i="5"/>
  <c r="F23" i="5"/>
  <c r="D23" i="5"/>
  <c r="B23" i="5"/>
  <c r="I19" i="5"/>
  <c r="B19" i="5"/>
  <c r="I17" i="5"/>
  <c r="B17" i="5"/>
  <c r="I13" i="5"/>
  <c r="B13" i="5"/>
  <c r="I9" i="5"/>
  <c r="B9" i="5"/>
  <c r="AA7" i="5"/>
  <c r="AA6" i="5"/>
  <c r="B6" i="5"/>
  <c r="AI5" i="5"/>
  <c r="AA5" i="5"/>
  <c r="B5" i="5"/>
  <c r="AI4" i="5"/>
  <c r="AA4" i="5"/>
  <c r="M4" i="5"/>
  <c r="J4" i="5"/>
  <c r="F4" i="5"/>
  <c r="D4" i="5"/>
  <c r="AH33" i="4"/>
  <c r="AG33" i="4"/>
  <c r="AF33" i="4"/>
  <c r="AE33" i="4"/>
  <c r="AD33" i="4"/>
  <c r="AC33" i="4"/>
  <c r="AB33" i="4"/>
  <c r="I33" i="4" s="1"/>
  <c r="AA33" i="4"/>
  <c r="H33" i="4" s="1"/>
  <c r="AH32" i="4"/>
  <c r="AG32" i="4"/>
  <c r="AF32" i="4"/>
  <c r="AE32" i="4"/>
  <c r="AD32" i="4"/>
  <c r="AC32" i="4"/>
  <c r="AB32" i="4"/>
  <c r="I32" i="4" s="1"/>
  <c r="AA32" i="4"/>
  <c r="B32" i="4" s="1"/>
  <c r="AH31" i="4"/>
  <c r="AG31" i="4"/>
  <c r="AF31" i="4"/>
  <c r="AE31" i="4"/>
  <c r="AD31" i="4"/>
  <c r="AC31" i="4"/>
  <c r="AB31" i="4"/>
  <c r="C31" i="4" s="1"/>
  <c r="AA31" i="4"/>
  <c r="B31" i="4" s="1"/>
  <c r="AH30" i="4"/>
  <c r="AG30" i="4"/>
  <c r="AF30" i="4"/>
  <c r="AE30" i="4"/>
  <c r="AD30" i="4"/>
  <c r="AC30" i="4"/>
  <c r="AB30" i="4"/>
  <c r="I30" i="4" s="1"/>
  <c r="AA30" i="4"/>
  <c r="B30" i="4" s="1"/>
  <c r="AH29" i="4"/>
  <c r="AG29" i="4"/>
  <c r="AF29" i="4"/>
  <c r="AE29" i="4"/>
  <c r="AD29" i="4"/>
  <c r="AC29" i="4"/>
  <c r="AB29" i="4"/>
  <c r="I29" i="4" s="1"/>
  <c r="AA29" i="4"/>
  <c r="H29" i="4" s="1"/>
  <c r="AH28" i="4"/>
  <c r="AG28" i="4"/>
  <c r="AF28" i="4"/>
  <c r="AE28" i="4"/>
  <c r="AD28" i="4"/>
  <c r="AC28" i="4"/>
  <c r="AB28" i="4"/>
  <c r="I28" i="4" s="1"/>
  <c r="AA28" i="4"/>
  <c r="B28" i="4" s="1"/>
  <c r="L23" i="4"/>
  <c r="J23" i="4"/>
  <c r="H23" i="4"/>
  <c r="F23" i="4"/>
  <c r="D23" i="4"/>
  <c r="B23" i="4"/>
  <c r="I19" i="4"/>
  <c r="B19" i="4"/>
  <c r="I17" i="4"/>
  <c r="B17" i="4"/>
  <c r="I13" i="4"/>
  <c r="B13" i="4"/>
  <c r="I9" i="4"/>
  <c r="B9" i="4"/>
  <c r="AA7" i="4"/>
  <c r="AA6" i="4"/>
  <c r="B6" i="4"/>
  <c r="AI5" i="4"/>
  <c r="AA5" i="4"/>
  <c r="B5" i="4"/>
  <c r="AI4" i="4"/>
  <c r="AA4" i="4"/>
  <c r="M4" i="4"/>
  <c r="J4" i="4"/>
  <c r="F4" i="4"/>
  <c r="D4" i="4"/>
  <c r="D33" i="16" l="1"/>
  <c r="F33" i="16" s="1"/>
  <c r="D29" i="16"/>
  <c r="F29" i="16" s="1"/>
  <c r="K30" i="16"/>
  <c r="L30" i="16" s="1"/>
  <c r="L33" i="16"/>
  <c r="D28" i="16"/>
  <c r="F28" i="16" s="1"/>
  <c r="L31" i="16"/>
  <c r="L32" i="16"/>
  <c r="F30" i="16"/>
  <c r="L29" i="16"/>
  <c r="F31" i="16"/>
  <c r="F32" i="16"/>
  <c r="C35" i="16"/>
  <c r="I34" i="16"/>
  <c r="L28" i="16"/>
  <c r="J33" i="11"/>
  <c r="K33" i="11"/>
  <c r="D28" i="11"/>
  <c r="B29" i="11"/>
  <c r="I30" i="11"/>
  <c r="K30" i="11" s="1"/>
  <c r="C31" i="11"/>
  <c r="E31" i="11" s="1"/>
  <c r="H31" i="11"/>
  <c r="J31" i="11" s="1"/>
  <c r="C29" i="11"/>
  <c r="D32" i="11"/>
  <c r="B33" i="11"/>
  <c r="D33" i="11" s="1"/>
  <c r="C33" i="11"/>
  <c r="E33" i="11" s="1"/>
  <c r="D31" i="11"/>
  <c r="K29" i="11"/>
  <c r="J30" i="11"/>
  <c r="J29" i="11"/>
  <c r="B30" i="11"/>
  <c r="D30" i="11" s="1"/>
  <c r="H28" i="11"/>
  <c r="H32" i="11"/>
  <c r="J32" i="11" s="1"/>
  <c r="E28" i="11"/>
  <c r="E32" i="11"/>
  <c r="I28" i="11"/>
  <c r="K28" i="11" s="1"/>
  <c r="K31" i="11"/>
  <c r="I32" i="11"/>
  <c r="K32" i="11" s="1"/>
  <c r="E30" i="11"/>
  <c r="C31" i="5"/>
  <c r="E31" i="5" s="1"/>
  <c r="I30" i="8"/>
  <c r="K30" i="8" s="1"/>
  <c r="H28" i="5"/>
  <c r="J28" i="5" s="1"/>
  <c r="H31" i="5"/>
  <c r="J31" i="5" s="1"/>
  <c r="C32" i="4"/>
  <c r="D32" i="4" s="1"/>
  <c r="H30" i="6"/>
  <c r="J30" i="6" s="1"/>
  <c r="H28" i="7"/>
  <c r="J28" i="7" s="1"/>
  <c r="H32" i="4"/>
  <c r="J32" i="4" s="1"/>
  <c r="H31" i="6"/>
  <c r="D32" i="8"/>
  <c r="J33" i="8"/>
  <c r="C28" i="5"/>
  <c r="D28" i="5" s="1"/>
  <c r="C32" i="7"/>
  <c r="E32" i="7" s="1"/>
  <c r="B29" i="4"/>
  <c r="H33" i="7"/>
  <c r="C28" i="4"/>
  <c r="D28" i="4" s="1"/>
  <c r="B33" i="4"/>
  <c r="B30" i="5"/>
  <c r="B28" i="6"/>
  <c r="C32" i="6"/>
  <c r="E32" i="6" s="1"/>
  <c r="E30" i="7"/>
  <c r="H28" i="4"/>
  <c r="J28" i="4" s="1"/>
  <c r="C33" i="4"/>
  <c r="E33" i="4" s="1"/>
  <c r="C28" i="6"/>
  <c r="E28" i="6" s="1"/>
  <c r="J32" i="6"/>
  <c r="C28" i="7"/>
  <c r="D28" i="7" s="1"/>
  <c r="D28" i="8"/>
  <c r="J29" i="8"/>
  <c r="B30" i="8"/>
  <c r="D30" i="8" s="1"/>
  <c r="C29" i="4"/>
  <c r="E29" i="4" s="1"/>
  <c r="B29" i="6"/>
  <c r="C32" i="5"/>
  <c r="E32" i="5" s="1"/>
  <c r="C29" i="6"/>
  <c r="E29" i="6" s="1"/>
  <c r="H29" i="7"/>
  <c r="H31" i="4"/>
  <c r="H33" i="5"/>
  <c r="B32" i="7"/>
  <c r="J31" i="7"/>
  <c r="J33" i="6"/>
  <c r="E31" i="4"/>
  <c r="B32" i="5"/>
  <c r="J28" i="6"/>
  <c r="B32" i="6"/>
  <c r="H29" i="5"/>
  <c r="E31" i="6"/>
  <c r="E33" i="7"/>
  <c r="F33" i="7" s="1"/>
  <c r="J32" i="7"/>
  <c r="H31" i="8"/>
  <c r="C30" i="5"/>
  <c r="E30" i="5" s="1"/>
  <c r="B33" i="6"/>
  <c r="D33" i="7"/>
  <c r="I31" i="8"/>
  <c r="K31" i="8" s="1"/>
  <c r="C30" i="4"/>
  <c r="E30" i="4" s="1"/>
  <c r="C33" i="6"/>
  <c r="E33" i="6" s="1"/>
  <c r="H30" i="7"/>
  <c r="J29" i="4"/>
  <c r="H30" i="4"/>
  <c r="J30" i="4" s="1"/>
  <c r="J33" i="4"/>
  <c r="J29" i="6"/>
  <c r="C30" i="6"/>
  <c r="D30" i="6" s="1"/>
  <c r="B31" i="7"/>
  <c r="H28" i="8"/>
  <c r="H32" i="8"/>
  <c r="D31" i="4"/>
  <c r="K30" i="6"/>
  <c r="D31" i="6"/>
  <c r="E31" i="8"/>
  <c r="D29" i="5"/>
  <c r="J32" i="5"/>
  <c r="J30" i="5"/>
  <c r="D33" i="5"/>
  <c r="D29" i="7"/>
  <c r="D30" i="7"/>
  <c r="D31" i="8"/>
  <c r="E29" i="5"/>
  <c r="K28" i="4"/>
  <c r="K32" i="4"/>
  <c r="K30" i="5"/>
  <c r="K28" i="6"/>
  <c r="K32" i="6"/>
  <c r="K31" i="7"/>
  <c r="B29" i="8"/>
  <c r="K29" i="8"/>
  <c r="B33" i="8"/>
  <c r="K33" i="8"/>
  <c r="E33" i="5"/>
  <c r="C31" i="7"/>
  <c r="E31" i="7" s="1"/>
  <c r="E28" i="8"/>
  <c r="C29" i="8"/>
  <c r="E29" i="8" s="1"/>
  <c r="E32" i="8"/>
  <c r="C33" i="8"/>
  <c r="E33" i="8" s="1"/>
  <c r="K29" i="4"/>
  <c r="K33" i="4"/>
  <c r="K31" i="5"/>
  <c r="K29" i="6"/>
  <c r="K33" i="6"/>
  <c r="K28" i="7"/>
  <c r="I29" i="7"/>
  <c r="K32" i="7"/>
  <c r="I33" i="7"/>
  <c r="K30" i="4"/>
  <c r="I31" i="4"/>
  <c r="K28" i="5"/>
  <c r="I29" i="5"/>
  <c r="K32" i="5"/>
  <c r="I33" i="5"/>
  <c r="I31" i="6"/>
  <c r="I30" i="7"/>
  <c r="I28" i="8"/>
  <c r="K28" i="8" s="1"/>
  <c r="I32" i="8"/>
  <c r="K32" i="8" s="1"/>
  <c r="E30" i="8"/>
  <c r="E29" i="7"/>
  <c r="I35" i="16" l="1"/>
  <c r="I36" i="16" s="1"/>
  <c r="C34" i="16"/>
  <c r="C36" i="16" s="1"/>
  <c r="D29" i="11"/>
  <c r="C34" i="11" s="1"/>
  <c r="L33" i="11"/>
  <c r="L29" i="11"/>
  <c r="J28" i="11"/>
  <c r="L28" i="11" s="1"/>
  <c r="L30" i="11"/>
  <c r="F33" i="11"/>
  <c r="F32" i="11"/>
  <c r="E29" i="11"/>
  <c r="L32" i="11"/>
  <c r="L31" i="11"/>
  <c r="F30" i="11"/>
  <c r="F31" i="11"/>
  <c r="I35" i="11"/>
  <c r="F28" i="11"/>
  <c r="E28" i="5"/>
  <c r="C35" i="5" s="1"/>
  <c r="J33" i="5"/>
  <c r="J31" i="6"/>
  <c r="I34" i="6" s="1"/>
  <c r="L33" i="8"/>
  <c r="F30" i="8"/>
  <c r="J29" i="7"/>
  <c r="E28" i="7"/>
  <c r="F28" i="7" s="1"/>
  <c r="D32" i="6"/>
  <c r="F32" i="6" s="1"/>
  <c r="J31" i="4"/>
  <c r="I34" i="4" s="1"/>
  <c r="J33" i="7"/>
  <c r="D31" i="5"/>
  <c r="F31" i="5" s="1"/>
  <c r="L32" i="6"/>
  <c r="J30" i="8"/>
  <c r="L30" i="8" s="1"/>
  <c r="L29" i="8"/>
  <c r="F32" i="8"/>
  <c r="F30" i="7"/>
  <c r="L33" i="6"/>
  <c r="J29" i="5"/>
  <c r="L32" i="4"/>
  <c r="L29" i="6"/>
  <c r="E32" i="4"/>
  <c r="L32" i="7"/>
  <c r="E28" i="4"/>
  <c r="F28" i="4" s="1"/>
  <c r="L33" i="4"/>
  <c r="L30" i="4"/>
  <c r="J30" i="7"/>
  <c r="F29" i="7"/>
  <c r="F33" i="5"/>
  <c r="D33" i="4"/>
  <c r="F33" i="4" s="1"/>
  <c r="L31" i="5"/>
  <c r="L31" i="7"/>
  <c r="K33" i="7"/>
  <c r="F31" i="4"/>
  <c r="D29" i="4"/>
  <c r="F29" i="4" s="1"/>
  <c r="D29" i="6"/>
  <c r="F29" i="6" s="1"/>
  <c r="L29" i="4"/>
  <c r="D30" i="5"/>
  <c r="F30" i="5" s="1"/>
  <c r="D32" i="5"/>
  <c r="F32" i="5" s="1"/>
  <c r="D32" i="7"/>
  <c r="F32" i="7" s="1"/>
  <c r="F29" i="5"/>
  <c r="F31" i="6"/>
  <c r="D29" i="8"/>
  <c r="F29" i="8" s="1"/>
  <c r="J31" i="8"/>
  <c r="L31" i="8" s="1"/>
  <c r="K29" i="7"/>
  <c r="K29" i="5"/>
  <c r="L30" i="5"/>
  <c r="L30" i="6"/>
  <c r="D28" i="6"/>
  <c r="F28" i="6" s="1"/>
  <c r="L32" i="5"/>
  <c r="D30" i="4"/>
  <c r="F30" i="4" s="1"/>
  <c r="E30" i="6"/>
  <c r="F30" i="6" s="1"/>
  <c r="D33" i="6"/>
  <c r="I35" i="8"/>
  <c r="L28" i="6"/>
  <c r="K31" i="4"/>
  <c r="K30" i="7"/>
  <c r="K31" i="6"/>
  <c r="D33" i="8"/>
  <c r="L28" i="4"/>
  <c r="J32" i="8"/>
  <c r="L32" i="8" s="1"/>
  <c r="L28" i="7"/>
  <c r="K33" i="5"/>
  <c r="L28" i="5"/>
  <c r="J28" i="8"/>
  <c r="F31" i="8"/>
  <c r="D31" i="7"/>
  <c r="F31" i="7" s="1"/>
  <c r="C35" i="8"/>
  <c r="F28" i="8"/>
  <c r="F29" i="11" l="1"/>
  <c r="I34" i="11"/>
  <c r="I36" i="11" s="1"/>
  <c r="C35" i="11"/>
  <c r="C36" i="11" s="1"/>
  <c r="F28" i="5"/>
  <c r="L33" i="5"/>
  <c r="I34" i="5"/>
  <c r="L31" i="6"/>
  <c r="L33" i="7"/>
  <c r="L29" i="7"/>
  <c r="L31" i="4"/>
  <c r="I34" i="7"/>
  <c r="C35" i="7"/>
  <c r="L29" i="5"/>
  <c r="C35" i="4"/>
  <c r="F32" i="4"/>
  <c r="L30" i="7"/>
  <c r="C34" i="8"/>
  <c r="C36" i="8" s="1"/>
  <c r="C34" i="5"/>
  <c r="C36" i="5" s="1"/>
  <c r="C34" i="6"/>
  <c r="C34" i="4"/>
  <c r="F33" i="6"/>
  <c r="C35" i="6"/>
  <c r="I35" i="6"/>
  <c r="I36" i="6" s="1"/>
  <c r="C34" i="7"/>
  <c r="I35" i="7"/>
  <c r="I34" i="8"/>
  <c r="I36" i="8" s="1"/>
  <c r="F33" i="8"/>
  <c r="I35" i="5"/>
  <c r="L28" i="8"/>
  <c r="I35" i="4"/>
  <c r="I36" i="4" s="1"/>
  <c r="I36" i="5" l="1"/>
  <c r="I36" i="7"/>
  <c r="C36" i="7"/>
  <c r="C36" i="4"/>
  <c r="C36" i="6"/>
</calcChain>
</file>

<file path=xl/sharedStrings.xml><?xml version="1.0" encoding="utf-8"?>
<sst xmlns="http://schemas.openxmlformats.org/spreadsheetml/2006/main" count="64637" uniqueCount="13668">
  <si>
    <t>Méthode PLATS-CF — travailler un cas terrain à la fois : diagnostiquer, corriger, justifier</t>
  </si>
  <si>
    <t>Saisissez un X</t>
  </si>
  <si>
    <t>ZONE TECHNIQUE — normalisation réponses</t>
  </si>
  <si>
    <t>NORMALISATION ATTENDUS</t>
  </si>
  <si>
    <t>N° question</t>
  </si>
  <si>
    <t>Public</t>
  </si>
  <si>
    <t>Saison</t>
  </si>
  <si>
    <t>Afficher attendus</t>
  </si>
  <si>
    <t>x</t>
  </si>
  <si>
    <t>Famille problème</t>
  </si>
  <si>
    <t>Niveau</t>
  </si>
  <si>
    <t>Problème principal</t>
  </si>
  <si>
    <t>Menu initial</t>
  </si>
  <si>
    <t>BLOC PRO — formulation technique</t>
  </si>
  <si>
    <t>BLOC CFA — formulation terrain</t>
  </si>
  <si>
    <t>MODE D’EMPLOI</t>
  </si>
  <si>
    <t>Question PRO</t>
  </si>
  <si>
    <t>Question CFA</t>
  </si>
  <si>
    <t>1</t>
  </si>
  <si>
    <t>Saisir le numéro du cas en B4 : 1, 2, 3…</t>
  </si>
  <si>
    <t>2</t>
  </si>
  <si>
    <t>Lire la situation, la question PRO et la question CFA.</t>
  </si>
  <si>
    <t>Réponse A PRO — diagnostic initial</t>
  </si>
  <si>
    <t>Réponse A CFA — diagnostic initial</t>
  </si>
  <si>
    <t xml:space="preserve"> trop de blanc. poisson sec. </t>
  </si>
  <si>
    <t>3</t>
  </si>
  <si>
    <t>Saisir la réponse A : diagnostic initial.</t>
  </si>
  <si>
    <t>J'ajoute une sauce,</t>
  </si>
  <si>
    <t>4</t>
  </si>
  <si>
    <t>Lire le conseil formateur puis saisir la réponse B.</t>
  </si>
  <si>
    <t>Conseil formateur PRO</t>
  </si>
  <si>
    <t>Conseil formateur CFA</t>
  </si>
  <si>
    <t>5</t>
  </si>
  <si>
    <t>La notation automatique cherche 6 critères métier et des mots-clés associés.</t>
  </si>
  <si>
    <t>6</t>
  </si>
  <si>
    <t>Score B = réponse A + réponse B. Il reste vide tant que la réponse B n’est pas saisie.</t>
  </si>
  <si>
    <t>Réponse B PRO — réponse améliorée</t>
  </si>
  <si>
    <t>Le menu présente une dominante blanche excessive et un risque de sécheresse. Corriger par une sauce citron-herbes, un légume vert ou orange, une entrée colorée et un fruit de saison plutôt qu’un dessert blanc.</t>
  </si>
  <si>
    <t>Réponse B CFA — réponse améliorée</t>
  </si>
  <si>
    <t>7</t>
  </si>
  <si>
    <t>Saisir X en H4 pour afficher réponses attendues, mots-clés et corrections.</t>
  </si>
  <si>
    <t>Il y a trop de blanc. Le poisson peut être sec. Je mets une sauce, un légume coloré comme carottes ou brocolis, et je finis par un fruit plutôt qu’un fromage blanc.</t>
  </si>
  <si>
    <t>8</t>
  </si>
  <si>
    <t>Notation indicative : le formateur garde l’appréciation finale.</t>
  </si>
  <si>
    <t>Réponse attendue PRO — masquée par défaut</t>
  </si>
  <si>
    <t>Réponse attendue CFA — masquée par défaut</t>
  </si>
  <si>
    <t>9</t>
  </si>
  <si>
    <t>Zone technique : AA4:AH33 ; critères/keywords intégrés dans la matrice Y52:BT72.</t>
  </si>
  <si>
    <t>10</t>
  </si>
  <si>
    <t>Aucun VBA, aucune liste déroulante ajoutée.</t>
  </si>
  <si>
    <t>Mots-clés attendus — masqués par défaut</t>
  </si>
  <si>
    <t>Mémo du CFA</t>
  </si>
  <si>
    <t>CORRECTIONS ATTENDUES — affichées seulement si X est saisi en H4</t>
  </si>
  <si>
    <t>Garniture</t>
  </si>
  <si>
    <t>Sauce / jus</t>
  </si>
  <si>
    <t>Entrée</t>
  </si>
  <si>
    <t>Dessert</t>
  </si>
  <si>
    <t>Adaptation convive</t>
  </si>
  <si>
    <t>Point production</t>
  </si>
  <si>
    <t>NOTATION AUTOMATIQUE INDICATIVE — par mots-clés, à contrôler par le formateur</t>
  </si>
  <si>
    <t>NOTATION PRO</t>
  </si>
  <si>
    <t>Pts</t>
  </si>
  <si>
    <t>Initial</t>
  </si>
  <si>
    <t>Après correction</t>
  </si>
  <si>
    <t>État</t>
  </si>
  <si>
    <t>NOTATION CFA</t>
  </si>
  <si>
    <t>Critère</t>
  </si>
  <si>
    <t>Max</t>
  </si>
  <si>
    <t>Réponse A</t>
  </si>
  <si>
    <t>Réponse B (A+B)</t>
  </si>
  <si>
    <t>Critere</t>
  </si>
  <si>
    <t>PRO_KW1</t>
  </si>
  <si>
    <t>PRO_KW2</t>
  </si>
  <si>
    <t>PRO_KW3</t>
  </si>
  <si>
    <t>CFA_KW1</t>
  </si>
  <si>
    <t>CFA_KW2</t>
  </si>
  <si>
    <t>CFA_KW3</t>
  </si>
  <si>
    <t>Score A PRO</t>
  </si>
  <si>
    <t>Score A CFA</t>
  </si>
  <si>
    <t>Score B PRO (A+B)</t>
  </si>
  <si>
    <t>Score B CFA (A+B)</t>
  </si>
  <si>
    <t>Progression PRO</t>
  </si>
  <si>
    <t>Progression CFA</t>
  </si>
  <si>
    <t>Numero</t>
  </si>
  <si>
    <t>Menu_initial</t>
  </si>
  <si>
    <t>Probleme_principal</t>
  </si>
  <si>
    <t>Question_PRO</t>
  </si>
  <si>
    <t>Question_CFA</t>
  </si>
  <si>
    <t>Reponse_attendue_PRO</t>
  </si>
  <si>
    <t>Reponse_attendue_CFA</t>
  </si>
  <si>
    <t>Conseil_formateur_PRO</t>
  </si>
  <si>
    <t>Conseil_formateur_CFA</t>
  </si>
  <si>
    <t>Criteres_notation</t>
  </si>
  <si>
    <t>Mots_cles_attendus</t>
  </si>
  <si>
    <t>Modules_ressources</t>
  </si>
  <si>
    <t>Score_total</t>
  </si>
  <si>
    <t>Niveau_difficulte</t>
  </si>
  <si>
    <t>Famille_probleme</t>
  </si>
  <si>
    <t>Correction_garniture</t>
  </si>
  <si>
    <t>Correction_sauce</t>
  </si>
  <si>
    <t>Correction_entree</t>
  </si>
  <si>
    <t>Correction_dessert</t>
  </si>
  <si>
    <t>Adaptation_convive</t>
  </si>
  <si>
    <t>Point_production</t>
  </si>
  <si>
    <t>Memo</t>
  </si>
  <si>
    <t>Critere_1</t>
  </si>
  <si>
    <t>Points_1</t>
  </si>
  <si>
    <t>PRO_KW1_1</t>
  </si>
  <si>
    <t>PRO_KW1_2</t>
  </si>
  <si>
    <t>PRO_KW1_3</t>
  </si>
  <si>
    <t>CFA_KW1_1</t>
  </si>
  <si>
    <t>CFA_KW1_2</t>
  </si>
  <si>
    <t>CFA_KW1_3</t>
  </si>
  <si>
    <t>Critere_2</t>
  </si>
  <si>
    <t>Points_2</t>
  </si>
  <si>
    <t>PRO_KW2_1</t>
  </si>
  <si>
    <t>PRO_KW2_2</t>
  </si>
  <si>
    <t>PRO_KW2_3</t>
  </si>
  <si>
    <t>CFA_KW2_1</t>
  </si>
  <si>
    <t>CFA_KW2_2</t>
  </si>
  <si>
    <t>CFA_KW2_3</t>
  </si>
  <si>
    <t>Critere_3</t>
  </si>
  <si>
    <t>Points_3</t>
  </si>
  <si>
    <t>PRO_KW3_1</t>
  </si>
  <si>
    <t>PRO_KW3_2</t>
  </si>
  <si>
    <t>PRO_KW3_3</t>
  </si>
  <si>
    <t>CFA_KW3_1</t>
  </si>
  <si>
    <t>CFA_KW3_2</t>
  </si>
  <si>
    <t>CFA_KW3_3</t>
  </si>
  <si>
    <t>Critere_4</t>
  </si>
  <si>
    <t>Points_4</t>
  </si>
  <si>
    <t>PRO_KW4_1</t>
  </si>
  <si>
    <t>PRO_KW4_2</t>
  </si>
  <si>
    <t>PRO_KW4_3</t>
  </si>
  <si>
    <t>CFA_KW4_1</t>
  </si>
  <si>
    <t>CFA_KW4_2</t>
  </si>
  <si>
    <t>CFA_KW4_3</t>
  </si>
  <si>
    <t>Critere_5</t>
  </si>
  <si>
    <t>Points_5</t>
  </si>
  <si>
    <t>PRO_KW5_1</t>
  </si>
  <si>
    <t>PRO_KW5_2</t>
  </si>
  <si>
    <t>PRO_KW5_3</t>
  </si>
  <si>
    <t>CFA_KW5_1</t>
  </si>
  <si>
    <t>CFA_KW5_2</t>
  </si>
  <si>
    <t>CFA_KW5_3</t>
  </si>
  <si>
    <t>Critere_6</t>
  </si>
  <si>
    <t>Points_6</t>
  </si>
  <si>
    <t>PRO_KW6_1</t>
  </si>
  <si>
    <t>PRO_KW6_2</t>
  </si>
  <si>
    <t>PRO_KW6_3</t>
  </si>
  <si>
    <t>CFA_KW6_1</t>
  </si>
  <si>
    <t>CFA_KW6_2</t>
  </si>
  <si>
    <t>CFA_KW6_3</t>
  </si>
  <si>
    <t>École primaire</t>
  </si>
  <si>
    <t>Hiver</t>
  </si>
  <si>
    <t>Céleri rémoulade ; poisson blanc vapeur ; riz ; chou-fleur ; fromage blanc</t>
  </si>
  <si>
    <t>Menu trop blanc, sec et peu attractif</t>
  </si>
  <si>
    <t>Analysez le risque sensoriel de ce menu scolaire et proposez une correction cohérente par la garniture, la sauce, l’entrée et le dessert.</t>
  </si>
  <si>
    <t>Pourquoi ce menu risque-t-il de ne pas donner envie aux enfants, et que peux-tu changer sans tout refaire ?</t>
  </si>
  <si>
    <t>Si la réponse reste limitée à « ajouter un légume », demander quel défaut précis est corrigé : couleur, humidité, acceptabilité ou équilibre.</t>
  </si>
  <si>
    <t>Si l’apprenant dit seulement « mettre des légumes », demander : « Quelle couleur tu ajoutes ? Comment tu évites que le poisson soit sec ? »</t>
  </si>
  <si>
    <t>Diagnostic couleur blanche 4 pts ; sécheresse 3 pts ; sauce/jus 3 pts ; entrée/dessert correcteur 4 pts ; public scolaire 3 pts ; justification 3 pts.</t>
  </si>
  <si>
    <t>blanc ; pâle ; sec ; sauce ; herbes ; citron ; carottes ; brocolis ; fruit ; enfants ; acceptabilité</t>
  </si>
  <si>
    <t>M02 ; M03 ; M05</t>
  </si>
  <si>
    <t>Facile</t>
  </si>
  <si>
    <t>Couleur / sécheresse</t>
  </si>
  <si>
    <t>Brocolis, carottes ou autre légume vert/orange ; riz pilaf possible</t>
  </si>
  <si>
    <t>Sauce légère citron-herbes ou jus court</t>
  </si>
  <si>
    <t>Carottes râpées ou betteraves</t>
  </si>
  <si>
    <t>Fruit de saison coloré : orange, clémentine, pomme rouge</t>
  </si>
  <si>
    <t>Rendre le poisson plus acceptable pour des enfants</t>
  </si>
  <si>
    <t>Éviter le dessèchement du poisson au maintien chaud</t>
  </si>
  <si>
    <t>Trop blanc = ajouter couleur + sauce + fruit</t>
  </si>
  <si>
    <t>Diagnostic du problème</t>
  </si>
  <si>
    <t>blanc</t>
  </si>
  <si>
    <t>pale</t>
  </si>
  <si>
    <t>sec</t>
  </si>
  <si>
    <t>pas envie</t>
  </si>
  <si>
    <t>Correction garniture / sauce</t>
  </si>
  <si>
    <t>sauce</t>
  </si>
  <si>
    <t>herbes</t>
  </si>
  <si>
    <t>brocolis</t>
  </si>
  <si>
    <t>carottes</t>
  </si>
  <si>
    <t>Correction entrée / dessert</t>
  </si>
  <si>
    <t>entree</t>
  </si>
  <si>
    <t>fruit</t>
  </si>
  <si>
    <t>dessert</t>
  </si>
  <si>
    <t>fromage blanc</t>
  </si>
  <si>
    <t>enfants</t>
  </si>
  <si>
    <t>scolaire</t>
  </si>
  <si>
    <t>primaire</t>
  </si>
  <si>
    <t>eleves</t>
  </si>
  <si>
    <t>cantine</t>
  </si>
  <si>
    <t>Faisabilité production</t>
  </si>
  <si>
    <t>maintien</t>
  </si>
  <si>
    <t>chaud</t>
  </si>
  <si>
    <t>dessechement</t>
  </si>
  <si>
    <t>attend</t>
  </si>
  <si>
    <t>Justification claire</t>
  </si>
  <si>
    <t>parce</t>
  </si>
  <si>
    <t>corrige</t>
  </si>
  <si>
    <t>evite</t>
  </si>
  <si>
    <t>pour</t>
  </si>
  <si>
    <t>eviter</t>
  </si>
  <si>
    <t>Adultes actifs</t>
  </si>
  <si>
    <t>Automne</t>
  </si>
  <si>
    <t>Quiche lorraine ; sauté de porc sauce crème ; gratin de pommes de terre ; fromage ; pâtisserie</t>
  </si>
  <si>
    <t>Menu trop gras, trop riche, trop dense</t>
  </si>
  <si>
    <t>Analysez les répétitions de préparations riches dans ce menu et proposez une correction sans perdre la cohérence du repas.</t>
  </si>
  <si>
    <t>Où est-ce qu’il y a trop de gras ou trop de choses lourdes dans ce menu, et comment tu l’allèges ?</t>
  </si>
  <si>
    <t>Le menu cumule pâte, crème, gratin, fromage et pâtisserie. Corriger par une crudité, des pommes vapeur avec légumes verts, une sauce plus légère ou un jus réduit et un fruit.</t>
  </si>
  <si>
    <t>Il y a trop de gras partout : quiche, crème, gratin, fromage, pâtisserie. Je mets une entrée fraîche, des légumes, une garniture plus simple et un fruit.</t>
  </si>
  <si>
    <t>Si l’apprenant corrige seulement le dessert, lui faire repérer les répétitions sur tout le repas : pâte, crème, fromage, gratin, pâtisserie.</t>
  </si>
  <si>
    <t>Demander : « Qu’est-ce qui revient plusieurs fois : crème, fromage, pâte, gras ? »</t>
  </si>
  <si>
    <t>Répétitions riches 5 pts ; entrée allégée 3 pts ; garniture corrigée 3 pts ; dessert léger 3 pts ; public adulte 3 pts ; justification 3 pts.</t>
  </si>
  <si>
    <t>gras ; lourd ; crème ; gratin ; fromage ; pâtisserie ; crudité ; légumes verts ; fruit ; allègement</t>
  </si>
  <si>
    <t>M03 ; M05</t>
  </si>
  <si>
    <t>Lourdeur / répétition</t>
  </si>
  <si>
    <t>Pommes vapeur persillées + légumes verts</t>
  </si>
  <si>
    <t>Jus réduit ou sauce légère à la place d’une sauce crème lourde</t>
  </si>
  <si>
    <t>Crudités de saison</t>
  </si>
  <si>
    <t>Fruit ou compote simple</t>
  </si>
  <si>
    <t>Repas plus digeste pour une pause de travail</t>
  </si>
  <si>
    <t>Limiter les préparations riches et sécuriser la tenue des sauces</t>
  </si>
  <si>
    <t>Plat riche = entrée fraîche + dessert fruité</t>
  </si>
  <si>
    <t>gras</t>
  </si>
  <si>
    <t>lourd</t>
  </si>
  <si>
    <t>riche</t>
  </si>
  <si>
    <t>trop</t>
  </si>
  <si>
    <t>legumes verts</t>
  </si>
  <si>
    <t>pommes vapeur</t>
  </si>
  <si>
    <t>jus</t>
  </si>
  <si>
    <t>legumes</t>
  </si>
  <si>
    <t>vapeur</t>
  </si>
  <si>
    <t>crudite</t>
  </si>
  <si>
    <t>compote</t>
  </si>
  <si>
    <t>leger</t>
  </si>
  <si>
    <t>adultes</t>
  </si>
  <si>
    <t>pause</t>
  </si>
  <si>
    <t>travail</t>
  </si>
  <si>
    <t>digeste</t>
  </si>
  <si>
    <t>tenir</t>
  </si>
  <si>
    <t>production</t>
  </si>
  <si>
    <t>service</t>
  </si>
  <si>
    <t>allege</t>
  </si>
  <si>
    <t>alleger</t>
  </si>
  <si>
    <t>Collège / lycée</t>
  </si>
  <si>
    <t>Toute saison</t>
  </si>
  <si>
    <t>Salade verte ; pâtes sauce tomate ; yaourt ; fruit</t>
  </si>
  <si>
    <t>Menu végétarien insuffisamment construit</t>
  </si>
  <si>
    <t>Analysez la construction protéique de ce menu végétarien et proposez une correction adaptée à un public adolescent.</t>
  </si>
  <si>
    <t>Pourquoi ce menu végétarien risque-t-il de ne pas assez caler, et comment tu le rends plus complet ?</t>
  </si>
  <si>
    <t>Les pâtes sauce tomate seules ne constituent pas un plat végétarien suffisamment construit. Ajouter lentilles corail, pois chiches, haricots rouges, œuf ou autre base adaptée ; renforcer légumes, goût et présentation.</t>
  </si>
  <si>
    <t>Il ne suffit pas d’enlever la viande. Les pâtes tomate seules ne calent pas assez. J’ajoute lentilles, pois chiches ou une vraie sauce avec légumes et protéines végétales.</t>
  </si>
  <si>
    <t>Si l’apprenant répond seulement « ajouter du fromage », demander si cela construit vraiment le plat principal ou seulement le complète.</t>
  </si>
  <si>
    <t>Demander : « Qu’est-ce qui remplace vraiment la viande ? Qu’est-ce qui va caler les jeunes ? »</t>
  </si>
  <si>
    <t>Faiblesse végétarien 5 pts ; base protéique 4 pts ; satiété adolescent 3 pts ; couleur/goût 3 pts ; entrée-dessert 2 pts ; justification 3 pts.</t>
  </si>
  <si>
    <t>végétarien ; lentilles ; pois chiches ; protéines ; satiété ; adolescents ; vrai plat ; légumineuses ; sauce ; légumes</t>
  </si>
  <si>
    <t>M02 ; M05</t>
  </si>
  <si>
    <t>Moyen</t>
  </si>
  <si>
    <t>Végétarien faible</t>
  </si>
  <si>
    <t>Pâtes + lentilles corail ou pois chiches + légumes</t>
  </si>
  <si>
    <t>Sauce tomate enrichie en légumes et herbes</t>
  </si>
  <si>
    <t>Betteraves, carottes ou salade composée</t>
  </si>
  <si>
    <t>Yaourt, fromage blanc ou fruit selon équilibre global</t>
  </si>
  <si>
    <t>Renforcer la satiété et l’acceptabilité chez les adolescents</t>
  </si>
  <si>
    <t>Maîtriser cuisson des légumineuses et tenue de la sauce</t>
  </si>
  <si>
    <t>Végétarien = vrai plat, pas absence de viande</t>
  </si>
  <si>
    <t>vegetarien</t>
  </si>
  <si>
    <t>proteine</t>
  </si>
  <si>
    <t>satiété</t>
  </si>
  <si>
    <t>vege</t>
  </si>
  <si>
    <t>caler</t>
  </si>
  <si>
    <t>viande</t>
  </si>
  <si>
    <t>lentilles</t>
  </si>
  <si>
    <t>pois chiches</t>
  </si>
  <si>
    <t>legumineuses</t>
  </si>
  <si>
    <t>salade composee</t>
  </si>
  <si>
    <t>yaourt</t>
  </si>
  <si>
    <t>salade</t>
  </si>
  <si>
    <t>adolescents</t>
  </si>
  <si>
    <t>college</t>
  </si>
  <si>
    <t>lycee</t>
  </si>
  <si>
    <t>jeunes</t>
  </si>
  <si>
    <t>ados</t>
  </si>
  <si>
    <t>cuisson</t>
  </si>
  <si>
    <t>cuire</t>
  </si>
  <si>
    <t>construit</t>
  </si>
  <si>
    <t>remplace</t>
  </si>
  <si>
    <t>calera</t>
  </si>
  <si>
    <t>Personnes âgées / EHPAD</t>
  </si>
  <si>
    <t>Potage ; escalope de dinde grillée ; riz ; haricots verts ; pomme crue</t>
  </si>
  <si>
    <t>Viande sèche, riz sec, dessert peu adapté</t>
  </si>
  <si>
    <t>Analysez les risques de consommation réelle de ce menu pour un public âgé et proposez une correction adaptée.</t>
  </si>
  <si>
    <t>Pourquoi ce menu peut être difficile à manger pour une personne âgée, et qu’est-ce que tu changes ?</t>
  </si>
  <si>
    <t>L’escalope de dinde et le riz présentent un risque de sécheresse et de mastication difficile. Ajouter sauce douce ou jus, rendre la garniture plus moelleuse, cuire les haricots fondants et remplacer la pomme crue par compote ou dessert lacté adapté.</t>
  </si>
  <si>
    <t>La dinde et le riz peuvent être trop secs. Je mets de la sauce, une garniture moelleuse et un dessert facile à manger comme une compote.</t>
  </si>
  <si>
    <t>Si l’apprenant parle seulement d’équilibre alimentaire, le ramener sur la consommation réelle : la personne va-t-elle pouvoir manger et finir ?</t>
  </si>
  <si>
    <t>Demander : « Est-ce facile à mâcher ? Y a-t-il assez de sauce ? La pomme crue est-elle adaptée ? »</t>
  </si>
  <si>
    <t>Sécheresse 4 pts ; mastication/personne âgée 4 pts ; sauce/jus 3 pts ; dessert adapté 3 pts ; garniture 3 pts ; justification 3 pts.</t>
  </si>
  <si>
    <t>EHPAD ; sec ; sauce ; jus ; moelleux ; mastication ; compote ; dessert adapté ; consommation ; appétence</t>
  </si>
  <si>
    <t>M00 ; M03 ; M05</t>
  </si>
  <si>
    <t>Adaptation convive / sécheresse</t>
  </si>
  <si>
    <t>Riz moelleux, purée de légumes ou haricots verts fondants</t>
  </si>
  <si>
    <t>Sauce douce ou jus de volaille</t>
  </si>
  <si>
    <t>Potage enrichi si besoin selon consignes</t>
  </si>
  <si>
    <t>Compote ou dessert lacté adapté</t>
  </si>
  <si>
    <t>Faciliter mastication, déglutition et consommation réelle</t>
  </si>
  <si>
    <t>Maintien chaud sans dessécher ; texture à surveiller</t>
  </si>
  <si>
    <t>Public âgé = sauce, moelleux, lisibilité</t>
  </si>
  <si>
    <t>mastication</t>
  </si>
  <si>
    <t>consommation</t>
  </si>
  <si>
    <t>macher</t>
  </si>
  <si>
    <t>difficile</t>
  </si>
  <si>
    <t>moelleux</t>
  </si>
  <si>
    <t>potage</t>
  </si>
  <si>
    <t>lacte</t>
  </si>
  <si>
    <t>ehpad</t>
  </si>
  <si>
    <t>personne agee</t>
  </si>
  <si>
    <t>age</t>
  </si>
  <si>
    <t>agee</t>
  </si>
  <si>
    <t>texture</t>
  </si>
  <si>
    <t>facilite</t>
  </si>
  <si>
    <t>facile</t>
  </si>
  <si>
    <t>Primaire</t>
  </si>
  <si>
    <t>Printemps</t>
  </si>
  <si>
    <t>Concombre ; poisson vapeur ; épinards ; semoule ; poire</t>
  </si>
  <si>
    <t>Double risque de refus : poisson + épinards</t>
  </si>
  <si>
    <t>Analysez l’acceptabilité de ce menu en restauration scolaire et proposez une correction sans supprimer l’équilibre du repas.</t>
  </si>
  <si>
    <t>Pourquoi poisson vapeur et épinards peuvent faire trop pour des enfants, et comment tu rends le repas plus facile à accepter ?</t>
  </si>
  <si>
    <t>Le menu associe deux aliments sensibles pour des enfants : poisson vapeur et épinards. Améliorer par une sauce douce, une garniture plus colorée ou plus familière, et éventuellement remplacer les épinards par carottes, petits pois ou légumes plus accessibles.</t>
  </si>
  <si>
    <t>Poisson et épinards ensemble, ça peut faire beaucoup. Je garde le poisson mais je l’aide avec une sauce et des légumes plus faciles.</t>
  </si>
  <si>
    <t>Si la réponse supprime simplement le poisson, demander comment conserver le plat principal tout en améliorant son acceptabilité.</t>
  </si>
  <si>
    <t>Demander : « Comment tu aides les enfants à manger le poisson au lieu de l’enlever ? »</t>
  </si>
  <si>
    <t>Risque de refus 5 pts ; sauce 3 pts ; légume plus acceptable 4 pts ; public primaire 3 pts ; équilibre conservé 2 pts ; justification 3 pts.</t>
  </si>
  <si>
    <t>refus ; scolaire ; poisson ; épinards ; sauce douce ; carottes ; petits pois ; acceptabilité ; enfants ; couleur</t>
  </si>
  <si>
    <t>M02 ; M03</t>
  </si>
  <si>
    <t>Acceptabilité scolaire</t>
  </si>
  <si>
    <t>Carottes et petits pois ou légumes plus colorés</t>
  </si>
  <si>
    <t>Sauce citronnée douce ou sauce yaourt-herbes</t>
  </si>
  <si>
    <t>Concombre sauce douce, ou entrée simple et colorée</t>
  </si>
  <si>
    <t>Poire mûre, compote ou fruit adapté</t>
  </si>
  <si>
    <t>Rendre poisson et légumes plus accessibles aux enfants</t>
  </si>
  <si>
    <t>Éviter poisson sec ; légumes verts non valorisés</t>
  </si>
  <si>
    <t>Double refus = garder le plat, aider l’assiette</t>
  </si>
  <si>
    <t>refus</t>
  </si>
  <si>
    <t>poisson</t>
  </si>
  <si>
    <t>epinards</t>
  </si>
  <si>
    <t>petits pois</t>
  </si>
  <si>
    <t>concombre</t>
  </si>
  <si>
    <t>poire</t>
  </si>
  <si>
    <t>poisson sec</t>
  </si>
  <si>
    <t>acceptabilite</t>
  </si>
  <si>
    <t>manger</t>
  </si>
  <si>
    <t>Adultes en restauration collective</t>
  </si>
  <si>
    <t>Velouté ; hachis parmentier ; purée de carottes ; flan</t>
  </si>
  <si>
    <t>Trop de textures molles</t>
  </si>
  <si>
    <t>Repérez la monotonie texturale de ce menu et proposez une correction adaptée au public.</t>
  </si>
  <si>
    <t>Pourquoi ce repas fait-il trop mou, et qu’est-ce que tu peux ajouter pour changer la texture ?</t>
  </si>
  <si>
    <t>Le menu cumule velouté, hachis, purée et flan. La texture dominante est molle ou lisse. Pour des adultes sans contrainte de mastication, introduire une texture de contraste : crudité, salade, légume plus ferme ou fruit cru adapté.</t>
  </si>
  <si>
    <t>Tout est mou : soupe, hachis, purée, flan. Si les convives peuvent mâcher, je mets une crudité, une salade ou un fruit avec plus de tenue.</t>
  </si>
  <si>
    <t>Si l’apprenant se concentre seulement sur la couleur, lui faire analyser la sensation en bouche : que mâche-t-on vraiment ?</t>
  </si>
  <si>
    <t>Demander : « Dans ce repas, qu’est-ce qui croque ou qui a de la tenue ? »</t>
  </si>
  <si>
    <t>Monotonie texturale 5 pts ; éléments mous cités 3 pts ; correction texture 4 pts ; adaptation public 3 pts ; réalisme 2 pts ; justification 3 pts.</t>
  </si>
  <si>
    <t>mou ; velouté ; hachis ; purée ; flan ; texture ; contraste ; crudité ; salade ; fruit cru</t>
  </si>
  <si>
    <t>Texture monotone</t>
  </si>
  <si>
    <t>Salade, légume plus ferme ou accompagnement moins lisse</t>
  </si>
  <si>
    <t>Non prioritaire si plat déjà humide ; éviter surliaison</t>
  </si>
  <si>
    <t>Crudité croquante ou légume vinaigré si adapté</t>
  </si>
  <si>
    <t>Fruit cru si adapté au public</t>
  </si>
  <si>
    <t>Si public âgé, privilégier couleur et séparation plutôt que croquant</t>
  </si>
  <si>
    <t>Vérifier capacité de mastication et tenue des textures</t>
  </si>
  <si>
    <t>Tout mou = ajouter contraste si le convive le permet</t>
  </si>
  <si>
    <t>mou</t>
  </si>
  <si>
    <t>monotonie</t>
  </si>
  <si>
    <t>tout mou</t>
  </si>
  <si>
    <t>legume ferme</t>
  </si>
  <si>
    <t>croquant</t>
  </si>
  <si>
    <t>fruit cru</t>
  </si>
  <si>
    <t>convives</t>
  </si>
  <si>
    <t>capacite</t>
  </si>
  <si>
    <t>mache</t>
  </si>
  <si>
    <t>possible</t>
  </si>
  <si>
    <t>contraste</t>
  </si>
  <si>
    <t>changer</t>
  </si>
  <si>
    <t>Adultes</t>
  </si>
  <si>
    <t>Lentilles vinaigrette ; bœuf bourguignon ; pommes de terre ; gâteau chocolat</t>
  </si>
  <si>
    <t>Menu visuellement brun et lourd</t>
  </si>
  <si>
    <t>Analysez la dominante visuelle de ce menu et proposez une correction par couleur, fraîcheur et dessert.</t>
  </si>
  <si>
    <t>Pourquoi ce menu tire trop vers le marron, et comment tu le réveilles ?</t>
  </si>
  <si>
    <t>Le menu présente une dominante brune : lentilles, bœuf sauce, pommes de terre et gâteau chocolat. Introduire vert, orange ou fruit clair/acide pour alléger la perception visuelle et sensorielle.</t>
  </si>
  <si>
    <t>Tout fait marron et lourd. Je mets une entrée plus colorée, un légume vert ou orange, et je remplace le gâteau chocolat par un fruit.</t>
  </si>
  <si>
    <t>Si l’apprenant dit que le menu est bon en automne, demander si la saison suffit à rendre l’assiette attractive.</t>
  </si>
  <si>
    <t>Demander : « Quelle couleur tu vois dans ce repas ? Quelle couleur manque ? »</t>
  </si>
  <si>
    <t>Dominante brune 4 pts ; lourdeur 3 pts ; contraste couleur 4 pts ; dessert corrigé 3 pts ; saison automne 3 pts ; justification 3 pts.</t>
  </si>
  <si>
    <t>brun ; marron ; lourd ; lentilles ; bourguignon ; chocolat ; vert ; orange ; fruit ; contraste</t>
  </si>
  <si>
    <t>Couleur / lourdeur</t>
  </si>
  <si>
    <t>Carottes, haricots verts ou légumes de saison colorés</t>
  </si>
  <si>
    <t>Sauce bourguignon maîtrisée, pas excessive</t>
  </si>
  <si>
    <t>Crudité orange ou verte</t>
  </si>
  <si>
    <t>Fruit clair ou acidulé</t>
  </si>
  <si>
    <t>Alléger la perception globale pour adultes</t>
  </si>
  <si>
    <t>Préserver tendreté du bourguignon et éviter sauce lourde</t>
  </si>
  <si>
    <t>Trop brun = ajouter vert/orange + fruit</t>
  </si>
  <si>
    <t>brun</t>
  </si>
  <si>
    <t>marron</t>
  </si>
  <si>
    <t>vert</t>
  </si>
  <si>
    <t>orange</t>
  </si>
  <si>
    <t>legume</t>
  </si>
  <si>
    <t>automne</t>
  </si>
  <si>
    <t>convive</t>
  </si>
  <si>
    <t>saison</t>
  </si>
  <si>
    <t>presentation</t>
  </si>
  <si>
    <t>assiette</t>
  </si>
  <si>
    <t>reveiller</t>
  </si>
  <si>
    <t>CFA</t>
  </si>
  <si>
    <t>Escalope de dinde grillée ; semoule ; haricots verts ; yaourt nature</t>
  </si>
  <si>
    <t>Plat sec et peu valorisé</t>
  </si>
  <si>
    <t>Analysez le risque de sécheresse du plat principal et proposez une correction par sauce, garniture et élément périphérique.</t>
  </si>
  <si>
    <t>Pourquoi dinde grillée et semoule peuvent faire sec, et qu’est-ce que tu ajoutes ?</t>
  </si>
  <si>
    <t>L’escalope de dinde grillée et la semoule présentent un risque de sécheresse. Prévoir un jus de volaille, une sauce légère ou des légumes fondants. Une entrée colorée ou un fruit améliore aussi l’attractivité.</t>
  </si>
  <si>
    <t>Dinde grillée avec semoule, ça peut être sec. Je mets du jus ou une sauce légère, des légumes plus moelleux et un peu de couleur.</t>
  </si>
  <si>
    <t>Si l’apprenant propose seulement de changer la viande, l’amener à corriger le menu existant plutôt qu’à le remplacer.</t>
  </si>
  <si>
    <t>Demander : « Sans changer la dinde, comment tu fais pour que ce soit moins sec ? »</t>
  </si>
  <si>
    <t>Sécheresse 5 pts ; sauce/jus 4 pts ; garniture humidifiante 3 pts ; couleur 2 pts ; public CFA 3 pts ; justification 3 pts.</t>
  </si>
  <si>
    <t>sec ; dinde ; semoule ; jus ; sauce ; légumes fondants ; couleur ; CFA ; attractivité</t>
  </si>
  <si>
    <t>Sécheresse</t>
  </si>
  <si>
    <t>Semoule aux légumes ou légumes fondants</t>
  </si>
  <si>
    <t>Jus de volaille ou sauce légère</t>
  </si>
  <si>
    <t>Crudité colorée</t>
  </si>
  <si>
    <t>Fruit ou yaourt selon équilibre global</t>
  </si>
  <si>
    <t>Repas plus attractif pour jeunes apprenants</t>
  </si>
  <si>
    <t>Surcuisson de la dinde ; semoule qui sèche</t>
  </si>
  <si>
    <t>Plat sec = jus + garniture humide</t>
  </si>
  <si>
    <t>dinde</t>
  </si>
  <si>
    <t>semoule</t>
  </si>
  <si>
    <t>legumes fondants</t>
  </si>
  <si>
    <t>couleur</t>
  </si>
  <si>
    <t>cfa</t>
  </si>
  <si>
    <t>apprenants</t>
  </si>
  <si>
    <t>apprenant</t>
  </si>
  <si>
    <t>grillee</t>
  </si>
  <si>
    <t>moins sec</t>
  </si>
  <si>
    <t>ameliore</t>
  </si>
  <si>
    <t>Lycée</t>
  </si>
  <si>
    <t>Chili sin carne ; riz ; salade verte ; yaourt</t>
  </si>
  <si>
    <t>Plat végétarien correct mais risque de rejet si mal présenté</t>
  </si>
  <si>
    <t>Analysez l’acceptabilité d’un plat végétarien auprès de lycéens et proposez une présentation valorisante.</t>
  </si>
  <si>
    <t>Comment éviter que les élèves pensent que le chili « sans viande » est un plat où il manque quelque chose ?</t>
  </si>
  <si>
    <t>Le chili sin carne peut être cohérent s’il contient légumineuses, légumes, sauce et assaisonnement maîtrisé. Le présenter comme un vrai chili complet, éviter la formulation négative « sans viande », assurer satiété et goût avec le riz.</t>
  </si>
  <si>
    <t>Il ne faut pas le présenter comme un plat où il manque de la viande. C’est un vrai chili avec haricots, sauce, légumes, goût et riz.</t>
  </si>
  <si>
    <t>Si l’apprenant corrige uniquement la recette, demander comment le nom du plat et la présentation influencent l’acceptation.</t>
  </si>
  <si>
    <t>Demander : « Comment tu annonces ce plat pour qu’il donne envie ? »</t>
  </si>
  <si>
    <t>Acceptabilité végétarien 4 pts ; présentation valorisante 4 pts ; légumineuses 4 pts ; satiété 3 pts ; épices maîtrisées 2 pts ; justification 3 pts.</t>
  </si>
  <si>
    <t>chili ; végétarien ; légumineuses ; haricots ; riz ; vrai plat ; valoriser ; lycéens ; acceptabilité ; goût</t>
  </si>
  <si>
    <t>Végétarien / acceptabilité</t>
  </si>
  <si>
    <t>Riz maîtrisé + légumes ou maïs</t>
  </si>
  <si>
    <t>Sauce tomate épicée douce</t>
  </si>
  <si>
    <t>Yaourt ou fruit selon plan</t>
  </si>
  <si>
    <t>Nom valorisant et explication simple du plat</t>
  </si>
  <si>
    <t>Dosage épices ; tenue des légumineuses</t>
  </si>
  <si>
    <t>Ne pas vendre le végétarien comme un manque</t>
  </si>
  <si>
    <t>nom</t>
  </si>
  <si>
    <t>sans viande</t>
  </si>
  <si>
    <t>manque</t>
  </si>
  <si>
    <t>haricots</t>
  </si>
  <si>
    <t>riz</t>
  </si>
  <si>
    <t>lyceens</t>
  </si>
  <si>
    <t>epices</t>
  </si>
  <si>
    <t>valorise</t>
  </si>
  <si>
    <t>vrai plat</t>
  </si>
  <si>
    <t>donner envie</t>
  </si>
  <si>
    <t>Hospitalier</t>
  </si>
  <si>
    <t>Salade de crudités ; steak haché ; frites ; fromage ; tarte</t>
  </si>
  <si>
    <t>Menu potentiellement trop riche et non adapté à certains patients</t>
  </si>
  <si>
    <t>Analysez les limites de ce menu en contexte hospitalier et proposez les adaptations prioritaires à vérifier.</t>
  </si>
  <si>
    <t>Pourquoi à l’hôpital on ne peut pas servir ce menu pareil à tout le monde ?</t>
  </si>
  <si>
    <t>En hospitalier, prescription, texture, appétit, mastication et régimes spécifiques doivent être vérifiés. Adapter l’entrée, remplacer les frites si nécessaire, prévoir un jus adapté et choisir un dessert compatible avec la prescription.</t>
  </si>
  <si>
    <t>À l’hôpital, il faut regarder la consigne du patient. Crudités, frites ou tarte ne conviennent pas forcément. On adapte selon régime, texture et capacité à manger.</t>
  </si>
  <si>
    <t>Si l’apprenant propose une correction unique pour tous, rappeler que le contexte hospitalier impose de vérifier la prescription.</t>
  </si>
  <si>
    <t>Demander : « Est-ce que tous les patients peuvent manger crudités, frites et tarte ? »</t>
  </si>
  <si>
    <t>Contexte hospitalier 4 pts ; prescription 4 pts ; texture/mastication 3 pts ; garniture corrigée 3 pts ; dessert adapté 3 pts ; justification 3 pts.</t>
  </si>
  <si>
    <t>hospitalier ; prescription ; régime ; texture ; mastication ; frites ; crudités ; dessert adapté ; patient ; consigne</t>
  </si>
  <si>
    <t>M00 ; M05</t>
  </si>
  <si>
    <t>Difficile</t>
  </si>
  <si>
    <t>Adaptation hospitalier</t>
  </si>
  <si>
    <t>Pommes vapeur ou purée + légumes selon prescription</t>
  </si>
  <si>
    <t>Jus léger si besoin</t>
  </si>
  <si>
    <t>Entrée compatible prescription</t>
  </si>
  <si>
    <t>Fruit, compote ou dessert adapté au régime</t>
  </si>
  <si>
    <t>Prescription, mastication, appétit et régime à vérifier</t>
  </si>
  <si>
    <t>Adapter textures, températures et service au patient</t>
  </si>
  <si>
    <t>Hospitalier = prescription avant menu standard</t>
  </si>
  <si>
    <t>hospitalier</t>
  </si>
  <si>
    <t>prescription</t>
  </si>
  <si>
    <t>regime</t>
  </si>
  <si>
    <t>hopital</t>
  </si>
  <si>
    <t>patient</t>
  </si>
  <si>
    <t>garniture</t>
  </si>
  <si>
    <t>purée</t>
  </si>
  <si>
    <t>dessert adapte</t>
  </si>
  <si>
    <t>consigne</t>
  </si>
  <si>
    <t>adaptation</t>
  </si>
  <si>
    <t>adapter</t>
  </si>
  <si>
    <t>compatible</t>
  </si>
  <si>
    <t>verifier</t>
  </si>
  <si>
    <t>Collège</t>
  </si>
  <si>
    <t>Lasagnes bolognaise ; pain ; fromage ; crème dessert</t>
  </si>
  <si>
    <t>Plat complet trop alourdi par le reste du menu</t>
  </si>
  <si>
    <t>Expliquez pourquoi un plat complet ne suffit pas à valider tout le repas et proposez une correction entrée-dessert.</t>
  </si>
  <si>
    <t>Pourquoi les lasagnes calent déjà, et que faut-il éviter de rajouter autour ?</t>
  </si>
  <si>
    <t>Les lasagnes sont déjà un plat dense avec féculent, sauce, viande et parfois fromage. Éviter d’ajouter pain, fromage et crème dessert. Préférer salade ou crudité et fruit pour alléger le repas.</t>
  </si>
  <si>
    <t>Les lasagnes sont déjà complètes et lourdes. Je ne rajoute pas encore fromage et crème dessert. Je mets du frais et un fruit.</t>
  </si>
  <si>
    <t>Si l’apprenant considère les lasagnes équilibrées seules, demander ce que pain, fromage et crème dessert ajoutent réellement.</t>
  </si>
  <si>
    <t>Demander : « As-tu encore besoin de rajouter du lourd après des lasagnes ? »</t>
  </si>
  <si>
    <t>Plat complet 4 pts ; surcharge 4 pts ; entrée fraîche 3 pts ; dessert fruité 3 pts ; public collège 3 pts ; justification 3 pts.</t>
  </si>
  <si>
    <t>lasagnes ; plat complet ; lourd ; pain ; fromage ; crème dessert ; salade ; crudité ; fruit ; alléger</t>
  </si>
  <si>
    <t>Plat complet trompeur</t>
  </si>
  <si>
    <t>Salade ou légumes crus en complément</t>
  </si>
  <si>
    <t>Sauce déjà intégrée au plat</t>
  </si>
  <si>
    <t>Crudité ou salade verte</t>
  </si>
  <si>
    <t>Fruit</t>
  </si>
  <si>
    <t>Garder satiété sans surcharge chez collégiens</t>
  </si>
  <si>
    <t>Portion et tenue au service des lasagnes</t>
  </si>
  <si>
    <t>Plat complet = alléger autour</t>
  </si>
  <si>
    <t>lasagnes</t>
  </si>
  <si>
    <t>plat complet</t>
  </si>
  <si>
    <t>complet</t>
  </si>
  <si>
    <t>frais</t>
  </si>
  <si>
    <t>fromage</t>
  </si>
  <si>
    <t>portion</t>
  </si>
  <si>
    <t>tenue</t>
  </si>
  <si>
    <t>plat</t>
  </si>
  <si>
    <t>pas rajouter</t>
  </si>
  <si>
    <t>Petite enfance</t>
  </si>
  <si>
    <t>Radis ; poisson ; riz ; petits pois ; pomme crue</t>
  </si>
  <si>
    <t>Taille, texture et sécurité alimentaire à vérifier</t>
  </si>
  <si>
    <t>Analysez les adaptations nécessaires pour rendre ce menu compatible avec un public petite enfance.</t>
  </si>
  <si>
    <t>Pourquoi faut-il faire attention aux morceaux, aux textures et aux aliments durs pour les tout-petits ?</t>
  </si>
  <si>
    <t>Pour la petite enfance, taille des morceaux, texture, allergènes, mastication et sécurité sont prioritaires. Adapter ou remplacer radis et pomme crue ; sécuriser poisson sans arêtes ; humidifier par sauce douce ; adapter petits pois selon âge.</t>
  </si>
  <si>
    <t>Pour les petits, on ne sert pas des morceaux durs comme à des adultes. Il faut adapter les radis, la pomme, vérifier le poisson et rendre tout facile à manger.</t>
  </si>
  <si>
    <t>Si l’apprenant parle seulement de saison ou équilibre, le ramener sur la sécurité physique des aliments pour la petite enfance.</t>
  </si>
  <si>
    <t>Demander : « Est-ce qu’un tout-petit peut manger ça sans risque ? Les morceaux sont-ils adaptés ? »</t>
  </si>
  <si>
    <t>Petite enfance 4 pts ; morceaux durs 4 pts ; poisson sécurisé 3 pts ; texture adaptée 4 pts ; allergènes/sécurité 2 pts ; justification 3 pts.</t>
  </si>
  <si>
    <t>crèche ; petite enfance ; morceaux ; texture ; radis ; pomme crue ; poisson ; arêtes ; sécurité ; mastication</t>
  </si>
  <si>
    <t>M00 ; M03</t>
  </si>
  <si>
    <t>Sécurité / petite enfance</t>
  </si>
  <si>
    <t>Riz adapté + petits pois fondants ou adaptés selon âge</t>
  </si>
  <si>
    <t>Sauce douce pour humidifier le poisson</t>
  </si>
  <si>
    <t>Entrée adaptée en texture, sans morceaux durs</t>
  </si>
  <si>
    <t>Compote ou fruit adapté</t>
  </si>
  <si>
    <t>Taille des morceaux, allergènes, âge et mastication</t>
  </si>
  <si>
    <t>Contrôle arêtes ; texture ; sécurité physique</t>
  </si>
  <si>
    <t>Petite enfance = morceaux et textures d’abord</t>
  </si>
  <si>
    <t>creche</t>
  </si>
  <si>
    <t>petite enfance</t>
  </si>
  <si>
    <t>morceaux</t>
  </si>
  <si>
    <t>petits</t>
  </si>
  <si>
    <t>dur</t>
  </si>
  <si>
    <t>sauce douce</t>
  </si>
  <si>
    <t>riz adapte</t>
  </si>
  <si>
    <t>fruit adapte</t>
  </si>
  <si>
    <t>entree adaptee</t>
  </si>
  <si>
    <t>radis</t>
  </si>
  <si>
    <t>tout-petit</t>
  </si>
  <si>
    <t>aretes</t>
  </si>
  <si>
    <t>securite</t>
  </si>
  <si>
    <t>allergenes</t>
  </si>
  <si>
    <t>risque</t>
  </si>
  <si>
    <t>securise</t>
  </si>
  <si>
    <t>Été</t>
  </si>
  <si>
    <t>Tomates vinaigrette ; pâtes sauce tomate ; ratatouille ; fraises</t>
  </si>
  <si>
    <t>Répétition rouge/tomate et manque de contraste</t>
  </si>
  <si>
    <t>Analysez la répétition de couleur et de famille produit dans ce menu d’été, puis proposez une correction.</t>
  </si>
  <si>
    <t>Pourquoi même en été il ne faut pas mettre tomate partout ?</t>
  </si>
  <si>
    <t>Le menu est de saison mais répète tomate, rouge et acidité. Varier les couleurs et familles de produits : concombre, melon, courgette, aubergine, poivron, fruit différent ou sauce aux herbes.</t>
  </si>
  <si>
    <t>Même si c’est l’été, tout tourne autour de la tomate et du rouge. Je varie avec du vert, du jaune, du melon, du concombre ou un autre fruit.</t>
  </si>
  <si>
    <t>Si l’apprenant valide le menu seulement car il est de saison, demander si la saison suffit à éviter la répétition sensorielle.</t>
  </si>
  <si>
    <t>Demander : « Combien de fois tu retrouves la tomate ou le rouge dans ce menu ? »</t>
  </si>
  <si>
    <t>Répétition tomate 4 pts ; dominante rouge 3 pts ; alternatives été 4 pts ; contraste couleur 3 pts ; saison respectée 3 pts ; justification 3 pts.</t>
  </si>
  <si>
    <t>été ; tomate ; rouge ; répétition ; concombre ; melon ; courgette ; poivron ; contraste ; saison</t>
  </si>
  <si>
    <t>Saison / répétition</t>
  </si>
  <si>
    <t>Courgettes, aubergines, poivrons ou légume vert</t>
  </si>
  <si>
    <t>Sauce tomate moins dominante ou sauce herbes</t>
  </si>
  <si>
    <t>Concombre, melon ou salade verte</t>
  </si>
  <si>
    <t>Pêche, abricot, melon ou fruit différent</t>
  </si>
  <si>
    <t>Varier les couleurs malgré la saison estivale</t>
  </si>
  <si>
    <t>Éviter répétitions de sauce tomate et produits aqueux</t>
  </si>
  <si>
    <t>Saison oui, répétition non</t>
  </si>
  <si>
    <t>tomate</t>
  </si>
  <si>
    <t>rouge</t>
  </si>
  <si>
    <t>repetition</t>
  </si>
  <si>
    <t>partout</t>
  </si>
  <si>
    <t>melon</t>
  </si>
  <si>
    <t>courgette</t>
  </si>
  <si>
    <t>fruit different</t>
  </si>
  <si>
    <t>peche</t>
  </si>
  <si>
    <t>abricot</t>
  </si>
  <si>
    <t>ete</t>
  </si>
  <si>
    <t>varier</t>
  </si>
  <si>
    <t>Adultes / entreprise</t>
  </si>
  <si>
    <t>Potage ; bœuf carottes ; pommes de terre ; fromage ; riz au lait</t>
  </si>
  <si>
    <t>Repas chaud, dense, peu frais</t>
  </si>
  <si>
    <t>Analysez la densité sensorielle de ce menu d’hiver et proposez un correcteur de fraîcheur.</t>
  </si>
  <si>
    <t>Pourquoi ce menu d’hiver peut sembler lourd, et qu’est-ce que tu ajoutes pour donner du frais ?</t>
  </si>
  <si>
    <t>Le menu est cohérent avec l’hiver mais chaud, dense et peu frais. Ajouter crudité d’hiver : carotte, betterave, chou rouge ; ou fruit : agrume, pomme, poire pour alléger la perception globale.</t>
  </si>
  <si>
    <t>C’est un menu d’hiver, mais tout est chaud et lourd. Je mets une crudité d’hiver ou un fruit pour apporter du frais.</t>
  </si>
  <si>
    <t>Si l’apprenant propose de remplacer le plat, le ramener sur l’objectif : corriger sans reconstruire tout le menu.</t>
  </si>
  <si>
    <t>Demander : « Qu’est-ce qui donne de la fraîcheur dans ce repas ? »</t>
  </si>
  <si>
    <t>Densité 4 pts ; manque de fraîcheur 4 pts ; crudité hiver 3 pts ; fruit 3 pts ; saison respectée 3 pts ; justification 3 pts.</t>
  </si>
  <si>
    <t>hiver ; dense ; chaud ; frais ; crudité ; carotte ; betterave ; chou rouge ; agrume ; fruit</t>
  </si>
  <si>
    <t>Saison / fraîcheur</t>
  </si>
  <si>
    <t>Pommes vapeur + légume vert possible</t>
  </si>
  <si>
    <t>Sauce du bœuf maîtrisée</t>
  </si>
  <si>
    <t>Crudité d’hiver : carotte, betterave, chou rouge</t>
  </si>
  <si>
    <t>Agrume, pomme ou poire</t>
  </si>
  <si>
    <t>Repas plus digeste pour pause méridienne</t>
  </si>
  <si>
    <t>Maintien chaud et densité des plats mijotés</t>
  </si>
  <si>
    <t>Menu d’hiver = garder chaleur, ajouter frais</t>
  </si>
  <si>
    <t>hiver</t>
  </si>
  <si>
    <t>dense</t>
  </si>
  <si>
    <t>carotte</t>
  </si>
  <si>
    <t>betterave</t>
  </si>
  <si>
    <t>agrume</t>
  </si>
  <si>
    <t>pomme</t>
  </si>
  <si>
    <t>entreprise</t>
  </si>
  <si>
    <t>apporte</t>
  </si>
  <si>
    <t>EHPAD / texture modifiée</t>
  </si>
  <si>
    <t>Tous les éléments du repas sont mixés ensemble</t>
  </si>
  <si>
    <t>Perte d’identité, couleur unique, faible appétence</t>
  </si>
  <si>
    <t>Analysez les risques liés à un repas mixé non lisible et proposez une correction respectant sécurité, couleur et dignité.</t>
  </si>
  <si>
    <t>Pourquoi il ne faut pas tout mélanger dans une assiette mixée ?</t>
  </si>
  <si>
    <t>En texture modifiée, sécurité prioritaire mais lisibilité essentielle. Mélanger tous les éléments fait perdre identité, couleur et appétence. Séparer les composants par couleur, adapter la sauce à la texture prescrite et présenter dignement.</t>
  </si>
  <si>
    <t>Même mixé, il faut que la personne voie ce qu’elle mange. On sépare les couleurs, on garde une sauce adaptée et on présente proprement.</t>
  </si>
  <si>
    <t>Si l’apprenant se limite à « mixer plus fin », demander comment il maintient couleur, goût, identité et envie de manger.</t>
  </si>
  <si>
    <t>Demander : « Aurais-tu envie de manger une assiette où tout est mélangé en une seule couleur ? »</t>
  </si>
  <si>
    <t>Perte identité 4 pts ; couleurs séparées 4 pts ; texture sécurisée 4 pts ; sauce adaptée 3 pts ; dignité/appétence 2 pts ; justification 3 pts.</t>
  </si>
  <si>
    <t>texture modifiée ; mixé ; EHPAD ; lisibilité ; couleurs séparées ; sauce ; sécurité ; dignité ; appétence ; identité</t>
  </si>
  <si>
    <t>Texture modifiée / lisibilité</t>
  </si>
  <si>
    <t>Purées séparées par couleur</t>
  </si>
  <si>
    <t>Sauce adaptée à la texture prescrite</t>
  </si>
  <si>
    <t>Entrée texture adaptée mais identifiable</t>
  </si>
  <si>
    <t>Dessert texture adaptée et coloré</t>
  </si>
  <si>
    <t>Respect texture, sécurité, dignité de présentation</t>
  </si>
  <si>
    <t>Texture prescrite, température, séparation visuelle</t>
  </si>
  <si>
    <t>Même mixé = lisible, sûr, digne</t>
  </si>
  <si>
    <t>mixe</t>
  </si>
  <si>
    <t>texture modifiee</t>
  </si>
  <si>
    <t>lisibilite</t>
  </si>
  <si>
    <t>melange</t>
  </si>
  <si>
    <t>separer</t>
  </si>
  <si>
    <t>couleurs</t>
  </si>
  <si>
    <t>dignite</t>
  </si>
  <si>
    <t>personne</t>
  </si>
  <si>
    <t>envie</t>
  </si>
  <si>
    <t>iddsi</t>
  </si>
  <si>
    <t>danger</t>
  </si>
  <si>
    <t>identite</t>
  </si>
  <si>
    <t>appetence</t>
  </si>
  <si>
    <t>Charcuterie ; rôti de porc ; purée ; fromage ; dessert</t>
  </si>
  <si>
    <t>Répétition porc et nécessité d’alternative</t>
  </si>
  <si>
    <t>Analysez les limites de ce menu pour un public mixte et proposez une correction respectant diversité et acceptabilité.</t>
  </si>
  <si>
    <t>Pourquoi mettre porc en entrée et porc en plat peut poser problème dans un collège ou un lycée ?</t>
  </si>
  <si>
    <t>Le menu cumule charcuterie et porc en plat principal. Pour un public mixte, éviter la répétition et anticiper une alternative. Prévoir entrée sans porc, garniture colorée et alternative au rôti selon organisation.</t>
  </si>
  <si>
    <t>Il y a porc deux fois. Certains élèves n’en mangent pas et le repas manque de variété. Je mets une entrée sans porc et je prévois une autre solution.</t>
  </si>
  <si>
    <t>Si l’apprenant parle seulement de goût, demander ce que devient le menu pour un convive qui ne consomme pas de porc.</t>
  </si>
  <si>
    <t>Demander : « Que mange l’élève qui ne prend pas de porc dans ce menu ? »</t>
  </si>
  <si>
    <t>Répétition porc 5 pts ; alternative 4 pts ; entrée corrigée 3 pts ; public mixte 3 pts ; variété 2 pts ; justification 3 pts.</t>
  </si>
  <si>
    <t>porc ; charcuterie ; rôti ; alternative ; public mixte ; sans porc ; variété ; collège ; lycée ; acceptabilité</t>
  </si>
  <si>
    <t>Public mixte / alternative</t>
  </si>
  <si>
    <t>Purée + légume coloré</t>
  </si>
  <si>
    <t>Jus court</t>
  </si>
  <si>
    <t>Crudité ou entrée sans porc</t>
  </si>
  <si>
    <t>Fruit ou laitage selon menu</t>
  </si>
  <si>
    <t>Prévoir alternative sans porc selon organisation</t>
  </si>
  <si>
    <t>Organisation des alternatives et information service</t>
  </si>
  <si>
    <t>Public mixte = alternative pensée avant service</t>
  </si>
  <si>
    <t>porc</t>
  </si>
  <si>
    <t>charcuterie</t>
  </si>
  <si>
    <t>alternative</t>
  </si>
  <si>
    <t>deux fois</t>
  </si>
  <si>
    <t>puree</t>
  </si>
  <si>
    <t>legume colore</t>
  </si>
  <si>
    <t>entree sans porc</t>
  </si>
  <si>
    <t>sans porc</t>
  </si>
  <si>
    <t>public mixte</t>
  </si>
  <si>
    <t>eleve</t>
  </si>
  <si>
    <t>organisation</t>
  </si>
  <si>
    <t>prevoir</t>
  </si>
  <si>
    <t>diversite</t>
  </si>
  <si>
    <t>respecte</t>
  </si>
  <si>
    <t>certains</t>
  </si>
  <si>
    <t>Poisson pané ; frites ; ketchup ; crème dessert</t>
  </si>
  <si>
    <t>Menu trop fast-food, gras et pauvre en végétaux</t>
  </si>
  <si>
    <t>Analysez l’effet fast-food de ce menu et proposez une correction qui conserve l’acceptabilité du poisson pané.</t>
  </si>
  <si>
    <t>Pourquoi poisson pané + frites + ketchup + crème dessert, ça fait trop ?</t>
  </si>
  <si>
    <t>Le poisson pané peut être acceptable, mais avec frites, ketchup et crème dessert l’ensemble devient trop gras, pauvre en végétaux et standardisé. Remplacer frites par légumes ou pommes vapeur, ajouter crudité, sauce plus adaptée et fruit.</t>
  </si>
  <si>
    <t>Le poisson pané peut plaire, mais avec frites, ketchup et crème dessert, ça fait trop fast-food. Je garde le poisson mais je mets légumes, sauce simple et fruit.</t>
  </si>
  <si>
    <t>Si l’apprenant supprime le poisson pané, rappeler que l’exercice vise à corriger autour du plat principal.</t>
  </si>
  <si>
    <t>Demander : « Comment tu gardes ce qui plaît, mais tu rends le repas plus équilibré ? »</t>
  </si>
  <si>
    <t>Effet fast-food 4 pts ; excès gras 3 pts ; garniture corrigée 4 pts ; entrée végétale 3 pts ; dessert corrigé 3 pts ; justification 3 pts.</t>
  </si>
  <si>
    <t>poisson pané ; frites ; ketchup ; fast-food ; gras ; légumes ; crudité ; fruit ; collège ; acceptabilité</t>
  </si>
  <si>
    <t>Menu fast-food / correcteurs</t>
  </si>
  <si>
    <t>Pommes vapeur, légumes verts ou purée de légumes</t>
  </si>
  <si>
    <t>Sauce yaourt-herbes ou citron</t>
  </si>
  <si>
    <t>Crudité fraîche</t>
  </si>
  <si>
    <t>Garder acceptabilité sans caricaturer le menu</t>
  </si>
  <si>
    <t>Croustillant du pané ; éviter attente humide</t>
  </si>
  <si>
    <t>Garder ce qui plaît, corriger autour</t>
  </si>
  <si>
    <t>fast-food</t>
  </si>
  <si>
    <t>frites</t>
  </si>
  <si>
    <t>ketchup</t>
  </si>
  <si>
    <t>plaire</t>
  </si>
  <si>
    <t>croustillant</t>
  </si>
  <si>
    <t>four</t>
  </si>
  <si>
    <t>equilibre</t>
  </si>
  <si>
    <t>garde</t>
  </si>
  <si>
    <t>garder</t>
  </si>
  <si>
    <t>Velouté de courge ; dahl de lentilles corail ; purée de carottes ; compote</t>
  </si>
  <si>
    <t>Trop de textures lisses et fondantes</t>
  </si>
  <si>
    <t>Analysez la monotonie texturale de ce menu végétarien de saison et proposez une correction adaptée.</t>
  </si>
  <si>
    <t>Pourquoi ce menu est cohérent avec l’automne mais trop mou en bouche ?</t>
  </si>
  <si>
    <t>Le menu est de saison et végétarien, mais cumule velouté, dahl fondant, purée et compote. Introduire une texture de contraste si le public le permet : crudité d’automne, salade, céréale structurée, fruit cru ou garniture moins lisse.</t>
  </si>
  <si>
    <t>C’est bien de saison, mais tout est mou. Je garde l’idée du menu et j’ajoute une texture qui change : crudité, salade, céréale ou fruit cru si les convives peuvent manger.</t>
  </si>
  <si>
    <t>Si l’apprenant valide le menu car il est végétarien et de saison, demander d’analyser la mastication.</t>
  </si>
  <si>
    <t>Demander : « Qu’est-ce qu’on mâche vraiment dans ce repas ? »</t>
  </si>
  <si>
    <t>Saison reconnue 2 pts ; textures molles 5 pts ; correction texture 4 pts ; public adulte 2 pts ; végétarien conservé 3 pts ; justification 4 pts.</t>
  </si>
  <si>
    <t>végétarien ; automne ; mou ; velouté ; dahl ; purée ; compote ; texture ; contraste ; crudité</t>
  </si>
  <si>
    <t>Texture / végétarien</t>
  </si>
  <si>
    <t>Riz pilaf, céréale plus structurée ou légumes moins lisses</t>
  </si>
  <si>
    <t>Dahl maîtrisé, pas trop liquide</t>
  </si>
  <si>
    <t>Crudité d’automne si adaptée</t>
  </si>
  <si>
    <t>Fruit cru ou dessert avec texture</t>
  </si>
  <si>
    <t>Adapter selon mastication</t>
  </si>
  <si>
    <t>Éviter textures collantes ou trop liquides</t>
  </si>
  <si>
    <t>De saison ne suffit pas : il faut de la mâche</t>
  </si>
  <si>
    <t>riz pilaf</t>
  </si>
  <si>
    <t>cereale</t>
  </si>
  <si>
    <t>conserve</t>
  </si>
  <si>
    <t>Étudiants</t>
  </si>
  <si>
    <t>Salade verte ; omelette nature ; haricots verts ; yaourt</t>
  </si>
  <si>
    <t>Menu léger, peu valorisé, risque de faim</t>
  </si>
  <si>
    <t>Analysez la satiété de ce menu étudiant et proposez une correction sans le rendre trop lourd.</t>
  </si>
  <si>
    <t>Pourquoi ce menu risque-t-il de ne pas assez caler des étudiants ?</t>
  </si>
  <si>
    <t>Le menu est léger. Pour des étudiants, renforcer la satiété avec féculent adapté, salade composée plus complète ou garniture céréalière, tout en gardant légumes et présentation valorisante.</t>
  </si>
  <si>
    <t>Omelette avec salade et haricots verts, ça peut ne pas caler assez. J’ajoute un féculent ou une salade plus complète, sans rendre le repas trop lourd.</t>
  </si>
  <si>
    <t>Si l’apprenant ajoute seulement un dessert riche, demander s’il corrige vraiment le plat ou compense mal la faiblesse du repas.</t>
  </si>
  <si>
    <t>Demander : « Après ce repas, est-ce qu’un étudiant tient jusqu’au soir ? Qu’est-ce qui manque ? »</t>
  </si>
  <si>
    <t>Risque de faim 5 pts ; public étudiant 3 pts ; féculent/complément 4 pts ; équilibre conservé 3 pts ; plat valorisé 2 pts ; justification 3 pts.</t>
  </si>
  <si>
    <t>étudiants ; satiété ; omelette ; léger ; féculent ; salade composée ; haricots verts ; yaourt ; caler ; équilibre</t>
  </si>
  <si>
    <t>Satiété / public</t>
  </si>
  <si>
    <t>Pommes vapeur, céréales ou légumes/féculent équilibrés</t>
  </si>
  <si>
    <t>Sauce légère ou herbes</t>
  </si>
  <si>
    <t>Salade composée plus complète</t>
  </si>
  <si>
    <t>Fruit + laitage selon besoin</t>
  </si>
  <si>
    <t>Renforcer satiété sans alourdir</t>
  </si>
  <si>
    <t>Tenue de l’omelette et service chaud/froid</t>
  </si>
  <si>
    <t>Public étudiant = équilibre + satiété</t>
  </si>
  <si>
    <t>etudiant</t>
  </si>
  <si>
    <t>calle</t>
  </si>
  <si>
    <t>feculent</t>
  </si>
  <si>
    <t>laitage</t>
  </si>
  <si>
    <t>etudiants</t>
  </si>
  <si>
    <t>appetit</t>
  </si>
  <si>
    <t>faim</t>
  </si>
  <si>
    <t>Tous publics</t>
  </si>
  <si>
    <t>Salade verte ; rôti de dinde ; pommes vapeur ; yaourt nature</t>
  </si>
  <si>
    <t>Menu correct mais peu attractif</t>
  </si>
  <si>
    <t>Analysez pourquoi ce menu peut être conforme mais faible sur le plan sensoriel, puis proposez une correction simple.</t>
  </si>
  <si>
    <t>Pourquoi ce menu n’est pas forcément faux, mais ne donne pas beaucoup envie ?</t>
  </si>
  <si>
    <t>Le menu n’est pas nécessairement déséquilibré, mais manque de relief sensoriel : dinde potentiellement sèche, pommes vapeur neutres, salade simple, yaourt blanc. Ajouter jus, couleur de saison, garniture plus expressive ou fruit coloré.</t>
  </si>
  <si>
    <t>Le menu est correct, mais triste. La dinde peut être sèche, les pommes vapeur sont neutres et le yaourt est blanc. Je mets du jus, un légume coloré ou un fruit.</t>
  </si>
  <si>
    <t>Si l’apprenant dit que le menu est équilibré, demander si un menu équilibré suffit à garantir qu’il sera mangé.</t>
  </si>
  <si>
    <t>Demander : « Est-ce que cette assiette donne envie ? Où sont la couleur et le jus ? »</t>
  </si>
  <si>
    <t>Menu correct mais triste 4 pts ; sécheresse 3 pts ; couleur 4 pts ; sauce/jus 3 pts ; dessert/garniture 3 pts ; justification 3 pts.</t>
  </si>
  <si>
    <t>conforme ; triste ; dinde ; sec ; pommes vapeur ; yaourt blanc ; jus ; couleur ; fruit ; attractivité</t>
  </si>
  <si>
    <t>Conforme mais triste</t>
  </si>
  <si>
    <t>Pommes vapeur + carottes ou légumes verts</t>
  </si>
  <si>
    <t>Jus de dinde ou sauce légère</t>
  </si>
  <si>
    <t>Crudité colorée d’hiver</t>
  </si>
  <si>
    <t>Fruit coloré ou laitage selon besoin</t>
  </si>
  <si>
    <t>Rendre l’assiette plus lisible et moins sèche</t>
  </si>
  <si>
    <t>Maintien chaud du rôti ; éviter dessèchement</t>
  </si>
  <si>
    <t>Correct ne veut pas dire appétissant</t>
  </si>
  <si>
    <t>triste</t>
  </si>
  <si>
    <t>attractif</t>
  </si>
  <si>
    <t>public</t>
  </si>
  <si>
    <t>tous</t>
  </si>
  <si>
    <t>personnes</t>
  </si>
  <si>
    <t>Méthode PLATS-CF — adapter le même menu selon le convive : texture, portion, sauce, présentation, dessert</t>
  </si>
  <si>
    <t>Lire le public, la saison, le menu initial, puis les questions PRO et CFA.</t>
  </si>
  <si>
    <t>Pour la crèche, il faut adapter les morceaux, vérifier l’absence d’arêtes, rendre les petits pois et le riz faciles à manger, ajouter une sauce douce au poisson et remplacer la pomme crue par une compote ou un fruit adapté. La priorité est la sécurité, la texture et la progression alimentaire.</t>
  </si>
  <si>
    <t>Pour les tout-petits, on ne donne pas des morceaux durs. Je vérifie le poisson, je mets de la sauce, j’adapte le riz et les petits pois, et je remplace la pomme crue par une compote.</t>
  </si>
  <si>
    <t>Réponse A : identifier les contraintes du convive et le premier diagnostic.</t>
  </si>
  <si>
    <t>Lire le conseil formateur puis saisir la réponse B améliorée.</t>
  </si>
  <si>
    <t>La notation automatique cherche 6 critères : convive, texture, portion, sauce/présentation, dessert, justification.</t>
  </si>
  <si>
    <t>Zone technique : AA4:AH33 ; critères/mots-clés intégrés dans la matrice Y52:BT82.</t>
  </si>
  <si>
    <t>Aucun VBA, aucune liste déroulante ajoutée ; formules simples à contrôler dans Excel 2021.</t>
  </si>
  <si>
    <t>Crèche</t>
  </si>
  <si>
    <t>Radis ; poisson blanc ; riz ; petits pois ; pomme crue</t>
  </si>
  <si>
    <t>Menu non sécurisé pour petite enfance : morceaux durs, arêtes et texture à adapter</t>
  </si>
  <si>
    <t>Identifiez les contraintes du convive petite enfance et adaptez texture, sauce, dessert et présentation.</t>
  </si>
  <si>
    <t>Pourquoi ce menu n’est-il pas servi tel quel à des tout-petits ? Que changes-tu pour que ce soit sûr ?</t>
  </si>
  <si>
    <t>Si la réponse reste nutritionnelle, ramener l’apprenant sur le risque physique : morceaux durs, arêtes, mastication, âge.</t>
  </si>
  <si>
    <t>Demander : « Est-ce qu’un tout-petit peut mâcher ça sans risque ? »</t>
  </si>
  <si>
    <t>Contraintes du convive 4 pts ; Texture / mastication 4 pts ; Portion / satiété 3 pts ; Sauce / présentation 3 pts ; Dessert / correction 3 pts ; Justification claire 3 pts</t>
  </si>
  <si>
    <t>crèche ; sécurité ; absence d’arêtes ; morceaux adaptés ; texture adaptée ; sauce douce ; fruit adapté ou compote ; petite portion ; progression alimentaire</t>
  </si>
  <si>
    <t>M01 ; M02 ; M03 ; M05</t>
  </si>
  <si>
    <t>Petite enfance / sécurité</t>
  </si>
  <si>
    <t>Riz moelleux ; petits pois écrasés ou adaptés selon âge</t>
  </si>
  <si>
    <t>Entrée remplacée ou adaptée en texture</t>
  </si>
  <si>
    <t>Texture, taille des morceaux, allergènes, arêtes, âge</t>
  </si>
  <si>
    <t>Contrôle arêtes, cuisson fondante, service tiède</t>
  </si>
  <si>
    <t>Petite enfance = sécurité + texture avant tout</t>
  </si>
  <si>
    <t>Contraintes du convive</t>
  </si>
  <si>
    <t>crèche</t>
  </si>
  <si>
    <t>tout petits</t>
  </si>
  <si>
    <t>bébés</t>
  </si>
  <si>
    <t>Texture / mastication</t>
  </si>
  <si>
    <t>arêtes</t>
  </si>
  <si>
    <t>mâcher</t>
  </si>
  <si>
    <t>Portion / satiété</t>
  </si>
  <si>
    <t>progression</t>
  </si>
  <si>
    <t>quantité</t>
  </si>
  <si>
    <t>petite portion</t>
  </si>
  <si>
    <t>petit</t>
  </si>
  <si>
    <t>adapté</t>
  </si>
  <si>
    <t>Sauce / présentation</t>
  </si>
  <si>
    <t>douce</t>
  </si>
  <si>
    <t>présentation</t>
  </si>
  <si>
    <t>doux</t>
  </si>
  <si>
    <t>joli</t>
  </si>
  <si>
    <t>Dessert / correction</t>
  </si>
  <si>
    <t>fruit adapté</t>
  </si>
  <si>
    <t>sécurité</t>
  </si>
  <si>
    <t>sûr</t>
  </si>
  <si>
    <t>Maternelle</t>
  </si>
  <si>
    <t>Poulet rôti ; pommes vapeur ; brocolis ; yaourt nature</t>
  </si>
  <si>
    <t>Menu correct mais risque de poulet sec, brocolis refusés et portion mal ajustée</t>
  </si>
  <si>
    <t>Adaptez ce menu à des enfants de maternelle en tenant compte de la mastication, de l’acceptabilité et de la portion.</t>
  </si>
  <si>
    <t>Comment rendre ce poulet plus facile à manger pour des petits de maternelle ?</t>
  </si>
  <si>
    <t>En maternelle, il faut découper le poulet en morceaux adaptés, ajouter un jus pour éviter le sec, proposer une portion raisonnable, présenter les brocolis de manière simple et conserver un dessert facile comme un yaourt ou un fruit adapté.</t>
  </si>
  <si>
    <t>Je coupe le poulet plus petit, je mets du jus, je donne une portion adaptée et je présente les brocolis simplement. Le yaourt peut rester s’il aide le repas.</t>
  </si>
  <si>
    <t>Si l’apprenant change tout le menu, lui demander comment adapter sans supprimer le plat principal.</t>
  </si>
  <si>
    <t>Demander : « Sans enlever le poulet, comment tu le rends plus facile à manger ? »</t>
  </si>
  <si>
    <t>acceptabilité ; adapté ; adaptée ; couper ; dessert ; découpe ; enfant ; enfants ; fruit ; jus ; manger ; mastication ; maternelle ; morceaux ; parce ; petit ; petits ; portion ; pour ; présentation ; quantité ; sauce ; sec ; simple ; yaourt ; éviter</t>
  </si>
  <si>
    <t>Maternelle / acceptabilité</t>
  </si>
  <si>
    <t>Pommes vapeur en petits morceaux ; brocolis bien cuits</t>
  </si>
  <si>
    <t>Jus court pour humidifier le poulet</t>
  </si>
  <si>
    <t>Entrée simple si besoin, pas trop dure</t>
  </si>
  <si>
    <t>Yaourt ou fruit adapté</t>
  </si>
  <si>
    <t>Découpe, portion, goût accessible</t>
  </si>
  <si>
    <t>Maintien du poulet sans dessèchement</t>
  </si>
  <si>
    <t>Maternelle = petit, lisible, pas sec</t>
  </si>
  <si>
    <t>maternelle</t>
  </si>
  <si>
    <t>enfant</t>
  </si>
  <si>
    <t>acceptabilité</t>
  </si>
  <si>
    <t>découpe</t>
  </si>
  <si>
    <t>couper</t>
  </si>
  <si>
    <t>adaptée</t>
  </si>
  <si>
    <t>simple</t>
  </si>
  <si>
    <t>éviter</t>
  </si>
  <si>
    <t>Double risque de refus : poisson vapeur et épinards</t>
  </si>
  <si>
    <t>Analysez les contraintes d’acceptabilité en primaire et proposez une adaptation sans déséquilibrer le repas.</t>
  </si>
  <si>
    <t>Pourquoi poisson vapeur et épinards ensemble peuvent poser problème en primaire ?</t>
  </si>
  <si>
    <t>En primaire, l’association poisson vapeur et épinards peut provoquer un refus. Il faut garder l’équilibre mais rendre le plat plus accessible : sauce citron ou yaourt-herbes, légume plus coloré ou plus familier, semoule moins sèche et fruit mûr ou compote selon le public.</t>
  </si>
  <si>
    <t>Poisson et épinards, ça peut faire trop pour les enfants. Je mets une sauce, je choisis un légume plus facile comme carottes ou petits pois, et je garde un dessert simple.</t>
  </si>
  <si>
    <t>Si l’apprenant supprime le poisson, lui faire chercher une correction autour du plat.</t>
  </si>
  <si>
    <t>Demander : « Comment tu aides les enfants à manger le poisson ? »</t>
  </si>
  <si>
    <t>acceptabilité ; adapté ; caler ; citron ; compote ; dessert ; donne envie ; doux ; enfants ; fruit ; manger ; parce ; poire ; poisson ; portion ; pour ; primaire ; quantité ; refus ; satiété ; sauce ; sec ; texture ; vapeur ; yaourt ; élèves</t>
  </si>
  <si>
    <t>Primaire / refus</t>
  </si>
  <si>
    <t>Semoule aux légumes doux ; carottes ou petits pois</t>
  </si>
  <si>
    <t>Sauce citron, yaourt-herbes ou jus léger</t>
  </si>
  <si>
    <t>Concombre sauce douce ou crudité colorée</t>
  </si>
  <si>
    <t>Poire mûre, compote ou fruit de saison</t>
  </si>
  <si>
    <t>Acceptabilité enfant, goût accessible, couleurs</t>
  </si>
  <si>
    <t>Poisson à ne pas dessécher, sauce stable</t>
  </si>
  <si>
    <t>Primaire = accepter avant de compliquer</t>
  </si>
  <si>
    <t>élèves</t>
  </si>
  <si>
    <t>citron</t>
  </si>
  <si>
    <t>donne envie</t>
  </si>
  <si>
    <t>Plat végétarien possible mais à valoriser pour éviter le rejet</t>
  </si>
  <si>
    <t>Adaptez ce menu végétarien à des adolescents en travaillant satiété, nom du plat, sauce et présentation.</t>
  </si>
  <si>
    <t>Comment faire pour que les élèves voient ce chili comme un vrai plat, pas comme un plat où il manque la viande ?</t>
  </si>
  <si>
    <t>Pour des collégiens ou lycéens, le chili sin carne doit être présenté comme un vrai plat complet : légumineuses visibles, riz maîtrisé, sauce tomate épicée douce, couleur et nom valorisant. La portion doit être rassasiante sans être lourde, et le dessert peut rester simple.</t>
  </si>
  <si>
    <t>Je ne dis pas juste « sans viande ». Je montre que c’est un vrai chili avec haricots, sauce, riz, goût et une portion qui cale.</t>
  </si>
  <si>
    <t>Si l’apprenant corrige seulement l’entrée, demander où se trouve la construction du plat principal.</t>
  </si>
  <si>
    <t>Demander : « Qu’est-ce qui cale dans ton chili ? Comment tu le présentes ? »</t>
  </si>
  <si>
    <t>acceptabilité ; adolescents ; cale ; complet ; dessert ; donne envie ; fruit ; haricots ; jeunes ; lycée ; légumineuses ; manger ; parce ; portion ; pour ; présentation ; présenter ; rassasiant ; riz ; satiété ; sauce ; texture ; valorisant ; valorise ; vrai plat ; yaourt ; élèves</t>
  </si>
  <si>
    <t>Adolescents / végétarien</t>
  </si>
  <si>
    <t>Riz adapté ; haricots rouges ou lentilles bien visibles</t>
  </si>
  <si>
    <t>Sauce tomate épicée douce, pas agressive</t>
  </si>
  <si>
    <t>Salade colorée ou crudité simple</t>
  </si>
  <si>
    <t>Yaourt ou fruit selon équilibre</t>
  </si>
  <si>
    <t>Satiété, valorisation, nom du plat</t>
  </si>
  <si>
    <t>Tenue de la sauce, cuisson légumineuses</t>
  </si>
  <si>
    <t>Végétarien lycée = vrai plat + nom valorisant</t>
  </si>
  <si>
    <t>lycée</t>
  </si>
  <si>
    <t>légumineuses</t>
  </si>
  <si>
    <t>rassasiant</t>
  </si>
  <si>
    <t>cale</t>
  </si>
  <si>
    <t>valorisant</t>
  </si>
  <si>
    <t>présenter</t>
  </si>
  <si>
    <t>Plat sec et peu valorisé pour des apprenants</t>
  </si>
  <si>
    <t>Identifiez les contraintes du public CFA et proposez une adaptation par sauce, garniture, portion et justification.</t>
  </si>
  <si>
    <t>Pourquoi ce repas peut paraître sec et pas très motivant pour des CFA ?</t>
  </si>
  <si>
    <t>Pour des CFA, la dinde grillée et la semoule peuvent paraître sèches et peu valorisées. Il faut ajouter un jus ou une sauce légère, travailler la semoule avec légumes ou herbes, garder une portion adaptée et expliquer le rôle de la garniture et du dessert.</t>
  </si>
  <si>
    <t>Dinde grillée avec semoule, c’est vite sec. Je mets du jus, j’améliore la semoule avec des légumes ou des herbes, et je donne une portion qui cale.</t>
  </si>
  <si>
    <t>Si l’apprenant remplace le plat, demander comment corriger le plat existant.</t>
  </si>
  <si>
    <t>Demander : « Sans changer la dinde, comment tu rends le repas moins sec ? »</t>
  </si>
  <si>
    <t>CFA ; adapté ; apprenant ; apprentis ; caler ; corrige ; corriger ; dessert ; dinde ; fruit ; herbes ; jeunes ; jus ; manger ; parce ; portion ; pour ; quantité ; satiété ; sauce ; sec ; semoule ; texture ; yaourt</t>
  </si>
  <si>
    <t>CFA / plat sec</t>
  </si>
  <si>
    <t>Semoule aux légumes ou herbes ; haricots verts bien assaisonnés</t>
  </si>
  <si>
    <t>Crudité colorée si besoin</t>
  </si>
  <si>
    <t>Yaourt ou fruit selon le reste</t>
  </si>
  <si>
    <t>Satiété et acceptabilité jeunes apprenants</t>
  </si>
  <si>
    <t>Éviter dessèchement dinde et semoule</t>
  </si>
  <si>
    <t>CFA = expliquer le pourquoi du correcteur</t>
  </si>
  <si>
    <t>apprentis</t>
  </si>
  <si>
    <t>corriger</t>
  </si>
  <si>
    <t>Menu trop léger, risque de faim et faible valorisation du plat</t>
  </si>
  <si>
    <t>Adaptez ce menu à des étudiants en travaillant satiété, portion, garniture et présentation.</t>
  </si>
  <si>
    <t>Pourquoi ce menu risque de ne pas assez caler des étudiants ?</t>
  </si>
  <si>
    <t>Pour des étudiants, le menu est trop léger. L’omelette doit être valorisée par une garniture plus complète, par exemple pommes vapeur, céréales ou salade composée. La portion doit assurer la satiété sans alourdir, avec une présentation plus attractive.</t>
  </si>
  <si>
    <t>Une omelette avec salade et haricots verts, ça peut ne pas caler. J’ajoute un féculent ou une salade plus complète et je présente mieux l’omelette.</t>
  </si>
  <si>
    <t>Si l’apprenant ajoute seulement un dessert riche, lui demander si cela corrige vraiment le plat.</t>
  </si>
  <si>
    <t>Demander : « Après ce repas, est-ce qu’un étudiant tient jusqu’au soir ? »</t>
  </si>
  <si>
    <t>adapté ; assaisonnement ; assaisonner ; caler ; dessert ; donne envie ; faim ; fruit ; féculent ; jeunes ; manger ; moelleux ; omelette ; parce ; portion ; pour ; présentation ; présenter ; public ; satiété ; sauce ; suffisant ; texture ; yaourt ; étudiants</t>
  </si>
  <si>
    <t>Étudiants / satiété</t>
  </si>
  <si>
    <t>Pommes vapeur, céréales ou salade composée</t>
  </si>
  <si>
    <t>Sauce herbes ou assaisonnement léger</t>
  </si>
  <si>
    <t>Yaourt + fruit selon besoin</t>
  </si>
  <si>
    <t>Cuisson omelette, maintien moelleux</t>
  </si>
  <si>
    <t>Étudiant = léger oui, insuffisant non</t>
  </si>
  <si>
    <t>étudiants</t>
  </si>
  <si>
    <t>omelette</t>
  </si>
  <si>
    <t>féculent</t>
  </si>
  <si>
    <t>assaisonnement</t>
  </si>
  <si>
    <t>assaisonner</t>
  </si>
  <si>
    <t>suffisant</t>
  </si>
  <si>
    <t>Quiche ; sauté de porc sauce crème ; gratin de pommes de terre ; fromage ; pâtisserie</t>
  </si>
  <si>
    <t>Menu trop dense pour une pause méridienne</t>
  </si>
  <si>
    <t>Adaptez ce menu à des adultes actifs en limitant la lourdeur tout en conservant un repas complet.</t>
  </si>
  <si>
    <t>Pourquoi ce menu est trop lourd pour une journée de travail, et comment tu l’allèges ?</t>
  </si>
  <si>
    <t>Pour des adultes actifs, le menu cumule pâte, crème, gratin, fromage et pâtisserie. Il faut alléger avec une entrée végétale fraîche, une garniture plus simple, une sauce moins riche ou un jus, et un fruit. La portion doit rester suffisante mais digeste.</t>
  </si>
  <si>
    <t>Il y a trop de gras et de lourd. Pour une pause de travail, je mets des crudités, des légumes, une sauce plus légère et un fruit.</t>
  </si>
  <si>
    <t>Si la réponse parle seulement d’équilibre, faire repérer la digestion et la reprise du travail.</t>
  </si>
  <si>
    <t>Demander : « Est-ce que ce repas aide à reprendre le travail après ? »</t>
  </si>
  <si>
    <t>adultes ; alléger ; allégée ; caler ; compote ; dessert ; digeste ; fruit ; gras ; jus ; lourd ; lourdeur ; manger ; parce ; pause ; portion ; pour ; sauce ; suffisante ; texture ; travail ; éviter</t>
  </si>
  <si>
    <t>Adultes actifs / lourdeur</t>
  </si>
  <si>
    <t>Pommes vapeur + légumes verts</t>
  </si>
  <si>
    <t>Jus réduit ou sauce allégée</t>
  </si>
  <si>
    <t>Repas plus digeste pour pause de travail</t>
  </si>
  <si>
    <t>Limiter sauce lourde et gratin au service</t>
  </si>
  <si>
    <t>Adulte actif = complet mais digeste</t>
  </si>
  <si>
    <t>suffisante</t>
  </si>
  <si>
    <t>allégée</t>
  </si>
  <si>
    <t>alléger</t>
  </si>
  <si>
    <t>lourdeur</t>
  </si>
  <si>
    <t>Restauration d’entreprise</t>
  </si>
  <si>
    <t>Menu cohérent mais chaud, dense et peu frais</t>
  </si>
  <si>
    <t>Adaptez ce menu d’hiver pour des salariés en conservant cohérence, fraîcheur et confort digestif.</t>
  </si>
  <si>
    <t>Pourquoi ce menu d’hiver peut sembler trop dense pour des salariés ?</t>
  </si>
  <si>
    <t>En restauration d’entreprise, ce menu d’hiver est cohérent mais très chaud et dense. Il faut apporter de la fraîcheur avec crudité d’hiver ou fruit, ajuster la portion de pommes de terre, garder une sauce maîtrisée et éviter d’ajouter un dessert trop lourd si le repas est déjà riche.</t>
  </si>
  <si>
    <t>C’est un menu d’hiver, mais tout est chaud et dense. Je mets une crudité ou un fruit pour apporter du frais, et j’évite un dessert trop lourd.</t>
  </si>
  <si>
    <t>Si l’apprenant change tout, rappeler l’objectif : corriger sans reconstruire.</t>
  </si>
  <si>
    <t>Demander : « Qu’est-ce qui apporte du frais dans ce repas ? »</t>
  </si>
  <si>
    <t>adapté ; chaud ; dense ; dessert ; digeste ; entreprise ; frais ; fraîcheur ; fruit ; lourd ; parce ; pause ; pommes ; portion ; pour ; présentation ; présenter ; quantité ; riz au lait ; salariés ; sauce ; texture ; travail</t>
  </si>
  <si>
    <t>Entreprise / densité</t>
  </si>
  <si>
    <t>Pommes de terre en quantité adaptée + légume vert possible</t>
  </si>
  <si>
    <t>Fruit de saison si riz au lait trop lourd</t>
  </si>
  <si>
    <t>Pause de travail, digestion, fraîcheur</t>
  </si>
  <si>
    <t>Maintien chaud du bœuf et des pommes</t>
  </si>
  <si>
    <t>Entreprise = repas utile, pas assommant</t>
  </si>
  <si>
    <t>salariés</t>
  </si>
  <si>
    <t>pommes</t>
  </si>
  <si>
    <t>fraîcheur</t>
  </si>
  <si>
    <t>riz au lait</t>
  </si>
  <si>
    <t>EHPAD</t>
  </si>
  <si>
    <t>Potage ; escalope de dinde ; riz ; haricots verts ; pomme crue</t>
  </si>
  <si>
    <t>Viande sèche, riz sec, dessert peu adapté à la mastication</t>
  </si>
  <si>
    <t>Adaptez ce menu pour un public EHPAD en tenant compte de mastication, sauce, texture, dessert et consommation réelle.</t>
  </si>
  <si>
    <t>Pourquoi ce menu peut être difficile à manger pour une personne âgée ?</t>
  </si>
  <si>
    <t>En EHPAD, l’escalope et le riz peuvent être secs. Il faut une sauce douce, une viande émincée ou plus tendre, une garniture moelleuse, des haricots verts fondants et remplacer la pomme crue par une compote ou un dessert lacté adapté. La priorité est la consommation réelle.</t>
  </si>
  <si>
    <t>Pour une personne âgée, dinde et riz peuvent être trop secs. Je mets de la sauce, je coupe ou émince la viande, je fais des légumes fondants et je remplace la pomme par une compote.</t>
  </si>
  <si>
    <t>Si la réponse reste sur le menu équilibré, demander si la personne va réellement manger.</t>
  </si>
  <si>
    <t>Demander : « Est-ce facile à mâcher ? Y a-t-il assez de sauce ? »</t>
  </si>
  <si>
    <t>EHPAD ; adapté ; appétit ; compote ; consommation ; couper ; dessert ; dessert lacté ; facile ; manger ; mastication ; mâcher ; parce ; personne ; portion ; pour ; présentation ; présenter ; quantité ; sauce ; sec ; texture ; âgée ; émincée</t>
  </si>
  <si>
    <t>EHPAD / mastication</t>
  </si>
  <si>
    <t>Riz moelleux ou purée ; haricots fondants</t>
  </si>
  <si>
    <t>Sauce douce ou jus</t>
  </si>
  <si>
    <t>Potage enrichi si besoin</t>
  </si>
  <si>
    <t>Mastication, déglutition, appétit, consommation réelle</t>
  </si>
  <si>
    <t>Maintien chaud sans dessécher</t>
  </si>
  <si>
    <t>EHPAD = manger vraiment, pas seulement servir</t>
  </si>
  <si>
    <t>âgée</t>
  </si>
  <si>
    <t>appétit</t>
  </si>
  <si>
    <t>émincée</t>
  </si>
  <si>
    <t>dessert lacté</t>
  </si>
  <si>
    <t>Crudités ; steak haché ; frites ; fromage ; tarte</t>
  </si>
  <si>
    <t>Menu non adaptable tel quel sans vérifier prescriptions, texture et régime</t>
  </si>
  <si>
    <t>Analysez les adaptations nécessaires en contexte hospitalier avant de valider ce menu.</t>
  </si>
  <si>
    <t>En hospitalier, il faut d’abord vérifier prescription, régime, texture, mastication et appétit. Les crudités, les frites, le fromage ou la tarte peuvent être inadaptés selon le patient. Il faut proposer une garniture plus simple, un jus si besoin et un dessert compatible.</t>
  </si>
  <si>
    <t>À l’hôpital, on regarde la consigne du patient. Tout le monde ne peut pas manger crudités, frites, fromage et tarte. On adapte le régime, la texture et le dessert.</t>
  </si>
  <si>
    <t>Si la réponse est générale, rappeler que le patient prime sur le menu standard.</t>
  </si>
  <si>
    <t>Demander : « Quelle est la consigne médicale ou diététique ? »</t>
  </si>
  <si>
    <t>adapté ; appétit ; compatible ; compote ; consigne ; dessert ; hospitalier ; hôpital ; jus ; mastication ; mâcher ; parce ; patient ; portion ; pour ; prescription ; prescrit ; présentation ; présenter ; quantité ; régime ; tarte ; texture ; vérifier</t>
  </si>
  <si>
    <t>Hospitalier / prescription</t>
  </si>
  <si>
    <t>Pommes vapeur, purée ou légumes selon prescription</t>
  </si>
  <si>
    <t>Fruit, compote ou dessert prescrit</t>
  </si>
  <si>
    <t>Régime, texture, appétit, mastication</t>
  </si>
  <si>
    <t>Respect prescription et traçabilité interne</t>
  </si>
  <si>
    <t>Hospitalier = vérifier avant d’adapter</t>
  </si>
  <si>
    <t>hôpital</t>
  </si>
  <si>
    <t>régime</t>
  </si>
  <si>
    <t>prescrit</t>
  </si>
  <si>
    <t>tarte</t>
  </si>
  <si>
    <t>vérifier</t>
  </si>
  <si>
    <t>Tomate ; poulet froid ; pâtes ; melon</t>
  </si>
  <si>
    <t>Menu estival mais morceaux, température et hygiène à sécuriser</t>
  </si>
  <si>
    <t>Adaptez ce menu froid à la petite enfance : taille, température, sauce, dessert et sécurité.</t>
  </si>
  <si>
    <t>Pourquoi un menu froid d’été doit être adapté pour des tout-petits ?</t>
  </si>
  <si>
    <t>Pour la crèche, les morceaux de tomate, poulet, pâtes et melon doivent être adaptés à l’âge. Il faut sécuriser température et hygiène, éviter les morceaux glissants ou durs, lier avec une sauce douce si besoin et proposer une portion réduite.</t>
  </si>
  <si>
    <t>Pour les tout-petits, je coupe petit, je vérifie le froid, j’évite les morceaux dangereux et je mets une sauce douce si besoin.</t>
  </si>
  <si>
    <t>Ramener sur taille des morceaux et chaîne du froid.</t>
  </si>
  <si>
    <t>Demander : « Est-ce adapté à l’âge et bien maîtrisé au froid ? »</t>
  </si>
  <si>
    <t>adapte ; age ; caler ; compote ; consommation ; convive ; dessert ; enfant ; fruit ; joli ; laitage ; lisibilite ; macher ; manger ; mastication ; morceaux ; parce ; personne ; portion ; pour ; presentation ; presenter ; public ; quantite ; satiete ; sauce ; texture</t>
  </si>
  <si>
    <t>Petite enfance / froid</t>
  </si>
  <si>
    <t>Pâtes petites et bien cuites</t>
  </si>
  <si>
    <t>Sauce douce légère</t>
  </si>
  <si>
    <t>Tomate adaptée ou remplacée</t>
  </si>
  <si>
    <t>Melon adapté en morceaux sûrs</t>
  </si>
  <si>
    <t>Âge, sécurité, taille des morceaux</t>
  </si>
  <si>
    <t>Chaîne du froid, service rapide</t>
  </si>
  <si>
    <t>Crèche froide = taille + froid maîtrisés</t>
  </si>
  <si>
    <t>satiete</t>
  </si>
  <si>
    <t>quantite</t>
  </si>
  <si>
    <t>presenter</t>
  </si>
  <si>
    <t>adapte</t>
  </si>
  <si>
    <t>Dahl de lentilles corail ; riz ; courge ; yaourt</t>
  </si>
  <si>
    <t>Plat végétarien fondant, risque d’épices et texture monotone</t>
  </si>
  <si>
    <t>Adaptez ce plat végétarien à des enfants de maternelle en travaillant goût, texture et portion.</t>
  </si>
  <si>
    <t>Pourquoi ce dahl doit être doux et bien présenté pour des petits ?</t>
  </si>
  <si>
    <t>En maternelle, le dahl doit rester doux, peu épicé, bien lisible et servi en portion adaptée. La texture fondante est utile mais peut être monotone ; il faut garder de la couleur, une garniture simple et un dessert connu.</t>
  </si>
  <si>
    <t>Je dose les épices, je garde une portion adaptée et je présente bien les lentilles avec le riz et la courge. Le yaourt rassure.</t>
  </si>
  <si>
    <t>Si la réponse valorise seulement le végétarien, demander comment l’enfant accepte le goût.</t>
  </si>
  <si>
    <t>Demander : « Est-ce trop fort ? Est-ce qu’on comprend ce qu’on mange ? »</t>
  </si>
  <si>
    <t>Maternelle / végétarien doux</t>
  </si>
  <si>
    <t>Riz en petite portion ; courge visible</t>
  </si>
  <si>
    <t>Sauce douce, épices très modérées</t>
  </si>
  <si>
    <t>Entrée simple si besoin</t>
  </si>
  <si>
    <t>Yaourt ou fruit doux</t>
  </si>
  <si>
    <t>Goût doux, repères enfant, portion</t>
  </si>
  <si>
    <t>Cuisson lentilles, liaison pas pâteuse</t>
  </si>
  <si>
    <t>Maternelle végé = doux + lisible</t>
  </si>
  <si>
    <t>Hachis parmentier ; purée de carottes ; flan</t>
  </si>
  <si>
    <t>Menu trop mou et peu contrasté pour enfants</t>
  </si>
  <si>
    <t>Adaptez ce menu à des enfants de primaire en corrigeant texture, couleur, dessert et présentation.</t>
  </si>
  <si>
    <t>Pourquoi ce repas fait trop mou pour des enfants ?</t>
  </si>
  <si>
    <t>Le menu cumule hachis, purée et flan, donc une dominante molle. Pour des primaires, il faut ajouter contraste si possible : crudité adaptée, salade, légume plus ferme ou fruit. La présentation doit rendre le hachis plus lisible.</t>
  </si>
  <si>
    <t>Tout est mou. Je garde le hachis mais j’ajoute une crudité ou un fruit, et je présente mieux pour donner envie.</t>
  </si>
  <si>
    <t>Si l’apprenant dit seulement « c’est équilibré », demander ce qu’on mâche.</t>
  </si>
  <si>
    <t>Demander : « Qu’est-ce qui change en bouche ? »</t>
  </si>
  <si>
    <t>Primaire / texture molle</t>
  </si>
  <si>
    <t>Légume plus ferme ou salade selon âge</t>
  </si>
  <si>
    <t>Pas prioritaire, plat déjà humide</t>
  </si>
  <si>
    <t>Crudité adaptée</t>
  </si>
  <si>
    <t>Fruit plutôt que flan si menu trop mou</t>
  </si>
  <si>
    <t>Contraste de mastication, acceptabilité</t>
  </si>
  <si>
    <t>Tenue du hachis au service</t>
  </si>
  <si>
    <t>Trop mou = ajouter contraste</t>
  </si>
  <si>
    <t>Menu trop fast-food, pauvre en adaptation éducative</t>
  </si>
  <si>
    <t>Adaptez ce menu collège sans supprimer l’acceptabilité du poisson pané.</t>
  </si>
  <si>
    <t>Comment garder ce qui plaît sans faire un menu fast-food ?</t>
  </si>
  <si>
    <t>Pour un collège, le poisson pané peut rester mais il faut corriger l’ensemble : remplacer les frites par pommes vapeur ou légumes, proposer sauce yaourt-herbes ou citron, ajouter crudité et finir par un fruit plutôt qu’une crème dessert.</t>
  </si>
  <si>
    <t>Je peux garder le poisson pané, mais pas avec frites, ketchup et crème dessert. Je mets des légumes, une sauce plus simple et un fruit.</t>
  </si>
  <si>
    <t>Si l’apprenant supprime le plat, rappeler qu’on corrige autour.</t>
  </si>
  <si>
    <t>Demander : « Comment tu gardes l’acceptabilité mais tu rééquilibres ? »</t>
  </si>
  <si>
    <t>Collège / fast-food</t>
  </si>
  <si>
    <t>Pommes vapeur ou légumes verts</t>
  </si>
  <si>
    <t>Acceptabilité collège, éducation au goût</t>
  </si>
  <si>
    <t>Croustillant du pané au service</t>
  </si>
  <si>
    <t>Plat complet surchargé par le reste du menu</t>
  </si>
  <si>
    <t>Adaptez ce menu lycée en tenant compte de satiété, densité et correction entrée-dessert.</t>
  </si>
  <si>
    <t>Pourquoi les lasagnes suffisent déjà beaucoup, et que faut-il éviter autour ?</t>
  </si>
  <si>
    <t>Les lasagnes sont déjà denses : féculent, sauce, viande, parfois fromage. Pour des lycéens, il faut garder la satiété mais éviter pain, fromage et crème dessert en cumul. Une salade ou crudité et un fruit sont plus cohérents.</t>
  </si>
  <si>
    <t>Les lasagnes calent déjà. Je ne rajoute pas encore pain, fromage et crème dessert. Je mets du frais et un fruit.</t>
  </si>
  <si>
    <t>Si l’apprenant ajoute simplement plus de légumes dans les lasagnes, demander ce que devient le reste du menu.</t>
  </si>
  <si>
    <t>Demander : « Qu’est-ce qui alourdit autour des lasagnes ? »</t>
  </si>
  <si>
    <t>Lycée / plat complet</t>
  </si>
  <si>
    <t>Sauce déjà intégrée</t>
  </si>
  <si>
    <t>Satiété sans surcharge</t>
  </si>
  <si>
    <t>Portion lasagnes et tenue service</t>
  </si>
  <si>
    <t>Plat complet = autour léger</t>
  </si>
  <si>
    <t>Curry de pois chiches ; riz ; courge ; fromage blanc</t>
  </si>
  <si>
    <t>Plat végétarien intéressant mais épices et texture à expliquer</t>
  </si>
  <si>
    <t>Adaptez ce plat à des CFA en justifiant épices, satiété, sauce et présentation.</t>
  </si>
  <si>
    <t>Comment expliquer ce curry pour qu’il soit compris comme un vrai plat de formation ?</t>
  </si>
  <si>
    <t>Pour des CFA, le curry de pois chiches permet de travailler légumineuses, sauce et équilibre végétarien. Il faut doser les épices, garder une sauce lisible, assurer une portion rassasiante avec riz et présenter la courge comme contraste de couleur.</t>
  </si>
  <si>
    <t>Je dose les épices, je montre que les pois chiches calent, je garde une sauce correcte et je présente la courge pour la couleur.</t>
  </si>
  <si>
    <t>Si la réponse est seulement recette, demander la justification pédagogique.</t>
  </si>
  <si>
    <t>Demander : « Qu’est-ce que ce plat apprend au candidat ? »</t>
  </si>
  <si>
    <t>CFA / végétarien pédagogique</t>
  </si>
  <si>
    <t>Riz + courge bien visible</t>
  </si>
  <si>
    <t>Sauce curry douce</t>
  </si>
  <si>
    <t>Entrée fraîche si besoin</t>
  </si>
  <si>
    <t>Fromage blanc ou fruit</t>
  </si>
  <si>
    <t>Compréhension technique, satiété</t>
  </si>
  <si>
    <t>Cuisson pois chiches, sauce stable</t>
  </si>
  <si>
    <t>CFA = plat + explication métier</t>
  </si>
  <si>
    <t>Salade composée légère ; melon ; yaourt</t>
  </si>
  <si>
    <t>Repas froid trop léger et peu protéiné</t>
  </si>
  <si>
    <t>Adaptez ce menu étudiant en renforçant satiété, protéine et portion sans perdre la fraîcheur.</t>
  </si>
  <si>
    <t>Pourquoi ce menu d’été risque-t-il de ne pas caler des étudiants ?</t>
  </si>
  <si>
    <t>Le menu est frais mais trop léger. Pour des étudiants, il faut ajouter une base protéique ou céréalière : œuf, thon, légumineuses, fromage ou céréales selon choix, tout en gardant fraîcheur et portion suffisante.</t>
  </si>
  <si>
    <t>C’est frais mais ça ne cale pas assez. J’ajoute œuf, thon, lentilles ou céréales pour faire une vraie salade repas.</t>
  </si>
  <si>
    <t>Si l’apprenant ajoute seulement un dessert, demander où est la base nourrissante.</t>
  </si>
  <si>
    <t>Demander : « Qu’est-ce qui cale dans cette salade ? »</t>
  </si>
  <si>
    <t>Étudiants / repas froid léger</t>
  </si>
  <si>
    <t>Céréales, œuf, thon ou légumineuses dans la salade</t>
  </si>
  <si>
    <t>Vinaigrette ou sauce yaourt légère</t>
  </si>
  <si>
    <t>Salade déjà entrée/plat à structurer</t>
  </si>
  <si>
    <t>Yaourt ou fruit selon besoin</t>
  </si>
  <si>
    <t>Satiété étudiante, fraîcheur</t>
  </si>
  <si>
    <t>Maintien froid, assemblage au service</t>
  </si>
  <si>
    <t>Salade repas = fraîche mais complète</t>
  </si>
  <si>
    <t>Poisson blanc ; riz ; courgettes ; fromage blanc</t>
  </si>
  <si>
    <t>Menu léger mais pâle et potentiellement sec</t>
  </si>
  <si>
    <t>Adaptez ce menu adulte en travaillant couleur, sauce, texture et dessert.</t>
  </si>
  <si>
    <t>Pourquoi ce menu peut sembler correct mais triste pour des adultes ?</t>
  </si>
  <si>
    <t>Le menu est léger mais pâle : poisson blanc, riz et fromage blanc. Il faut ajouter une sauce citron-herbes, choisir un légume plus coloré ou associer courgettes avec carottes, et finir par un fruit si le repas reste trop blanc.</t>
  </si>
  <si>
    <t>C’est correct mais triste et clair. Je mets une sauce, une couleur avec les légumes et plutôt un fruit qu’un fromage blanc si tout est blanc.</t>
  </si>
  <si>
    <t>Si l’apprenant garde tout blanc, faire nommer la couleur dominante.</t>
  </si>
  <si>
    <t>Demander : « Quelle couleur voit-on dans l’assiette ? »</t>
  </si>
  <si>
    <t>Adultes / assiette pâle</t>
  </si>
  <si>
    <t>Courgettes + carottes ou légume vert marqué</t>
  </si>
  <si>
    <t>Sauce citron-herbes</t>
  </si>
  <si>
    <t>Fruit de saison</t>
  </si>
  <si>
    <t>Lisibilité et plaisir adulte</t>
  </si>
  <si>
    <t>Poisson à ne pas dessécher</t>
  </si>
  <si>
    <t>Correct ne suffit pas : il faut donner envie</t>
  </si>
  <si>
    <t>Repas mixé : viande, légumes et féculent mélangés ; crème dessert</t>
  </si>
  <si>
    <t>Texture adaptée mais présentation illisible et peu digne</t>
  </si>
  <si>
    <t>Adaptez ce repas mixé en respectant sécurité, couleur, sauce, dessert et dignité.</t>
  </si>
  <si>
    <t>En EHPAD, la texture doit respecter la consigne, mais les composants doivent rester lisibles. Il faut séparer les couleurs, ajuster la sauce, enrichir si besoin et choisir un dessert adapté. La dignité de présentation soutient l’appétit.</t>
  </si>
  <si>
    <t>Même mixé, il faut voir ce qu’on mange. Je sépare les couleurs, je garde une sauce adaptée et je présente proprement.</t>
  </si>
  <si>
    <t>Si l’apprenant répond seulement « mixer plus fin », demander où sont couleur et plaisir.</t>
  </si>
  <si>
    <t>Demander : « Est-ce que cette assiette donne envie ? »</t>
  </si>
  <si>
    <t>Sauce adaptée à la texture</t>
  </si>
  <si>
    <t>Entrée adaptée et lisible</t>
  </si>
  <si>
    <t>Dessert texture adaptée</t>
  </si>
  <si>
    <t>Dignité, appétit, sécurité</t>
  </si>
  <si>
    <t>Contrôle texture, température, tenue</t>
  </si>
  <si>
    <t>Mixé ne veut pas dire mélangé</t>
  </si>
  <si>
    <t>Potage ; poisson sauce ; purée ; compote</t>
  </si>
  <si>
    <t>Menu doux mais à vérifier selon prescription et appétit</t>
  </si>
  <si>
    <t>Adaptez ce menu hospitalier selon prescription, texture, portion et enrichissement éventuel.</t>
  </si>
  <si>
    <t>Pourquoi même un menu doux doit être vérifié à l’hôpital ?</t>
  </si>
  <si>
    <t>En hospitalier, même un menu doux doit être vérifié selon prescription, texture, sel, appétit et besoin d’enrichissement. La portion doit être réaliste, la sauce compatible et le dessert adapté à la consigne.</t>
  </si>
  <si>
    <t>À l’hôpital, même si le menu paraît simple, je vérifie la prescription, la texture, le sel, la portion et le dessert.</t>
  </si>
  <si>
    <t>Si l’apprenant valide trop vite, rappeler le rôle de la prescription.</t>
  </si>
  <si>
    <t>Demander : « Quelle consigne vérifies-tu avant de servir ? »</t>
  </si>
  <si>
    <t>Hospitalier / prescription douce</t>
  </si>
  <si>
    <t>Purée adaptée selon consigne</t>
  </si>
  <si>
    <t>Sauce compatible prescription</t>
  </si>
  <si>
    <t>Potage adapté</t>
  </si>
  <si>
    <t>Compote ou dessert prescrit</t>
  </si>
  <si>
    <t>Prescription, appétit, texture</t>
  </si>
  <si>
    <t>Suivi consigne et service adapté</t>
  </si>
  <si>
    <t>Hospitalier = vérifier même quand ça semble simple</t>
  </si>
  <si>
    <t>Velouté ; omelette ; purée ; compote</t>
  </si>
  <si>
    <t>Menu sûr mais très mou, à adapter par progression et repères</t>
  </si>
  <si>
    <t>Adaptez ce menu de crèche en tenant compte de texture, progression alimentaire et lisibilité.</t>
  </si>
  <si>
    <t>Pourquoi un menu très mou peut quand même devoir être travaillé pour les petits ?</t>
  </si>
  <si>
    <t>En crèche, le menu est plutôt sécurisé mais très mou. Il faut adapter selon âge : texture lisse ou écrasée, petits morceaux progressifs si autorisés, omelette bien cuite, portion faible et présentation simple.</t>
  </si>
  <si>
    <t>C’est sûr mais tout est mou. Selon l’âge, je garde lisse ou j’introduis des petits morceaux autorisés, avec une portion adaptée.</t>
  </si>
  <si>
    <t>Si l’apprenant parle de croquant, rappeler l’âge.</t>
  </si>
  <si>
    <t>Demander : « Quelle texture est autorisée pour cet âge ? »</t>
  </si>
  <si>
    <t>Crèche / progression texture</t>
  </si>
  <si>
    <t>Purée adaptée, texture progressive</t>
  </si>
  <si>
    <t>Omelette moelleuse, pas sèche</t>
  </si>
  <si>
    <t>Velouté adapté</t>
  </si>
  <si>
    <t>Compote</t>
  </si>
  <si>
    <t>Progression alimentaire, âge</t>
  </si>
  <si>
    <t>Cuisson œuf, refroidissement</t>
  </si>
  <si>
    <t>Crèche = texture selon âge</t>
  </si>
  <si>
    <t>Tomates ; poisson froid ; taboulé ; pêche</t>
  </si>
  <si>
    <t>Menu froid coloré mais à rendre simple, sûr et acceptable</t>
  </si>
  <si>
    <t>Adaptez ce menu d’été à la maternelle en vérifiant morceaux, sauce, portion et acceptabilité.</t>
  </si>
  <si>
    <t>Pourquoi un menu froid coloré peut poser problème à des petits ?</t>
  </si>
  <si>
    <t>En maternelle, le menu est coloré mais il faut sécuriser les morceaux, éviter un taboulé trop sec ou trop citronné, proposer une sauce douce et une portion adaptée. La pêche doit être mûre et facile à manger.</t>
  </si>
  <si>
    <t>C’est coloré, mais il faut couper correctement, éviter le sec ou trop acide, et donner une portion adaptée.</t>
  </si>
  <si>
    <t>Si l’apprenant valide seulement les couleurs, demander ce qui se passe en bouche.</t>
  </si>
  <si>
    <t>Demander : « Est-ce facile à manger et pas trop acide ? »</t>
  </si>
  <si>
    <t>Maternelle / froid acceptable</t>
  </si>
  <si>
    <t>Taboulé moelleux, légumes coupés fin</t>
  </si>
  <si>
    <t>Assaisonnement doux</t>
  </si>
  <si>
    <t>Tomates adaptées</t>
  </si>
  <si>
    <t>Pêche mûre ou compote</t>
  </si>
  <si>
    <t>Morceaux, acidité, portion</t>
  </si>
  <si>
    <t>Chaîne du froid, assaisonnement</t>
  </si>
  <si>
    <t>Coloré oui, adapté aussi</t>
  </si>
  <si>
    <t>Saucisse ; lentilles ; fromage ; gâteau chocolat</t>
  </si>
  <si>
    <t>Menu brun, dense et risque de sel/gras</t>
  </si>
  <si>
    <t>Adaptez ce menu primaire en travaillant couleur, portion, dessert et alternative si nécessaire.</t>
  </si>
  <si>
    <t>Pourquoi ce menu peut être lourd et très marron pour des enfants ?</t>
  </si>
  <si>
    <t>Pour des primaires, saucisse et lentilles peuvent être denses, bruns et salés. Il faut ajuster la portion, ajouter une entrée ou un fruit coloré, éviter un dessert chocolaté qui renforce la lourdeur et prévoir une alternative selon les besoins.</t>
  </si>
  <si>
    <t>C’est lourd et tout fait marron. Je mets de la couleur, je surveille la portion et je remplace le gâteau chocolat par un fruit.</t>
  </si>
  <si>
    <t>Si l’apprenant parle uniquement de lentilles bonnes pour la santé, demander ce que voit l’enfant.</t>
  </si>
  <si>
    <t>Demander : « Quelle couleur et quel dessert corrigent le repas ? »</t>
  </si>
  <si>
    <t>Primaire / brun dense</t>
  </si>
  <si>
    <t>Lentilles en portion adaptée + légume coloré</t>
  </si>
  <si>
    <t>Jus simple, pas trop salé</t>
  </si>
  <si>
    <t>Acceptabilité enfant, sel, portion</t>
  </si>
  <si>
    <t>Cuisson lentilles, maintien chaud</t>
  </si>
  <si>
    <t>Trop brun = fruit ou couleur</t>
  </si>
  <si>
    <t>Pâtes sauce tomate ; salade verte ; yaourt ; fruit</t>
  </si>
  <si>
    <t>Menu végétarien trop pauvre en construction protéique</t>
  </si>
  <si>
    <t>Adaptez ce menu à des adolescents en renforçant la base nourrissante et la présentation.</t>
  </si>
  <si>
    <t>Pourquoi ce menu végétarien ne cale pas assez des ados ?</t>
  </si>
  <si>
    <t>Pour des adolescents, les pâtes tomate seules ne suffisent pas comme plat végétarien construit. Il faut ajouter lentilles, pois chiches, œuf ou autre base, enrichir la sauce en légumes et proposer une portion rassasiante.</t>
  </si>
  <si>
    <t>Les pâtes tomate seules ne suffisent pas. J’ajoute lentilles, pois chiches ou œuf, et je fais une sauce qui donne envie.</t>
  </si>
  <si>
    <t>Si l’apprenant compte seulement le yaourt, demander où est la base du plat.</t>
  </si>
  <si>
    <t>Demander : « Qu’est-ce qui remplace vraiment la viande ? »</t>
  </si>
  <si>
    <t>Ados / végétarien faible</t>
  </si>
  <si>
    <t>Pâtes + légumineuses ou œuf</t>
  </si>
  <si>
    <t>Sauce tomate légumes et herbes</t>
  </si>
  <si>
    <t>Salade composée</t>
  </si>
  <si>
    <t>Yaourt ou fruit</t>
  </si>
  <si>
    <t>Satiété adolescents</t>
  </si>
  <si>
    <t>Cuisson pâtes et sauce</t>
  </si>
  <si>
    <t>Végé ados = ça doit caler</t>
  </si>
  <si>
    <t>Bœuf carottes ; pommes vapeur ; lentilles vinaigrette ; gâteau chocolat</t>
  </si>
  <si>
    <t>Menu techniquement intéressant mais brun et lourd à analyser</t>
  </si>
  <si>
    <t>Adaptez ce menu comme exercice CFA : diagnostic couleur, lourdeur, dessert et justification.</t>
  </si>
  <si>
    <t>Comment expliquer à un apprenant que ce menu est cohérent mais trop brun et lourd ?</t>
  </si>
  <si>
    <t>Pour un CFA, ce cas permet d’apprendre le diagnostic : bœuf carottes, lentilles et gâteau chocolat créent une dominante brune et dense. Il faut corriger avec entrée plus fraîche ou colorée, dessert fruité et expliquer la fonction des corrections.</t>
  </si>
  <si>
    <t>C’est un bon exercice : on voit que le repas est trop marron et lourd. Je mets plus de frais ou de couleur et je remplace le dessert chocolat par un fruit.</t>
  </si>
  <si>
    <t>Demander de justifier, pas seulement corriger.</t>
  </si>
  <si>
    <t>Demander : « Quel défaut tu expliques au candidat ? »</t>
  </si>
  <si>
    <t>CFA / diagnostic pédagogique</t>
  </si>
  <si>
    <t>Sauce bœuf maîtrisée</t>
  </si>
  <si>
    <t>Crudité verte ou orange</t>
  </si>
  <si>
    <t>Fruit acidulé</t>
  </si>
  <si>
    <t>Apprendre diagnostic couleur/lourdeur</t>
  </si>
  <si>
    <t>Maintien cuisson longue</t>
  </si>
  <si>
    <t>CFA = corriger et expliquer</t>
  </si>
  <si>
    <t>Chili con carne ; riz ; fromage ; brownie</t>
  </si>
  <si>
    <t>Menu rassasiant mais trop dense et épicé possible</t>
  </si>
  <si>
    <t>Adaptez ce menu étudiant en gardant satiété mais en corrigeant densité, épices et dessert.</t>
  </si>
  <si>
    <t>Pourquoi ce menu cale mais peut devenir trop lourd ?</t>
  </si>
  <si>
    <t>Pour des étudiants, le chili con carne apporte satiété, mais riz, fromage et brownie alourdissent. Il faut doser les épices, ajouter une crudité ou salade, limiter fromage et choisir un fruit ou dessert plus léger.</t>
  </si>
  <si>
    <t>Ça cale, mais ça peut être trop lourd. Je dose les épices, j’ajoute une salade et je remplace le brownie par un fruit si besoin.</t>
  </si>
  <si>
    <t>Si l’apprenant garde le brownie, demander ce qu’il corrige.</t>
  </si>
  <si>
    <t>Demander : « Le dessert allège ou rajoute du lourd ? »</t>
  </si>
  <si>
    <t>Étudiants / dense épicé</t>
  </si>
  <si>
    <t>Riz en portion adaptée + salade</t>
  </si>
  <si>
    <t>Sauce chili pas trop forte</t>
  </si>
  <si>
    <t>Salade fraîche</t>
  </si>
  <si>
    <t>Fruit ou dessert léger</t>
  </si>
  <si>
    <t>Maintien du chili, dosage épices</t>
  </si>
  <si>
    <t>Caler sans assommer</t>
  </si>
  <si>
    <t>Salade de riz ; poulet froid ; tomate ; melon</t>
  </si>
  <si>
    <t>Menu froid adapté mais équilibre et protéines à sécuriser</t>
  </si>
  <si>
    <t>Adaptez ce menu froid adulte en vérifiant portion, protéine, sauce, dessert et maintien au froid.</t>
  </si>
  <si>
    <t>Pourquoi un menu froid doit quand même être contrôlé pour des adultes ?</t>
  </si>
  <si>
    <t>Pour des adultes, ce menu froid peut fonctionner si la portion de poulet est suffisante, la salade de riz pas trop lourde, l’assaisonnement maîtrisé et la chaîne du froid sécurisée. Le melon peut corriger la fraîcheur mais ne doit pas être redondant.</t>
  </si>
  <si>
    <t>C’est frais, mais je vérifie qu’il y a assez de poulet, pas trop de riz, une bonne sauce et le froid maîtrisé.</t>
  </si>
  <si>
    <t>Si l’apprenant parle seulement d’été, demander les protéines et le froid.</t>
  </si>
  <si>
    <t>Demander : « Qu’est-ce qui cale et comment tu gardes le froid ? »</t>
  </si>
  <si>
    <t>Adultes / menu froid</t>
  </si>
  <si>
    <t>Salade de riz équilibrée en légumes</t>
  </si>
  <si>
    <t>Vinaigrette maîtrisée</t>
  </si>
  <si>
    <t>Crudité intégrée ou entrée simple</t>
  </si>
  <si>
    <t>Melon ou fruit de saison</t>
  </si>
  <si>
    <t>Satiété adulte, fraîcheur</t>
  </si>
  <si>
    <t>Chaîne du froid</t>
  </si>
  <si>
    <t>Menu froid = fraîcheur + sécurité</t>
  </si>
  <si>
    <t>Quiche aux légumes ; salade verte ; fromage blanc</t>
  </si>
  <si>
    <t>Menu simple mais peut manquer de satiété ou être trop riche selon portion</t>
  </si>
  <si>
    <t>Adaptez ce menu d’entreprise en équilibrant portion, fraîcheur, dessert et digestion.</t>
  </si>
  <si>
    <t>Pourquoi une quiche peut être pratique mais doit être bien accompagnée ?</t>
  </si>
  <si>
    <t>En entreprise, une quiche est pratique mais peut être riche et parfois insuffisante selon la portion. Il faut l’accompagner d’une salade composée ou crudité, éviter un dessert lourd, garder un laitage ou un fruit selon le besoin et assurer une présentation nette.</t>
  </si>
  <si>
    <t>La quiche est pratique, mais il faut de la fraîcheur autour et une portion qui cale sans être trop lourde.</t>
  </si>
  <si>
    <t>Si l’apprenant ajoute un gratin, demander si cela alourdit.</t>
  </si>
  <si>
    <t>Demander : « Qu’est-ce qui équilibre la quiche ? »</t>
  </si>
  <si>
    <t>Entreprise / quiche</t>
  </si>
  <si>
    <t>Salade composée ou légumes</t>
  </si>
  <si>
    <t>Sauce salade maîtrisée</t>
  </si>
  <si>
    <t>Pause rapide, digestion</t>
  </si>
  <si>
    <t>Tenue quiche, service rapide</t>
  </si>
  <si>
    <t>Quiche = frais autour</t>
  </si>
  <si>
    <t>Pot-au-feu ; légumes ; pommes vapeur ; pomme crue</t>
  </si>
  <si>
    <t>Morceaux, tendreté et dessert à adapter</t>
  </si>
  <si>
    <t>Adaptez ce plat traditionnel à l’EHPAD en travaillant tendreté, découpe, sauce et dessert.</t>
  </si>
  <si>
    <t>Pourquoi un pot-au-feu doit être découpé et présenté autrement pour certaines personnes âgées ?</t>
  </si>
  <si>
    <t>En EHPAD, le pot-au-feu doit être très tendre, découpé ou haché selon besoin, servi avec bouillon ou sauce pour faciliter la prise. Les légumes doivent être fondants et la pomme crue peut être remplacée par compote ou fruit cuit.</t>
  </si>
  <si>
    <t>Pour une personne âgée, je vérifie que la viande est tendre, je coupe si besoin, je garde du bouillon et je remplace la pomme crue par une compote.</t>
  </si>
  <si>
    <t>Si l’apprenant garde les gros morceaux, demander mastication et fatigue.</t>
  </si>
  <si>
    <t>Demander : « Est-ce tendre ? Est-ce facile à manger jusqu’au bout ? »</t>
  </si>
  <si>
    <t>EHPAD / tendreté</t>
  </si>
  <si>
    <t>Légumes fondants, pommes adaptées</t>
  </si>
  <si>
    <t>Bouillon ou jus</t>
  </si>
  <si>
    <t>Entrée douce si besoin</t>
  </si>
  <si>
    <t>Compote ou fruit cuit</t>
  </si>
  <si>
    <t>Mastication, fatigue, appétit</t>
  </si>
  <si>
    <t>Cuisson longue, maintien chaud</t>
  </si>
  <si>
    <t>Traditionnel oui, adapté surtout</t>
  </si>
  <si>
    <t>Texture hachée : poisson ; purée ; légumes mixés ; fruit cru</t>
  </si>
  <si>
    <t>Dessert et texture à vérifier selon prescription</t>
  </si>
  <si>
    <t>Adaptez ce menu hospitalier en texture hachée selon prescription, sauce, présentation et dessert.</t>
  </si>
  <si>
    <t>Pourquoi le fruit cru peut ne pas aller avec une texture hachée à l’hôpital ?</t>
  </si>
  <si>
    <t>En hospitalier, la texture hachée doit être cohérente sur tout le repas selon prescription. Le poisson haché nécessite une sauce, les légumes doivent rester lisibles et le fruit cru doit être remplacé par fruit cuit, compote ou dessert compatible si la texture l’exige.</t>
  </si>
  <si>
    <t>Si le repas est en texture hachée, je ne mets pas un fruit cru dur à la fin. Je mets une sauce avec le poisson et un dessert adapté.</t>
  </si>
  <si>
    <t>Si l’apprenant oublie le dessert, demander la cohérence de texture du repas complet.</t>
  </si>
  <si>
    <t>Demander : « Est-ce que le dessert respecte la même consigne de texture ? »</t>
  </si>
  <si>
    <t>Hospitalier / texture cohérente</t>
  </si>
  <si>
    <t>Purée et légumes séparés, lisibles</t>
  </si>
  <si>
    <t>Sauce adaptée au poisson haché</t>
  </si>
  <si>
    <t>Entrée compatible texture</t>
  </si>
  <si>
    <t>Prescription texture, cohérence du repas</t>
  </si>
  <si>
    <t>Contrôle texture, service, température</t>
  </si>
  <si>
    <t>Texture = tout le repas cohérent</t>
  </si>
  <si>
    <t>Méthode PLATS-CF — former le regard visuel et sensoriel : couleur, saison, texture, correction réaliste</t>
  </si>
  <si>
    <t>Menu / assiette initiale</t>
  </si>
  <si>
    <t>BLOC PRO — analyse visuelle et sensorielle</t>
  </si>
  <si>
    <t>BLOC CFA — langage terrain</t>
  </si>
  <si>
    <t>Lire le menu initial puis repérer couleur dominante, saison et texture.</t>
  </si>
  <si>
    <t>L’assiette présente une dominante blanche avec poisson, riz, chou-fleur et fromage blanc. Il faut ajouter une couleur de contraste, par exemple brocolis ou carottes, une sauce citron-herbes pour limiter le sec, et remplacer le dessert blanc par un fruit de saison coloré.</t>
  </si>
  <si>
    <t>C’est trop blanc et le poisson risque d’être sec. Je mets une sauce, un légume vert ou orange, et je finis avec un fruit coloré plutôt qu’un fromage blanc.</t>
  </si>
  <si>
    <t>Réponse A : diagnostic initial visuel et sensoriel.</t>
  </si>
  <si>
    <t>Lire le conseil formateur puis saisir la réponse B corrigée.</t>
  </si>
  <si>
    <t>La notation automatique cherche 6 critères : diagnostic, contraste, saison, texture, correction réaliste, justification.</t>
  </si>
  <si>
    <t>Réponse B PRO — correction améliorée</t>
  </si>
  <si>
    <t>Réponse B CFA — correction améliorée</t>
  </si>
  <si>
    <t>Zone technique : AA4:AI33 ; critères/mots-clés intégrés dans la matrice Y52:BT82.</t>
  </si>
  <si>
    <t>Mémo CFA</t>
  </si>
  <si>
    <t>CORRECTIONS SENSORIELLES ATTENDUES — affichées seulement si X est saisi en H4</t>
  </si>
  <si>
    <t>Couleur contraste</t>
  </si>
  <si>
    <t>Texture / sauce</t>
  </si>
  <si>
    <t>Alternative saison</t>
  </si>
  <si>
    <t>Correcteur entrée/dessert</t>
  </si>
  <si>
    <t>NOTATION AUTOMATIQUE INDICATIVE — couleur, saison, texture, correction réaliste</t>
  </si>
  <si>
    <t>Poisson blanc vapeur ; riz ; chou-fleur ; fromage blanc</t>
  </si>
  <si>
    <t>Assiette trop blanche, sèche et peu attractive</t>
  </si>
  <si>
    <t>Analysez la dominante visuelle et la texture de cette assiette, puis proposez une correction réaliste par couleur, saison et texture.</t>
  </si>
  <si>
    <t>Pourquoi cette assiette fait-elle trop blanche et sèche, et que peux-tu changer simplement ?</t>
  </si>
  <si>
    <t>Si la réponse dit seulement « ajouter un légume », demander quelle couleur manque et quel problème de texture est corrigé.</t>
  </si>
  <si>
    <t>Demander : « Quelle couleur tu ajoutes ? Et comment tu évites que le poisson soit sec ? »</t>
  </si>
  <si>
    <t>Diagnostic visuel ou texture 4 pts ; Couleur de contraste 4 pts ; Saisonnalité vérifiée 3 pts ; Texture corrigée 4 pts ; Correction réaliste 3 pts ; Justification claire 2 pts</t>
  </si>
  <si>
    <t>blanc ; pâle ; sec ; brocolis ; carottes ; sauce ; citron ; herbes ; fruit ; contraste</t>
  </si>
  <si>
    <t>Trop blanc / sec</t>
  </si>
  <si>
    <t>Brocolis ou carottes pour créer le contraste</t>
  </si>
  <si>
    <t>Sauce citron-herbes ou jus léger</t>
  </si>
  <si>
    <t>Agrumes, pomme rouge ou carottes en hiver</t>
  </si>
  <si>
    <t>Fruit coloré plutôt que fromage blanc</t>
  </si>
  <si>
    <t>Primaire : améliorer l’envie de manger</t>
  </si>
  <si>
    <t>Trop blanc = couleur + sauce + fruit</t>
  </si>
  <si>
    <t>Diagnostic visuel ou texture</t>
  </si>
  <si>
    <t>Couleur de contraste</t>
  </si>
  <si>
    <t>Saisonnalité vérifiée</t>
  </si>
  <si>
    <t>agrumes</t>
  </si>
  <si>
    <t>Texture corrigée</t>
  </si>
  <si>
    <t>Correction réaliste</t>
  </si>
  <si>
    <t>realiste</t>
  </si>
  <si>
    <t>donc</t>
  </si>
  <si>
    <t>Bœuf bourguignon ; lentilles ; pommes de terre ; gâteau chocolat</t>
  </si>
  <si>
    <t>Menu trop brun et visuellement lourd</t>
  </si>
  <si>
    <t>Identifiez la dominante brune du menu et proposez une correction par contraste de couleur et fraîcheur.</t>
  </si>
  <si>
    <t>Pourquoi ce menu tire-t-il trop vers le marron, et comment tu le réveilles ?</t>
  </si>
  <si>
    <t>Le menu cumule plusieurs tons bruns : bœuf sauce, lentilles, pommes de terre et chocolat. Il faut introduire une couleur de contraste, par exemple carottes, haricots verts, betteraves ou fruit clair, et alléger le dessert avec un fruit.</t>
  </si>
  <si>
    <t>Tout fait marron et lourd. Je mets du vert ou de l’orange dans l’assiette, et je remplace le gâteau par un fruit plus frais.</t>
  </si>
  <si>
    <t>Si l’apprenant valide le menu parce qu’il est de saison, demander si la couleur donne envie.</t>
  </si>
  <si>
    <t>Demander : « Quelle couleur tu vois partout ? Quelle couleur manque ? »</t>
  </si>
  <si>
    <t>brun ; marron ; lourd ; vert ; orange ; carottes ; haricots verts ; fruit ; contraste</t>
  </si>
  <si>
    <t>Trop brun</t>
  </si>
  <si>
    <t>Haricots verts ou carottes pour éclairer l’assiette</t>
  </si>
  <si>
    <t>Sauce bourguignon maîtrisée, pas trop abondante</t>
  </si>
  <si>
    <t>Produits d’automne colorés : carotte, betterave, pomme</t>
  </si>
  <si>
    <t>Adultes : repas plus digeste et lisible</t>
  </si>
  <si>
    <t>Éviter sauce trop réduite et présentation sombre</t>
  </si>
  <si>
    <t>Trop brun = ajouter vert, orange ou fruit</t>
  </si>
  <si>
    <t>Assiette sèche et peu valorisée</t>
  </si>
  <si>
    <t>Repérez le risque de sécheresse et proposez une correction sensorielle adaptée à un public adolescent.</t>
  </si>
  <si>
    <t>Pourquoi dinde grillée et semoule peuvent faire sec, et que peux-tu ajouter ?</t>
  </si>
  <si>
    <t>L’escalope grillée et la semoule peuvent créer une sensation sèche. Il faut ajouter un jus ou une sauce légère, rendre la garniture plus moelleuse avec légumes fondants, et apporter une couleur ou un fruit selon le menu.</t>
  </si>
  <si>
    <t>Dinde grillée avec semoule, ça peut être sec. Je mets du jus ou une sauce, des légumes plus fondants et un peu de couleur.</t>
  </si>
  <si>
    <t>Si la réponse change tout le plat, rappeler que l’objectif est de corriger sans tout refaire.</t>
  </si>
  <si>
    <t>sec ; dinde ; semoule ; sauce ; jus ; fondant ; légumes ; couleur ; adolescent</t>
  </si>
  <si>
    <t>Sec / fade</t>
  </si>
  <si>
    <t>Légumes fondants ou semoule aux légumes</t>
  </si>
  <si>
    <t>Selon saison : carottes, courgettes, légumes verts</t>
  </si>
  <si>
    <t>Fruit ou crudité colorée</t>
  </si>
  <si>
    <t>Adolescents : rendre le plat plus attractif</t>
  </si>
  <si>
    <t>Surveiller la surcuisson et le maintien chaud</t>
  </si>
  <si>
    <t>Plat sec = jus + légume fondant</t>
  </si>
  <si>
    <t>secheresse</t>
  </si>
  <si>
    <t>fade</t>
  </si>
  <si>
    <t>seche</t>
  </si>
  <si>
    <t>selon saison</t>
  </si>
  <si>
    <t>produit</t>
  </si>
  <si>
    <t>periode</t>
  </si>
  <si>
    <t>fondant</t>
  </si>
  <si>
    <t>ajouter</t>
  </si>
  <si>
    <t>sans changer</t>
  </si>
  <si>
    <t>Potage ; hachis parmentier ; purée de carottes ; compote</t>
  </si>
  <si>
    <t>Menu trop mou et monotone</t>
  </si>
  <si>
    <t>Analysez la monotonie de texture de ce menu et proposez une correction compatible avec un public âgé.</t>
  </si>
  <si>
    <t>Pourquoi ce menu fait-il trop mou, et comment tu gardes de l’envie pour une personne âgée ?</t>
  </si>
  <si>
    <t>Le menu cumule potage, hachis, purée et compote : la texture est majoritairement molle. Pour un public âgé, il faut respecter la capacité de mastication mais travailler la lisibilité, les couleurs séparées, la sauce et éventuellement une texture un peu plus tenue si elle est autorisée.</t>
  </si>
  <si>
    <t>Tout est mou. Pour une personne âgée, je garde quelque chose de facile à manger, mais je sépare les couleurs, je mets du goût et une sauce adaptée.</t>
  </si>
  <si>
    <t>Si l’apprenant propose du croquant sans vérifier le public, rappeler que la texture doit rester adaptée.</t>
  </si>
  <si>
    <t>Demander : « Est-ce que la personne peut mâcher ? Sinon, comment tu rends l’assiette plus jolie et plus lisible ? »</t>
  </si>
  <si>
    <t>mou ; monotone ; EHPAD ; texture ; couleur ; sauce ; lisible ; fondant ; mastication</t>
  </si>
  <si>
    <t>Texture molle</t>
  </si>
  <si>
    <t>Couleurs séparées : carotte, vert, viande lisible</t>
  </si>
  <si>
    <t>Sauce adaptée pour humidité et goût</t>
  </si>
  <si>
    <t>Produits d’hiver colorés : carotte, courge, poireau</t>
  </si>
  <si>
    <t>Dessert adapté mais pas forcément une compote si tout est mou</t>
  </si>
  <si>
    <t>EHPAD : mastication et appétence prioritaires</t>
  </si>
  <si>
    <t>Maintenir texture, température et présentation</t>
  </si>
  <si>
    <t>Texture adaptée ≠ tout mou et triste</t>
  </si>
  <si>
    <t>monotone</t>
  </si>
  <si>
    <t>separe</t>
  </si>
  <si>
    <t>lisible</t>
  </si>
  <si>
    <t>courge</t>
  </si>
  <si>
    <t>respecter</t>
  </si>
  <si>
    <t>Répétition rouge/tomate malgré la saison</t>
  </si>
  <si>
    <t>Le menu est cohérent avec l’été mais répète la tomate, le rouge et l’acidité. Il faut varier avec concombre, melon, courgette, poivron jaune, salade verte ou un fruit différent pour créer un contraste.</t>
  </si>
  <si>
    <t>Même si c’est l’été, il y a tomate et rouge partout. Je varie avec du vert, du jaune, du melon, du concombre ou un autre fruit.</t>
  </si>
  <si>
    <t>Si l’apprenant répond « c’est de saison donc c’est bon », demander s’il y a une répétition visuelle.</t>
  </si>
  <si>
    <t>Demander : « Combien de fois tu retrouves tomate ou rouge ? »</t>
  </si>
  <si>
    <t>été ; tomate ; rouge ; répétition ; concombre ; melon ; vert ; jaune ; contraste</t>
  </si>
  <si>
    <t>Répétition couleur / saison</t>
  </si>
  <si>
    <t>Concombre, salade verte ou poivron jaune</t>
  </si>
  <si>
    <t>Sauce herbes plutôt que tout tomate</t>
  </si>
  <si>
    <t>Produits d’été variés : melon, courgette, concombre</t>
  </si>
  <si>
    <t>Fruit d’une autre couleur</t>
  </si>
  <si>
    <t>Adultes : varier sans perdre la saison</t>
  </si>
  <si>
    <t>Éviter répétition d’acidité et d’eau en service</t>
  </si>
  <si>
    <t>jaune</t>
  </si>
  <si>
    <t>acidite</t>
  </si>
  <si>
    <t>eau</t>
  </si>
  <si>
    <t>acide</t>
  </si>
  <si>
    <t>Omelette nature ; pommes vapeur ; salade verte ; yaourt nature</t>
  </si>
  <si>
    <t>Assiette trop claire et plat peu valorisé</t>
  </si>
  <si>
    <t>Repérez le manque de relief visuel et sensoriel autour d’un plat simple comme l’omelette.</t>
  </si>
  <si>
    <t>Pourquoi une omelette nature peut faire repas trop simple, et comment tu lui donnes plus d’envie ?</t>
  </si>
  <si>
    <t>L’omelette nature est un plat simple. Associée à pommes vapeur et yaourt nature, elle peut paraître claire et peu valorisée. Il faut ajouter légumes de printemps colorés, herbes, salade composée ou fruit coloré.</t>
  </si>
  <si>
    <t>L’omelette seule peut faire trop simple. Je mets de la couleur avec des légumes, des herbes, une salade plus composée ou un fruit.</t>
  </si>
  <si>
    <t>Si l’apprenant dit que l’omelette suffit, demander comment il valorise le plat principal.</t>
  </si>
  <si>
    <t>Demander : « Qu’est-ce qui donne envie autour de l’omelette ? »</t>
  </si>
  <si>
    <t>omelette ; simple ; clair ; couleur ; herbes ; légumes ; printemps ; fruit</t>
  </si>
  <si>
    <t>Plat simple / peu valorisé</t>
  </si>
  <si>
    <t>Légumes de printemps, herbes, salade composée</t>
  </si>
  <si>
    <t>Sauce légère ou herbes si besoin</t>
  </si>
  <si>
    <t>Radis, petits pois, jeunes légumes selon saison</t>
  </si>
  <si>
    <t>Fruit coloré plutôt que dessert blanc</t>
  </si>
  <si>
    <t>Primaire : plat simple mais attractif</t>
  </si>
  <si>
    <t>Éviter omelette sèche au maintien</t>
  </si>
  <si>
    <t>Plat simple = couleur + herbes + contraste</t>
  </si>
  <si>
    <t>clair</t>
  </si>
  <si>
    <t>printemps</t>
  </si>
  <si>
    <t>valoriser</t>
  </si>
  <si>
    <t>Gratin de pâtes jambon-fromage ; salade verte ; crème dessert vanille</t>
  </si>
  <si>
    <t>Menu beige, lourd et peu végétal</t>
  </si>
  <si>
    <t>Analysez la dominante beige et la charge sensorielle du menu, puis proposez une correction couleur-texture.</t>
  </si>
  <si>
    <t>Pourquoi pâtes, jambon, fromage et crème dessert peuvent faire trop beige et trop lourd ?</t>
  </si>
  <si>
    <t>Le gratin de pâtes jambon-fromage est déjà dense, beige et riche. La salade verte seule corrige peu. Il faut renforcer le végétal coloré, choisir un fruit ou une compote de saison et éviter un dessert lacté blanc après le gratin.</t>
  </si>
  <si>
    <t>C’est beige et lourd. Je garde le gratin mais je mets plus de légumes et je remplace la crème dessert par un fruit.</t>
  </si>
  <si>
    <t>Si l’apprenant ajoute seulement salade verte, demander si elle suffit à corriger un plat aussi dense.</t>
  </si>
  <si>
    <t>Demander : « Est-ce que ta correction apporte vraiment de la couleur ? »</t>
  </si>
  <si>
    <t>beige ; lourd ; gratin ; pâtes ; fromage ; légume ; fruit ; couleur</t>
  </si>
  <si>
    <t>Trop beige / lourd</t>
  </si>
  <si>
    <t>Légumes verts ou carottes en complément</t>
  </si>
  <si>
    <t>Pas de sauce supplémentaire riche</t>
  </si>
  <si>
    <t>Hiver : carottes, chou rouge, betterave</t>
  </si>
  <si>
    <t>Fruit ou compote de saison</t>
  </si>
  <si>
    <t>Collège : garder satiété sans excès</t>
  </si>
  <si>
    <t>Surveiller dessèchement du gratin</t>
  </si>
  <si>
    <t>Gratin lourd = végétal + fruit</t>
  </si>
  <si>
    <t>beige</t>
  </si>
  <si>
    <t>gratin</t>
  </si>
  <si>
    <t>creme</t>
  </si>
  <si>
    <t>remplacer</t>
  </si>
  <si>
    <t>Dahl de lentilles corail ; purée de courge ; compote pomme-poire</t>
  </si>
  <si>
    <t>Menu de saison mais trop fondant</t>
  </si>
  <si>
    <t>Analysez pourquoi ce menu végétarien de saison peut rester faible sur la texture.</t>
  </si>
  <si>
    <t>Pourquoi ce menu est bien de saison mais trop mou en bouche ?</t>
  </si>
  <si>
    <t>Le menu est cohérent avec l’automne mais cumule dahl fondant, purée de courge et compote. Il faut introduire une texture de contraste si le public le permet : crudité d’automne, salade de chou, céréale plus structurée ou fruit cru.</t>
  </si>
  <si>
    <t>C’est de saison, mais tout est mou. Je garde l’idée, mais j’ajoute du croquant adapté ou quelque chose avec plus de tenue.</t>
  </si>
  <si>
    <t>Si la réponse valide seulement la saison, ramener sur la mastication et la texture.</t>
  </si>
  <si>
    <t>automne ; saison ; mou ; dahl ; purée ; compote ; texture ; contraste ; crudité</t>
  </si>
  <si>
    <t>Saison correcte / texture molle</t>
  </si>
  <si>
    <t>Salade de chou, betterave ou céréale plus structurée</t>
  </si>
  <si>
    <t>Dahl pas trop liquide</t>
  </si>
  <si>
    <t>Automne : chou, betterave, pomme</t>
  </si>
  <si>
    <t>Fruit cru si adapté</t>
  </si>
  <si>
    <t>Lycée : besoin de satiété et de texture</t>
  </si>
  <si>
    <t>Éviter dahl trop liquide au service</t>
  </si>
  <si>
    <t>De saison ne veut pas dire monotone</t>
  </si>
  <si>
    <t>bouche</t>
  </si>
  <si>
    <t>dahl</t>
  </si>
  <si>
    <t>Poulet basquaise ; riz ; carottes cuites ; tarte aux abricots</t>
  </si>
  <si>
    <t>Menu coloré mais répétition orange/rouge</t>
  </si>
  <si>
    <t>Analysez une assiette déjà colorée mais visuellement répétitive, puis proposez un contraste.</t>
  </si>
  <si>
    <t>Pourquoi ce menu a de la couleur mais manque quand même de contraste ?</t>
  </si>
  <si>
    <t>Le poulet basquaise, les carottes et la tarte aux abricots apportent des tons rouges/orangés. Il faut garder la cohérence mais ajouter un contraste vert, par exemple haricots verts, salade ou herbes, et vérifier la saison du dessert.</t>
  </si>
  <si>
    <t>Il y a de la couleur, mais ça tourne beaucoup autour du rouge et de l’orange. Je mets du vert ou un fruit plus adapté à la saison.</t>
  </si>
  <si>
    <t>Si l’apprenant dit « il y a de la couleur », demander si la couleur est variée.</t>
  </si>
  <si>
    <t>Demander : « Est-ce que toutes les couleurs ne se ressemblent pas ? »</t>
  </si>
  <si>
    <t>orange ; rouge ; répétition ; vert ; contraste ; saison ; printemps ; salade</t>
  </si>
  <si>
    <t>Couleur présente mais répétitive</t>
  </si>
  <si>
    <t>Légume vert ou salade pour contraste</t>
  </si>
  <si>
    <t>Sauce basquaise maîtrisée</t>
  </si>
  <si>
    <t>Printemps : vérifier abricot, choisir fruit de saison</t>
  </si>
  <si>
    <t>Fruit de printemps ou laitage selon menu</t>
  </si>
  <si>
    <t>Adultes : assiette plus lisible</t>
  </si>
  <si>
    <t>Éviter sauce trop liquide et riz détrempé</t>
  </si>
  <si>
    <t>Couleur oui, contraste aussi</t>
  </si>
  <si>
    <t>meme couleur</t>
  </si>
  <si>
    <t>pas saison</t>
  </si>
  <si>
    <t>Poisson mixé ; purée de pommes de terre ; chou-fleur mixé ; yaourt nature</t>
  </si>
  <si>
    <t>Texture adaptée mais assiette blanche et illisible</t>
  </si>
  <si>
    <t>Analysez le risque visuel d’un repas à texture modifiée trop blanc et proposez une correction sécurisée.</t>
  </si>
  <si>
    <t>Pourquoi un repas mixé tout blanc ne donne pas envie, même s’il est facile à avaler ?</t>
  </si>
  <si>
    <t>Le repas est peut-être adapté en texture, mais il est trop blanc et peu lisible. Il faut séparer les composants, ajouter purée de carotte, épinard ou courgette selon texture prescrite, garder une sauce adaptée et choisir un dessert plus coloré.</t>
  </si>
  <si>
    <t>Même mixé, il ne faut pas que tout soit blanc. Je sépare les couleurs et je mets une purée orange ou verte, avec une sauce adaptée.</t>
  </si>
  <si>
    <t>Si l’apprenant parle seulement de sécurité, demander comment il conserve dignité et appétence.</t>
  </si>
  <si>
    <t>Demander : « Est-ce que toi tu aurais envie de manger une assiette toute blanche ? »</t>
  </si>
  <si>
    <t>mixé ; blanc ; EHPAD ; lisible ; couleur ; sauce ; texture ; sécurité ; dignité</t>
  </si>
  <si>
    <t>Texture modifiée / trop blanc</t>
  </si>
  <si>
    <t>Purée carotte, épinard ou courgette séparée</t>
  </si>
  <si>
    <t>Sauce compatible texture prescrite</t>
  </si>
  <si>
    <t>Été : courgette, tomate adaptée, fruit coloré</t>
  </si>
  <si>
    <t>Dessert adapté coloré</t>
  </si>
  <si>
    <t>EHPAD : sécurité + dignité + appétence</t>
  </si>
  <si>
    <t>Respecter texture prescrite et température</t>
  </si>
  <si>
    <t>Texture adaptée ≠ assiette blanche</t>
  </si>
  <si>
    <t>mixé</t>
  </si>
  <si>
    <t>illisible</t>
  </si>
  <si>
    <t>Rôti de dinde ; pommes vapeur ; endives braisées ; yaourt nature</t>
  </si>
  <si>
    <t>Assiette claire, amère et sèche</t>
  </si>
  <si>
    <t>Analysez les risques couleur, goût et texture de ce menu puis proposez une correction.</t>
  </si>
  <si>
    <t>Pourquoi ce menu peut faire clair, sec et un peu amer ?</t>
  </si>
  <si>
    <t>La dinde, les pommes vapeur, les endives et le yaourt donnent une assiette claire. Les endives peuvent apporter de l’amertume et la dinde peut être sèche. Il faut ajouter un jus, une couleur chaude comme carotte ou courge, et choisir un fruit plutôt qu’un dessert blanc.</t>
  </si>
  <si>
    <t>C’est clair, ça peut être sec, et l’endive peut être amère. Je mets du jus, une couleur orange et un fruit.</t>
  </si>
  <si>
    <t>Si la réponse oublie le goût, demander ce que l’amertume des endives change pour l’acceptabilité.</t>
  </si>
  <si>
    <t>Demander : « Qu’est-ce qui peut être amer ? Qu’est-ce qui peut être sec ? »</t>
  </si>
  <si>
    <t>clair ; sec ; amer ; endives ; jus ; carotte ; courge ; fruit</t>
  </si>
  <si>
    <t>Clair / amer / sec</t>
  </si>
  <si>
    <t>Carotte, courge ou légume vert doux</t>
  </si>
  <si>
    <t>Hiver : carotte, courge, pomme, agrume</t>
  </si>
  <si>
    <t>Fruit coloré ou acidulé</t>
  </si>
  <si>
    <t>Adultes : assiette plus équilibrée en goût</t>
  </si>
  <si>
    <t>Surveiller dessèchement de la dinde</t>
  </si>
  <si>
    <t>Clair + amer = jus + douceur + couleur</t>
  </si>
  <si>
    <t>amer</t>
  </si>
  <si>
    <t>gout</t>
  </si>
  <si>
    <t>Steak haché ; purée ; champignons ; gâteau chocolat</t>
  </si>
  <si>
    <t>Menu brun/beige et texture monotone</t>
  </si>
  <si>
    <t>Repérez le double risque couleur et texture dans ce menu scolaire.</t>
  </si>
  <si>
    <t>Pourquoi ce repas fait-il trop marron/beige et trop mou ?</t>
  </si>
  <si>
    <t>Le steak, la purée, les champignons et le gâteau chocolat tirent vers brun/beige. La purée et les champignons peuvent accentuer une texture molle. Il faut ajouter un légume orange ou vert, un fruit, et garder un jus court pour éviter le sec.</t>
  </si>
  <si>
    <t>C’est trop marron et beige. Je mets un légume coloré, un fruit, et un peu de jus pour que le steak ne soit pas sec.</t>
  </si>
  <si>
    <t>Si l’apprenant corrige seulement le dessert, demander aussi une correction dans l’assiette principale.</t>
  </si>
  <si>
    <t>Demander : « Quelle couleur tu ajoutes avec le steak ? »</t>
  </si>
  <si>
    <t>marron ; beige ; purée ; champignons ; couleur ; jus ; fruit ; scolaire</t>
  </si>
  <si>
    <t>Brun/beige + texture</t>
  </si>
  <si>
    <t>Haricots verts, carottes ou petits pois</t>
  </si>
  <si>
    <t>Automne : carotte, betterave, pomme</t>
  </si>
  <si>
    <t>Fruit plutôt que gâteau chocolat</t>
  </si>
  <si>
    <t>Primaire : lisibilité et envie</t>
  </si>
  <si>
    <t>Maîtrise cuisson steak haché</t>
  </si>
  <si>
    <t>Brun/beige = couleur + fruit</t>
  </si>
  <si>
    <t>Curry de pois chiches ; riz ; chou-fleur ; fromage blanc</t>
  </si>
  <si>
    <t>Menu végétarien clair et peu contrasté</t>
  </si>
  <si>
    <t>Analysez la couleur et la texture de ce menu végétarien, puis proposez une correction.</t>
  </si>
  <si>
    <t>Pourquoi ce menu végé peut faire trop clair malgré le curry ?</t>
  </si>
  <si>
    <t>Le curry de pois chiches peut être intéressant, mais riz, chou-fleur et fromage blanc rendent le menu clair. Il faut renforcer une couleur de contraste avec épinards, carottes, courge ou salade colorée, et vérifier que la sauce n’est pas trop lourde.</t>
  </si>
  <si>
    <t>Le plat végé peut être bon, mais autour c’est trop clair. Je mets du vert ou de l’orange et je garde une sauce agréable.</t>
  </si>
  <si>
    <t>Si l’apprenant ne parle que de protéines végétales, ramener sur la lisibilité de l’assiette.</t>
  </si>
  <si>
    <t>Demander : « Qu’est-ce qui donne du contraste dans ton assiette ? »</t>
  </si>
  <si>
    <t>végétarien ; clair ; curry ; riz ; chou-fleur ; vert ; orange ; contraste</t>
  </si>
  <si>
    <t>Végétarien clair</t>
  </si>
  <si>
    <t>Épinards, carottes ou courge</t>
  </si>
  <si>
    <t>Sauce curry douce et maîtrisée</t>
  </si>
  <si>
    <t>Hiver : courge, carotte, épinard</t>
  </si>
  <si>
    <t>Fruit coloré plutôt que fromage blanc si menu clair</t>
  </si>
  <si>
    <t>Lycée : acceptabilité et satiété</t>
  </si>
  <si>
    <t>Éviter sauce lourde et riz collant</t>
  </si>
  <si>
    <t>Plat végé clair = contraste obligatoire</t>
  </si>
  <si>
    <t>trop clair</t>
  </si>
  <si>
    <t>collant</t>
  </si>
  <si>
    <t>acceptable</t>
  </si>
  <si>
    <t>Risotto aux légumes ; velouté d’asperges ; poire pochée</t>
  </si>
  <si>
    <t>Menu trop crémeux et fondant</t>
  </si>
  <si>
    <t>Repérez le risque de texture crémeuse répétée et proposez un contraste de saison.</t>
  </si>
  <si>
    <t>Pourquoi ce menu peut faire trop crémeux ou trop fondant ?</t>
  </si>
  <si>
    <t>Le risotto, le velouté et la poire pochée donnent une succession de textures fondantes ou lisses. Il faut introduire une crudité de printemps, une salade croquante ou un fruit plus frais si le public le permet.</t>
  </si>
  <si>
    <t>Tout est doux, fondant ou crémeux. Je mets une crudité ou une salade de saison pour changer la sensation en bouche.</t>
  </si>
  <si>
    <t>Si l’apprenant ne voit pas le problème, demander de lister ce qui se mâche vraiment.</t>
  </si>
  <si>
    <t>Demander : « Où est le contraste de texture ? »</t>
  </si>
  <si>
    <t>crémeux ; fondant ; risotto ; velouté ; poire ; crudité ; printemps ; texture</t>
  </si>
  <si>
    <t>Crémeux / fondant</t>
  </si>
  <si>
    <t>Salade croquante ou crudité de printemps</t>
  </si>
  <si>
    <t>Risotto pas trop liquide</t>
  </si>
  <si>
    <t>Printemps : radis, asperge, jeunes légumes</t>
  </si>
  <si>
    <t>Fruit frais si adapté</t>
  </si>
  <si>
    <t>Adultes : recherche de contraste sensoriel</t>
  </si>
  <si>
    <t>Risotto à servir sans surcuisson</t>
  </si>
  <si>
    <t>Fondant + fondant = contraste nécessaire</t>
  </si>
  <si>
    <t>cremeux</t>
  </si>
  <si>
    <t>risotto</t>
  </si>
  <si>
    <t>jeunes legumes</t>
  </si>
  <si>
    <t>veloute</t>
  </si>
  <si>
    <t>Poisson pané ; pommes rissolées ; maïs ; crème dessert chocolat</t>
  </si>
  <si>
    <t>Menu jaune/brun, gras et peu frais</t>
  </si>
  <si>
    <t>Analysez la couleur dominante et la perception grasse de ce menu, puis proposez une correction estivale.</t>
  </si>
  <si>
    <t>Pourquoi ce menu fait-il trop jaune/brun et pas assez frais ?</t>
  </si>
  <si>
    <t>Poisson pané, pommes rissolées, maïs et crème chocolat créent un menu jaune/brun et dense. Il faut ajouter fraîcheur, vert ou rouge de saison, remplacer une garniture grasse par légumes ou salade, et terminer par un fruit.</t>
  </si>
  <si>
    <t>C’est trop pané, trop jaune/brun et pas assez frais. Je mets salade, légumes d’été et fruit.</t>
  </si>
  <si>
    <t>Si l’apprenant garde les pommes rissolées, demander comment il compense la charge grasse.</t>
  </si>
  <si>
    <t>jaune ; brun ; gras ; pané ; salade ; légumes ; été ; fruit ; frais</t>
  </si>
  <si>
    <t>Jaune/brun / lourd</t>
  </si>
  <si>
    <t>Salade verte, tomate ou concombre selon saison</t>
  </si>
  <si>
    <t>Sauce citron ou yaourt-herbes au lieu de sauce grasse</t>
  </si>
  <si>
    <t>Été : tomate, concombre, courgette, melon</t>
  </si>
  <si>
    <t>Fruit d’été</t>
  </si>
  <si>
    <t>Collège : conserver acceptabilité sans fast-food</t>
  </si>
  <si>
    <t>Garder croustillant, éviter excès de gras</t>
  </si>
  <si>
    <t>Pané = frais + fruit + légumes</t>
  </si>
  <si>
    <t>pane</t>
  </si>
  <si>
    <t>Crudités dures ; steak haché ; frites ; tarte</t>
  </si>
  <si>
    <t>Texture et adaptation convive non sécurisées</t>
  </si>
  <si>
    <t>Analysez les risques de texture et d’adaptation dans ce menu hospitalier.</t>
  </si>
  <si>
    <t>Pourquoi ce menu ne peut pas être servi pareil à tous les patients ?</t>
  </si>
  <si>
    <t>En hospitalier, les crudités dures, les frites et la tarte peuvent être inadaptées selon prescription, mastication ou texture. Il faut vérifier le régime, remplacer par légumes cuits ou garniture simple si nécessaire, et proposer un dessert adapté.</t>
  </si>
  <si>
    <t>À l’hôpital, il faut regarder la consigne. Tout le monde ne peut pas manger crudités dures, frites ou tarte.</t>
  </si>
  <si>
    <t>Si la réponse propose une correction unique pour tous, rappeler la priorité de la prescription.</t>
  </si>
  <si>
    <t>Demander : « Quel patient peut ou ne peut pas manger ça ? »</t>
  </si>
  <si>
    <t>hospitalier ; texture ; crudités ; frites ; prescription ; mastication ; adapté</t>
  </si>
  <si>
    <t>Texture / prescription</t>
  </si>
  <si>
    <t>Légumes cuits ou garniture simple</t>
  </si>
  <si>
    <t>Selon prescription, saison secondaire</t>
  </si>
  <si>
    <t>Compote, fruit adapté ou dessert compatible</t>
  </si>
  <si>
    <t>Hospitalier : prescription prioritaire</t>
  </si>
  <si>
    <t>Service par régimes et textures</t>
  </si>
  <si>
    <t>Hospitalier = vérifier avant de servir</t>
  </si>
  <si>
    <t>crudites</t>
  </si>
  <si>
    <t>Quiche aux légumes ; gratin de courge ; fromage ; tarte aux pommes</t>
  </si>
  <si>
    <t>Menu orangé/doré et riche</t>
  </si>
  <si>
    <t>Analysez la répétition dorée/orangée et la richesse du menu, puis proposez un correcteur.</t>
  </si>
  <si>
    <t>Pourquoi ce menu peut sembler bon mais trop riche et trop doré ?</t>
  </si>
  <si>
    <t>La quiche, le gratin, le fromage et la tarte cumulent pâte, appareil, fromage et dessert riche. Les couleurs restent dorées/orangées. Il faut une entrée fraîche, verte ou rouge, et un dessert plus simple si le plat et la garniture sont déjà riches.</t>
  </si>
  <si>
    <t>C’est appétissant mais trop riche : quiche, gratin, fromage, tarte. Je mets du frais et je simplifie le dessert.</t>
  </si>
  <si>
    <t>Si l’apprenant se concentre sur la saison, faire repérer les répétitions de pâte/fromage/doré.</t>
  </si>
  <si>
    <t>Demander : « Qu’est-ce qui est riche plusieurs fois dans ce menu ? »</t>
  </si>
  <si>
    <t>quiche ; gratin ; fromage ; tarte ; riche ; doré ; frais ; salade ; automne</t>
  </si>
  <si>
    <t>Riche / couleur répétée</t>
  </si>
  <si>
    <t>Salade verte ou crudité rouge</t>
  </si>
  <si>
    <t>Pas de sauce supplémentaire</t>
  </si>
  <si>
    <t>Automne : betterave, chou rouge, salade, pomme</t>
  </si>
  <si>
    <t>Fruit simple plutôt que tarte si besoin</t>
  </si>
  <si>
    <t>Adultes : repas moins dense</t>
  </si>
  <si>
    <t>Tenue du gratin et de la quiche au service</t>
  </si>
  <si>
    <t>Riche + riche = correcteur frais</t>
  </si>
  <si>
    <t>dore</t>
  </si>
  <si>
    <t>pate</t>
  </si>
  <si>
    <t>simplifier</t>
  </si>
  <si>
    <t>Salade verte ; galette céréales-légumineuses ; boulgour ; yaourt nature</t>
  </si>
  <si>
    <t>Plat végétarien sec et assiette peu colorée</t>
  </si>
  <si>
    <t>Repérez le risque de sécheresse d’une galette végétale et proposez une correction couleur-texture.</t>
  </si>
  <si>
    <t>Pourquoi une galette végétale avec boulgour peut faire sec ?</t>
  </si>
  <si>
    <t>La galette céréales-légumineuses et le boulgour peuvent être secs. Il faut ajouter une sauce yaourt-herbes ou un coulis, des légumes de saison colorés et éviter un dessert blanc si l’assiette manque déjà de couleur.</t>
  </si>
  <si>
    <t>Galette + boulgour, ça peut être sec. Je mets une sauce, des légumes colorés et un fruit ou dessert plus utile.</t>
  </si>
  <si>
    <t>Si la réponse ajoute seulement un féculent, faire repérer la sécheresse et la couleur.</t>
  </si>
  <si>
    <t>Demander : « Qu’est-ce qui humidifie la galette ? »</t>
  </si>
  <si>
    <t>galette ; végétal ; sec ; boulgour ; sauce ; herbes ; légumes ; printemps ; couleur</t>
  </si>
  <si>
    <t>Sec / végétarien</t>
  </si>
  <si>
    <t>Légumes de printemps colorés</t>
  </si>
  <si>
    <t>Sauce yaourt-herbes ou coulis légume</t>
  </si>
  <si>
    <t>Printemps : radis, petits pois, carottes nouvelles</t>
  </si>
  <si>
    <t>Fruit coloré ou laitage si utile</t>
  </si>
  <si>
    <t>CFA : apprendre sauce et garniture</t>
  </si>
  <si>
    <t>Galette à maintenir moelleuse</t>
  </si>
  <si>
    <t>Galette sèche = sauce obligatoire</t>
  </si>
  <si>
    <t>galette</t>
  </si>
  <si>
    <t>boulgour</t>
  </si>
  <si>
    <t>Saucisse ; purée ; chou-fleur ; riz au lait</t>
  </si>
  <si>
    <t>Menu blanc/beige et dense</t>
  </si>
  <si>
    <t>Analysez la dominante claire et la densité de ce menu, puis proposez une correction plus lisible.</t>
  </si>
  <si>
    <t>Pourquoi ce menu fait-il trop blanc/beige et trop lourd ?</t>
  </si>
  <si>
    <t>Purée, chou-fleur et riz au lait donnent une dominante blanche/beige. La saucisse apporte aussi une charge salée et dense. Il faut ajouter une crudité ou un légume coloré, choisir un fruit et éviter la répétition de textures blanches.</t>
  </si>
  <si>
    <t>C’est blanc/beige et lourd. Je mets carottes ou betteraves, un fruit et j’évite le riz au lait après purée/chou-fleur.</t>
  </si>
  <si>
    <t>Si l’apprenant garde riz au lait, demander ce qu’il ajoute visuellement au repas.</t>
  </si>
  <si>
    <t>Demander : « Où est la couleur dans ce menu ? »</t>
  </si>
  <si>
    <t>blanc ; beige ; purée ; chou-fleur ; riz au lait ; dense ; carottes ; fruit</t>
  </si>
  <si>
    <t>Blanc/beige / dense</t>
  </si>
  <si>
    <t>Carottes, betteraves ou légumes verts</t>
  </si>
  <si>
    <t>Jus ou sauce légère selon plat</t>
  </si>
  <si>
    <t>Hiver : carotte, betterave, agrume</t>
  </si>
  <si>
    <t>Fruit coloré plutôt que riz au lait</t>
  </si>
  <si>
    <t>Primaire : rendre le menu plus lisible</t>
  </si>
  <si>
    <t>Surveiller sel et maintien chaud</t>
  </si>
  <si>
    <t>Blanc/beige = couleur + fruit</t>
  </si>
  <si>
    <t>betteraves</t>
  </si>
  <si>
    <t>mettre</t>
  </si>
  <si>
    <t>Salade de pâtes ; poulet froid ; melon ; flan</t>
  </si>
  <si>
    <t>Menu froid mais manque de contraste de texture</t>
  </si>
  <si>
    <t>Analysez ce menu froid d’été et proposez un contraste de texture et de couleur.</t>
  </si>
  <si>
    <t>Pourquoi un menu froid peut être correct mais manquer de relief ?</t>
  </si>
  <si>
    <t>Le menu est estival mais peut rester monotone si salade de pâtes et flan donnent des textures souples. Il faut intégrer légumes croquants, herbes, couleur et éviter un dessert trop lisse si le reste est déjà souple.</t>
  </si>
  <si>
    <t>C’est frais, mais ça peut manquer de relief. Je mets du croquant, des légumes colorés et un dessert qui ne fait pas tout lisse.</t>
  </si>
  <si>
    <t>Si la réponse valide uniquement parce que c’est froid en été, demander ce qui varie en bouche.</t>
  </si>
  <si>
    <t>Demander : « Qu’est-ce qui croque dans ce repas ? »</t>
  </si>
  <si>
    <t>froid ; été ; pâtes ; flan ; croquant ; légumes ; couleur ; texture</t>
  </si>
  <si>
    <t>Froid / texture souple</t>
  </si>
  <si>
    <t>Légumes croquants : concombre, poivron, radis</t>
  </si>
  <si>
    <t>Sauce légère bien liée</t>
  </si>
  <si>
    <t>Été : concombre, tomate, poivron, melon</t>
  </si>
  <si>
    <t>Fruit frais si flan trop lisse</t>
  </si>
  <si>
    <t>Adultes : menu frais mais structuré</t>
  </si>
  <si>
    <t>Chaîne du froid et tenue des salades</t>
  </si>
  <si>
    <t>Froid ne veut pas dire monotone</t>
  </si>
  <si>
    <t>froid</t>
  </si>
  <si>
    <t>souple</t>
  </si>
  <si>
    <t>relief</t>
  </si>
  <si>
    <t>croque</t>
  </si>
  <si>
    <t>flan</t>
  </si>
  <si>
    <t>Filet de poisson ; épinards ; riz ; poire</t>
  </si>
  <si>
    <t>Couleur verte sensible et risque de refus</t>
  </si>
  <si>
    <t>Analysez le risque d’acceptabilité lié au poisson et aux épinards, puis proposez une correction visuelle.</t>
  </si>
  <si>
    <t>Pourquoi poisson + épinards peut faire peur aux enfants, et comment tu aides le menu ?</t>
  </si>
  <si>
    <t>Le poisson et les épinards sont deux éléments sensibles pour certains enfants. Il faut travailler la sauce, alléger la présence visuelle des épinards ou proposer un légume vert plus accepté ou une couleur plus douce, sans supprimer l’équilibre.</t>
  </si>
  <si>
    <t>Poisson et épinards ensemble, ça peut faire trop. Je mets une sauce douce et des légumes plus faciles ou plus colorés.</t>
  </si>
  <si>
    <t>Si l’apprenant supprime tout, rappeler qu’il faut corriger sans abandonner l’objectif.</t>
  </si>
  <si>
    <t>Demander : « Comment tu aides les enfants à accepter ce plat ? »</t>
  </si>
  <si>
    <t>poisson ; épinards ; refus ; enfants ; sauce ; couleur ; doux ; printemps</t>
  </si>
  <si>
    <t>Acceptabilité / couleur verte</t>
  </si>
  <si>
    <t>Petits pois-carottes ou légume plus accessible</t>
  </si>
  <si>
    <t>Sauce douce citronnée ou yaourt-herbes</t>
  </si>
  <si>
    <t>Printemps : petits pois, carottes nouvelles</t>
  </si>
  <si>
    <t>Poire mûre ou fruit adapté</t>
  </si>
  <si>
    <t>Primaire : limiter double refus</t>
  </si>
  <si>
    <t>Éviter dessèchement du poisson</t>
  </si>
  <si>
    <t>Aliment sensible = sauce + repère connu</t>
  </si>
  <si>
    <t>peur</t>
  </si>
  <si>
    <t>aider</t>
  </si>
  <si>
    <t>accepter</t>
  </si>
  <si>
    <t>Endives au jambon ; pommes vapeur ; fromage blanc</t>
  </si>
  <si>
    <t>Assiette claire, sauce blanche et amertume</t>
  </si>
  <si>
    <t>Repérez les risques de couleur claire, sauce blanche et amertume dans ce menu.</t>
  </si>
  <si>
    <t>Pourquoi endives au jambon + pommes vapeur + fromage blanc peut faire trop clair ?</t>
  </si>
  <si>
    <t>Les endives au jambon, la sauce blanche, les pommes vapeur et le fromage blanc créent un menu clair. L’amertume des endives peut aussi gêner. Il faut ajouter couleur et fraîcheur : carottes, betteraves, salade ou fruit coloré.</t>
  </si>
  <si>
    <t>C’est trop clair et l’endive peut être amère. Je mets une entrée ou un dessert coloré et quelque chose de plus frais.</t>
  </si>
  <si>
    <t>Si l’apprenant ne voit que le fromage blanc, lui faire repérer toute la chaîne de blanc/crème.</t>
  </si>
  <si>
    <t>Demander : « Combien d’éléments blancs ou clairs dans ce repas ? »</t>
  </si>
  <si>
    <t>endives ; blanc ; clair ; amer ; sauce blanche ; carottes ; betterave ; fruit</t>
  </si>
  <si>
    <t>Clair / amer</t>
  </si>
  <si>
    <t>Crudité colorée ou légume vert</t>
  </si>
  <si>
    <t>Sauce béchamel allégée, pas trop dominante</t>
  </si>
  <si>
    <t>Hiver : betterave, carotte, agrume</t>
  </si>
  <si>
    <t>Adultes : équilibre goût et fraîcheur</t>
  </si>
  <si>
    <t>Sauce blanche à maintenir stable</t>
  </si>
  <si>
    <t>Sauce blanche + fromage blanc = vigilance</t>
  </si>
  <si>
    <t>blanche</t>
  </si>
  <si>
    <t>Couscous végétarien ; semoule ; légumes ; compote</t>
  </si>
  <si>
    <t>Risque de trop féculent et texture uniforme si mal dosé</t>
  </si>
  <si>
    <t>Analysez l’équilibre visuel et textural d’un couscous végétarien en collectivité.</t>
  </si>
  <si>
    <t>Pourquoi un couscous végé peut devenir trop semouleux ou trop mou ?</t>
  </si>
  <si>
    <t>Le couscous végétarien peut être équilibré s’il contient assez de légumes et pois chiches. Le risque est de servir surtout de la semoule avec des légumes trop fondants. Il faut rendre les légumes visibles, colorés, et garder une sauce bien dosée.</t>
  </si>
  <si>
    <t>Il ne faut pas que ce soit juste beaucoup de semoule. On doit voir les légumes, les pois chiches, la couleur et une sauce correcte.</t>
  </si>
  <si>
    <t>Si l’apprenant ne parle que de semoule, demander où sont les légumes et les légumineuses.</t>
  </si>
  <si>
    <t>Demander : « Qu’est-ce qu’on voit dans l’assiette à part la semoule ? »</t>
  </si>
  <si>
    <t>couscous ; végétarien ; semoule ; légumes ; pois chiches ; couleur ; sauce ; automne</t>
  </si>
  <si>
    <t>Végétarien / texture</t>
  </si>
  <si>
    <t>Légumes colorés visibles, pois chiches</t>
  </si>
  <si>
    <t>Bouillon/sauce bien dosé</t>
  </si>
  <si>
    <t>Automne : courge, carotte, navet, pois chiches</t>
  </si>
  <si>
    <t>Fruit ou dessert simple</t>
  </si>
  <si>
    <t>Collège : satiété et acceptabilité</t>
  </si>
  <si>
    <t>Éviter semoule sèche ou compacte</t>
  </si>
  <si>
    <t>Couscous végé = légumes visibles + pois chiches</t>
  </si>
  <si>
    <t>bouillon</t>
  </si>
  <si>
    <t>visible</t>
  </si>
  <si>
    <t>voir</t>
  </si>
  <si>
    <t>Personnes âgées</t>
  </si>
  <si>
    <t>Veau sauce crème ; riz ; chou-fleur ; riz au lait</t>
  </si>
  <si>
    <t>Menu très clair et répétition riz/crème</t>
  </si>
  <si>
    <t>Analysez les répétitions visuelles et de texture dans ce menu pour personnes âgées.</t>
  </si>
  <si>
    <t>Pourquoi ce menu fait-il trop blanc et trop crème ?</t>
  </si>
  <si>
    <t>Le veau sauce crème, le riz, le chou-fleur et le riz au lait créent une dominante très claire avec répétition de riz et de textures crémeuses. Il faut ajouter un légume coloré, alléger le dessert et conserver une sauce utile mais maîtrisée.</t>
  </si>
  <si>
    <t>C’est trop blanc : crème, riz, chou-fleur, riz au lait. Je mets une couleur et je choisis un dessert plus adapté.</t>
  </si>
  <si>
    <t>Si l’apprenant supprime la sauce, rappeler qu’elle peut être utile à la prise alimentaire, mais doit être équilibrée.</t>
  </si>
  <si>
    <t>Demander : « La sauce aide-t-elle à manger ? Comment tu évites que tout soit blanc ? »</t>
  </si>
  <si>
    <t>blanc ; crème ; riz ; chou-fleur ; personne âgée ; couleur ; sauce ; répétition</t>
  </si>
  <si>
    <t>Très clair / répétition</t>
  </si>
  <si>
    <t>Carottes, brocolis ou purée colorée</t>
  </si>
  <si>
    <t>Sauce crème maîtrisée, pas supprimée systématiquement</t>
  </si>
  <si>
    <t>Printemps : petits pois, carottes, jeunes légumes</t>
  </si>
  <si>
    <t>Compote ou fruit adapté plus coloré</t>
  </si>
  <si>
    <t>Personnes âgées : sauce utile mais menu lisible</t>
  </si>
  <si>
    <t>Maintenir sauce stable et texture adaptée</t>
  </si>
  <si>
    <t>Sauce utile, répétition à corriger</t>
  </si>
  <si>
    <t>agees</t>
  </si>
  <si>
    <t>Steak végétal ; quinoa ; salade verte ; yaourt nature</t>
  </si>
  <si>
    <t>Plat végétal sec et image peu valorisée</t>
  </si>
  <si>
    <t>Analysez le risque sensoriel d’un steak végétal et proposez une correction de texture et d’image.</t>
  </si>
  <si>
    <t>Pourquoi un steak végétal peut être sec ou peu attractif s’il est mal accompagné ?</t>
  </si>
  <si>
    <t>Un steak végétal peut être sec et peu valorisé s’il est servi avec une garniture neutre. Il faut une sauce, des légumes colorés, une présentation moins industrielle et un dessert ou fruit adapté au reste du menu.</t>
  </si>
  <si>
    <t>Le steak végétal seul peut être sec. Je mets une sauce, des légumes colorés et je le présente comme un vrai plat.</t>
  </si>
  <si>
    <t>Si l’apprenant se limite à “c’est végétarien”, demander quelle sensation en bouche il prévoit.</t>
  </si>
  <si>
    <t>Demander : « Qu’est-ce qui empêche le steak végétal d’être sec ? »</t>
  </si>
  <si>
    <t>steak végétal ; sec ; sauce ; légumes ; couleur ; quinoa ; attractif ; vrai plat</t>
  </si>
  <si>
    <t>Végétal / sec</t>
  </si>
  <si>
    <t>Légumes colorés chauds ou salade composée</t>
  </si>
  <si>
    <t>Sauce yaourt-herbes, tomate ou jus végétal</t>
  </si>
  <si>
    <t>Selon saison : légumes adaptés</t>
  </si>
  <si>
    <t>Fruit si yaourt accentue menu neutre</t>
  </si>
  <si>
    <t>Adultes : image et acceptabilité</t>
  </si>
  <si>
    <t>Tenue du steak végétal au chaud</t>
  </si>
  <si>
    <t>Végétal sec = sauce + présentation</t>
  </si>
  <si>
    <t>vegetal</t>
  </si>
  <si>
    <t>neutre</t>
  </si>
  <si>
    <t>pas attractif</t>
  </si>
  <si>
    <t>quinoa</t>
  </si>
  <si>
    <t>Jambon blanc ; coquillettes ; courgettes vapeur ; fromage blanc</t>
  </si>
  <si>
    <t>Menu clair, fade et peu contrasté</t>
  </si>
  <si>
    <t>Repérez le risque fade et clair de ce menu, puis proposez une correction estivale.</t>
  </si>
  <si>
    <t>Pourquoi jambon, coquillettes, courgettes et fromage blanc peuvent faire fade ?</t>
  </si>
  <si>
    <t>Le jambon blanc, les coquillettes, les courgettes vapeur et le fromage blanc donnent un menu clair et doux. Il faut ajouter couleur, herbes, sauce tomate légère ou légumes plus colorés, et choisir un fruit d’été.</t>
  </si>
  <si>
    <t>C’est clair et ça peut être fade. Je mets une couleur plus vive, des herbes ou une sauce, et un fruit d’été.</t>
  </si>
  <si>
    <t>Si l’apprenant ajoute seulement du ketchup, demander une correction plus professionnelle.</t>
  </si>
  <si>
    <t>Demander : « Comment tu donnes du goût sans tomber dans le ketchup ? »</t>
  </si>
  <si>
    <t>clair ; fade ; jambon ; coquillettes ; courgettes ; été ; herbes ; tomate ; fruit</t>
  </si>
  <si>
    <t>Clair / fade</t>
  </si>
  <si>
    <t>Tomate, poivron, carotte ou salade colorée</t>
  </si>
  <si>
    <t>Sauce tomate légère ou herbes</t>
  </si>
  <si>
    <t>Été : tomate, courgette, pêche, abricot</t>
  </si>
  <si>
    <t>Fruit d’été coloré</t>
  </si>
  <si>
    <t>Primaire : goût simple mais pas fade</t>
  </si>
  <si>
    <t>Courgettes vapeur : attention eau et couleur</t>
  </si>
  <si>
    <t>Fade = herbes + couleur + fruit</t>
  </si>
  <si>
    <t>pas gout</t>
  </si>
  <si>
    <t>courgettes</t>
  </si>
  <si>
    <t>professionnel</t>
  </si>
  <si>
    <t>Potage de légumes ; tartiflette ; fromage ; gâteau</t>
  </si>
  <si>
    <t>Menu très lourd et pauvre en fraîcheur</t>
  </si>
  <si>
    <t>Analysez la lourdeur sensorielle de ce menu d’hiver et proposez un correcteur réaliste.</t>
  </si>
  <si>
    <t>Pourquoi ce menu d’hiver est trop lourd, et comment tu l’allèges sans tout refaire ?</t>
  </si>
  <si>
    <t>La tartiflette est déjà riche en pommes de terre, fromage et matières grasses. Ajouter encore fromage et gâteau accentue la lourdeur. Il faut une entrée fraîche ou crudité d’hiver et un fruit, en évitant la répétition fromage-dessert riche.</t>
  </si>
  <si>
    <t>La tartiflette est déjà lourde. Je mets du frais autour et je finis par un fruit au lieu de rajouter fromage et gâteau.</t>
  </si>
  <si>
    <t>Si l’apprenant supprime la tartiflette, rappeler que l’objectif est de corriger autour du plat principal.</t>
  </si>
  <si>
    <t>Demander : « Qu’est-ce que tu enlèves autour pour garder le plat mais alléger le repas ? »</t>
  </si>
  <si>
    <t>lourd ; tartiflette ; fromage ; gâteau ; hiver ; frais ; crudité ; fruit</t>
  </si>
  <si>
    <t>Très lourd</t>
  </si>
  <si>
    <t>Crudité d’hiver : carotte, chou, betterave</t>
  </si>
  <si>
    <t>Hiver : crudités racines, agrumes, pomme</t>
  </si>
  <si>
    <t>Adultes : repas plus digeste</t>
  </si>
  <si>
    <t>Maintenir tartiflette sans dessèchement</t>
  </si>
  <si>
    <t>Plat lourd = autour très frais</t>
  </si>
  <si>
    <t>Lasagnes végétariennes ; salade verte ; yaourt nature</t>
  </si>
  <si>
    <t>Plat complet mais couleur et protéines à vérifier</t>
  </si>
  <si>
    <t>Analysez les lasagnes végétariennes sous l’angle couleur, texture et construction réelle du plat.</t>
  </si>
  <si>
    <t>Comment vérifier que les lasagnes végé sont un vrai plat et pas juste des pâtes aux légumes ?</t>
  </si>
  <si>
    <t>Les lasagnes végétariennes peuvent être pertinentes, mais il faut vérifier qu’elles ne sont pas seulement pâtes, sauce et légumes. Il faut une base nourrissante, une couleur identifiable, une salade utile et éventuellement un fruit si le yaourt renforce un menu trop clair.</t>
  </si>
  <si>
    <t>Je vérifie qu’il y a une vraie base qui cale, pas seulement des pâtes. Je regarde aussi la couleur et je choisis un dessert utile.</t>
  </si>
  <si>
    <t>Si l’apprenant parle uniquement de couleur, ramener sur la construction végétarienne.</t>
  </si>
  <si>
    <t>Demander : « Qu’est-ce qui cale dans ces lasagnes ? »</t>
  </si>
  <si>
    <t>lasagnes ; végétarien ; pâtes ; légumes ; protéines ; couleur ; salade ; fruit</t>
  </si>
  <si>
    <t>Végétarien / plat complet</t>
  </si>
  <si>
    <t>Salade colorée ou crudité complémentaire</t>
  </si>
  <si>
    <t>Sauce tomate/légumes bien lisible</t>
  </si>
  <si>
    <t>Printemps : salade, radis, petits pois</t>
  </si>
  <si>
    <t>Fruit si yaourt rend le menu trop clair</t>
  </si>
  <si>
    <t>Tenue des lasagnes au service</t>
  </si>
  <si>
    <t>Plat complet à vérifier, pas à supposer</t>
  </si>
  <si>
    <t>pates</t>
  </si>
  <si>
    <t>proteines</t>
  </si>
  <si>
    <t>Bœuf haché sauce ; purée ; carottes ; crème dessert</t>
  </si>
  <si>
    <t>Menu adapté mais risque de monotonie molle</t>
  </si>
  <si>
    <t>Analysez ce menu EHPAD : il est peut-être adapté, mais que faut-il surveiller côté texture et couleur ?</t>
  </si>
  <si>
    <t>Pourquoi un menu facile à manger peut quand même devenir monotone ?</t>
  </si>
  <si>
    <t>Le bœuf haché sauce, la purée, les carottes et la crème dessert peuvent être adaptés, mais la texture reste molle. Il faut veiller à la lisibilité des composants, aux couleurs séparées, à une sauce utile et à un dessert qui ne répète pas trop le lisse.</t>
  </si>
  <si>
    <t>C’est facile à manger, mais tout peut être mou. Je sépare les couleurs, je garde la sauce et je fais attention au dessert.</t>
  </si>
  <si>
    <t>Si l’apprenant ajoute du croquant sans prudence, rappeler le public EHPAD.</t>
  </si>
  <si>
    <t>Demander : « Comment tu rends l’assiette lisible sans créer de danger ? »</t>
  </si>
  <si>
    <t>EHPAD ; haché ; purée ; mou ; sauce ; couleur ; lisible ; dessert</t>
  </si>
  <si>
    <t>Adapté / monotone</t>
  </si>
  <si>
    <t>Couleurs séparées : carotte, purée, viande sauce</t>
  </si>
  <si>
    <t>Sauce utile pour humidité</t>
  </si>
  <si>
    <t>Automne : carotte, courge, pomme cuite</t>
  </si>
  <si>
    <t>Dessert adapté mais pas toujours crème lisse</t>
  </si>
  <si>
    <t>EHPAD : lisibilité et sécurité</t>
  </si>
  <si>
    <t>Maintenir température et texture hachée</t>
  </si>
  <si>
    <t>Adapté ne veut pas dire monotone</t>
  </si>
  <si>
    <t>hache</t>
  </si>
  <si>
    <t>Pizza fromage ; salade verte ; mousse chocolat</t>
  </si>
  <si>
    <t>Menu simple, riche et correction insuffisante</t>
  </si>
  <si>
    <t>Analysez pourquoi la salade verte ne suffit pas forcément à corriger ce menu riche.</t>
  </si>
  <si>
    <t>Pourquoi pizza fromage + mousse chocolat reste lourd même avec salade ?</t>
  </si>
  <si>
    <t>La pizza fromage et la mousse chocolat donnent un menu riche. La salade verte apporte un peu de fraîcheur, mais peut être insuffisante. Il faut renforcer la part végétale, choisir un fruit ou dessert plus léger et vérifier la répétition fromage/gras/sucre.</t>
  </si>
  <si>
    <t>La salade aide, mais pizza fromage et mousse chocolat restent lourds. Je mets plus de végétal et je choisis un dessert plus léger.</t>
  </si>
  <si>
    <t>Si l’apprenant se satisfait de la salade, demander si elle corrige vraiment le dessert riche.</t>
  </si>
  <si>
    <t>Demander : « La salade suffit-elle à compenser pizza + mousse ? »</t>
  </si>
  <si>
    <t>pizza ; fromage ; mousse ; lourd ; salade ; végétal ; fruit ; gras ; sucre</t>
  </si>
  <si>
    <t>Riche / correction insuffisante</t>
  </si>
  <si>
    <t>Salade composée ou légumes colorés</t>
  </si>
  <si>
    <t>Pas de sauce lourde supplémentaire</t>
  </si>
  <si>
    <t>Selon saison : crudités ou légumes adaptés</t>
  </si>
  <si>
    <t>Adultes : équilibre sans perdre plaisir</t>
  </si>
  <si>
    <t>Service rapide, portion et tenue</t>
  </si>
  <si>
    <t>Salade seule ne corrige pas tout</t>
  </si>
  <si>
    <t>pizza</t>
  </si>
  <si>
    <t>mousse</t>
  </si>
  <si>
    <t>sucre</t>
  </si>
  <si>
    <t>Méthode PLATS-CF — analyser le plat principal avant de construire le menu : famille, risque, garniture, sauce/jus, convive, justification</t>
  </si>
  <si>
    <t>BLOC PRO — analyse professionnelle du plat principal</t>
  </si>
  <si>
    <t>BLOC CFA — analyse terrain du plat principal</t>
  </si>
  <si>
    <t>1. Saisir un numéro de question en B4 : 1, 2, 3…</t>
  </si>
  <si>
    <t>2. Lire le plat principal à analyser, le public et la saison.</t>
  </si>
  <si>
    <t>Poisson blanc vapeur appartient à la famille poisson. Le risque principal est pâle, sec, risque de refus. Je propose comme garniture : Brocolis, carottes ou riz pilaf avec légume coloré. Pour la sauce ou le jus : Sauce légère citron-herbes ou jus court. L’adaptation convive est : Enfants : rendre le poisson plus lisible et moins sec. La justification est de construire le menu à partir du plat principal sans corriger au hasard.</t>
  </si>
  <si>
    <t>C’est un plat de la famille poisson. Le risque, c’est pâle, sec, risque de refus. Je mets avec : Brocolis, carottes ou riz pilaf avec légume coloré. J’ajoute ou je vérifie : Sauce légère citron-herbes ou jus court. Je pense au convive : Enfants : rendre le poisson plus lisible et moins sec. J’explique mon choix au lieu de répondre au hasard.</t>
  </si>
  <si>
    <t>3. Réponse A : identifier famille du plat, risque principal, garniture, sauce ou jus, convive.</t>
  </si>
  <si>
    <t>4. Lire le conseil formateur, puis améliorer en réponse B.</t>
  </si>
  <si>
    <t>5. Saisir X en H4 pour afficher réponses attendues, mots-clés et corrections.</t>
  </si>
  <si>
    <t>6. La notation est automatique et indicative : le formateur garde l’appréciation finale.</t>
  </si>
  <si>
    <t>7. Le module entraîne l’analyse du plat principal avant de construire un menu complet.</t>
  </si>
  <si>
    <t>8. Critères : famille, risque, garniture, sauce/jus, convive, justification.</t>
  </si>
  <si>
    <t>9. Pas de liste déroulante : B4 et H4 sont des saisies libres.</t>
  </si>
  <si>
    <t>10. Matrice source intégrée sur la même feuille à partir de la ligne 52.</t>
  </si>
  <si>
    <t>NOTATION AUTOMATIQUE INDICATIVE — famille du plat, risque principal, garniture, sauce/jus, convive, justification</t>
  </si>
  <si>
    <t>Plat principal à analyser : Poisson blanc vapeur</t>
  </si>
  <si>
    <t>pâle, sec, risque de refus</t>
  </si>
  <si>
    <t>Analysez le plat principal « Poisson blanc vapeur » : identifiez sa famille, son risque principal, puis proposez une garniture, une sauce ou un jus, une adaptation convive et une justification.</t>
  </si>
  <si>
    <t>Regarde le plat « Poisson blanc vapeur » : c’est quelle famille, quel est le risque, et qu’est-ce que tu mets avec pour que le menu fonctionne ?</t>
  </si>
  <si>
    <t>Si la réponse reste générale, demander à l’apprenant de nommer le plat, sa famille, le risque précis, puis une correction par garniture et sauce.</t>
  </si>
  <si>
    <t>Demander : « C’est quel type de plat ? Qu’est-ce qui peut rater ? Avec quoi tu le rends meilleur ? Pour qui tu le prépares ? »</t>
  </si>
  <si>
    <t>Famille du plat 4 pts ; risque principal 4 pts ; garniture 4 pts ; sauce ou jus 3 pts ; adaptation convive 3 pts ; justification 2 pts.</t>
  </si>
  <si>
    <t>poisson ; pâle, sec, risque de refus ; Brocolis, carottes ou riz pilaf avec légume coloré ; Sauce légère citron-herbes ou jus court ; Enfants : rendre le poisson plus lisible et moins sec ; justification</t>
  </si>
  <si>
    <t>Pâle / sec / refus</t>
  </si>
  <si>
    <t>Brocolis, carottes ou riz pilaf avec légume coloré</t>
  </si>
  <si>
    <t>Crudité colorée si le menu reste pâle</t>
  </si>
  <si>
    <t>Fruit de saison coloré</t>
  </si>
  <si>
    <t>Enfants : rendre le poisson plus lisible et moins sec</t>
  </si>
  <si>
    <t>Éviter le dessèchement au maintien chaud</t>
  </si>
  <si>
    <t>Poisson blanc vapeur : famille + risque + garniture + sauce + convive.</t>
  </si>
  <si>
    <t>Famille du plat</t>
  </si>
  <si>
    <t>Risque principal</t>
  </si>
  <si>
    <t>Garniture proposée</t>
  </si>
  <si>
    <t>Sauce ou jus</t>
  </si>
  <si>
    <t>justification</t>
  </si>
  <si>
    <t>construire</t>
  </si>
  <si>
    <t>choix</t>
  </si>
  <si>
    <t>Plat principal à analyser : Poisson pané au four</t>
  </si>
  <si>
    <t>menu trop gras ou trop fast-food</t>
  </si>
  <si>
    <t>Analysez le plat principal « Poisson pané au four » : identifiez sa famille, son risque principal, puis proposez une garniture, une sauce ou un jus, une adaptation convive et une justification.</t>
  </si>
  <si>
    <t>Regarde le plat « Poisson pané au four » : c’est quelle famille, quel est le risque, et qu’est-ce que tu mets avec pour que le menu fonctionne ?</t>
  </si>
  <si>
    <t>Poisson pané au four appartient à la famille poisson. Le risque principal est menu trop gras ou trop fast-food. Je propose comme garniture : Légumes verts, pommes vapeur ou purée de légumes. Pour la sauce ou le jus : Sauce yaourt-herbes ou citron, éviter ketchup systématique. L’adaptation convive est : Adolescents : garder l’acceptabilité sans caricaturer le menu. La justification est de construire le menu à partir du plat principal sans corriger au hasard.</t>
  </si>
  <si>
    <t>C’est un plat de la famille poisson. Le risque, c’est menu trop gras ou trop fast-food. Je mets avec : Légumes verts, pommes vapeur ou purée de légumes. J’ajoute ou je vérifie : Sauce yaourt-herbes ou citron, éviter ketchup systématique. Je pense au convive : Adolescents : garder l’acceptabilité sans caricaturer le menu. J’explique mon choix au lieu de répondre au hasard.</t>
  </si>
  <si>
    <t>poisson ; menu trop gras ou trop fast-food ; Légumes verts, pommes vapeur ou purée de légumes ; Sauce yaourt-herbes ou citron, éviter ketchup systématique ; Adolescents : garder l’acceptabilité sans caricaturer le menu ; justification</t>
  </si>
  <si>
    <t>Pané / lourd / acceptabilité</t>
  </si>
  <si>
    <t>Légumes verts, pommes vapeur ou purée de légumes</t>
  </si>
  <si>
    <t>Sauce yaourt-herbes ou citron, éviter ketchup systématique</t>
  </si>
  <si>
    <t>Fruit simple</t>
  </si>
  <si>
    <t>Adolescents : garder l’acceptabilité sans caricaturer le menu</t>
  </si>
  <si>
    <t>Conserver le croustillant au service</t>
  </si>
  <si>
    <t>Poisson pané au four : famille + risque + garniture + sauce + convive.</t>
  </si>
  <si>
    <t>fast</t>
  </si>
  <si>
    <t>Plat principal à analyser : Saumon rôti</t>
  </si>
  <si>
    <t>surcuisson et menu trop riche</t>
  </si>
  <si>
    <t>Analysez le plat principal « Saumon rôti » : identifiez sa famille, son risque principal, puis proposez une garniture, une sauce ou un jus, une adaptation convive et une justification.</t>
  </si>
  <si>
    <t>Regarde le plat « Saumon rôti » : c’est quelle famille, quel est le risque, et qu’est-ce que tu mets avec pour que le menu fonctionne ?</t>
  </si>
  <si>
    <t>Saumon rôti appartient à la famille poisson gras. Le risque principal est surcuisson et menu trop riche. Je propose comme garniture : Épinards, légumes verts ou riz avec légumes. Pour la sauce ou le jus : Citron, herbes, sauce légère non grasse. L’adaptation convive est : Adultes : éviter de cumuler poisson gras et sauce riche. La justification est de construire le menu à partir du plat principal sans corriger au hasard.</t>
  </si>
  <si>
    <t>C’est un plat de la famille poisson gras. Le risque, c’est surcuisson et menu trop riche. Je mets avec : Épinards, légumes verts ou riz avec légumes. J’ajoute ou je vérifie : Citron, herbes, sauce légère non grasse. Je pense au convive : Adultes : éviter de cumuler poisson gras et sauce riche. J’explique mon choix au lieu de répondre au hasard.</t>
  </si>
  <si>
    <t>poisson gras ; surcuisson et menu trop riche ; Épinards, légumes verts ou riz avec légumes ; Citron, herbes, sauce légère non grasse ; Adultes : éviter de cumuler poisson gras et sauce riche ; justification</t>
  </si>
  <si>
    <t>Poisson gras / surcuisson</t>
  </si>
  <si>
    <t>Épinards, légumes verts ou riz avec légumes</t>
  </si>
  <si>
    <t>Citron, herbes, sauce légère non grasse</t>
  </si>
  <si>
    <t>Entrée fraîche et légère</t>
  </si>
  <si>
    <t>Fruit ou dessert peu gras</t>
  </si>
  <si>
    <t>Adultes : éviter de cumuler poisson gras et sauce riche</t>
  </si>
  <si>
    <t>Surveiller la surcuisson et la tenue au chaud</t>
  </si>
  <si>
    <t>Saumon rôti : famille + risque + garniture + sauce + convive.</t>
  </si>
  <si>
    <t>saumon</t>
  </si>
  <si>
    <t>surcuisson</t>
  </si>
  <si>
    <t>legere</t>
  </si>
  <si>
    <t>Plat principal à analyser : Brandade de poisson</t>
  </si>
  <si>
    <t>plat mou et beige</t>
  </si>
  <si>
    <t>Analysez le plat principal « Brandade de poisson » : identifiez sa famille, son risque principal, puis proposez une garniture, une sauce ou un jus, une adaptation convive et une justification.</t>
  </si>
  <si>
    <t>Regarde le plat « Brandade de poisson » : c’est quelle famille, quel est le risque, et qu’est-ce que tu mets avec pour que le menu fonctionne ?</t>
  </si>
  <si>
    <t>Brandade de poisson appartient à la famille poisson / plat complet. Le risque principal est plat mou et beige. Je propose comme garniture : Légume vert ou salade adaptée selon public. Pour la sauce ou le jus : Liaison déjà présente, éviter de surcharger. L’adaptation convive est : Personnes âgées : préserver lisibilité, goût et couleur. La justification est de construire le menu à partir du plat principal sans corriger au hasard.</t>
  </si>
  <si>
    <t>C’est un plat de la famille poisson / plat complet. Le risque, c’est plat mou et beige. Je mets avec : Légume vert ou salade adaptée selon public. J’ajoute ou je vérifie : Liaison déjà présente, éviter de surcharger. Je pense au convive : Personnes âgées : préserver lisibilité, goût et couleur. J’explique mon choix au lieu de répondre au hasard.</t>
  </si>
  <si>
    <t>poisson / plat complet ; plat mou et beige ; Légume vert ou salade adaptée selon public ; Liaison déjà présente, éviter de surcharger ; Personnes âgées : préserver lisibilité, goût et couleur ; justification</t>
  </si>
  <si>
    <t>Mou / pâle</t>
  </si>
  <si>
    <t>Légume vert ou salade adaptée selon public</t>
  </si>
  <si>
    <t>Liaison déjà présente, éviter de surcharger</t>
  </si>
  <si>
    <t>Entrée colorée ou potage coloré</t>
  </si>
  <si>
    <t>Fruit adapté ou compote colorée</t>
  </si>
  <si>
    <t>Personnes âgées : préserver lisibilité, goût et couleur</t>
  </si>
  <si>
    <t>Éviter texture pâteuse et dessèchement</t>
  </si>
  <si>
    <t>Brandade de poisson : famille + risque + garniture + sauce + convive.</t>
  </si>
  <si>
    <t>brandade</t>
  </si>
  <si>
    <t>legume vert</t>
  </si>
  <si>
    <t>liaison</t>
  </si>
  <si>
    <t>humide</t>
  </si>
  <si>
    <t>personnes agees</t>
  </si>
  <si>
    <t>Plat principal à analyser : Poulet rôti</t>
  </si>
  <si>
    <t>viande sèche au service</t>
  </si>
  <si>
    <t>Analysez le plat principal « Poulet rôti » : identifiez sa famille, son risque principal, puis proposez une garniture, une sauce ou un jus, une adaptation convive et une justification.</t>
  </si>
  <si>
    <t>Regarde le plat « Poulet rôti » : c’est quelle famille, quel est le risque, et qu’est-ce que tu mets avec pour que le menu fonctionne ?</t>
  </si>
  <si>
    <t>Poulet rôti appartient à la famille volaille. Le risque principal est viande sèche au service. Je propose comme garniture : Légumes rôtis, pommes vapeur, carottes ou haricots verts. Pour la sauce ou le jus : Jus court ou sauce légère. L’adaptation convive est : Enfants et personnes âgées : éviter le sec. La justification est de construire le menu à partir du plat principal sans corriger au hasard.</t>
  </si>
  <si>
    <t>C’est un plat de la famille volaille. Le risque, c’est viande sèche au service. Je mets avec : Légumes rôtis, pommes vapeur, carottes ou haricots verts. J’ajoute ou je vérifie : Jus court ou sauce légère. Je pense au convive : Enfants et personnes âgées : éviter le sec. J’explique mon choix au lieu de répondre au hasard.</t>
  </si>
  <si>
    <t>volaille ; viande sèche au service ; Légumes rôtis, pommes vapeur, carottes ou haricots verts ; Jus court ou sauce légère ; Enfants et personnes âgées : éviter le sec ; justification</t>
  </si>
  <si>
    <t>Volaille / sec</t>
  </si>
  <si>
    <t>Légumes rôtis, pommes vapeur, carottes ou haricots verts</t>
  </si>
  <si>
    <t>Jus court ou sauce légère</t>
  </si>
  <si>
    <t>Crudité ou entrée fraîche</t>
  </si>
  <si>
    <t>Fruit selon menu</t>
  </si>
  <si>
    <t>Enfants et personnes âgées : éviter le sec</t>
  </si>
  <si>
    <t>Poulet rôti : famille + risque + garniture + sauce + convive.</t>
  </si>
  <si>
    <t>poulet</t>
  </si>
  <si>
    <t>volaille</t>
  </si>
  <si>
    <t>roti</t>
  </si>
  <si>
    <t>court</t>
  </si>
  <si>
    <t>Primaire / collège</t>
  </si>
  <si>
    <t>Plat principal à analyser : Émincé de volaille sauce curry</t>
  </si>
  <si>
    <t>épices mal dosées ou refus</t>
  </si>
  <si>
    <t>Analysez le plat principal « Émincé de volaille sauce curry » : identifiez sa famille, son risque principal, puis proposez une garniture, une sauce ou un jus, une adaptation convive et une justification.</t>
  </si>
  <si>
    <t>Regarde le plat « Émincé de volaille sauce curry » : c’est quelle famille, quel est le risque, et qu’est-ce que tu mets avec pour que le menu fonctionne ?</t>
  </si>
  <si>
    <t>Émincé de volaille sauce curry appartient à la famille volaille en sauce. Le risque principal est épices mal dosées ou refus. Je propose comme garniture : Riz, carottes, courgettes ou légumes doux. Pour la sauce ou le jus : Curry doux, sauce liée mais non lourde. L’adaptation convive est : Enfants : adapter l’intensité du curry. La justification est de construire le menu à partir du plat principal sans corriger au hasard.</t>
  </si>
  <si>
    <t>C’est un plat de la famille volaille en sauce. Le risque, c’est épices mal dosées ou refus. Je mets avec : Riz, carottes, courgettes ou légumes doux. J’ajoute ou je vérifie : Curry doux, sauce liée mais non lourde. Je pense au convive : Enfants : adapter l’intensité du curry. J’explique mon choix au lieu de répondre au hasard.</t>
  </si>
  <si>
    <t>volaille en sauce ; épices mal dosées ou refus ; Riz, carottes, courgettes ou légumes doux ; Curry doux, sauce liée mais non lourde ; Enfants : adapter l’intensité du curry ; justification</t>
  </si>
  <si>
    <t>Épices / acceptabilité</t>
  </si>
  <si>
    <t>Riz, carottes, courgettes ou légumes doux</t>
  </si>
  <si>
    <t>Curry doux, sauce liée mais non lourde</t>
  </si>
  <si>
    <t>Entrée fraîche simple</t>
  </si>
  <si>
    <t>Fruit ou laitage doux</t>
  </si>
  <si>
    <t>Enfants : adapter l’intensité du curry</t>
  </si>
  <si>
    <t>Tenue de la sauce et dosage des épices</t>
  </si>
  <si>
    <t>Émincé de volaille sauce curry : famille + risque + garniture + sauce + convive.</t>
  </si>
  <si>
    <t>curry</t>
  </si>
  <si>
    <t>emince</t>
  </si>
  <si>
    <t>Plat principal à analyser : Sauté de dinde sauce crème</t>
  </si>
  <si>
    <t>menu pâle et lourd</t>
  </si>
  <si>
    <t>Analysez le plat principal « Sauté de dinde sauce crème » : identifiez sa famille, son risque principal, puis proposez une garniture, une sauce ou un jus, une adaptation convive et une justification.</t>
  </si>
  <si>
    <t>Regarde le plat « Sauté de dinde sauce crème » : c’est quelle famille, quel est le risque, et qu’est-ce que tu mets avec pour que le menu fonctionne ?</t>
  </si>
  <si>
    <t>Sauté de dinde sauce crème appartient à la famille volaille en sauce. Le risque principal est menu pâle et lourd. Je propose comme garniture : Légumes verts, pommes vapeur, carottes. Pour la sauce ou le jus : Alléger la crème ou remplacer par jus lié. L’adaptation convive est : Adultes : repas plus digeste en pause méridienne. La justification est de construire le menu à partir du plat principal sans corriger au hasard.</t>
  </si>
  <si>
    <t>C’est un plat de la famille volaille en sauce. Le risque, c’est menu pâle et lourd. Je mets avec : Légumes verts, pommes vapeur, carottes. J’ajoute ou je vérifie : Alléger la crème ou remplacer par jus lié. Je pense au convive : Adultes : repas plus digeste en pause méridienne. J’explique mon choix au lieu de répondre au hasard.</t>
  </si>
  <si>
    <t>volaille en sauce ; menu pâle et lourd ; Légumes verts, pommes vapeur, carottes ; Alléger la crème ou remplacer par jus lié ; Adultes : repas plus digeste en pause méridienne ; justification</t>
  </si>
  <si>
    <t>Pâle / lourd</t>
  </si>
  <si>
    <t>Légumes verts, pommes vapeur, carottes</t>
  </si>
  <si>
    <t>Alléger la crème ou remplacer par jus lié</t>
  </si>
  <si>
    <t>Fruit plutôt que dessert riche</t>
  </si>
  <si>
    <t>Adultes : repas plus digeste en pause méridienne</t>
  </si>
  <si>
    <t>Sauce qui épaissit ou tranche au maintien</t>
  </si>
  <si>
    <t>Sauté de dinde sauce crème : famille + risque + garniture + sauce + convive.</t>
  </si>
  <si>
    <t>saute</t>
  </si>
  <si>
    <t>EHPAD / hospitalier</t>
  </si>
  <si>
    <t>Plat principal à analyser : Escalope de dinde grillée</t>
  </si>
  <si>
    <t>sec et difficile à mastiquer</t>
  </si>
  <si>
    <t>Analysez le plat principal « Escalope de dinde grillée » : identifiez sa famille, son risque principal, puis proposez une garniture, une sauce ou un jus, une adaptation convive et une justification.</t>
  </si>
  <si>
    <t>Regarde le plat « Escalope de dinde grillée » : c’est quelle famille, quel est le risque, et qu’est-ce que tu mets avec pour que le menu fonctionne ?</t>
  </si>
  <si>
    <t>Escalope de dinde grillée appartient à la famille volaille grillée. Le risque principal est sec et difficile à mastiquer. Je propose comme garniture : Purée de légumes, légumes fondants ou féculent moelleux. Pour la sauce ou le jus : Jus de volaille ou sauce douce. L’adaptation convive est : Personnes âgées : mastication et sauce prioritaires. La justification est de construire le menu à partir du plat principal sans corriger au hasard.</t>
  </si>
  <si>
    <t>C’est un plat de la famille volaille grillée. Le risque, c’est sec et difficile à mastiquer. Je mets avec : Purée de légumes, légumes fondants ou féculent moelleux. J’ajoute ou je vérifie : Jus de volaille ou sauce douce. Je pense au convive : Personnes âgées : mastication et sauce prioritaires. J’explique mon choix au lieu de répondre au hasard.</t>
  </si>
  <si>
    <t>volaille grillée ; sec et difficile à mastiquer ; Purée de légumes, légumes fondants ou féculent moelleux ; Jus de volaille ou sauce douce ; Personnes âgées : mastication et sauce prioritaires ; justification</t>
  </si>
  <si>
    <t>Sec / mastication</t>
  </si>
  <si>
    <t>Purée de légumes, légumes fondants ou féculent moelleux</t>
  </si>
  <si>
    <t>Jus de volaille ou sauce douce</t>
  </si>
  <si>
    <t>Entrée facile à consommer</t>
  </si>
  <si>
    <t>Personnes âgées : mastication et sauce prioritaires</t>
  </si>
  <si>
    <t>Surcuisson rapide et maintien chaud</t>
  </si>
  <si>
    <t>Escalope de dinde grillée : famille + risque + garniture + sauce + convive.</t>
  </si>
  <si>
    <t>escalope</t>
  </si>
  <si>
    <t>fondants</t>
  </si>
  <si>
    <t>Adultes / EHPAD</t>
  </si>
  <si>
    <t>Plat principal à analyser : Bœuf bourguignon</t>
  </si>
  <si>
    <t>plat lourd si garniture mal choisie</t>
  </si>
  <si>
    <t>Analysez le plat principal « Bœuf bourguignon » : identifiez sa famille, son risque principal, puis proposez une garniture, une sauce ou un jus, une adaptation convive et une justification.</t>
  </si>
  <si>
    <t>Regarde le plat « Bœuf bourguignon » : c’est quelle famille, quel est le risque, et qu’est-ce que tu mets avec pour que le menu fonctionne ?</t>
  </si>
  <si>
    <t>Bœuf bourguignon appartient à la famille viande rouge en sauce. Le risque principal est plat lourd si garniture mal choisie. Je propose comme garniture : Pommes vapeur, carottes, légumes verts. Pour la sauce ou le jus : Sauce brune maîtrisée, pas trop grasse. L’adaptation convive est : Personnes âgées : vérifier tendreté des morceaux. La justification est de construire le menu à partir du plat principal sans corriger au hasard.</t>
  </si>
  <si>
    <t>C’est un plat de la famille viande rouge en sauce. Le risque, c’est plat lourd si garniture mal choisie. Je mets avec : Pommes vapeur, carottes, légumes verts. J’ajoute ou je vérifie : Sauce brune maîtrisée, pas trop grasse. Je pense au convive : Personnes âgées : vérifier tendreté des morceaux. J’explique mon choix au lieu de répondre au hasard.</t>
  </si>
  <si>
    <t>viande rouge en sauce ; plat lourd si garniture mal choisie ; Pommes vapeur, carottes, légumes verts ; Sauce brune maîtrisée, pas trop grasse ; Personnes âgées : vérifier tendreté des morceaux ; justification</t>
  </si>
  <si>
    <t>Sauce / lourd / tendreté</t>
  </si>
  <si>
    <t>Pommes vapeur, carottes, légumes verts</t>
  </si>
  <si>
    <t>Sauce brune maîtrisée, pas trop grasse</t>
  </si>
  <si>
    <t>Entrée fraîche ou crudité d’hiver</t>
  </si>
  <si>
    <t>Personnes âgées : vérifier tendreté des morceaux</t>
  </si>
  <si>
    <t>Cuisson longue pour tendreté</t>
  </si>
  <si>
    <t>Bœuf bourguignon : famille + risque + garniture + sauce + convive.</t>
  </si>
  <si>
    <t>boeuf</t>
  </si>
  <si>
    <t>bourguignon</t>
  </si>
  <si>
    <t>tendrete</t>
  </si>
  <si>
    <t>brune</t>
  </si>
  <si>
    <t>grasse</t>
  </si>
  <si>
    <t>Scolaire</t>
  </si>
  <si>
    <t>Plat principal à analyser : Steak haché</t>
  </si>
  <si>
    <t>banal, sec ou mal cuit</t>
  </si>
  <si>
    <t>Analysez le plat principal « Steak haché » : identifiez sa famille, son risque principal, puis proposez une garniture, une sauce ou un jus, une adaptation convive et une justification.</t>
  </si>
  <si>
    <t>Regarde le plat « Steak haché » : c’est quelle famille, quel est le risque, et qu’est-ce que tu mets avec pour que le menu fonctionne ?</t>
  </si>
  <si>
    <t>Steak haché appartient à la famille viande hachée. Le risque principal est banal, sec ou mal cuit. Je propose comme garniture : Légume coloré et féculent simple. Pour la sauce ou le jus : Jus court ou sauce tomate légère selon menu. L’adaptation convive est : Enfants : présentation simple mais pas monotone. La justification est de construire le menu à partir du plat principal sans corriger au hasard.</t>
  </si>
  <si>
    <t>C’est un plat de la famille viande hachée. Le risque, c’est banal, sec ou mal cuit. Je mets avec : Légume coloré et féculent simple. J’ajoute ou je vérifie : Jus court ou sauce tomate légère selon menu. Je pense au convive : Enfants : présentation simple mais pas monotone. J’explique mon choix au lieu de répondre au hasard.</t>
  </si>
  <si>
    <t>viande hachée ; banal, sec ou mal cuit ; Légume coloré et féculent simple ; Jus court ou sauce tomate légère selon menu ; Enfants : présentation simple mais pas monotone ; justification</t>
  </si>
  <si>
    <t>Sec / cuisson / banalisation</t>
  </si>
  <si>
    <t>Légume coloré et féculent simple</t>
  </si>
  <si>
    <t>Jus court ou sauce tomate légère selon menu</t>
  </si>
  <si>
    <t>Fruit ou laitage selon équilibre</t>
  </si>
  <si>
    <t>Enfants : présentation simple mais pas monotone</t>
  </si>
  <si>
    <t>Cuisson à cœur et maintien chaud</t>
  </si>
  <si>
    <t>Steak haché : famille + risque + garniture + sauce + convive.</t>
  </si>
  <si>
    <t>steak</t>
  </si>
  <si>
    <t>banal</t>
  </si>
  <si>
    <t>Plat principal à analyser : Boulettes de bœuf sauce tomate</t>
  </si>
  <si>
    <t>sauce trop salée ou boulettes sèches</t>
  </si>
  <si>
    <t>Analysez le plat principal « Boulettes de bœuf sauce tomate » : identifiez sa famille, son risque principal, puis proposez une garniture, une sauce ou un jus, une adaptation convive et une justification.</t>
  </si>
  <si>
    <t>Regarde le plat « Boulettes de bœuf sauce tomate » : c’est quelle famille, quel est le risque, et qu’est-ce que tu mets avec pour que le menu fonctionne ?</t>
  </si>
  <si>
    <t>Boulettes de bœuf sauce tomate appartient à la famille viande rouge en sauce. Le risque principal est sauce trop salée ou boulettes sèches. Je propose comme garniture : Pâtes, semoule ou légumes méditerranéens. Pour la sauce ou le jus : Sauce tomate équilibrée, pas trop salée. L’adaptation convive est : Adolescents : plat acceptable si sauce et texture réussies. La justification est de construire le menu à partir du plat principal sans corriger au hasard.</t>
  </si>
  <si>
    <t>C’est un plat de la famille viande rouge en sauce. Le risque, c’est sauce trop salée ou boulettes sèches. Je mets avec : Pâtes, semoule ou légumes méditerranéens. J’ajoute ou je vérifie : Sauce tomate équilibrée, pas trop salée. Je pense au convive : Adolescents : plat acceptable si sauce et texture réussies. J’explique mon choix au lieu de répondre au hasard.</t>
  </si>
  <si>
    <t>viande rouge en sauce ; sauce trop salée ou boulettes sèches ; Pâtes, semoule ou légumes méditerranéens ; Sauce tomate équilibrée, pas trop salée ; Adolescents : plat acceptable si sauce et texture réussies ; justification</t>
  </si>
  <si>
    <t>Sauce tomate / texture</t>
  </si>
  <si>
    <t>Pâtes, semoule ou légumes méditerranéens</t>
  </si>
  <si>
    <t>Sauce tomate équilibrée, pas trop salée</t>
  </si>
  <si>
    <t>Entrée fraîche</t>
  </si>
  <si>
    <t>Adolescents : plat acceptable si sauce et texture réussies</t>
  </si>
  <si>
    <t>Tenue des boulettes et liaison sauce</t>
  </si>
  <si>
    <t>Boulettes de bœuf sauce tomate : famille + risque + garniture + sauce + convive.</t>
  </si>
  <si>
    <t>boulettes</t>
  </si>
  <si>
    <t>sale</t>
  </si>
  <si>
    <t>seches</t>
  </si>
  <si>
    <t>salee</t>
  </si>
  <si>
    <t>Plat principal à analyser : Bœuf carottes</t>
  </si>
  <si>
    <t>monotonie brun-orange ou viande dure</t>
  </si>
  <si>
    <t>Analysez le plat principal « Bœuf carottes » : identifiez sa famille, son risque principal, puis proposez une garniture, une sauce ou un jus, une adaptation convive et une justification.</t>
  </si>
  <si>
    <t>Regarde le plat « Bœuf carottes » : c’est quelle famille, quel est le risque, et qu’est-ce que tu mets avec pour que le menu fonctionne ?</t>
  </si>
  <si>
    <t>Bœuf carottes appartient à la famille viande mijotée. Le risque principal est monotonie brun-orange ou viande dure. Je propose comme garniture : Pommes vapeur, légume vert ou carottes en quantité maîtrisée. Pour la sauce ou le jus : Jus de cuisson maîtrisé. L’adaptation convive est : Personnes âgées : tendreté et sauce importantes. La justification est de construire le menu à partir du plat principal sans corriger au hasard.</t>
  </si>
  <si>
    <t>C’est un plat de la famille viande mijotée. Le risque, c’est monotonie brun-orange ou viande dure. Je mets avec : Pommes vapeur, légume vert ou carottes en quantité maîtrisée. J’ajoute ou je vérifie : Jus de cuisson maîtrisé. Je pense au convive : Personnes âgées : tendreté et sauce importantes. J’explique mon choix au lieu de répondre au hasard.</t>
  </si>
  <si>
    <t>viande mijotée ; monotonie brun-orange ou viande dure ; Pommes vapeur, légume vert ou carottes en quantité maîtrisée ; Jus de cuisson maîtrisé ; Personnes âgées : tendreté et sauce importantes ; justification</t>
  </si>
  <si>
    <t>Mijoté / tendreté</t>
  </si>
  <si>
    <t>Pommes vapeur, légume vert ou carottes en quantité maîtrisée</t>
  </si>
  <si>
    <t>Jus de cuisson maîtrisé</t>
  </si>
  <si>
    <t>Entrée fraîche ou colorée</t>
  </si>
  <si>
    <t>Personnes âgées : tendreté et sauce importantes</t>
  </si>
  <si>
    <t>Cuisson longue, tendreté et portionnement</t>
  </si>
  <si>
    <t>Bœuf carottes : famille + risque + garniture + sauce + convive.</t>
  </si>
  <si>
    <t>mijote</t>
  </si>
  <si>
    <t>dure</t>
  </si>
  <si>
    <t>Plat principal à analyser : Lasagnes bolognaise</t>
  </si>
  <si>
    <t>plat complet trompeur et lourd</t>
  </si>
  <si>
    <t>Analysez le plat principal « Lasagnes bolognaise » : identifiez sa famille, son risque principal, puis proposez une garniture, une sauce ou un jus, une adaptation convive et une justification.</t>
  </si>
  <si>
    <t>Regarde le plat « Lasagnes bolognaise » : c’est quelle famille, quel est le risque, et qu’est-ce que tu mets avec pour que le menu fonctionne ?</t>
  </si>
  <si>
    <t>Lasagnes bolognaise appartient à la famille plat complet viande. Le risque principal est plat complet trompeur et lourd. Je propose comme garniture : Salade verte ou crudité, pas de féculent supplémentaire. Pour la sauce ou le jus : Sauce déjà intégrée, maîtriser richesse. L’adaptation convive est : Adolescents : satiété sans surcharge. La justification est de construire le menu à partir du plat principal sans corriger au hasard.</t>
  </si>
  <si>
    <t>C’est un plat de la famille plat complet viande. Le risque, c’est plat complet trompeur et lourd. Je mets avec : Salade verte ou crudité, pas de féculent supplémentaire. J’ajoute ou je vérifie : Sauce déjà intégrée, maîtriser richesse. Je pense au convive : Adolescents : satiété sans surcharge. J’explique mon choix au lieu de répondre au hasard.</t>
  </si>
  <si>
    <t>plat complet viande ; plat complet trompeur et lourd ; Salade verte ou crudité, pas de féculent supplémentaire ; Sauce déjà intégrée, maîtriser richesse ; Adolescents : satiété sans surcharge ; justification</t>
  </si>
  <si>
    <t>Plat complet / lourd</t>
  </si>
  <si>
    <t>Salade verte ou crudité, pas de féculent supplémentaire</t>
  </si>
  <si>
    <t>Sauce déjà intégrée, maîtriser richesse</t>
  </si>
  <si>
    <t>Crudité ou salade simple</t>
  </si>
  <si>
    <t>Adolescents : satiété sans surcharge</t>
  </si>
  <si>
    <t>Tenue à la coupe et portionnement</t>
  </si>
  <si>
    <t>Lasagnes bolognaise : famille + risque + garniture + sauce + convive.</t>
  </si>
  <si>
    <t>bolognaise</t>
  </si>
  <si>
    <t>surcharge</t>
  </si>
  <si>
    <t>integree</t>
  </si>
  <si>
    <t>richesse</t>
  </si>
  <si>
    <t>Scolaire / EHPAD</t>
  </si>
  <si>
    <t>Plat principal à analyser : Parmentier de bœuf</t>
  </si>
  <si>
    <t>texture molle et couleur beige</t>
  </si>
  <si>
    <t>Analysez le plat principal « Parmentier de bœuf » : identifiez sa famille, son risque principal, puis proposez une garniture, une sauce ou un jus, une adaptation convive et une justification.</t>
  </si>
  <si>
    <t>Regarde le plat « Parmentier de bœuf » : c’est quelle famille, quel est le risque, et qu’est-ce que tu mets avec pour que le menu fonctionne ?</t>
  </si>
  <si>
    <t>Parmentier de bœuf appartient à la famille plat complet viande. Le risque principal est texture molle et couleur beige. Je propose comme garniture : Salade, légume vert ou carottes. Pour la sauce ou le jus : Pas prioritaire, humidité interne à surveiller. L’adaptation convive est : EHPAD : lisibilité et texture à surveiller. La justification est de construire le menu à partir du plat principal sans corriger au hasard.</t>
  </si>
  <si>
    <t>C’est un plat de la famille plat complet viande. Le risque, c’est texture molle et couleur beige. Je mets avec : Salade, légume vert ou carottes. J’ajoute ou je vérifie : Pas prioritaire, humidité interne à surveiller. Je pense au convive : EHPAD : lisibilité et texture à surveiller. J’explique mon choix au lieu de répondre au hasard.</t>
  </si>
  <si>
    <t>plat complet viande ; texture molle et couleur beige ; Salade, légume vert ou carottes ; Pas prioritaire, humidité interne à surveiller ; EHPAD : lisibilité et texture à surveiller ; justification</t>
  </si>
  <si>
    <t>Mou / beige</t>
  </si>
  <si>
    <t>Salade, légume vert ou carottes</t>
  </si>
  <si>
    <t>Pas prioritaire, humidité interne à surveiller</t>
  </si>
  <si>
    <t>Crudité colorée si public adapté</t>
  </si>
  <si>
    <t>Fruit ou compote selon public</t>
  </si>
  <si>
    <t>EHPAD : lisibilité et texture à surveiller</t>
  </si>
  <si>
    <t>Éviter dessèchement du dessus et texture pâteuse</t>
  </si>
  <si>
    <t>Parmentier de bœuf : famille + risque + garniture + sauce + convive.</t>
  </si>
  <si>
    <t>parmentier</t>
  </si>
  <si>
    <t>pateux</t>
  </si>
  <si>
    <t>humidite</t>
  </si>
  <si>
    <t>Plat principal à analyser : Rôti de porc</t>
  </si>
  <si>
    <t>sec et non consommé par certains convives</t>
  </si>
  <si>
    <t>Analysez le plat principal « Rôti de porc » : identifiez sa famille, son risque principal, puis proposez une garniture, une sauce ou un jus, une adaptation convive et une justification.</t>
  </si>
  <si>
    <t>Regarde le plat « Rôti de porc » : c’est quelle famille, quel est le risque, et qu’est-ce que tu mets avec pour que le menu fonctionne ?</t>
  </si>
  <si>
    <t>Rôti de porc appartient à la famille porc rôti. Le risque principal est sec et non consommé par certains convives. Je propose comme garniture : Légumes rôtis, purée de légumes, pommes vapeur. Pour la sauce ou le jus : Jus court indispensable si viande sèche. L’adaptation convive est : Public mixte : prévoir alternative sans porc. La justification est de construire le menu à partir du plat principal sans corriger au hasard.</t>
  </si>
  <si>
    <t>C’est un plat de la famille porc rôti. Le risque, c’est sec et non consommé par certains convives. Je mets avec : Légumes rôtis, purée de légumes, pommes vapeur. J’ajoute ou je vérifie : Jus court indispensable si viande sèche. Je pense au convive : Public mixte : prévoir alternative sans porc. J’explique mon choix au lieu de répondre au hasard.</t>
  </si>
  <si>
    <t>porc rôti ; sec et non consommé par certains convives ; Légumes rôtis, purée de légumes, pommes vapeur ; Jus court indispensable si viande sèche ; Public mixte : prévoir alternative sans porc ; justification</t>
  </si>
  <si>
    <t>Porc / sec / alternative</t>
  </si>
  <si>
    <t>Légumes rôtis, purée de légumes, pommes vapeur</t>
  </si>
  <si>
    <t>Jus court indispensable si viande sèche</t>
  </si>
  <si>
    <t>Entrée sans porc</t>
  </si>
  <si>
    <t>Public mixte : prévoir alternative sans porc</t>
  </si>
  <si>
    <t>Maintien chaud et tranchage</t>
  </si>
  <si>
    <t>Rôti de porc : famille + risque + garniture + sauce + convive.</t>
  </si>
  <si>
    <t>Plat principal à analyser : Sauté de porc sauce moutarde</t>
  </si>
  <si>
    <t>sauce marquée et porc non adapté à tous</t>
  </si>
  <si>
    <t>Analysez le plat principal « Sauté de porc sauce moutarde » : identifiez sa famille, son risque principal, puis proposez une garniture, une sauce ou un jus, une adaptation convive et une justification.</t>
  </si>
  <si>
    <t>Regarde le plat « Sauté de porc sauce moutarde » : c’est quelle famille, quel est le risque, et qu’est-ce que tu mets avec pour que le menu fonctionne ?</t>
  </si>
  <si>
    <t>Sauté de porc sauce moutarde appartient à la famille porc en sauce. Le risque principal est sauce marquée et porc non adapté à tous. Je propose comme garniture : Pommes vapeur, haricots verts, carottes. Pour la sauce ou le jus : Moutarde dosée, sauce pas trop forte. L’adaptation convive est : Public mixte : alternative à prévoir si nécessaire. La justification est de construire le menu à partir du plat principal sans corriger au hasard.</t>
  </si>
  <si>
    <t>C’est un plat de la famille porc en sauce. Le risque, c’est sauce marquée et porc non adapté à tous. Je mets avec : Pommes vapeur, haricots verts, carottes. J’ajoute ou je vérifie : Moutarde dosée, sauce pas trop forte. Je pense au convive : Public mixte : alternative à prévoir si nécessaire. J’explique mon choix au lieu de répondre au hasard.</t>
  </si>
  <si>
    <t>porc en sauce ; sauce marquée et porc non adapté à tous ; Pommes vapeur, haricots verts, carottes ; Moutarde dosée, sauce pas trop forte ; Public mixte : alternative à prévoir si nécessaire ; justification</t>
  </si>
  <si>
    <t>Sauce forte / porc</t>
  </si>
  <si>
    <t>Pommes vapeur, haricots verts, carottes</t>
  </si>
  <si>
    <t>Moutarde dosée, sauce pas trop forte</t>
  </si>
  <si>
    <t>Entrée douce ou fraîche</t>
  </si>
  <si>
    <t>Public mixte : alternative à prévoir si nécessaire</t>
  </si>
  <si>
    <t>Dosage moutarde et tenue de la sauce</t>
  </si>
  <si>
    <t>Sauté de porc sauce moutarde : famille + risque + garniture + sauce + convive.</t>
  </si>
  <si>
    <t>moutarde</t>
  </si>
  <si>
    <t>forte</t>
  </si>
  <si>
    <t>dosee</t>
  </si>
  <si>
    <t>Plat principal à analyser : Omelette nature</t>
  </si>
  <si>
    <t>plat perçu comme trop simple</t>
  </si>
  <si>
    <t>Analysez le plat principal « Omelette nature » : identifiez sa famille, son risque principal, puis proposez une garniture, une sauce ou un jus, une adaptation convive et une justification.</t>
  </si>
  <si>
    <t>Regarde le plat « Omelette nature » : c’est quelle famille, quel est le risque, et qu’est-ce que tu mets avec pour que le menu fonctionne ?</t>
  </si>
  <si>
    <t>Omelette nature appartient à la famille œufs. Le risque principal est plat perçu comme trop simple. Je propose comme garniture : Ratatouille, salade composée, pommes vapeur ou légume coloré. Pour la sauce ou le jus : Herbes, coulis de tomate ou accompagnement humide selon menu. L’adaptation convive est : Étudiants : renforcer satiété et valeur perçue. La justification est de construire le menu à partir du plat principal sans corriger au hasard.</t>
  </si>
  <si>
    <t>C’est un plat de la famille œufs. Le risque, c’est plat perçu comme trop simple. Je mets avec : Ratatouille, salade composée, pommes vapeur ou légume coloré. J’ajoute ou je vérifie : Herbes, coulis de tomate ou accompagnement humide selon menu. Je pense au convive : Étudiants : renforcer satiété et valeur perçue. J’explique mon choix au lieu de répondre au hasard.</t>
  </si>
  <si>
    <t>œufs ; plat perçu comme trop simple ; Ratatouille, salade composée, pommes vapeur ou légume coloré ; Herbes, coulis de tomate ou accompagnement humide selon menu ; Étudiants : renforcer satiété et valeur perçue ; justification</t>
  </si>
  <si>
    <t>Simple / valeur perçue</t>
  </si>
  <si>
    <t>Ratatouille, salade composée, pommes vapeur ou légume coloré</t>
  </si>
  <si>
    <t>Herbes, coulis de tomate ou accompagnement humide selon menu</t>
  </si>
  <si>
    <t>Entrée colorée si plat très simple</t>
  </si>
  <si>
    <t>Étudiants : renforcer satiété et valeur perçue</t>
  </si>
  <si>
    <t>Cuisson et maintien délicats</t>
  </si>
  <si>
    <t>Omelette nature : famille + risque + garniture + sauce + convive.</t>
  </si>
  <si>
    <t>oeufs</t>
  </si>
  <si>
    <t>nature</t>
  </si>
  <si>
    <t>valeur</t>
  </si>
  <si>
    <t>ratatouille</t>
  </si>
  <si>
    <t>coulis</t>
  </si>
  <si>
    <t>calent</t>
  </si>
  <si>
    <t>Plat principal à analyser : Œufs durs sauce béchamel</t>
  </si>
  <si>
    <t>pâle et lourd</t>
  </si>
  <si>
    <t>Analysez le plat principal « Œufs durs sauce béchamel » : identifiez sa famille, son risque principal, puis proposez une garniture, une sauce ou un jus, une adaptation convive et une justification.</t>
  </si>
  <si>
    <t>Regarde le plat « Œufs durs sauce béchamel » : c’est quelle famille, quel est le risque, et qu’est-ce que tu mets avec pour que le menu fonctionne ?</t>
  </si>
  <si>
    <t>Œufs durs sauce béchamel appartient à la famille œufs en sauce. Le risque principal est pâle et lourd. Je propose comme garniture : Épinards, carottes ou pommes vapeur + légume vert. Pour la sauce ou le jus : Béchamel maîtrisée et non trop épaisse. L’adaptation convive est : Enfants : éviter assiette blanche et sauce trop lourde. La justification est de construire le menu à partir du plat principal sans corriger au hasard.</t>
  </si>
  <si>
    <t>C’est un plat de la famille œufs en sauce. Le risque, c’est pâle et lourd. Je mets avec : Épinards, carottes ou pommes vapeur + légume vert. J’ajoute ou je vérifie : Béchamel maîtrisée et non trop épaisse. Je pense au convive : Enfants : éviter assiette blanche et sauce trop lourde. J’explique mon choix au lieu de répondre au hasard.</t>
  </si>
  <si>
    <t>œufs en sauce ; pâle et lourd ; Épinards, carottes ou pommes vapeur + légume vert ; Béchamel maîtrisée et non trop épaisse ; Enfants : éviter assiette blanche et sauce trop lourde ; justification</t>
  </si>
  <si>
    <t>Pâle / béchamel / allergènes</t>
  </si>
  <si>
    <t>Épinards, carottes ou pommes vapeur + légume vert</t>
  </si>
  <si>
    <t>Béchamel maîtrisée et non trop épaisse</t>
  </si>
  <si>
    <t>Entrée colorée</t>
  </si>
  <si>
    <t>Enfants : éviter assiette blanche et sauce trop lourde</t>
  </si>
  <si>
    <t>Maintien chaud, allergènes œuf/lait</t>
  </si>
  <si>
    <t>Œufs durs sauce béchamel : famille + risque + garniture + sauce + convive.</t>
  </si>
  <si>
    <t>bechamel</t>
  </si>
  <si>
    <t>epaisse</t>
  </si>
  <si>
    <t>Plat principal à analyser : Quiche aux légumes</t>
  </si>
  <si>
    <t>trop riche si mal accompagnée</t>
  </si>
  <si>
    <t>Analysez le plat principal « Quiche aux légumes » : identifiez sa famille, son risque principal, puis proposez une garniture, une sauce ou un jus, une adaptation convive et une justification.</t>
  </si>
  <si>
    <t>Regarde le plat « Quiche aux légumes » : c’est quelle famille, quel est le risque, et qu’est-ce que tu mets avec pour que le menu fonctionne ?</t>
  </si>
  <si>
    <t>Quiche aux légumes appartient à la famille œufs / plat complet. Le risque principal est trop riche si mal accompagnée. Je propose comme garniture : Salade ou crudités, pas de féculent riche en plus. Pour la sauce ou le jus : Pas nécessaire, assaisonnement léger. L’adaptation convive est : Adultes : repas de pause plus digeste. La justification est de construire le menu à partir du plat principal sans corriger au hasard.</t>
  </si>
  <si>
    <t>C’est un plat de la famille œufs / plat complet. Le risque, c’est trop riche si mal accompagnée. Je mets avec : Salade ou crudités, pas de féculent riche en plus. J’ajoute ou je vérifie : Pas nécessaire, assaisonnement léger. Je pense au convive : Adultes : repas de pause plus digeste. J’explique mon choix au lieu de répondre au hasard.</t>
  </si>
  <si>
    <t>œufs / plat complet ; trop riche si mal accompagnée ; Salade ou crudités, pas de féculent riche en plus ; Pas nécessaire, assaisonnement léger ; Adultes : repas de pause plus digeste ; justification</t>
  </si>
  <si>
    <t>Plat complet / gras</t>
  </si>
  <si>
    <t>Salade ou crudités, pas de féculent riche en plus</t>
  </si>
  <si>
    <t>Pas nécessaire, assaisonnement léger</t>
  </si>
  <si>
    <t>Entrée très légère ou supprimer selon menu</t>
  </si>
  <si>
    <t>Adultes : repas de pause plus digeste</t>
  </si>
  <si>
    <t>Pâte + appareil à surveiller, portionnement</t>
  </si>
  <si>
    <t>Quiche aux légumes : famille + risque + garniture + sauce + convive.</t>
  </si>
  <si>
    <t>quiche</t>
  </si>
  <si>
    <t>pas necessaire</t>
  </si>
  <si>
    <t>Plat principal à analyser : Flan de légumes salé</t>
  </si>
  <si>
    <t>mou et peu rassasiant</t>
  </si>
  <si>
    <t>Analysez le plat principal « Flan de légumes salé » : identifiez sa famille, son risque principal, puis proposez une garniture, une sauce ou un jus, une adaptation convive et une justification.</t>
  </si>
  <si>
    <t>Regarde le plat « Flan de légumes salé » : c’est quelle famille, quel est le risque, et qu’est-ce que tu mets avec pour que le menu fonctionne ?</t>
  </si>
  <si>
    <t>Flan de légumes salé appartient à la famille œufs / légumes. Le risque principal est mou et peu rassasiant. Je propose comme garniture : Féculent léger ou salade selon public. Pour la sauce ou le jus : Coulis de tomate ou sauce douce pour lisibilité. L’adaptation convive est : Personnes âgées : texture facile mais apport à surveiller. La justification est de construire le menu à partir du plat principal sans corriger au hasard.</t>
  </si>
  <si>
    <t>C’est un plat de la famille œufs / légumes. Le risque, c’est mou et peu rassasiant. Je mets avec : Féculent léger ou salade selon public. J’ajoute ou je vérifie : Coulis de tomate ou sauce douce pour lisibilité. Je pense au convive : Personnes âgées : texture facile mais apport à surveiller. J’explique mon choix au lieu de répondre au hasard.</t>
  </si>
  <si>
    <t>œufs / légumes ; mou et peu rassasiant ; Féculent léger ou salade selon public ; Coulis de tomate ou sauce douce pour lisibilité ; Personnes âgées : texture facile mais apport à surveiller ; justification</t>
  </si>
  <si>
    <t>Mou / satiété</t>
  </si>
  <si>
    <t>Féculent léger ou salade selon public</t>
  </si>
  <si>
    <t>Coulis de tomate ou sauce douce pour lisibilité</t>
  </si>
  <si>
    <t>Entrée fraîche si texture possible</t>
  </si>
  <si>
    <t>Dessert nourrissant si repas léger</t>
  </si>
  <si>
    <t>Personnes âgées : texture facile mais apport à surveiller</t>
  </si>
  <si>
    <t>Tenue du flan et humidité</t>
  </si>
  <si>
    <t>Flan de légumes salé : famille + risque + garniture + sauce + convive.</t>
  </si>
  <si>
    <t>Plat principal à analyser : Dahl de lentilles corail</t>
  </si>
  <si>
    <t>mou ou épices mal acceptées</t>
  </si>
  <si>
    <t>Analysez le plat principal « Dahl de lentilles corail » : identifiez sa famille, son risque principal, puis proposez une garniture, une sauce ou un jus, une adaptation convive et une justification.</t>
  </si>
  <si>
    <t>Regarde le plat « Dahl de lentilles corail » : c’est quelle famille, quel est le risque, et qu’est-ce que tu mets avec pour que le menu fonctionne ?</t>
  </si>
  <si>
    <t>Dahl de lentilles corail appartient à la famille végétarien légumineuses. Le risque principal est mou ou épices mal acceptées. Je propose comme garniture : Riz, légumes verts ou crudité de contraste. Pour la sauce ou le jus : Texture du dahl maîtrisée, épices douces. L’adaptation convive est : Adolescents : valoriser le plat végétarien. La justification est de construire le menu à partir du plat principal sans corriger au hasard.</t>
  </si>
  <si>
    <t>C’est un plat de la famille végétarien légumineuses. Le risque, c’est mou ou épices mal acceptées. Je mets avec : Riz, légumes verts ou crudité de contraste. J’ajoute ou je vérifie : Texture du dahl maîtrisée, épices douces. Je pense au convive : Adolescents : valoriser le plat végétarien. J’explique mon choix au lieu de répondre au hasard.</t>
  </si>
  <si>
    <t>végétarien légumineuses ; mou ou épices mal acceptées ; Riz, légumes verts ou crudité de contraste ; Texture du dahl maîtrisée, épices douces ; Adolescents : valoriser le plat végétarien ; justification</t>
  </si>
  <si>
    <t>Végétarien / mou / épices</t>
  </si>
  <si>
    <t>Riz, légumes verts ou crudité de contraste</t>
  </si>
  <si>
    <t>Texture du dahl maîtrisée, épices douces</t>
  </si>
  <si>
    <t>Fruit ou laitage</t>
  </si>
  <si>
    <t>Adolescents : valoriser le plat végétarien</t>
  </si>
  <si>
    <t>Cuisson des lentilles et texture non pâteuse</t>
  </si>
  <si>
    <t>Dahl de lentilles corail : famille + risque + garniture + sauce + convive.</t>
  </si>
  <si>
    <t>douces</t>
  </si>
  <si>
    <t>Plat principal à analyser : Chili sin carne</t>
  </si>
  <si>
    <t>rejet si présenté comme manque de viande</t>
  </si>
  <si>
    <t>Analysez le plat principal « Chili sin carne » : identifiez sa famille, son risque principal, puis proposez une garniture, une sauce ou un jus, une adaptation convive et une justification.</t>
  </si>
  <si>
    <t>Regarde le plat « Chili sin carne » : c’est quelle famille, quel est le risque, et qu’est-ce que tu mets avec pour que le menu fonctionne ?</t>
  </si>
  <si>
    <t>Chili sin carne appartient à la famille végétarien complet. Le risque principal est rejet si présenté comme manque de viande. Je propose comme garniture : Riz, maïs, légumes colorés. Pour la sauce ou le jus : Sauce tomate épicée douce. L’adaptation convive est : Lycéens : nom valorisant et satiété. La justification est de construire le menu à partir du plat principal sans corriger au hasard.</t>
  </si>
  <si>
    <t>C’est un plat de la famille végétarien complet. Le risque, c’est rejet si présenté comme manque de viande. Je mets avec : Riz, maïs, légumes colorés. J’ajoute ou je vérifie : Sauce tomate épicée douce. Je pense au convive : Lycéens : nom valorisant et satiété. J’explique mon choix au lieu de répondre au hasard.</t>
  </si>
  <si>
    <t>végétarien complet ; rejet si présenté comme manque de viande ; Riz, maïs, légumes colorés ; Sauce tomate épicée douce ; Lycéens : nom valorisant et satiété ; justification</t>
  </si>
  <si>
    <t>Riz, maïs, légumes colorés</t>
  </si>
  <si>
    <t>Laitage ou fruit selon menu</t>
  </si>
  <si>
    <t>Lycéens : nom valorisant et satiété</t>
  </si>
  <si>
    <t>Cuisson légumineuses et dosage épices</t>
  </si>
  <si>
    <t>Chili sin carne : famille + risque + garniture + sauce + convive.</t>
  </si>
  <si>
    <t>chili</t>
  </si>
  <si>
    <t>sin carne</t>
  </si>
  <si>
    <t>rejet</t>
  </si>
  <si>
    <t>mais</t>
  </si>
  <si>
    <t>epicee</t>
  </si>
  <si>
    <t>Plat principal à analyser : Couscous végétarien</t>
  </si>
  <si>
    <t>trop féculent si mal dosé</t>
  </si>
  <si>
    <t>Analysez le plat principal « Couscous végétarien » : identifiez sa famille, son risque principal, puis proposez une garniture, une sauce ou un jus, une adaptation convive et une justification.</t>
  </si>
  <si>
    <t>Regarde le plat « Couscous végétarien » : c’est quelle famille, quel est le risque, et qu’est-ce que tu mets avec pour que le menu fonctionne ?</t>
  </si>
  <si>
    <t>Couscous végétarien appartient à la famille végétarien complet. Le risque principal est trop féculent si mal dosé. Je propose comme garniture : Semoule maîtrisée, pois chiches et légumes abondants. Pour la sauce ou le jus : Bouillon parfumé mais non trop salé. L’adaptation convive est : Tous publics : lisibilité des légumes et satiété. La justification est de construire le menu à partir du plat principal sans corriger au hasard.</t>
  </si>
  <si>
    <t>C’est un plat de la famille végétarien complet. Le risque, c’est trop féculent si mal dosé. Je mets avec : Semoule maîtrisée, pois chiches et légumes abondants. J’ajoute ou je vérifie : Bouillon parfumé mais non trop salé. Je pense au convive : Tous publics : lisibilité des légumes et satiété. J’explique mon choix au lieu de répondre au hasard.</t>
  </si>
  <si>
    <t>végétarien complet ; trop féculent si mal dosé ; Semoule maîtrisée, pois chiches et légumes abondants ; Bouillon parfumé mais non trop salé ; Tous publics : lisibilité des légumes et satiété ; justification</t>
  </si>
  <si>
    <t>Végétarien / féculent</t>
  </si>
  <si>
    <t>Semoule maîtrisée, pois chiches et légumes abondants</t>
  </si>
  <si>
    <t>Bouillon parfumé mais non trop salé</t>
  </si>
  <si>
    <t>Entrée légère</t>
  </si>
  <si>
    <t>Tous publics : lisibilité des légumes et satiété</t>
  </si>
  <si>
    <t>Cuisson séparée semoule/légumes</t>
  </si>
  <si>
    <t>Couscous végétarien : famille + risque + garniture + sauce + convive.</t>
  </si>
  <si>
    <t>couscous</t>
  </si>
  <si>
    <t>dose</t>
  </si>
  <si>
    <t>tous publics</t>
  </si>
  <si>
    <t>Plat principal à analyser : Curry de pois chiches</t>
  </si>
  <si>
    <t>épices ou sauce lourde</t>
  </si>
  <si>
    <t>Analysez le plat principal « Curry de pois chiches » : identifiez sa famille, son risque principal, puis proposez une garniture, une sauce ou un jus, une adaptation convive et une justification.</t>
  </si>
  <si>
    <t>Regarde le plat « Curry de pois chiches » : c’est quelle famille, quel est le risque, et qu’est-ce que tu mets avec pour que le menu fonctionne ?</t>
  </si>
  <si>
    <t>Curry de pois chiches appartient à la famille végétarien légumineuses. Le risque principal est épices ou sauce lourde. Je propose comme garniture : Riz, courgettes, légumes verts ou carottes. Pour la sauce ou le jus : Curry doux, sauce fluide et non grasse. L’adaptation convive est : Adultes : goût marqué mais équilibré. La justification est de construire le menu à partir du plat principal sans corriger au hasard.</t>
  </si>
  <si>
    <t>C’est un plat de la famille végétarien légumineuses. Le risque, c’est épices ou sauce lourde. Je mets avec : Riz, courgettes, légumes verts ou carottes. J’ajoute ou je vérifie : Curry doux, sauce fluide et non grasse. Je pense au convive : Adultes : goût marqué mais équilibré. J’explique mon choix au lieu de répondre au hasard.</t>
  </si>
  <si>
    <t>végétarien légumineuses ; épices ou sauce lourde ; Riz, courgettes, légumes verts ou carottes ; Curry doux, sauce fluide et non grasse ; Adultes : goût marqué mais équilibré ; justification</t>
  </si>
  <si>
    <t>Épices / légumineuses</t>
  </si>
  <si>
    <t>Riz, courgettes, légumes verts ou carottes</t>
  </si>
  <si>
    <t>Curry doux, sauce fluide et non grasse</t>
  </si>
  <si>
    <t>Fruit frais</t>
  </si>
  <si>
    <t>Adultes : goût marqué mais équilibré</t>
  </si>
  <si>
    <t>Texture des pois chiches et liaison de sauce</t>
  </si>
  <si>
    <t>Curry de pois chiches : famille + risque + garniture + sauce + convive.</t>
  </si>
  <si>
    <t>fluide</t>
  </si>
  <si>
    <t>Plat principal à analyser : Lasagnes végétariennes</t>
  </si>
  <si>
    <t>végétarien faible si seulement légumes/pâtes</t>
  </si>
  <si>
    <t>Analysez le plat principal « Lasagnes végétariennes » : identifiez sa famille, son risque principal, puis proposez une garniture, une sauce ou un jus, une adaptation convive et une justification.</t>
  </si>
  <si>
    <t>Regarde le plat « Lasagnes végétariennes » : c’est quelle famille, quel est le risque, et qu’est-ce que tu mets avec pour que le menu fonctionne ?</t>
  </si>
  <si>
    <t>Lasagnes végétariennes appartient à la famille végétarien complet. Le risque principal est végétarien faible si seulement légumes/pâtes. Je propose comme garniture : Salade ou crudité, pas de féculent supplémentaire. Pour la sauce ou le jus : Sauce tomate/légumes enrichie, pas trop grasse. L’adaptation convive est : Scolaire : vrai plat végétarien compréhensible. La justification est de construire le menu à partir du plat principal sans corriger au hasard.</t>
  </si>
  <si>
    <t>C’est un plat de la famille végétarien complet. Le risque, c’est végétarien faible si seulement légumes/pâtes. Je mets avec : Salade ou crudité, pas de féculent supplémentaire. J’ajoute ou je vérifie : Sauce tomate/légumes enrichie, pas trop grasse. Je pense au convive : Scolaire : vrai plat végétarien compréhensible. J’explique mon choix au lieu de répondre au hasard.</t>
  </si>
  <si>
    <t>végétarien complet ; végétarien faible si seulement légumes/pâtes ; Salade ou crudité, pas de féculent supplémentaire ; Sauce tomate/légumes enrichie, pas trop grasse ; Scolaire : vrai plat végétarien compréhensible ; justification</t>
  </si>
  <si>
    <t>Salade ou crudité, pas de féculent supplémentaire</t>
  </si>
  <si>
    <t>Sauce tomate/légumes enrichie, pas trop grasse</t>
  </si>
  <si>
    <t>Scolaire : vrai plat végétarien compréhensible</t>
  </si>
  <si>
    <t>Tenue à la coupe, humidité et portion</t>
  </si>
  <si>
    <t>Lasagnes végétariennes : famille + risque + garniture + sauce + convive.</t>
  </si>
  <si>
    <t>vegetariennes</t>
  </si>
  <si>
    <t>faible</t>
  </si>
  <si>
    <t>legumes seuls</t>
  </si>
  <si>
    <t>enrichie</t>
  </si>
  <si>
    <t>Plat principal à analyser : Galette céréales-légumineuses</t>
  </si>
  <si>
    <t>sec et rejet si fade</t>
  </si>
  <si>
    <t>Analysez le plat principal « Galette céréales-légumineuses » : identifiez sa famille, son risque principal, puis proposez une garniture, une sauce ou un jus, une adaptation convive et une justification.</t>
  </si>
  <si>
    <t>Regarde le plat « Galette céréales-légumineuses » : c’est quelle famille, quel est le risque, et qu’est-ce que tu mets avec pour que le menu fonctionne ?</t>
  </si>
  <si>
    <t>Galette céréales-légumineuses appartient à la famille végétarien. Le risque principal est sec et rejet si fade. Je propose comme garniture : Légumes colorés, salade, purée de légumes. Pour la sauce ou le jus : Sauce yaourt-herbes, tomate ou jus végétal. L’adaptation convive est : Adolescents : besoin de goût et de sauce. La justification est de construire le menu à partir du plat principal sans corriger au hasard.</t>
  </si>
  <si>
    <t>C’est un plat de la famille végétarien. Le risque, c’est sec et rejet si fade. Je mets avec : Légumes colorés, salade, purée de légumes. J’ajoute ou je vérifie : Sauce yaourt-herbes, tomate ou jus végétal. Je pense au convive : Adolescents : besoin de goût et de sauce. J’explique mon choix au lieu de répondre au hasard.</t>
  </si>
  <si>
    <t>végétarien ; sec et rejet si fade ; Légumes colorés, salade, purée de légumes ; Sauce yaourt-herbes, tomate ou jus végétal ; Adolescents : besoin de goût et de sauce ; justification</t>
  </si>
  <si>
    <t>Végétarien / sec</t>
  </si>
  <si>
    <t>Légumes colorés, salade, purée de légumes</t>
  </si>
  <si>
    <t>Adolescents : besoin de goût et de sauce</t>
  </si>
  <si>
    <t>Tenue de la galette et humidité</t>
  </si>
  <si>
    <t>Galette céréales-légumineuses : famille + risque + garniture + sauce + convive.</t>
  </si>
  <si>
    <t>cereales</t>
  </si>
  <si>
    <t>Plat principal à analyser : Steak végétal industriel</t>
  </si>
  <si>
    <t>sec, standardisé ou ultra-transformé</t>
  </si>
  <si>
    <t>Analysez le plat principal « Steak végétal industriel » : identifiez sa famille, son risque principal, puis proposez une garniture, une sauce ou un jus, une adaptation convive et une justification.</t>
  </si>
  <si>
    <t>Regarde le plat « Steak végétal industriel » : c’est quelle famille, quel est le risque, et qu’est-ce que tu mets avec pour que le menu fonctionne ?</t>
  </si>
  <si>
    <t>Steak végétal industriel appartient à la famille végétarien transformé. Le risque principal est sec, standardisé ou ultra-transformé. Je propose comme garniture : Légumes valorisants et féculent adapté. Pour la sauce ou le jus : Sauce légère pour éviter le sec. L’adaptation convive est : Lycéens : ne pas réduire le menu à un substitut. La justification est de construire le menu à partir du plat principal sans corriger au hasard.</t>
  </si>
  <si>
    <t>C’est un plat de la famille végétarien transformé. Le risque, c’est sec, standardisé ou ultra-transformé. Je mets avec : Légumes valorisants et féculent adapté. J’ajoute ou je vérifie : Sauce légère pour éviter le sec. Je pense au convive : Lycéens : ne pas réduire le menu à un substitut. J’explique mon choix au lieu de répondre au hasard.</t>
  </si>
  <si>
    <t>végétarien transformé ; sec, standardisé ou ultra-transformé ; Légumes valorisants et féculent adapté ; Sauce légère pour éviter le sec ; Lycéens : ne pas réduire le menu à un substitut ; justification</t>
  </si>
  <si>
    <t>Substitut / sec</t>
  </si>
  <si>
    <t>Légumes valorisants et féculent adapté</t>
  </si>
  <si>
    <t>Sauce légère pour éviter le sec</t>
  </si>
  <si>
    <t>Crudité ou salade</t>
  </si>
  <si>
    <t>Lycéens : ne pas réduire le menu à un substitut</t>
  </si>
  <si>
    <t>Tenue au chaud et qualité produit</t>
  </si>
  <si>
    <t>Steak végétal industriel : famille + risque + garniture + sauce + convive.</t>
  </si>
  <si>
    <t>steak vegetal</t>
  </si>
  <si>
    <t>industriel</t>
  </si>
  <si>
    <t>transforme</t>
  </si>
  <si>
    <t>standard</t>
  </si>
  <si>
    <t>substitut</t>
  </si>
  <si>
    <t>Plat principal à analyser : Risotto aux légumes</t>
  </si>
  <si>
    <t>pâteux au service</t>
  </si>
  <si>
    <t>Analysez le plat principal « Risotto aux légumes » : identifiez sa famille, son risque principal, puis proposez une garniture, une sauce ou un jus, une adaptation convive et une justification.</t>
  </si>
  <si>
    <t>Regarde le plat « Risotto aux légumes » : c’est quelle famille, quel est le risque, et qu’est-ce que tu mets avec pour que le menu fonctionne ?</t>
  </si>
  <si>
    <t>Risotto aux légumes appartient à la famille plat complet végétarien. Le risque principal est pâteux au service. Je propose comme garniture : Légume de contraste ou salade selon menu. Pour la sauce ou le jus : Crémeux maîtrisé, ne pas noyer le riz. L’adaptation convive est : Adultes : contraste et tenue en bouche. La justification est de construire le menu à partir du plat principal sans corriger au hasard.</t>
  </si>
  <si>
    <t>C’est un plat de la famille plat complet végétarien. Le risque, c’est pâteux au service. Je mets avec : Légume de contraste ou salade selon menu. J’ajoute ou je vérifie : Crémeux maîtrisé, ne pas noyer le riz. Je pense au convive : Adultes : contraste et tenue en bouche. J’explique mon choix au lieu de répondre au hasard.</t>
  </si>
  <si>
    <t>plat complet végétarien ; pâteux au service ; Légume de contraste ou salade selon menu ; Crémeux maîtrisé, ne pas noyer le riz ; Adultes : contraste et tenue en bouche ; justification</t>
  </si>
  <si>
    <t>Pâteux / production</t>
  </si>
  <si>
    <t>Légume de contraste ou salade selon menu</t>
  </si>
  <si>
    <t>Crémeux maîtrisé, ne pas noyer le riz</t>
  </si>
  <si>
    <t>Fruit léger</t>
  </si>
  <si>
    <t>Adultes : contraste et tenue en bouche</t>
  </si>
  <si>
    <t>Surcuisson et tenue du riz au service</t>
  </si>
  <si>
    <t>Risotto aux légumes : famille + risque + garniture + sauce + convive.</t>
  </si>
  <si>
    <t>Plat principal à analyser : Paëlla collective</t>
  </si>
  <si>
    <t>riz sec, collant ou mélange confus</t>
  </si>
  <si>
    <t>Analysez le plat principal « Paëlla collective » : identifiez sa famille, son risque principal, puis proposez une garniture, une sauce ou un jus, une adaptation convive et une justification.</t>
  </si>
  <si>
    <t>Regarde le plat « Paëlla collective » : c’est quelle famille, quel est le risque, et qu’est-ce que tu mets avec pour que le menu fonctionne ?</t>
  </si>
  <si>
    <t>Paëlla collective appartient à la famille plat complet. Le risque principal est riz sec, collant ou mélange confus. Je propose comme garniture : Légumes colorés intégrés, salade simple si besoin. Pour la sauce ou le jus : Bouillon bien dosé, citron en finition. L’adaptation convive est : Tous publics : plat lisible et coloré. La justification est de construire le menu à partir du plat principal sans corriger au hasard.</t>
  </si>
  <si>
    <t>C’est un plat de la famille plat complet. Le risque, c’est riz sec, collant ou mélange confus. Je mets avec : Légumes colorés intégrés, salade simple si besoin. J’ajoute ou je vérifie : Bouillon bien dosé, citron en finition. Je pense au convive : Tous publics : plat lisible et coloré. J’explique mon choix au lieu de répondre au hasard.</t>
  </si>
  <si>
    <t>plat complet ; riz sec, collant ou mélange confus ; Légumes colorés intégrés, salade simple si besoin ; Bouillon bien dosé, citron en finition ; Tous publics : plat lisible et coloré ; justification</t>
  </si>
  <si>
    <t>Riz / production</t>
  </si>
  <si>
    <t>Légumes colorés intégrés, salade simple si besoin</t>
  </si>
  <si>
    <t>Bouillon bien dosé, citron en finition</t>
  </si>
  <si>
    <t>Entrée fraîche légère</t>
  </si>
  <si>
    <t>Tous publics : plat lisible et coloré</t>
  </si>
  <si>
    <t>Riz qui colle ou sèche en bac</t>
  </si>
  <si>
    <t>Paëlla collective : famille + risque + garniture + sauce + convive.</t>
  </si>
  <si>
    <t>paella</t>
  </si>
  <si>
    <t>colle</t>
  </si>
  <si>
    <t>confus</t>
  </si>
  <si>
    <t>dosé</t>
  </si>
  <si>
    <t>colore</t>
  </si>
  <si>
    <t>Plat principal à analyser : Gratin de pâtes jambon-fromage</t>
  </si>
  <si>
    <t>lourd, salé et pâle</t>
  </si>
  <si>
    <t>Analysez le plat principal « Gratin de pâtes jambon-fromage » : identifiez sa famille, son risque principal, puis proposez une garniture, une sauce ou un jus, une adaptation convive et une justification.</t>
  </si>
  <si>
    <t>Regarde le plat « Gratin de pâtes jambon-fromage » : c’est quelle famille, quel est le risque, et qu’est-ce que tu mets avec pour que le menu fonctionne ?</t>
  </si>
  <si>
    <t>Gratin de pâtes jambon-fromage appartient à la famille plat complet. Le risque principal est lourd, salé et pâle. Je propose comme garniture : Légume vert ou salade, pas de féculent en plus. Pour la sauce ou le jus : Sauce fromage maîtrisée, éviter excès. L’adaptation convive est : Adolescents : plat acceptable mais à équilibrer. La justification est de construire le menu à partir du plat principal sans corriger au hasard.</t>
  </si>
  <si>
    <t>C’est un plat de la famille plat complet. Le risque, c’est lourd, salé et pâle. Je mets avec : Légume vert ou salade, pas de féculent en plus. J’ajoute ou je vérifie : Sauce fromage maîtrisée, éviter excès. Je pense au convive : Adolescents : plat acceptable mais à équilibrer. J’explique mon choix au lieu de répondre au hasard.</t>
  </si>
  <si>
    <t>plat complet ; lourd, salé et pâle ; Légume vert ou salade, pas de féculent en plus ; Sauce fromage maîtrisée, éviter excès ; Adolescents : plat acceptable mais à équilibrer ; justification</t>
  </si>
  <si>
    <t>Gratin / lourd / salé</t>
  </si>
  <si>
    <t>Légume vert ou salade, pas de féculent en plus</t>
  </si>
  <si>
    <t>Sauce fromage maîtrisée, éviter excès</t>
  </si>
  <si>
    <t>Adolescents : plat acceptable mais à équilibrer</t>
  </si>
  <si>
    <t>Dessèchement du gratin au maintien chaud</t>
  </si>
  <si>
    <t>Gratin de pâtes jambon-fromage : famille + risque + garniture + sauce + convive.</t>
  </si>
  <si>
    <t>jambon</t>
  </si>
  <si>
    <t>exces</t>
  </si>
  <si>
    <t>Plat principal à analyser : Curry de légumes et volaille</t>
  </si>
  <si>
    <t>trop de sauce et pas assez de légumes lisibles</t>
  </si>
  <si>
    <t>Analysez le plat principal « Curry de légumes et volaille » : identifiez sa famille, son risque principal, puis proposez une garniture, une sauce ou un jus, une adaptation convive et une justification.</t>
  </si>
  <si>
    <t>Regarde le plat « Curry de légumes et volaille » : c’est quelle famille, quel est le risque, et qu’est-ce que tu mets avec pour que le menu fonctionne ?</t>
  </si>
  <si>
    <t>Curry de légumes et volaille appartient à la famille plat complet mixte. Le risque principal est trop de sauce et pas assez de légumes lisibles. Je propose comme garniture : Riz avec légumes visibles ou légumes verts. Pour la sauce ou le jus : Curry équilibré, sauce liée sans excès. L’adaptation convive est : Adultes : équilibre goût, légumes et satiété. La justification est de construire le menu à partir du plat principal sans corriger au hasard.</t>
  </si>
  <si>
    <t>C’est un plat de la famille plat complet mixte. Le risque, c’est trop de sauce et pas assez de légumes lisibles. Je mets avec : Riz avec légumes visibles ou légumes verts. J’ajoute ou je vérifie : Curry équilibré, sauce liée sans excès. Je pense au convive : Adultes : équilibre goût, légumes et satiété. J’explique mon choix au lieu de répondre au hasard.</t>
  </si>
  <si>
    <t>plat complet mixte ; trop de sauce et pas assez de légumes lisibles ; Riz avec légumes visibles ou légumes verts ; Curry équilibré, sauce liée sans excès ; Adultes : équilibre goût, légumes et satiété ; justification</t>
  </si>
  <si>
    <t>Sauce / équilibre</t>
  </si>
  <si>
    <t>Riz avec légumes visibles ou légumes verts</t>
  </si>
  <si>
    <t>Curry équilibré, sauce liée sans excès</t>
  </si>
  <si>
    <t>Adultes : équilibre goût, légumes et satiété</t>
  </si>
  <si>
    <t>Liaison de sauce et dosage épices</t>
  </si>
  <si>
    <t>Curry de légumes et volaille : famille + risque + garniture + sauce + convive.</t>
  </si>
  <si>
    <t>lisibles</t>
  </si>
  <si>
    <t>verts</t>
  </si>
  <si>
    <t>liee</t>
  </si>
  <si>
    <t>Plat principal à analyser : Haché de bœuf sauce pour EHPAD</t>
  </si>
  <si>
    <t>perte d’identité et texture trop uniforme</t>
  </si>
  <si>
    <t>Analysez le plat principal « Haché de bœuf sauce pour EHPAD » : identifiez sa famille, son risque principal, puis proposez une garniture, une sauce ou un jus, une adaptation convive et une justification.</t>
  </si>
  <si>
    <t>Regarde le plat « Haché de bœuf sauce pour EHPAD » : c’est quelle famille, quel est le risque, et qu’est-ce que tu mets avec pour que le menu fonctionne ?</t>
  </si>
  <si>
    <t>Haché de bœuf sauce pour EHPAD appartient à la famille viande adaptée. Le risque principal est perte d’identité et texture trop uniforme. Je propose comme garniture : Purée colorée ou légume fondant séparé. Pour la sauce ou le jus : Sauce douce pour humidité et confort. L’adaptation convive est : Personnes âgées : lisibilité, sauce et appétence. La justification est de construire le menu à partir du plat principal sans corriger au hasard.</t>
  </si>
  <si>
    <t>C’est un plat de la famille viande adaptée. Le risque, c’est perte d’identité et texture trop uniforme. Je mets avec : Purée colorée ou légume fondant séparé. J’ajoute ou je vérifie : Sauce douce pour humidité et confort. Je pense au convive : Personnes âgées : lisibilité, sauce et appétence. J’explique mon choix au lieu de répondre au hasard.</t>
  </si>
  <si>
    <t>viande adaptée ; perte d’identité et texture trop uniforme ; Purée colorée ou légume fondant séparé ; Sauce douce pour humidité et confort ; Personnes âgées : lisibilité, sauce et appétence ; justification</t>
  </si>
  <si>
    <t>Adapté / lisibilité</t>
  </si>
  <si>
    <t>Purée colorée ou légume fondant séparé</t>
  </si>
  <si>
    <t>Sauce douce pour humidité et confort</t>
  </si>
  <si>
    <t>Entrée adaptée et identifiable</t>
  </si>
  <si>
    <t>Dessert adapté ou enrichi selon besoin</t>
  </si>
  <si>
    <t>Personnes âgées : lisibilité, sauce et appétence</t>
  </si>
  <si>
    <t>Texture, température et dressage</t>
  </si>
  <si>
    <t>Haché de bœuf sauce pour EHPAD : famille + risque + garniture + sauce + convive.</t>
  </si>
  <si>
    <t>uniforme</t>
  </si>
  <si>
    <t>Hospitalier / EHPAD</t>
  </si>
  <si>
    <t>Plat principal à analyser : Poisson mixé sauce douce</t>
  </si>
  <si>
    <t>assiette pâle et perte de goût</t>
  </si>
  <si>
    <t>Analysez le plat principal « Poisson mixé sauce douce » : identifiez sa famille, son risque principal, puis proposez une garniture, une sauce ou un jus, une adaptation convive et une justification.</t>
  </si>
  <si>
    <t>Regarde le plat « Poisson mixé sauce douce » : c’est quelle famille, quel est le risque, et qu’est-ce que tu mets avec pour que le menu fonctionne ?</t>
  </si>
  <si>
    <t>Poisson mixé sauce douce appartient à la famille poisson adapté. Le risque principal est assiette pâle et perte de goût. Je propose comme garniture : Purée carotte, épinard ou légume coloré séparé. Pour la sauce ou le jus : Sauce douce adaptée à la texture prescrite. L’adaptation convive est : Texture modifiée : sécurité et dignité de présentation. La justification est de construire le menu à partir du plat principal sans corriger au hasard.</t>
  </si>
  <si>
    <t>C’est un plat de la famille poisson adapté. Le risque, c’est assiette pâle et perte de goût. Je mets avec : Purée carotte, épinard ou légume coloré séparé. J’ajoute ou je vérifie : Sauce douce adaptée à la texture prescrite. Je pense au convive : Texture modifiée : sécurité et dignité de présentation. J’explique mon choix au lieu de répondre au hasard.</t>
  </si>
  <si>
    <t>poisson adapté ; assiette pâle et perte de goût ; Purée carotte, épinard ou légume coloré séparé ; Sauce douce adaptée à la texture prescrite ; Texture modifiée : sécurité et dignité de présentation ; justification</t>
  </si>
  <si>
    <t>Texture modifiée / pâle</t>
  </si>
  <si>
    <t>Purée carotte, épinard ou légume coloré séparé</t>
  </si>
  <si>
    <t>Sauce douce adaptée à la texture prescrite</t>
  </si>
  <si>
    <t>Entrée texture adaptée</t>
  </si>
  <si>
    <t>Dessert lacté ou fruit adapté</t>
  </si>
  <si>
    <t>Texture modifiée : sécurité et dignité de présentation</t>
  </si>
  <si>
    <t>Texture à contrôler, séparation des couleurs</t>
  </si>
  <si>
    <t>Poisson mixé sauce douce : famille + risque + garniture + sauce + convive.</t>
  </si>
  <si>
    <t>epinard</t>
  </si>
  <si>
    <t>EHPAD autonomie réduite</t>
  </si>
  <si>
    <t>Plat principal à analyser : Croquette manger-main légumes-protéines</t>
  </si>
  <si>
    <t>sec ou tenue fragile</t>
  </si>
  <si>
    <t>Analysez le plat principal « Croquette manger-main légumes-protéines » : identifiez sa famille, son risque principal, puis proposez une garniture, une sauce ou un jus, une adaptation convive et une justification.</t>
  </si>
  <si>
    <t>Regarde le plat « Croquette manger-main légumes-protéines » : c’est quelle famille, quel est le risque, et qu’est-ce que tu mets avec pour que le menu fonctionne ?</t>
  </si>
  <si>
    <t>Croquette manger-main légumes-protéines appartient à la famille adapté / manger-main. Le risque principal est sec ou tenue fragile. Je propose comme garniture : Légumes fondants et sauce trempette adaptée. Pour la sauce ou le jus : Sauce d’accompagnement compatible texture. L’adaptation convive est : Autonomie réduite : prise en main sécurisée. La justification est de construire le menu à partir du plat principal sans corriger au hasard.</t>
  </si>
  <si>
    <t>C’est un plat de la famille adapté / manger-main. Le risque, c’est sec ou tenue fragile. Je mets avec : Légumes fondants et sauce trempette adaptée. J’ajoute ou je vérifie : Sauce d’accompagnement compatible texture. Je pense au convive : Autonomie réduite : prise en main sécurisée. J’explique mon choix au lieu de répondre au hasard.</t>
  </si>
  <si>
    <t>adapté / manger-main ; sec ou tenue fragile ; Légumes fondants et sauce trempette adaptée ; Sauce d’accompagnement compatible texture ; Autonomie réduite : prise en main sécurisée ; justification</t>
  </si>
  <si>
    <t>Manger-main / sécurité</t>
  </si>
  <si>
    <t>Légumes fondants et sauce trempette adaptée</t>
  </si>
  <si>
    <t>Sauce d’accompagnement compatible texture</t>
  </si>
  <si>
    <t>Entrée facile à prendre</t>
  </si>
  <si>
    <t>Fruit découpé ou dessert préhensible</t>
  </si>
  <si>
    <t>Autonomie réduite : prise en main sécurisée</t>
  </si>
  <si>
    <t>Tenue en main, température et sécurité</t>
  </si>
  <si>
    <t>Croquette manger-main légumes-protéines : famille + risque + garniture + sauce + convive.</t>
  </si>
  <si>
    <t>croquette</t>
  </si>
  <si>
    <t>manger main</t>
  </si>
  <si>
    <t>fragile</t>
  </si>
  <si>
    <t>trempette</t>
  </si>
  <si>
    <t>autonomie</t>
  </si>
  <si>
    <t>securisee</t>
  </si>
  <si>
    <t>Plat principal à analyser : Pot-au-feu</t>
  </si>
  <si>
    <t>présentation triste ou viande dure</t>
  </si>
  <si>
    <t>Analysez le plat principal « Pot-au-feu » : identifiez sa famille, son risque principal, puis proposez une garniture, une sauce ou un jus, une adaptation convive et une justification.</t>
  </si>
  <si>
    <t>Regarde le plat « Pot-au-feu » : c’est quelle famille, quel est le risque, et qu’est-ce que tu mets avec pour que le menu fonctionne ?</t>
  </si>
  <si>
    <t>Pot-au-feu appartient à la famille viande bouillon. Le risque principal est présentation triste ou viande dure. Je propose comme garniture : Légumes variés et pommes vapeur lisibles. Pour la sauce ou le jus : Bouillon clair et jus de service. L’adaptation convive est : Personnes âgées : morceaux tendres et bouillon utile. La justification est de construire le menu à partir du plat principal sans corriger au hasard.</t>
  </si>
  <si>
    <t>C’est un plat de la famille viande bouillon. Le risque, c’est présentation triste ou viande dure. Je mets avec : Légumes variés et pommes vapeur lisibles. J’ajoute ou je vérifie : Bouillon clair et jus de service. Je pense au convive : Personnes âgées : morceaux tendres et bouillon utile. J’explique mon choix au lieu de répondre au hasard.</t>
  </si>
  <si>
    <t>viande bouillon ; présentation triste ou viande dure ; Légumes variés et pommes vapeur lisibles ; Bouillon clair et jus de service ; Personnes âgées : morceaux tendres et bouillon utile ; justification</t>
  </si>
  <si>
    <t>Traditionnel / tendreté</t>
  </si>
  <si>
    <t>Légumes variés et pommes vapeur lisibles</t>
  </si>
  <si>
    <t>Bouillon clair et jus de service</t>
  </si>
  <si>
    <t>Entrée légère si repas dense</t>
  </si>
  <si>
    <t>Fruit ou compote</t>
  </si>
  <si>
    <t>Personnes âgées : morceaux tendres et bouillon utile</t>
  </si>
  <si>
    <t>Tendreté, service chaud et découpe</t>
  </si>
  <si>
    <t>Pot-au-feu : famille + risque + garniture + sauce + convive.</t>
  </si>
  <si>
    <t>pot au feu</t>
  </si>
  <si>
    <t>Adultes / lycée</t>
  </si>
  <si>
    <t>Plat principal à analyser : Tajine de poulet</t>
  </si>
  <si>
    <t>sucré-salé ou épices mal acceptés</t>
  </si>
  <si>
    <t>Analysez le plat principal « Tajine de poulet » : identifiez sa famille, son risque principal, puis proposez une garniture, une sauce ou un jus, une adaptation convive et une justification.</t>
  </si>
  <si>
    <t>Regarde le plat « Tajine de poulet » : c’est quelle famille, quel est le risque, et qu’est-ce que tu mets avec pour que le menu fonctionne ?</t>
  </si>
  <si>
    <t>Tajine de poulet appartient à la famille volaille mijotée. Le risque principal est sucré-salé ou épices mal acceptés. Je propose comme garniture : Semoule et légumes de saison. Pour la sauce ou le jus : Sauce parfumée mais douce. L’adaptation convive est : Adapter épices selon public. La justification est de construire le menu à partir du plat principal sans corriger au hasard.</t>
  </si>
  <si>
    <t>C’est un plat de la famille volaille mijotée. Le risque, c’est sucré-salé ou épices mal acceptés. Je mets avec : Semoule et légumes de saison. J’ajoute ou je vérifie : Sauce parfumée mais douce. Je pense au convive : Adapter épices selon public. J’explique mon choix au lieu de répondre au hasard.</t>
  </si>
  <si>
    <t>volaille mijotée ; sucré-salé ou épices mal acceptés ; Semoule et légumes de saison ; Sauce parfumée mais douce ; Adapter épices selon public ; justification</t>
  </si>
  <si>
    <t>Épices / sucré-salé</t>
  </si>
  <si>
    <t>Semoule et légumes de saison</t>
  </si>
  <si>
    <t>Sauce parfumée mais douce</t>
  </si>
  <si>
    <t>Entrée fraîche non sucrée</t>
  </si>
  <si>
    <t>Fruit ou laitage simple</t>
  </si>
  <si>
    <t>Adapter épices selon public</t>
  </si>
  <si>
    <t>Équilibre épices, fruits secs et sauce</t>
  </si>
  <si>
    <t>Tajine de poulet : famille + risque + garniture + sauce + convive.</t>
  </si>
  <si>
    <t>tajine</t>
  </si>
  <si>
    <t>parfumee</t>
  </si>
  <si>
    <t>Plat principal à analyser : Poulet basquaise</t>
  </si>
  <si>
    <t>sauce trop liquide ou trop acide</t>
  </si>
  <si>
    <t>Analysez le plat principal « Poulet basquaise » : identifiez sa famille, son risque principal, puis proposez une garniture, une sauce ou un jus, une adaptation convive et une justification.</t>
  </si>
  <si>
    <t>Regarde le plat « Poulet basquaise » : c’est quelle famille, quel est le risque, et qu’est-ce que tu mets avec pour que le menu fonctionne ?</t>
  </si>
  <si>
    <t>Poulet basquaise appartient à la famille volaille en sauce. Le risque principal est sauce trop liquide ou trop acide. Je propose comme garniture : Riz, semoule ou légumes méditerranéens. Pour la sauce ou le jus : Sauce tomate-poivron équilibrée. L’adaptation convive est : Tous publics : garder goût accessible. La justification est de construire le menu à partir du plat principal sans corriger au hasard.</t>
  </si>
  <si>
    <t>C’est un plat de la famille volaille en sauce. Le risque, c’est sauce trop liquide ou trop acide. Je mets avec : Riz, semoule ou légumes méditerranéens. J’ajoute ou je vérifie : Sauce tomate-poivron équilibrée. Je pense au convive : Tous publics : garder goût accessible. J’explique mon choix au lieu de répondre au hasard.</t>
  </si>
  <si>
    <t>volaille en sauce ; sauce trop liquide ou trop acide ; Riz, semoule ou légumes méditerranéens ; Sauce tomate-poivron équilibrée ; Tous publics : garder goût accessible ; justification</t>
  </si>
  <si>
    <t>Sauce / acidité</t>
  </si>
  <si>
    <t>Riz, semoule ou légumes méditerranéens</t>
  </si>
  <si>
    <t>Sauce tomate-poivron équilibrée</t>
  </si>
  <si>
    <t>Tous publics : garder goût accessible</t>
  </si>
  <si>
    <t>Tenue des morceaux et de la sauce</t>
  </si>
  <si>
    <t>Poulet basquaise : famille + risque + garniture + sauce + convive.</t>
  </si>
  <si>
    <t>basquaise</t>
  </si>
  <si>
    <t>liquide</t>
  </si>
  <si>
    <t>poivron</t>
  </si>
  <si>
    <t>equilibree</t>
  </si>
  <si>
    <t>accessible</t>
  </si>
  <si>
    <t>Plat principal à analyser : Omelette aux légumes</t>
  </si>
  <si>
    <t>rend de l’eau ou tient mal au chaud</t>
  </si>
  <si>
    <t>Analysez le plat principal « Omelette aux légumes » : identifiez sa famille, son risque principal, puis proposez une garniture, une sauce ou un jus, une adaptation convive et une justification.</t>
  </si>
  <si>
    <t>Regarde le plat « Omelette aux légumes » : c’est quelle famille, quel est le risque, et qu’est-ce que tu mets avec pour que le menu fonctionne ?</t>
  </si>
  <si>
    <t>Omelette aux légumes appartient à la famille œufs / légumes. Le risque principal est rend de l’eau ou tient mal au chaud. Je propose comme garniture : Salade, pommes vapeur ou féculent léger. Pour la sauce ou le jus : Herbes ou coulis léger si nécessaire. L’adaptation convive est : Enfants : rendre l’omelette identifiable et colorée. La justification est de construire le menu à partir du plat principal sans corriger au hasard.</t>
  </si>
  <si>
    <t>C’est un plat de la famille œufs / légumes. Le risque, c’est rend de l’eau ou tient mal au chaud. Je mets avec : Salade, pommes vapeur ou féculent léger. J’ajoute ou je vérifie : Herbes ou coulis léger si nécessaire. Je pense au convive : Enfants : rendre l’omelette identifiable et colorée. J’explique mon choix au lieu de répondre au hasard.</t>
  </si>
  <si>
    <t>œufs / légumes ; rend de l’eau ou tient mal au chaud ; Salade, pommes vapeur ou féculent léger ; Herbes ou coulis léger si nécessaire ; Enfants : rendre l’omelette identifiable et colorée ; justification</t>
  </si>
  <si>
    <t>Œufs / production</t>
  </si>
  <si>
    <t>Salade, pommes vapeur ou féculent léger</t>
  </si>
  <si>
    <t>Herbes ou coulis léger si nécessaire</t>
  </si>
  <si>
    <t>Crudité simple</t>
  </si>
  <si>
    <t>Enfants : rendre l’omelette identifiable et colorée</t>
  </si>
  <si>
    <t>Humidité des légumes et tenue en bac</t>
  </si>
  <si>
    <t>Omelette aux légumes : famille + risque + garniture + sauce + convive.</t>
  </si>
  <si>
    <t>identifiable</t>
  </si>
  <si>
    <t>Plat principal à analyser : Tortilla pommes de terre</t>
  </si>
  <si>
    <t>dense et lourd si mal accompagné</t>
  </si>
  <si>
    <t>Analysez le plat principal « Tortilla pommes de terre » : identifiez sa famille, son risque principal, puis proposez une garniture, une sauce ou un jus, une adaptation convive et une justification.</t>
  </si>
  <si>
    <t>Regarde le plat « Tortilla pommes de terre » : c’est quelle famille, quel est le risque, et qu’est-ce que tu mets avec pour que le menu fonctionne ?</t>
  </si>
  <si>
    <t>Tortilla pommes de terre appartient à la famille œufs / plat complet. Le risque principal est dense et lourd si mal accompagné. Je propose comme garniture : Salade ou crudité, pas de féculent supplémentaire. Pour la sauce ou le jus : Sauce légère ou herbes, pas nécessairement riche. L’adaptation convive est : Adultes : éviter repas trop dense. La justification est de construire le menu à partir du plat principal sans corriger au hasard.</t>
  </si>
  <si>
    <t>C’est un plat de la famille œufs / plat complet. Le risque, c’est dense et lourd si mal accompagné. Je mets avec : Salade ou crudité, pas de féculent supplémentaire. J’ajoute ou je vérifie : Sauce légère ou herbes, pas nécessairement riche. Je pense au convive : Adultes : éviter repas trop dense. J’explique mon choix au lieu de répondre au hasard.</t>
  </si>
  <si>
    <t>œufs / plat complet ; dense et lourd si mal accompagné ; Salade ou crudité, pas de féculent supplémentaire ; Sauce légère ou herbes, pas nécessairement riche ; Adultes : éviter repas trop dense ; justification</t>
  </si>
  <si>
    <t>Dense / féculent</t>
  </si>
  <si>
    <t>Sauce légère ou herbes, pas nécessairement riche</t>
  </si>
  <si>
    <t>Adultes : éviter repas trop dense</t>
  </si>
  <si>
    <t>Découpe, refroidissement éventuel et remise en température</t>
  </si>
  <si>
    <t>Tortilla pommes de terre : famille + risque + garniture + sauce + convive.</t>
  </si>
  <si>
    <t>tortilla</t>
  </si>
  <si>
    <t>pommes de terre</t>
  </si>
  <si>
    <t>Plat principal à analyser : Moules marinières adaptées collectif</t>
  </si>
  <si>
    <t>allergènes, acceptabilité et traçabilité</t>
  </si>
  <si>
    <t>Analysez le plat principal « Moules marinières adaptées collectif » : identifiez sa famille, son risque principal, puis proposez une garniture, une sauce ou un jus, une adaptation convive et une justification.</t>
  </si>
  <si>
    <t>Regarde le plat « Moules marinières adaptées collectif » : c’est quelle famille, quel est le risque, et qu’est-ce que tu mets avec pour que le menu fonctionne ?</t>
  </si>
  <si>
    <t>Moules marinières adaptées collectif appartient à la famille coquillages. Le risque principal est allergènes, acceptabilité et traçabilité. Je propose comme garniture : Pommes vapeur, légumes verts ou frites au four selon cadre. Pour la sauce ou le jus : Jus marinière maîtrisé. L’adaptation convive est : Convives allergiques ou réticents : information et alternative. La justification est de construire le menu à partir du plat principal sans corriger au hasard.</t>
  </si>
  <si>
    <t>C’est un plat de la famille coquillages. Le risque, c’est allergènes, acceptabilité et traçabilité. Je mets avec : Pommes vapeur, légumes verts ou frites au four selon cadre. J’ajoute ou je vérifie : Jus marinière maîtrisé. Je pense au convive : Convives allergiques ou réticents : information et alternative. J’explique mon choix au lieu de répondre au hasard.</t>
  </si>
  <si>
    <t>coquillages ; allergènes, acceptabilité et traçabilité ; Pommes vapeur, légumes verts ou frites au four selon cadre ; Jus marinière maîtrisé ; Convives allergiques ou réticents : information et alternative ; justification</t>
  </si>
  <si>
    <t>Allergènes / production</t>
  </si>
  <si>
    <t>Pommes vapeur, légumes verts ou frites au four selon cadre</t>
  </si>
  <si>
    <t>Jus marinière maîtrisé</t>
  </si>
  <si>
    <t>Entrée simple non iodée</t>
  </si>
  <si>
    <t>Convives allergiques ou réticents : information et alternative</t>
  </si>
  <si>
    <t>Traçabilité, température, coquillages</t>
  </si>
  <si>
    <t>Moules marinières adaptées collectif : famille + risque + garniture + sauce + convive.</t>
  </si>
  <si>
    <t>moules</t>
  </si>
  <si>
    <t>coquillages</t>
  </si>
  <si>
    <t>marinieres</t>
  </si>
  <si>
    <t>tracabilite</t>
  </si>
  <si>
    <t>mariniere</t>
  </si>
  <si>
    <t>allergiques</t>
  </si>
  <si>
    <t>Plat principal à analyser : Thon à la tomate</t>
  </si>
  <si>
    <t>sec et fibreux si mal lié</t>
  </si>
  <si>
    <t>Analysez le plat principal « Thon à la tomate » : identifiez sa famille, son risque principal, puis proposez une garniture, une sauce ou un jus, une adaptation convive et une justification.</t>
  </si>
  <si>
    <t>Regarde le plat « Thon à la tomate » : c’est quelle famille, quel est le risque, et qu’est-ce que tu mets avec pour que le menu fonctionne ?</t>
  </si>
  <si>
    <t>Thon à la tomate appartient à la famille poisson en sauce. Le risque principal est sec et fibreux si mal lié. Je propose comme garniture : Semoule, riz ou légumes du soleil. Pour la sauce ou le jus : Sauce tomate suffisante, pas trop réduite. L’adaptation convive est : Adolescents : goût et humidité à soigner. La justification est de construire le menu à partir du plat principal sans corriger au hasard.</t>
  </si>
  <si>
    <t>C’est un plat de la famille poisson en sauce. Le risque, c’est sec et fibreux si mal lié. Je mets avec : Semoule, riz ou légumes du soleil. J’ajoute ou je vérifie : Sauce tomate suffisante, pas trop réduite. Je pense au convive : Adolescents : goût et humidité à soigner. J’explique mon choix au lieu de répondre au hasard.</t>
  </si>
  <si>
    <t>poisson en sauce ; sec et fibreux si mal lié ; Semoule, riz ou légumes du soleil ; Sauce tomate suffisante, pas trop réduite ; Adolescents : goût et humidité à soigner ; justification</t>
  </si>
  <si>
    <t>Poisson / sec</t>
  </si>
  <si>
    <t>Semoule, riz ou légumes du soleil</t>
  </si>
  <si>
    <t>Sauce tomate suffisante, pas trop réduite</t>
  </si>
  <si>
    <t>Adolescents : goût et humidité à soigner</t>
  </si>
  <si>
    <t>Émiettage et dessèchement</t>
  </si>
  <si>
    <t>Thon à la tomate : famille + risque + garniture + sauce + convive.</t>
  </si>
  <si>
    <t>thon</t>
  </si>
  <si>
    <t>fibreux</t>
  </si>
  <si>
    <t>lie</t>
  </si>
  <si>
    <t>reduite</t>
  </si>
  <si>
    <t>Plat principal à analyser : Gratin de poisson</t>
  </si>
  <si>
    <t>Analysez le plat principal « Gratin de poisson » : identifiez sa famille, son risque principal, puis proposez une garniture, une sauce ou un jus, une adaptation convive et une justification.</t>
  </si>
  <si>
    <t>Regarde le plat « Gratin de poisson » : c’est quelle famille, quel est le risque, et qu’est-ce que tu mets avec pour que le menu fonctionne ?</t>
  </si>
  <si>
    <t>Gratin de poisson appartient à la famille poisson gratiné. Le risque principal est pâle et lourd. Je propose comme garniture : Légume vert ou carottes, éviter cumul de féculents. Pour la sauce ou le jus : Sauce gratinée maîtrisée, pas trop épaisse. L’adaptation convive est : Enfants : couleur et lisibilité du poisson. La justification est de construire le menu à partir du plat principal sans corriger au hasard.</t>
  </si>
  <si>
    <t>C’est un plat de la famille poisson gratiné. Le risque, c’est pâle et lourd. Je mets avec : Légume vert ou carottes, éviter cumul de féculents. J’ajoute ou je vérifie : Sauce gratinée maîtrisée, pas trop épaisse. Je pense au convive : Enfants : couleur et lisibilité du poisson. J’explique mon choix au lieu de répondre au hasard.</t>
  </si>
  <si>
    <t>poisson gratiné ; pâle et lourd ; Légume vert ou carottes, éviter cumul de féculents ; Sauce gratinée maîtrisée, pas trop épaisse ; Enfants : couleur et lisibilité du poisson ; justification</t>
  </si>
  <si>
    <t>Gratin / pâle / lourd</t>
  </si>
  <si>
    <t>Légume vert ou carottes, éviter cumul de féculents</t>
  </si>
  <si>
    <t>Sauce gratinée maîtrisée, pas trop épaisse</t>
  </si>
  <si>
    <t>Entrée fraîche colorée</t>
  </si>
  <si>
    <t>Enfants : couleur et lisibilité du poisson</t>
  </si>
  <si>
    <t>Sauce trop épaisse ou gratin sec</t>
  </si>
  <si>
    <t>Gratin de poisson : famille + risque + garniture + sauce + convive.</t>
  </si>
  <si>
    <t>Plat principal à analyser : Jambon braisé</t>
  </si>
  <si>
    <t>salé et non adapté à tous</t>
  </si>
  <si>
    <t>Analysez le plat principal « Jambon braisé » : identifiez sa famille, son risque principal, puis proposez une garniture, une sauce ou un jus, une adaptation convive et une justification.</t>
  </si>
  <si>
    <t>Regarde le plat « Jambon braisé » : c’est quelle famille, quel est le risque, et qu’est-ce que tu mets avec pour que le menu fonctionne ?</t>
  </si>
  <si>
    <t>Jambon braisé appartient à la famille porc. Le risque principal est salé et non adapté à tous. Je propose comme garniture : Légumes verts, purée de légumes ou pommes vapeur. Pour la sauce ou le jus : Sauce légère, attention sel. L’adaptation convive est : Public mixte : alternative sans porc à prévoir. La justification est de construire le menu à partir du plat principal sans corriger au hasard.</t>
  </si>
  <si>
    <t>C’est un plat de la famille porc. Le risque, c’est salé et non adapté à tous. Je mets avec : Légumes verts, purée de légumes ou pommes vapeur. J’ajoute ou je vérifie : Sauce légère, attention sel. Je pense au convive : Public mixte : alternative sans porc à prévoir. J’explique mon choix au lieu de répondre au hasard.</t>
  </si>
  <si>
    <t>porc ; salé et non adapté à tous ; Légumes verts, purée de légumes ou pommes vapeur ; Sauce légère, attention sel ; Public mixte : alternative sans porc à prévoir ; justification</t>
  </si>
  <si>
    <t>Porc / sel / alternative</t>
  </si>
  <si>
    <t>Légumes verts, purée de légumes ou pommes vapeur</t>
  </si>
  <si>
    <t>Sauce légère, attention sel</t>
  </si>
  <si>
    <t>Public mixte : alternative sans porc à prévoir</t>
  </si>
  <si>
    <t>Teneur en sel et maintien chaud</t>
  </si>
  <si>
    <t>Jambon braisé : famille + risque + garniture + sauce + convive.</t>
  </si>
  <si>
    <t>braise</t>
  </si>
  <si>
    <t>sel</t>
  </si>
  <si>
    <t>Méthode PLATS-CF — utiliser l’entrée et le dessert comme correcteurs du menu, pas comme cases décoratives</t>
  </si>
  <si>
    <t>Lire le menu initial, le problème principal, la question PRO et la question CFA.</t>
  </si>
  <si>
    <t>Le menu est trop blanc et le poisson risque d’être sec. L’entrée doit apporter couleur et fraîcheur, par exemple carottes râpées ou betteraves. Le dessert doit éviter de rester blanc : un fruit de saison coloré corrige mieux qu’un fromage blanc. Il faut éviter d’ajouter encore un dessert blanc parce que cela renforce le défaut visuel.</t>
  </si>
  <si>
    <t>Le repas est trop blanc et le poisson peut être sec. Je mets une entrée colorée comme carottes ou betteraves et je finis par un fruit. J’évite le fromage blanc car il rajoute encore du blanc.</t>
  </si>
  <si>
    <t>Saisir la réponse A : diagnostic initial sur l’entrée/dessert.</t>
  </si>
  <si>
    <t>Zone technique : AA4:AH33 ; critères/keywords intégrés dans la matrice Y52:BT82.</t>
  </si>
  <si>
    <t>Aucun VBA, aucune liste déroulante ajoutée. Formules prévues en individuelles.</t>
  </si>
  <si>
    <t>Entrée correctrice</t>
  </si>
  <si>
    <t>Dessert correcteur</t>
  </si>
  <si>
    <t>Choix correcteur</t>
  </si>
  <si>
    <t>Faux correcteur à éviter</t>
  </si>
  <si>
    <t>NOTATION AUTOMATIQUE INDICATIVE — entrée/dessert correcteurs, à contrôler par le formateur</t>
  </si>
  <si>
    <t>Choix_correcteur</t>
  </si>
  <si>
    <t>Faux_correcteur_a_eviter</t>
  </si>
  <si>
    <t>Entrée et dessert renforcent un menu trop blanc et sec</t>
  </si>
  <si>
    <t>Analysez la fonction de l’entrée et du dessert dans ce menu, puis proposez des correcteurs adaptés.</t>
  </si>
  <si>
    <t>Pourquoi l’entrée et le dessert ne corrigent pas assez ce repas, et que peux-tu mettre à la place ?</t>
  </si>
  <si>
    <t>Si la réponse propose seulement « changer le légume », demander ce que l’entrée et le dessert corrigent précisément.</t>
  </si>
  <si>
    <t>Demander : « Ton entrée corrige quelle couleur ? Ton dessert rajoute-t-il encore du blanc ? »</t>
  </si>
  <si>
    <t>Diagnostic du problème 4 pts ; Fonction de l'entrée 4 pts ; Fonction du dessert 4 pts ; Choix correcteur adapté 3 pts ; Faux correcteur évité 3 pts ; Justification 2 pts</t>
  </si>
  <si>
    <t>blanc ; sec ; entrée colorée ; carottes ; betteraves ; fruit ; fromage blanc ; éviter ; correction</t>
  </si>
  <si>
    <t>Carottes râpées citronnées ou betteraves</t>
  </si>
  <si>
    <t>Fruit coloré de saison : orange, clémentine, pomme rouge</t>
  </si>
  <si>
    <t>Crudité colorée + fruit</t>
  </si>
  <si>
    <t>Fromage blanc après un menu déjà blanc</t>
  </si>
  <si>
    <t>Rendre le repas plus attractif pour enfants</t>
  </si>
  <si>
    <t>Limiter le dessèchement du poisson et garder une sauce simple</t>
  </si>
  <si>
    <t>Trop blanc = entrée couleur + dessert fruit</t>
  </si>
  <si>
    <t>Fonction de l'entrée</t>
  </si>
  <si>
    <t>Fonction du dessert</t>
  </si>
  <si>
    <t>Choix correcteur adapté</t>
  </si>
  <si>
    <t>coloree</t>
  </si>
  <si>
    <t>Faux correcteur évité</t>
  </si>
  <si>
    <t>encore blanc</t>
  </si>
  <si>
    <t>trop blanc</t>
  </si>
  <si>
    <t>renforce</t>
  </si>
  <si>
    <t>rajoute</t>
  </si>
  <si>
    <t>Quiche lorraine ; sauté sauce crème ; gratin de pommes de terre ; fromage ; pâtisserie</t>
  </si>
  <si>
    <t>Entrée et dessert alourdissent un menu déjà riche</t>
  </si>
  <si>
    <t>Repérez les faux correcteurs dans ce menu et proposez une entrée et un dessert qui allègent le repas.</t>
  </si>
  <si>
    <t>Où est-ce que l’entrée et le dessert rajoutent du lourd, et comment tu allèges ?</t>
  </si>
  <si>
    <t>Le menu cumule pâte, crème, gratin, fromage et pâtisserie. L’entrée doit être une crudité ou une salade simple pour apporter fraîcheur. Le dessert doit être un fruit ou une compote. Il faut éviter fromage et pâtisserie qui alourdissent encore le repas parce que le plat est déjà riche.</t>
  </si>
  <si>
    <t>Il y a trop de choses lourdes : crème, gratin, fromage, gâteau. Je mets une crudité en entrée et un fruit en dessert. J’évite la pâtisserie parce que le repas est déjà riche.</t>
  </si>
  <si>
    <t>Si l’apprenant corrige seulement le plat, le ramener sur la fonction de l’entrée et du dessert.</t>
  </si>
  <si>
    <t>Demander : « Est-ce que ton dessert allège ou rajoute encore du gras ? »</t>
  </si>
  <si>
    <t>lourd ; gras ; crème ; gratin ; fromage ; pâtisserie ; crudité ; fruit ; alléger ; éviter</t>
  </si>
  <si>
    <t>Lourdeur / faux correcteur</t>
  </si>
  <si>
    <t>Crudités de saison ou salade simple</t>
  </si>
  <si>
    <t>Fruit frais ou compote simple</t>
  </si>
  <si>
    <t>Crudité + fruit léger</t>
  </si>
  <si>
    <t>Charcuterie, fromage et pâtisserie</t>
  </si>
  <si>
    <t>Limiter les préparations riches et sauces épaisses</t>
  </si>
  <si>
    <t>patisserie</t>
  </si>
  <si>
    <t>gateau</t>
  </si>
  <si>
    <t>alourdit</t>
  </si>
  <si>
    <t>deja riche</t>
  </si>
  <si>
    <t>Menu trop fast-food, entrée absente et dessert trop riche</t>
  </si>
  <si>
    <t>Expliquez comment l’entrée et le dessert peuvent corriger un menu pané/frites sans supprimer l’acceptabilité du plat.</t>
  </si>
  <si>
    <t>Comment tu gardes le poisson pané qui plaît, mais tu évites le repas fast-food ?</t>
  </si>
  <si>
    <t>Le poisson pané peut être conservé, mais le menu frites, ketchup et crème dessert donne un effet fast-food. L’entrée doit apporter crudité et fraîcheur. Le dessert doit plutôt être un fruit. Il faut éviter une crème dessert qui renforce le côté gras et sucré parce que le plat est déjà dense.</t>
  </si>
  <si>
    <t>Je garde le poisson pané mais je change autour. Je mets une crudité en entrée et un fruit en dessert. J’évite la crème dessert avec les frites, ça fait trop fast-food.</t>
  </si>
  <si>
    <t>Si l’apprenant supprime le poisson pané, rappeler que l’objectif est de corriger autour du plat principal.</t>
  </si>
  <si>
    <t>Demander : « Qu’est-ce qui apporte du frais dans ce menu ? »</t>
  </si>
  <si>
    <t>poisson pané ; frites ; fast-food ; crudité ; fruit ; crème dessert ; éviter ; frais</t>
  </si>
  <si>
    <t>Fast-food / gras</t>
  </si>
  <si>
    <t>Crudité fraîche : carotte, concombre selon saison</t>
  </si>
  <si>
    <t>Crudité + fruit</t>
  </si>
  <si>
    <t>Crème dessert après frites et pané</t>
  </si>
  <si>
    <t>Maintenir acceptabilité scolaire sans caricature</t>
  </si>
  <si>
    <t>Garder croustillant sans surcharger le service</t>
  </si>
  <si>
    <t>Pané accepté = corriger autour</t>
  </si>
  <si>
    <t>pané</t>
  </si>
  <si>
    <t>pas creme</t>
  </si>
  <si>
    <t>creme dessert</t>
  </si>
  <si>
    <t>fait trop</t>
  </si>
  <si>
    <t>Entrée et dessert peu adaptés à la consommation réelle</t>
  </si>
  <si>
    <t>Analysez l’adaptation de l’entrée et du dessert pour un public âgé avec risque de sécheresse.</t>
  </si>
  <si>
    <t>Pourquoi la pomme crue et la viande sèche peuvent poser problème pour une personne âgée ?</t>
  </si>
  <si>
    <t>Le menu présente un risque de sécheresse avec la dinde et le riz. L’entrée peut être un potage enrichi si besoin, mais il faut surtout prévoir sauce ou jus. Le dessert doit être facile à consommer : compote ou dessert lacté adapté. Il faut éviter la pomme crue si la mastication est difficile parce qu’elle peut réduire la consommation.</t>
  </si>
  <si>
    <t>La dinde et le riz peuvent être secs. Pour une personne âgée, je mets de la sauce et je choisis une compote ou un dessert facile. J’évite la pomme crue si elle est dure à mâcher.</t>
  </si>
  <si>
    <t>Si l’apprenant raisonne uniquement équilibre, demander s’il imagine la consommation réelle en EHPAD.</t>
  </si>
  <si>
    <t>Demander : « Est-ce facile à mâcher et à finir ? »</t>
  </si>
  <si>
    <t>EHPAD ; sec ; sauce ; potage enrichi ; compote ; dessert lacté ; pomme crue ; mastication</t>
  </si>
  <si>
    <t>Adaptation EHPAD</t>
  </si>
  <si>
    <t>Potage lisible, éventuellement enrichi selon besoin</t>
  </si>
  <si>
    <t>Compote, fruit cuit ou dessert lacté adapté</t>
  </si>
  <si>
    <t>Dessert facile à manger + sauce sur le plat</t>
  </si>
  <si>
    <t>Pomme crue dure si mastication difficile</t>
  </si>
  <si>
    <t>Adapter mastication, appétit et confort</t>
  </si>
  <si>
    <t>Maintenir texture, température et sauce au service</t>
  </si>
  <si>
    <t>EHPAD = sauce + texture + dessert facile</t>
  </si>
  <si>
    <t>enrichi</t>
  </si>
  <si>
    <t>pomme crue</t>
  </si>
  <si>
    <t>Menu végétarien léger, entrée trop faible pour aider la satiété</t>
  </si>
  <si>
    <t>Déterminez comment l’entrée ou le dessert peuvent compléter ce menu végétarien sans masquer la faiblesse du plat.</t>
  </si>
  <si>
    <t>Pourquoi la salade verte ne suffit pas pour aider ce menu végétarien à caler ?</t>
  </si>
  <si>
    <t>Le plat végétarien reste léger si les pâtes tomate ne sont pas enrichies. L’entrée peut devenir plus nourrissante avec lentilles, pois chiches ou œuf selon contexte, mais la correction principale doit aussi renforcer le plat. Le dessert peut rester un laitage ou un fruit. Il faut éviter de croire que la salade verte corrige la satiété parce qu’elle n’apporte pas assez.</t>
  </si>
  <si>
    <t>Une salade verte ne cale pas beaucoup. Pour un menu végétarien, je peux faire une entrée plus complète ou renforcer le plat avec lentilles ou pois chiches. Je garde un yaourt ou un fruit selon le besoin.</t>
  </si>
  <si>
    <t>Si l’apprenant répond uniquement « ajouter un yaourt », demander si le plat principal est vraiment corrigé.</t>
  </si>
  <si>
    <t>Demander : « Qu’est-ce qui va vraiment caler les élèves ? »</t>
  </si>
  <si>
    <t>végétarien ; léger ; salade verte ; lentilles ; pois chiches ; laitage ; fruit ; satiété ; éviter</t>
  </si>
  <si>
    <t>Végétarien / satiété</t>
  </si>
  <si>
    <t>Salade composée avec légumineuses ou crudité plus complète</t>
  </si>
  <si>
    <t>Laitage ou fruit selon équilibre</t>
  </si>
  <si>
    <t>Entrée nourrissante + plat renforcé</t>
  </si>
  <si>
    <t>Salade verte seule comme faux correcteur de satiété</t>
  </si>
  <si>
    <t>Renforcer satiété pour adolescents</t>
  </si>
  <si>
    <t>Maîtriser cuisson/livraison des légumineuses</t>
  </si>
  <si>
    <t>Végétarien léger = correcteur nourrissant</t>
  </si>
  <si>
    <t>nourrissant</t>
  </si>
  <si>
    <t>complete</t>
  </si>
  <si>
    <t>salade verte</t>
  </si>
  <si>
    <t>ne suffit</t>
  </si>
  <si>
    <t>pas assez</t>
  </si>
  <si>
    <t>besoin</t>
  </si>
  <si>
    <t>Entrée et dessert renforcent une dominante brune et lourde</t>
  </si>
  <si>
    <t>Analysez la couleur et la densité du menu, puis proposez une entrée et un dessert correcteurs.</t>
  </si>
  <si>
    <t>Pourquoi ce menu fait-il trop marron et lourd, et que peux-tu changer au début et à la fin ?</t>
  </si>
  <si>
    <t>Le menu présente une dominante brune : lentilles, bœuf en sauce et gâteau chocolat. L’entrée doit plutôt apporter vert, orange ou fraîcheur. Le dessert doit être un fruit clair ou acidulé. Il faut éviter le gâteau chocolat qui renforce la lourdeur et la couleur brune.</t>
  </si>
  <si>
    <t>Tout tire vers le marron. Je mets une entrée plus colorée ou plus fraîche et je remplace le gâteau chocolat par un fruit. J’évite de rajouter encore du brun.</t>
  </si>
  <si>
    <t>Si l’apprenant valide le menu car il est d’automne, demander si la saison suffit à rendre le menu lisible.</t>
  </si>
  <si>
    <t>Demander : « Quelle couleur domine ? Quelle couleur manque ? »</t>
  </si>
  <si>
    <t>brun ; marron ; lourd ; lentilles ; bourguignon ; chocolat ; entrée colorée ; fruit ; éviter</t>
  </si>
  <si>
    <t>Couleur brune / lourdeur</t>
  </si>
  <si>
    <t>Crudité orange ou verte : carotte, chou, salade</t>
  </si>
  <si>
    <t>Fruit clair ou acidulé : pomme, poire, agrume</t>
  </si>
  <si>
    <t>Couleur fraîche + fruit</t>
  </si>
  <si>
    <t>Gâteau chocolat après plat brun en sauce</t>
  </si>
  <si>
    <t>Alléger la perception pour adultes</t>
  </si>
  <si>
    <t>Limiter sauces épaisses et desserts riches</t>
  </si>
  <si>
    <t>Menu brun = entrée fraîche + fruit clair</t>
  </si>
  <si>
    <t>fraiche</t>
  </si>
  <si>
    <t>acidule</t>
  </si>
  <si>
    <t>chocolat</t>
  </si>
  <si>
    <t>Entrée correcte mais dessert et légumes ne sécurisent pas assez l’acceptabilité</t>
  </si>
  <si>
    <t>Expliquez comment l’entrée et le dessert peuvent aider un menu scolaire à risque de refus.</t>
  </si>
  <si>
    <t>Comment l’entrée et le dessert peuvent aider quand le plat risque d’être refusé ?</t>
  </si>
  <si>
    <t>Le menu associe poisson vapeur et épinards, deux aliments sensibles en scolaire. L’entrée doit rester douce et connue, par exemple concombre sauce yaourt. Le dessert doit être un repère accepté : fruit mûr, compote ou laitage simple selon menu. Il faut éviter une entrée trop agressive ou un dessert peu adapté, car l’objectif est de sécuriser l’acceptabilité.</t>
  </si>
  <si>
    <t>Poisson et épinards peuvent faire beaucoup pour des enfants. Je garde une entrée simple et un dessert connu pour aider le repas. J’évite de mettre encore quelque chose de difficile.</t>
  </si>
  <si>
    <t>Si l’apprenant veut changer tout le plat, rappeler que M05 travaille l’aide apportée par l’entrée et le dessert.</t>
  </si>
  <si>
    <t>Demander : « Qu’est-ce qui rassure l’enfant dans ce repas ? »</t>
  </si>
  <si>
    <t>poisson ; épinards ; refus ; scolaire ; entrée douce ; dessert repère ; compote ; yaourt ; éviter</t>
  </si>
  <si>
    <t>Concombre sauce douce ou crudité simple</t>
  </si>
  <si>
    <t>Poire mûre, compote ou laitage simple</t>
  </si>
  <si>
    <t>Entrée repère + dessert accepté</t>
  </si>
  <si>
    <t>Entrée trop acide ou dessert compliqué</t>
  </si>
  <si>
    <t>Rassurer les enfants sans déséquilibrer</t>
  </si>
  <si>
    <t>Préserver texture du poisson et service rapide</t>
  </si>
  <si>
    <t>Plat sensible = entrée douce + dessert repère</t>
  </si>
  <si>
    <t>connu</t>
  </si>
  <si>
    <t>repere</t>
  </si>
  <si>
    <t>rassurer</t>
  </si>
  <si>
    <t>agressive</t>
  </si>
  <si>
    <t>rassure</t>
  </si>
  <si>
    <t>aide</t>
  </si>
  <si>
    <t>Entrée et dessert entretiennent une texture trop molle</t>
  </si>
  <si>
    <t>Repérez la monotonie de texture et proposez une entrée ou un dessert qui apporte du contraste.</t>
  </si>
  <si>
    <t>Pourquoi tout fait trop mou, et que peux-tu mettre au début ou à la fin pour changer ?</t>
  </si>
  <si>
    <t>Le menu cumule velouté, hachis, purée et flan. L’entrée doit apporter une texture plus ferme ou croquante si le public peut mâcher : crudité, salade ou légume vinaigré. Le dessert peut être un fruit cru adapté. Il faut éviter de choisir encore un dessert lisse comme flan ou crème.</t>
  </si>
  <si>
    <t>Tout est mou : soupe, hachis, purée, flan. Si les convives peuvent mâcher, je mets une crudité, une salade ou un fruit. J’évite encore un dessert lisse.</t>
  </si>
  <si>
    <t>Si la réponse parle seulement couleur, demander ce que l’on mâche réellement.</t>
  </si>
  <si>
    <t>Demander : « Qu’est-ce qui a de la tenue dans ce repas ? »</t>
  </si>
  <si>
    <t>mou ; velouté ; hachis ; purée ; flan ; crudité ; salade ; fruit cru ; éviter</t>
  </si>
  <si>
    <t>Crudité ou salade si public adapté</t>
  </si>
  <si>
    <t>Fruit cru adapté ou dessert avec texture</t>
  </si>
  <si>
    <t>Élément croquant/ferme adapté</t>
  </si>
  <si>
    <t>Flan, crème ou compote si aucune contrainte de mastication</t>
  </si>
  <si>
    <t>Adapter au public avant d’ajouter du croquant</t>
  </si>
  <si>
    <t>Vérifier faisabilité service des crudités</t>
  </si>
  <si>
    <t>Tout mou = ajouter contraste si possible</t>
  </si>
  <si>
    <t>lisse</t>
  </si>
  <si>
    <t>tout</t>
  </si>
  <si>
    <t>ferme</t>
  </si>
  <si>
    <t>Entrée et dessert doivent être compatibles avec prescription et texture</t>
  </si>
  <si>
    <t>Analysez pourquoi les correcteurs entrée-dessert doivent être vérifiés en contexte hospitalier.</t>
  </si>
  <si>
    <t>Pourquoi à l’hôpital on ne choisit pas crudités et tarte pareil pour tout le monde ?</t>
  </si>
  <si>
    <t>En hospitalier, l’entrée et le dessert doivent être compatibles avec la prescription, la texture et la capacité de mastication. Les crudités, frites, fromage et tarte peuvent être inadaptés selon le patient. Il faut choisir une entrée et un dessert adaptés : légume cuit, compote, laitage ou fruit selon consigne. Il faut éviter de généraliser un menu unique.</t>
  </si>
  <si>
    <t>À l’hôpital, il faut regarder la consigne. Les crudités ou la tarte ne vont pas à tout le monde. Je choisis une entrée et un dessert adaptés au régime, à la texture et à la personne.</t>
  </si>
  <si>
    <t>Si l’apprenant propose une correction générale, rappeler que la prescription prime.</t>
  </si>
  <si>
    <t>hospitalier ; prescription ; texture ; crudités ; tarte ; compote ; laitage ; adapter ; éviter</t>
  </si>
  <si>
    <t>Entrée compatible prescription : légume cuit, potage ou crudité adaptée</t>
  </si>
  <si>
    <t>Compote, laitage ou fruit adapté selon consigne</t>
  </si>
  <si>
    <t>Correcteur selon prescription</t>
  </si>
  <si>
    <t>Crudités/tarte systématiques pour tous</t>
  </si>
  <si>
    <t>Adapter au patient, régime et mastication</t>
  </si>
  <si>
    <t>Respecter consignes cuisine/soins/diététique</t>
  </si>
  <si>
    <t>Hospitalier = correcteur sous consigne</t>
  </si>
  <si>
    <t>legume cuit</t>
  </si>
  <si>
    <t>adaptee</t>
  </si>
  <si>
    <t>generaliser</t>
  </si>
  <si>
    <t>unique</t>
  </si>
  <si>
    <t>pas tout le monde</t>
  </si>
  <si>
    <t>systematique</t>
  </si>
  <si>
    <t>selon</t>
  </si>
  <si>
    <t>Entrée absente et dessert/fromage alourdissent un plat complet</t>
  </si>
  <si>
    <t>Expliquez pourquoi un plat complet exige des correcteurs légers plutôt que des ajouts lourds.</t>
  </si>
  <si>
    <t>Pourquoi après des lasagnes il vaut mieux mettre du frais qu’encore du fromage et de la crème ?</t>
  </si>
  <si>
    <t>Les lasagnes sont déjà un plat complet et dense. L’entrée doit apporter fraîcheur ou crudité si elle est prévue. Le dessert doit alléger avec un fruit. Il faut éviter pain, fromage et crème dessert qui ajoutent du lourd après un plat déjà riche.</t>
  </si>
  <si>
    <t>Les lasagnes calent déjà. Je mets du frais ou une crudité et je finis par un fruit. J’évite de remettre fromage et crème dessert.</t>
  </si>
  <si>
    <t>Si l’apprenant valide le fromage, demander ce qu’il ajoute réellement au repas.</t>
  </si>
  <si>
    <t>Demander : « Les lasagnes ne sont-elles pas déjà assez riches ? »</t>
  </si>
  <si>
    <t>lasagnes ; plat complet ; lourd ; fromage ; crème dessert ; crudité ; fruit ; éviter</t>
  </si>
  <si>
    <t>Plat complet / surcharge</t>
  </si>
  <si>
    <t>Crudité ou salade verte si besoin</t>
  </si>
  <si>
    <t>Entrée fraîche + fruit</t>
  </si>
  <si>
    <t>Pain, fromage, crème dessert en cumul</t>
  </si>
  <si>
    <t>Adapter à la satiété des collégiens</t>
  </si>
  <si>
    <t>Contrôler portions de plat complet</t>
  </si>
  <si>
    <t>Plat complet = correcteurs légers</t>
  </si>
  <si>
    <t>ajoute</t>
  </si>
  <si>
    <t>deja</t>
  </si>
  <si>
    <t>Répétition tomate/rouge sur entrée, plat et dessert</t>
  </si>
  <si>
    <t>Analysez les répétitions de couleur et proposez une entrée ou un dessert de contraste.</t>
  </si>
  <si>
    <t>Pourquoi même en été il ne faut pas mettre tomate et rouge partout ?</t>
  </si>
  <si>
    <t>Le menu est de saison mais répète tomate, rouge et acidité. L’entrée peut devenir concombre, melon ou salade verte. Le dessert peut être pêche, abricot ou fruit non rouge. Il faut éviter de répéter tomate/fraise si cela rend le repas monotone.</t>
  </si>
  <si>
    <t>C’est l’été, mais il y a du rouge partout. Je remplace l’entrée ou le dessert par une autre couleur : concombre, melon, pêche ou abricot.</t>
  </si>
  <si>
    <t>Si l’apprenant valide uniquement par la saison, demander ce que voit le convive dans l’assiette.</t>
  </si>
  <si>
    <t>Demander : « Combien de fois tu retrouves le rouge ? »</t>
  </si>
  <si>
    <t>tomate ; rouge ; repetition ; concombre ; melon ; peche ; abricot ; contraste ; éviter</t>
  </si>
  <si>
    <t>Répétition couleur</t>
  </si>
  <si>
    <t>Pêche, abricot ou fruit non rouge</t>
  </si>
  <si>
    <t>Contraste vert/jaune/orange</t>
  </si>
  <si>
    <t>Tomate et fraise en répétition</t>
  </si>
  <si>
    <t>Varier l’offre adulte d’été</t>
  </si>
  <si>
    <t>Préserver fraîcheur au service</t>
  </si>
  <si>
    <t>Même saison = couleurs variées</t>
  </si>
  <si>
    <t>autre</t>
  </si>
  <si>
    <t>repeter</t>
  </si>
  <si>
    <t>fraise</t>
  </si>
  <si>
    <t>varie</t>
  </si>
  <si>
    <t>change</t>
  </si>
  <si>
    <t>Repas chaud et dense, dessert trop lourd</t>
  </si>
  <si>
    <t>Proposez un correcteur de fraîcheur pour alléger ce menu d’hiver.</t>
  </si>
  <si>
    <t>Pourquoi ce menu d’hiver a besoin de frais à l’entrée ou au dessert ?</t>
  </si>
  <si>
    <t>Le menu est cohérent en hiver mais il est chaud et dense. L’entrée doit apporter une crudité d’hiver, par exemple carotte, betterave ou chou rouge. Le dessert doit plutôt être un fruit comme agrume, pomme ou poire. Il faut éviter le riz au lait si le repas est déjà dense.</t>
  </si>
  <si>
    <t>C’est un menu d’hiver, mais tout est chaud et lourd. Je mets une crudité d’hiver ou un fruit. J’évite le riz au lait qui rajoute encore du lourd.</t>
  </si>
  <si>
    <t>Si l’apprenant conserve le riz au lait, demander s’il allège réellement le repas.</t>
  </si>
  <si>
    <t>Demander : « Où est le frais dans ce menu ? »</t>
  </si>
  <si>
    <t>hiver ; dense ; chaud ; crudite ; betterave ; chou rouge ; agrume ; riz au lait ; éviter</t>
  </si>
  <si>
    <t>Manque de fraîcheur</t>
  </si>
  <si>
    <t>Crudité d’hiver + fruit</t>
  </si>
  <si>
    <t>Riz au lait après repas dense</t>
  </si>
  <si>
    <t>Repas plus digeste en entreprise</t>
  </si>
  <si>
    <t>Organiser crudités d’hiver en production</t>
  </si>
  <si>
    <t>Hiver lourd = crudité ou fruit</t>
  </si>
  <si>
    <t>Entrée et dessert trop durs sans adaptation</t>
  </si>
  <si>
    <t>Analysez le rôle de l’entrée et du dessert pour sécuriser ce menu petite enfance.</t>
  </si>
  <si>
    <t>Pourquoi radis et pomme crue doivent être adaptés pour les petits ?</t>
  </si>
  <si>
    <t>Pour la petite enfance, l’entrée et le dessert doivent respecter la mastication et la sécurité. Le radis et la pomme crue peuvent être trop durs. Il faut adapter la texture : légume râpé fin, cuit ou potage, et compote ou fruit adapté. Il faut éviter les morceaux durs non adaptés.</t>
  </si>
  <si>
    <t>Pour les petits, radis et pomme crue peuvent être trop durs. Je choisis une entrée plus facile et un dessert adapté comme une compote.</t>
  </si>
  <si>
    <t>Si l’apprenant parle seulement équilibre, le ramener sur taille des morceaux et sécurité.</t>
  </si>
  <si>
    <t>Demander : « Est-ce qu’un tout-petit peut croquer ça sans risque ? »</t>
  </si>
  <si>
    <t>petite enfance ; radis ; pomme crue ; dur ; compote ; texture ; sécurité ; éviter</t>
  </si>
  <si>
    <t>Petite enfance / texture</t>
  </si>
  <si>
    <t>Entrée adaptée : légume râpé fin, cuit ou potage</t>
  </si>
  <si>
    <t>Texture adaptée à l’âge</t>
  </si>
  <si>
    <t>Morceaux durs non adaptés</t>
  </si>
  <si>
    <t>Adapter selon âge et mastication</t>
  </si>
  <si>
    <t>Vérifier arêtes du poisson et taille des morceaux</t>
  </si>
  <si>
    <t>Petits = texture sécurisée</t>
  </si>
  <si>
    <t>morceaux durs</t>
  </si>
  <si>
    <t>Adolescents</t>
  </si>
  <si>
    <t>Menu léger, entrée et dessert ne renforcent pas assez la satiété</t>
  </si>
  <si>
    <t>Analysez comment entrée et dessert peuvent compléter un menu trop léger pour adolescents.</t>
  </si>
  <si>
    <t>Pourquoi ce menu risque de ne pas assez caler, et quels correcteurs tu choisis ?</t>
  </si>
  <si>
    <t>Le menu est léger pour des adolescents : salade verte, omelette nature, haricots verts et yaourt. L’entrée peut devenir plus complète, ou la garniture doit intégrer un féculent. Le dessert peut rester un laitage, mais il ne suffit pas à corriger seul. Il faut éviter une entrée trop légère si le plat manque déjà de satiété.</t>
  </si>
  <si>
    <t>Ça ne cale pas assez. Je mets une entrée plus complète ou un féculent avec le plat. Le yaourt peut rester, mais il ne corrige pas tout seul.</t>
  </si>
  <si>
    <t>Si l’apprenant ajoute seulement un dessert riche, demander si le repas est correctement construit.</t>
  </si>
  <si>
    <t>Demander : « Qu’est-ce qui va caler les ados ? »</t>
  </si>
  <si>
    <t>adolescents ; léger ; satiété ; salade verte ; omelette ; féculent ; laitage ; éviter</t>
  </si>
  <si>
    <t>Satiété insuffisante</t>
  </si>
  <si>
    <t>Laitage conservé ou fruit + laitage selon besoin</t>
  </si>
  <si>
    <t>Entrée complète ou ajout de féculent</t>
  </si>
  <si>
    <t>Salade verte seule comme entrée trop légère</t>
  </si>
  <si>
    <t>Adapter à l’appétit adolescent</t>
  </si>
  <si>
    <t>Garder production simple et portions adaptées</t>
  </si>
  <si>
    <t>Menu léger = entrée ou garniture qui cale</t>
  </si>
  <si>
    <t>seule</t>
  </si>
  <si>
    <t>suffit</t>
  </si>
  <si>
    <t>Potage clair ; poisson mixé ; purée blanche ; fromage blanc</t>
  </si>
  <si>
    <t>Menu adapté en texture mais très blanc et peu appétent</t>
  </si>
  <si>
    <t>Proposez un correcteur entrée-dessert pour préserver couleur et appétence en texture adaptée.</t>
  </si>
  <si>
    <t>Pourquoi même en texture adaptée il faut de la couleur et un dessert qui donne envie ?</t>
  </si>
  <si>
    <t>Le menu est peut-être adapté en texture, mais il est très blanc. L’entrée doit apporter une couleur lisible, par exemple velouté de carotte ou betterave adaptée. Le dessert doit être coloré ou enrichi selon besoin. Il faut éviter fromage blanc si l’ensemble est déjà blanc, sauf objectif nutritionnel précis.</t>
  </si>
  <si>
    <t>Même mixé ou adapté, il ne faut pas que tout soit blanc. Je mets une entrée colorée et un dessert coloré ou enrichi si besoin. J’évite encore du fromage blanc.</t>
  </si>
  <si>
    <t>Si l’apprenant répond uniquement texture, demander s’il y a plaisir visuel.</t>
  </si>
  <si>
    <t>Demander : « Est-ce que ça donne envie à regarder ? »</t>
  </si>
  <si>
    <t>EHPAD ; texture adaptée ; blanc ; couleur ; velouté carotte ; dessert enrichi ; fromage blanc ; éviter</t>
  </si>
  <si>
    <t>Texture adaptée / couleur</t>
  </si>
  <si>
    <t>Velouté coloré adapté : carotte, betterave, légumes verts</t>
  </si>
  <si>
    <t>Dessert coloré ou enrichi selon besoin</t>
  </si>
  <si>
    <t>Couleur + nutrition adaptée</t>
  </si>
  <si>
    <t>Fromage blanc si tout est déjà blanc</t>
  </si>
  <si>
    <t>Maintenir dignité, appétit et sécurité</t>
  </si>
  <si>
    <t>Respecter texture prescrite et présentation</t>
  </si>
  <si>
    <t>nutrition</t>
  </si>
  <si>
    <t>deja blanc</t>
  </si>
  <si>
    <t>tout blanc</t>
  </si>
  <si>
    <t>regarder</t>
  </si>
  <si>
    <t>Charcuterie ; rôti de porc ; purée ; fromage ; dessert lacté</t>
  </si>
  <si>
    <t>Entrée et fromage répètent porc/gras/salé</t>
  </si>
  <si>
    <t>Analysez pourquoi la charcuterie est un faux correcteur dans ce menu et proposez une entrée plus utile.</t>
  </si>
  <si>
    <t>Pourquoi charcuterie + porc + fromage, ça fait trop dans un collège ?</t>
  </si>
  <si>
    <t>Le menu cumule charcuterie, porc et fromage. L’entrée ne corrige rien : elle ajoute gras, sel et restriction possible. Il faut préférer une crudité ou une entrée de légumes. Le dessert peut être un fruit ou un laitage selon le reste. Il faut éviter la charcuterie comme entrée avec un plat de porc.</t>
  </si>
  <si>
    <t>Il y a porc en entrée et en plat, plus du fromage. La charcuterie n’aide pas le menu. Je mets une crudité et je prévois un fruit ou un dessert simple.</t>
  </si>
  <si>
    <t>Si l’apprenant garde la charcuterie, demander ce qu’elle corrige vraiment.</t>
  </si>
  <si>
    <t>Demander : « Que mange l’élève qui ne prend pas de porc ? »</t>
  </si>
  <si>
    <t>porc ; charcuterie ; fromage ; gras ; sel ; crudité ; fruit ; éviter ; sans porc</t>
  </si>
  <si>
    <t>Faux correcteur charcuterie</t>
  </si>
  <si>
    <t>Crudité ou entrée de légumes sans porc</t>
  </si>
  <si>
    <t>Entrée végétale sans porc</t>
  </si>
  <si>
    <t>Charcuterie avec plat de porc</t>
  </si>
  <si>
    <t>Adapter à public mixte et restrictions</t>
  </si>
  <si>
    <t>Prévoir alternative et limiter sel/gras</t>
  </si>
  <si>
    <t>Porc + porc = mauvais correcteur</t>
  </si>
  <si>
    <t>vegetale</t>
  </si>
  <si>
    <t>utile</t>
  </si>
  <si>
    <t>repete</t>
  </si>
  <si>
    <t>corrige rien</t>
  </si>
  <si>
    <t>n aide pas</t>
  </si>
  <si>
    <t>Taboulé ; couscous végétarien ; semoule ; yaourt ; gâteau semoule</t>
  </si>
  <si>
    <t>Trop de céréales/féculents jusque dans le dessert</t>
  </si>
  <si>
    <t>Repérez les répétitions de féculents et proposez un dessert correcteur.</t>
  </si>
  <si>
    <t>Pourquoi il y a trop de semoule ou féculent dans ce repas ?</t>
  </si>
  <si>
    <t>Le menu répète céréales et féculents : taboulé, couscous/semoule et gâteau de semoule. L’entrée devrait être une crudité non féculente ou une salade de légumes. Le dessert doit être un fruit. Il faut éviter le gâteau de semoule qui ajoute la même famille.</t>
  </si>
  <si>
    <t>Il y a de la semoule partout. Je mets une entrée de légumes et un fruit en dessert. J’évite le gâteau de semoule.</t>
  </si>
  <si>
    <t>Si l’apprenant valide le yaourt, demander quel élément corrige la répétition des féculents.</t>
  </si>
  <si>
    <t>Demander : « Combien de fois tu retrouves semoule ou céréales ? »</t>
  </si>
  <si>
    <t>féculent ; semoule ; taboulé ; couscous ; gâteau semoule ; fruit ; légumes ; éviter</t>
  </si>
  <si>
    <t>Répétition féculents</t>
  </si>
  <si>
    <t>Crudité ou salade de légumes non féculente</t>
  </si>
  <si>
    <t>Légume + fruit</t>
  </si>
  <si>
    <t>Gâteau de semoule après couscous</t>
  </si>
  <si>
    <t>Rendre le repas plus digeste</t>
  </si>
  <si>
    <t>Organiser quantités de céréales</t>
  </si>
  <si>
    <t>Trop féculent = fruit, pas gâteau semoule</t>
  </si>
  <si>
    <t>pas gateau</t>
  </si>
  <si>
    <t>non feculent</t>
  </si>
  <si>
    <t>gateau semoule</t>
  </si>
  <si>
    <t>meme famille</t>
  </si>
  <si>
    <t>meme</t>
  </si>
  <si>
    <t>Salade César riche ; gratin de pâtes jambon fromage ; fromage ; éclair chocolat</t>
  </si>
  <si>
    <t>Entrée déjà riche, dessert et fromage aggravent le menu</t>
  </si>
  <si>
    <t>Analysez les faux correcteurs dans un menu déjà riche dès l’entrée.</t>
  </si>
  <si>
    <t>Pourquoi une salade peut être un faux correcteur si elle est trop riche ?</t>
  </si>
  <si>
    <t>La salade César est une entrée riche si elle contient sauce, fromage, croûtons et protéines. Elle ne corrige pas un gratin de pâtes jambon fromage. Il faut une crudité simple ou légume assaisonné légèrement, puis un fruit en dessert. Il faut éviter fromage et pâtisserie après un plat déjà fromagé.</t>
  </si>
  <si>
    <t>La salade n’est pas forcément légère. Si elle est riche, elle rajoute du lourd. Je mets une crudité simple et un fruit. J’évite fromage et éclair après un gratin fromage.</t>
  </si>
  <si>
    <t>Si l’apprenant écrit « salade = léger », demander ce qu’il y a dans la salade.</t>
  </si>
  <si>
    <t>Demander : « Une salade avec sauce, fromage et croûtons, est-ce vraiment léger ? »</t>
  </si>
  <si>
    <t>salade riche ; gratin ; fromage ; pâtisserie ; crudité simple ; fruit ; éviter</t>
  </si>
  <si>
    <t>Faux correcteur entrée riche</t>
  </si>
  <si>
    <t>Crudité simple ou légume légèrement assaisonné</t>
  </si>
  <si>
    <t>Entrée simple + fruit</t>
  </si>
  <si>
    <t>Salade César riche, fromage et pâtisserie</t>
  </si>
  <si>
    <t>Adapter à adultes sans alourdir</t>
  </si>
  <si>
    <t>Limiter sauces et préparations fromagères</t>
  </si>
  <si>
    <t>Salade riche ≠ correcteur léger</t>
  </si>
  <si>
    <t>crudite simple</t>
  </si>
  <si>
    <t>pas patisserie</t>
  </si>
  <si>
    <t>eclair</t>
  </si>
  <si>
    <t>pas leger</t>
  </si>
  <si>
    <t>Velouté ; bœuf haché sauce ; purée ; haricots verts fondants ; fruit cru dur</t>
  </si>
  <si>
    <t>Dessert peu adapté à la mastication malgré plat correct</t>
  </si>
  <si>
    <t>Analysez le rôle du dessert dans l’adaptation d’un menu personne âgée.</t>
  </si>
  <si>
    <t>Pourquoi le dessert doit aussi être adapté, même si le plat est bien saucé ?</t>
  </si>
  <si>
    <t>Le plat est mieux adapté grâce à la sauce et aux textures fondantes, mais un fruit cru dur peut limiter la consommation. Le dessert doit être compote, fruit cuit ou dessert lacté adapté. Il faut éviter un fruit dur si la mastication est fragile.</t>
  </si>
  <si>
    <t>Le plat est assez moelleux, mais le fruit cru peut être trop dur. Je mets une compote, un fruit cuit ou un dessert lacté adapté.</t>
  </si>
  <si>
    <t>Si l’apprenant s’arrête au plat, demander ce qui se passe au dessert.</t>
  </si>
  <si>
    <t>Demander : « Est-ce que le dessert est aussi facile à manger que le plat ? »</t>
  </si>
  <si>
    <t>personnes âgées ; fruit dur ; compote ; fruit cuit ; dessert lacté ; mastication ; éviter</t>
  </si>
  <si>
    <t>Dessert non adapté</t>
  </si>
  <si>
    <t>Entrée fondante ou potage déjà adaptée</t>
  </si>
  <si>
    <t>Compote, fruit cuit ou dessert lacté</t>
  </si>
  <si>
    <t>Dessert facile à manger</t>
  </si>
  <si>
    <t>Fruit cru dur</t>
  </si>
  <si>
    <t>Adapter mastication et appétit</t>
  </si>
  <si>
    <t>Garantir service à bonne température</t>
  </si>
  <si>
    <t>Dessert aussi adapté que le plat</t>
  </si>
  <si>
    <t>fruit dur</t>
  </si>
  <si>
    <t>fondante</t>
  </si>
  <si>
    <t>fruit cuit</t>
  </si>
  <si>
    <t>Betteraves ; chili doux ; riz ; yaourt nature ; pomme</t>
  </si>
  <si>
    <t>Entrée couleur correcte mais dessert peut mieux apaiser un plat épicé</t>
  </si>
  <si>
    <t>Analysez le rôle du dessert dans l’acceptabilité d’un plat légèrement épicé.</t>
  </si>
  <si>
    <t>Pourquoi un laitage peut aider après un plat épicé doux ?</t>
  </si>
  <si>
    <t>Le chili doux peut être accepté si l’assaisonnement est maîtrisé. L’entrée apporte déjà une couleur. Le dessert peut être un laitage simple pour apaiser le plat, ou un fruit doux selon équilibre. Il faut éviter un dessert trop acide si le plat est déjà marqué.</t>
  </si>
  <si>
    <t>Avec un chili même doux, un yaourt peut aider à calmer. Je garde une entrée colorée et je choisis un dessert doux. J’évite quelque chose de trop acide.</t>
  </si>
  <si>
    <t>Si l’apprenant impose fruit systématiquement, demander ce que le dessert doit corriger ici.</t>
  </si>
  <si>
    <t>Demander : « Le dessert doit-il rafraîchir, calmer ou nourrir ? »</t>
  </si>
  <si>
    <t>chili ; épicé ; laitage ; yaourt ; doux ; acide ; apaiser ; entrée colorée ; éviter</t>
  </si>
  <si>
    <t>Entrée colorée douce : betterave ou carotte</t>
  </si>
  <si>
    <t>Yaourt, fromage blanc ou fruit doux</t>
  </si>
  <si>
    <t>Laitage apaisant selon équilibre</t>
  </si>
  <si>
    <t>Dessert trop acide</t>
  </si>
  <si>
    <t>Adapter goût au public primaire</t>
  </si>
  <si>
    <t>Dosage épices et maintien sauce</t>
  </si>
  <si>
    <t>Plat épicé = dessert doux possible</t>
  </si>
  <si>
    <t>epice</t>
  </si>
  <si>
    <t>calmer</t>
  </si>
  <si>
    <t>apaiser</t>
  </si>
  <si>
    <t>calme</t>
  </si>
  <si>
    <t>trop acide</t>
  </si>
  <si>
    <t>apaise</t>
  </si>
  <si>
    <t>Carottes râpées ; sauté de veau crème ; riz ; fromage blanc ; île flottante</t>
  </si>
  <si>
    <t>Répétition lait/crème/blanc sur plat et desserts</t>
  </si>
  <si>
    <t>Analysez les répétitions de produits laitiers et de blanc, puis proposez un dessert plus correcteur.</t>
  </si>
  <si>
    <t>Pourquoi crème + fromage blanc + île flottante, ça fait trop laitier et trop blanc ?</t>
  </si>
  <si>
    <t>Le sauté crème, le fromage blanc et l’île flottante répètent les produits laitiers et la couleur blanche. L’entrée carotte apporte couleur, mais le dessert doit plutôt être un fruit. Il faut éviter de cumuler fromage blanc et dessert lacté après une sauce crème.</t>
  </si>
  <si>
    <t>Il y a trop de crème et de desserts blancs. Je garde l’entrée carotte et je remplace le dessert par un fruit. J’évite fromage blanc plus île flottante.</t>
  </si>
  <si>
    <t>Si l’apprenant ne voit que la carotte, demander de suivre les produits laitiers sur tout le menu.</t>
  </si>
  <si>
    <t>Demander : « Combien de fois tu retrouves crème ou lait ? »</t>
  </si>
  <si>
    <t>crème ; blanc ; fromage blanc ; île flottante ; laitier ; fruit ; éviter</t>
  </si>
  <si>
    <t>Répétition laitière</t>
  </si>
  <si>
    <t>Entrée colorée déjà utile : carottes</t>
  </si>
  <si>
    <t>Fruit plutôt que double laitage</t>
  </si>
  <si>
    <t>Fromage blanc + île flottante après crème</t>
  </si>
  <si>
    <t>Alléger pour adultes</t>
  </si>
  <si>
    <t>Maîtriser sauce crème et desserts lactés</t>
  </si>
  <si>
    <t>Crème au plat = dessert fruité</t>
  </si>
  <si>
    <t>laitier</t>
  </si>
  <si>
    <t>ile flottante</t>
  </si>
  <si>
    <t>cumule</t>
  </si>
  <si>
    <t>encore</t>
  </si>
  <si>
    <t>Céleri mayonnaise ; escalope de dinde grillée ; semoule ; yaourt ; biscuit</t>
  </si>
  <si>
    <t>Entrée grasse et dessert sec avec plat déjà sec</t>
  </si>
  <si>
    <t>Repérez pourquoi l’entrée et le dessert ne corrigent pas le plat sec.</t>
  </si>
  <si>
    <t>Pourquoi mayonnaise + biscuit ne vont pas aider une dinde déjà sèche ?</t>
  </si>
  <si>
    <t>L’escalope grillée avec semoule est sèche. Le céleri mayonnaise ajoute du gras sans apporter assez de fraîcheur utile, et le biscuit ajoute encore du sec. L’entrée devrait être une crudité juteuse et le dessert un fruit juteux ou une compote. Il faut éviter le biscuit comme dessert correcteur.</t>
  </si>
  <si>
    <t>La dinde et la semoule sont sèches. Le biscuit rajoute du sec et la mayonnaise rajoute du gras. Je mets une entrée fraîche et un fruit juteux ou une compote.</t>
  </si>
  <si>
    <t>Si l’apprenant propose juste une sauce au plat, demander aussi le rôle de l’entrée et du dessert.</t>
  </si>
  <si>
    <t>Demander : « Le biscuit corrige quoi ici ? »</t>
  </si>
  <si>
    <t>sec ; dinde ; semoule ; mayonnaise ; biscuit ; fruit juteux ; compote ; éviter</t>
  </si>
  <si>
    <t>Sécheresse / faux dessert</t>
  </si>
  <si>
    <t>Crudité juteuse ou salade fraîche</t>
  </si>
  <si>
    <t>Fruit juteux ou compote</t>
  </si>
  <si>
    <t>Frais + humide</t>
  </si>
  <si>
    <t>Biscuit sec après plat sec</t>
  </si>
  <si>
    <t>Adapter pour jeunes en CFA</t>
  </si>
  <si>
    <t>Prévoir sauce ou jus en production</t>
  </si>
  <si>
    <t>Plat sec = pas de dessert sec</t>
  </si>
  <si>
    <t>juteux</t>
  </si>
  <si>
    <t>fruit juteux</t>
  </si>
  <si>
    <t>biscuit</t>
  </si>
  <si>
    <t>mayonnaise</t>
  </si>
  <si>
    <t>Salade composée féculents ; pizza fromage ; fromage ; brownie</t>
  </si>
  <si>
    <t>Entrée, fromage et dessert renforcent un menu déjà dense</t>
  </si>
  <si>
    <t>Analysez pourquoi l’entrée féculente et le dessert pâtissier sont de mauvais correcteurs.</t>
  </si>
  <si>
    <t>Pourquoi salade de pâtes + pizza + fromage + brownie, ça fait trop ?</t>
  </si>
  <si>
    <t>La salade composée féculente, la pizza fromage, le fromage et le brownie cumulent féculents, fromage et produits riches. L’entrée doit devenir crudité ou légume frais. Le dessert doit être un fruit. Il faut éviter fromage et brownie car ils alourdissent la pizza.</t>
  </si>
  <si>
    <t>Il y a trop de pâtes, fromage et gâteau. Je mets une crudité en entrée et un fruit en dessert. J’évite fromage et brownie avec la pizza.</t>
  </si>
  <si>
    <t>Si l’apprenant dit salade composée = entrée correcte, demander de regarder sa composition.</t>
  </si>
  <si>
    <t>Demander : « C’est une salade de quoi ? Des légumes ou encore des féculents ? »</t>
  </si>
  <si>
    <t>pizza ; fromage ; brownie ; féculents ; crudité ; fruit ; éviter</t>
  </si>
  <si>
    <t>Surcharge féculents/fromage</t>
  </si>
  <si>
    <t>Crudité ou salade de légumes</t>
  </si>
  <si>
    <t>Entrée végétale + fruit</t>
  </si>
  <si>
    <t>Salade de féculents, fromage et brownie</t>
  </si>
  <si>
    <t>Adapter à l’appétit sans surcharge</t>
  </si>
  <si>
    <t>Service simple, limiter produits riches</t>
  </si>
  <si>
    <t>Pizza = frais autour</t>
  </si>
  <si>
    <t>pas brownie</t>
  </si>
  <si>
    <t>brownie</t>
  </si>
  <si>
    <t>Melon ; salade niçoise complète ; fromage ; tarte aux fruits</t>
  </si>
  <si>
    <t>Entrée et dessert peuvent être corrects mais fromage est inutile</t>
  </si>
  <si>
    <t>Déterminez si le fromage a une fonction dans ce menu complet d’été.</t>
  </si>
  <si>
    <t>Pourquoi le fromage n’est pas toujours obligatoire si le menu est déjà complet ?</t>
  </si>
  <si>
    <t>Le melon apporte fraîcheur, la salade niçoise est un plat complet et la tarte aux fruits peut apporter plaisir. Le fromage n’a pas forcément de fonction si le menu est déjà dense. Il faut éviter de l’ajouter automatiquement. Selon le besoin, un fruit simple peut remplacer la tarte si le repas doit être plus léger.</t>
  </si>
  <si>
    <t>Le fromage ne sert pas toujours. Si la salade est déjà complète, je ne rajoute pas forcément du fromage. Je regarde si le dessert doit être fruit ou plaisir.</t>
  </si>
  <si>
    <t>Si l’apprenant garde systématiquement fromage, demander quelle fonction il corrige.</t>
  </si>
  <si>
    <t>Demander : « Le fromage corrige quoi dans ce menu ? »</t>
  </si>
  <si>
    <t>fromage ; fonction ; inutile ; melon ; salade complète ; fruit ; dessert plaisir ; éviter</t>
  </si>
  <si>
    <t>Fromage inutile / menu complet</t>
  </si>
  <si>
    <t>Melon ou entrée fraîche déjà cohérente</t>
  </si>
  <si>
    <t>Fruit simple ou tarte selon équilibre</t>
  </si>
  <si>
    <t>Ne pas ajouter fromage sans fonction</t>
  </si>
  <si>
    <t>Fromage automatique sans besoin</t>
  </si>
  <si>
    <t>Adapter selon adulte, chaleur et satiété</t>
  </si>
  <si>
    <t>Maintenir chaîne froide des salades</t>
  </si>
  <si>
    <t>Fromage seulement s’il sert le menu</t>
  </si>
  <si>
    <t>inutile</t>
  </si>
  <si>
    <t>sert</t>
  </si>
  <si>
    <t>obligatoire</t>
  </si>
  <si>
    <t>plaisir</t>
  </si>
  <si>
    <t>fonction</t>
  </si>
  <si>
    <t>automatique</t>
  </si>
  <si>
    <t>sans fonction</t>
  </si>
  <si>
    <t>ne sert pas</t>
  </si>
  <si>
    <t>regarde</t>
  </si>
  <si>
    <t>Salade verte ; curry de pois chiches ; riz ; fruit acide</t>
  </si>
  <si>
    <t>Dessert acide après plat épicé, entrée peu sécurisante</t>
  </si>
  <si>
    <t>Analysez comment choisir entrée et dessert pour rendre un plat de légumineuses plus acceptable en primaire.</t>
  </si>
  <si>
    <t>Pourquoi avec un curry de pois chiches il vaut mieux un dessert doux ?</t>
  </si>
  <si>
    <t>Le curry de pois chiches peut être accepté si le goût est doux et bien présenté. L’entrée devrait être simple et colorée, pas trop amère. Le dessert doit être doux : laitage ou fruit mûr. Il faut éviter un fruit trop acide qui peut durcir la perception du repas.</t>
  </si>
  <si>
    <t>Avec un curry, je garde une entrée simple et je choisis un dessert doux. J’évite un fruit trop acide si le plat a déjà du goût.</t>
  </si>
  <si>
    <t>Si l’apprenant parle seulement protéines végétales, demander comment le repas sera accepté par des enfants.</t>
  </si>
  <si>
    <t>Demander : « Qu’est-ce qui rend ce plat plus facile à accepter ? »</t>
  </si>
  <si>
    <t>curry ; pois chiches ; primaire ; dessert doux ; laitage ; fruit mûr ; acide ; éviter</t>
  </si>
  <si>
    <t>Acceptabilité légumineuses</t>
  </si>
  <si>
    <t>Entrée simple et colorée</t>
  </si>
  <si>
    <t>Laitage ou fruit mûr doux</t>
  </si>
  <si>
    <t>Dessert doux apaisant</t>
  </si>
  <si>
    <t>Fruit trop acide</t>
  </si>
  <si>
    <t>Adapter goût à des enfants</t>
  </si>
  <si>
    <t>Maîtriser épices et texture pois chiches</t>
  </si>
  <si>
    <t>Plat végétal marqué = dessert doux</t>
  </si>
  <si>
    <t>fruit mur</t>
  </si>
  <si>
    <t>perception</t>
  </si>
  <si>
    <t>Œufs durs béchamel ; épinards ; pommes vapeur ; fromage blanc</t>
  </si>
  <si>
    <t>Menu pâle et lacté, dessert mal choisi</t>
  </si>
  <si>
    <t>Analysez pourquoi le fromage blanc renforce le défaut de ce menu et proposez un dessert correcteur.</t>
  </si>
  <si>
    <t>Pourquoi œufs béchamel + fromage blanc, ça rajoute encore du blanc ?</t>
  </si>
  <si>
    <t>Les œufs béchamel et pommes vapeur donnent une dominante claire, avec sauce blanche. Le fromage blanc renforce le blanc et le laitage. L’entrée ou le dessert doit apporter couleur et fraîcheur : crudité colorée ou fruit. Il faut éviter un dessert blanc si le repas est déjà blanc.</t>
  </si>
  <si>
    <t>Il y a déjà du blanc avec les œufs, la béchamel et les pommes de terre. Je mets un fruit ou une entrée colorée. J’évite le fromage blanc.</t>
  </si>
  <si>
    <t>Si l’apprenant propose seulement épinards, demander si le dessert corrige ou renforce.</t>
  </si>
  <si>
    <t>Demander : « Le fromage blanc aide ou rajoute le même problème ? »</t>
  </si>
  <si>
    <t>œufs ; béchamel ; blanc ; fromage blanc ; fruit ; crudité colorée ; éviter</t>
  </si>
  <si>
    <t>Blanc / laitage</t>
  </si>
  <si>
    <t>Crudité colorée : carotte, betterave, chou rouge</t>
  </si>
  <si>
    <t>Fruit coloré</t>
  </si>
  <si>
    <t>Couleur + fraîcheur</t>
  </si>
  <si>
    <t>Fromage blanc après béchamel</t>
  </si>
  <si>
    <t>Adapter à adultes sans monotonie</t>
  </si>
  <si>
    <t>Surveiller tenue béchamel</t>
  </si>
  <si>
    <t>Sauce blanche = dessert coloré</t>
  </si>
  <si>
    <t>fraicheur</t>
  </si>
  <si>
    <t>dessert blanc</t>
  </si>
  <si>
    <t>Soupe de légumes ; galette végétale ; salade verte ; compote</t>
  </si>
  <si>
    <t>Repas végétarien correct mais trop léger et peu rassasiant</t>
  </si>
  <si>
    <t>Proposez un correcteur d’entrée ou dessert pour renforcer un menu végétarien trop léger.</t>
  </si>
  <si>
    <t>Pourquoi soupe + galette + salade + compote peut ne pas assez caler ?</t>
  </si>
  <si>
    <t>Le menu est végétarien mais peut manquer de satiété. L’entrée soupe et la salade restent légères. Il faut ajouter un féculent ou une entrée plus complète, et choisir un laitage ou dessert plus nourrissant si besoin. Il faut éviter de compter la compote comme seul correcteur de satiété.</t>
  </si>
  <si>
    <t>Ça peut être trop léger. Je mets une entrée plus complète ou un féculent, et un laitage si besoin. La compote seule ne cale pas assez.</t>
  </si>
  <si>
    <t>Si l’apprenant ajoute uniquement sauce, demander ce qui apporte la satiété.</t>
  </si>
  <si>
    <t>Demander : « Qu’est-ce qui cale dans ce repas ? »</t>
  </si>
  <si>
    <t>végétarien ; léger ; satiété ; galette ; compote ; laitage ; entrée complète ; éviter</t>
  </si>
  <si>
    <t>Végétarien léger</t>
  </si>
  <si>
    <t>Entrée plus complète ou complément féculent</t>
  </si>
  <si>
    <t>Laitage ou dessert plus nourrissant selon besoin</t>
  </si>
  <si>
    <t>Renforcer satiété</t>
  </si>
  <si>
    <t>Compote seule comme correcteur de satiété</t>
  </si>
  <si>
    <t>Adapter à étudiants</t>
  </si>
  <si>
    <t>Tenue des galettes végétales</t>
  </si>
  <si>
    <t>Végé léger = correcteur qui cale</t>
  </si>
  <si>
    <t>renforcer</t>
  </si>
  <si>
    <t>compote seule</t>
  </si>
  <si>
    <t>ne cale pas</t>
  </si>
  <si>
    <t>Poireaux vinaigrette ; tartiflette ; fromage ; fondant chocolat</t>
  </si>
  <si>
    <t>Faux correcteurs après plat très riche</t>
  </si>
  <si>
    <t>Analysez pourquoi fromage et fondant sont de mauvais correcteurs après une tartiflette.</t>
  </si>
  <si>
    <t>Pourquoi après une tartiflette il faut éviter fromage et gâteau riche ?</t>
  </si>
  <si>
    <t>La tartiflette est déjà très riche en pommes de terre, fromage et matière grasse. L’entrée peut rester poireaux vinaigrette si elle apporte fraîcheur. Le dessert doit être un fruit. Il faut éviter fromage et fondant chocolat qui alourdissent fortement le repas.</t>
  </si>
  <si>
    <t>La tartiflette est déjà très riche. Je garde une entrée fraîche et je mets un fruit. J’évite fromage et fondant chocolat.</t>
  </si>
  <si>
    <t>Si l’apprenant dit que le fromage est obligatoire, demander ce qu’il corrige après une tartiflette.</t>
  </si>
  <si>
    <t>Demander : « La tartiflette contient déjà quoi ? Fromage ? gras ? pommes de terre ? »</t>
  </si>
  <si>
    <t>tartiflette ; riche ; fromage ; fondant ; poireaux ; fruit ; éviter ; lourd</t>
  </si>
  <si>
    <t>Plat très riche</t>
  </si>
  <si>
    <t>Poireaux vinaigrette ou crudité fraîche</t>
  </si>
  <si>
    <t>Fromage et fondant chocolat</t>
  </si>
  <si>
    <t>Adapter à repas adulte sans surcharge</t>
  </si>
  <si>
    <t>Gérer plat riche et service chaud</t>
  </si>
  <si>
    <t>Plat très riche = dessert fruit</t>
  </si>
  <si>
    <t>tartiflette</t>
  </si>
  <si>
    <t>poireaux</t>
  </si>
  <si>
    <t>Concombre ; jambon froid ; chips ; glace</t>
  </si>
  <si>
    <t>Menu froid attractif mais entrée/dessert ne corrigent pas assez l’équilibre</t>
  </si>
  <si>
    <t>Expliquez comment rendre ce menu froid plus correcteur sans perdre l’acceptabilité.</t>
  </si>
  <si>
    <t>Pourquoi chips + glace ne suffisent pas à faire un bon menu d’été ?</t>
  </si>
  <si>
    <t>Le menu froid peut plaire, mais chips et glace n’apportent pas de correction suffisante. L’entrée concombre apporte fraîcheur mais il faut une garniture plus utile que chips, et le dessert peut être fruit ou laitage glacé maîtrisé selon contexte. Il faut éviter chips + glace comme double repère plaisir sans équilibre.</t>
  </si>
  <si>
    <t>Ça peut plaire, mais chips et glace font trop plaisir sans équilibre. Je garde du frais, je remplace les chips par une garniture plus utile et je mets un fruit ou un dessert maîtrisé.</t>
  </si>
  <si>
    <t>Si l’apprenant garde chips/glace, demander quelle fonction corrective elles ont.</t>
  </si>
  <si>
    <t>Demander : « Qu’est-ce que les chips corrigent vraiment ? »</t>
  </si>
  <si>
    <t>froid ; chips ; glace ; concombre ; fruit ; équilibre ; plaisir ; éviter</t>
  </si>
  <si>
    <t>Menu plaisir / faux correcteur</t>
  </si>
  <si>
    <t>Concombre ou crudité fraîche</t>
  </si>
  <si>
    <t>Fruit d’été ou dessert plaisir maîtrisé</t>
  </si>
  <si>
    <t>Fraîcheur + fruit/garniture utile</t>
  </si>
  <si>
    <t>Chips + glace en cumul</t>
  </si>
  <si>
    <t>Adapter au primaire sans caricature</t>
  </si>
  <si>
    <t>Maintenir chaîne froide</t>
  </si>
  <si>
    <t>Plaisir oui, faux correcteurs non</t>
  </si>
  <si>
    <t>chips</t>
  </si>
  <si>
    <t>glace</t>
  </si>
  <si>
    <t>maitrise</t>
  </si>
  <si>
    <t>pas glace</t>
  </si>
  <si>
    <t>pas suffisant</t>
  </si>
  <si>
    <t>Menu correct mais triste, entrée et dessert peu expressifs</t>
  </si>
  <si>
    <t>Proposez une correction entrée-dessert pour rendre ce menu plus appétent sans le déséquilibrer.</t>
  </si>
  <si>
    <t>Pourquoi ce menu n’est pas faux mais manque d’envie ?</t>
  </si>
  <si>
    <t>Le menu est correct mais peu expressif : salade verte simple, dinde potentiellement sèche, pommes vapeur neutres et yaourt blanc. L’entrée doit apporter couleur, par exemple carottes ou betteraves. Le dessert peut être un fruit coloré ou un laitage si nécessaire. Il faut éviter de laisser entrée et dessert neutres quand le plat est déjà discret.</t>
  </si>
  <si>
    <t>Le menu n’est pas faux, mais il est triste. Je mets une entrée colorée et un fruit ou un dessert qui donne plus envie. J’évite de tout laisser vert, blanc et neutre.</t>
  </si>
  <si>
    <t>Si l’apprenant dit que le menu est équilibré, demander s’il est appétent.</t>
  </si>
  <si>
    <t>Demander : « Est-ce que cette assiette donne envie ? Où est la couleur ? »</t>
  </si>
  <si>
    <t>correct ; triste ; dinde ; pommes vapeur ; yaourt ; entrée colorée ; fruit ; éviter</t>
  </si>
  <si>
    <t>Menu correct mais triste</t>
  </si>
  <si>
    <t>Carottes râpées, betteraves ou crudité colorée</t>
  </si>
  <si>
    <t>Couleur + appétence</t>
  </si>
  <si>
    <t>Entrée et dessert trop neutres</t>
  </si>
  <si>
    <t>Adapter à tous publics</t>
  </si>
  <si>
    <t>Prévoir jus de dinde si sec</t>
  </si>
  <si>
    <t>Correct ≠ appétent</t>
  </si>
  <si>
    <t>appetent</t>
  </si>
  <si>
    <t>Méthode PLATS-CF — construire de vrais menus végétariens : base nourrissante, goût, couleur, satiété</t>
  </si>
  <si>
    <t>MODE D'EMPLOI — M06 MENUS VÉGÉTARIENS</t>
  </si>
  <si>
    <t>Saisir un numéro de question en B4 : 1 à 30.</t>
  </si>
  <si>
    <t>Lire le menu initial, le public, la saison et le problème principal.</t>
  </si>
  <si>
    <t>Les pâtes sauce tomate seules ne construisent pas un vrai plat végétarien. Il faut ajouter une base nourrissante comme lentilles corail, pois chiches ou haricots, renforcer la sauce avec légumes et herbes, puis garder un laitage ou un fruit selon l’équilibre.</t>
  </si>
  <si>
    <t>Les pâtes tomate seules ne calent pas assez. J’ajoute des lentilles, des pois chiches ou des haricots avec des légumes et du goût pour faire un vrai plat.</t>
  </si>
  <si>
    <t>Répondre en PRO ou CFA : repérer si le plat végétarien est faible ou mal construit.</t>
  </si>
  <si>
    <t>Proposer une vraie base nourrissante : légumineuse, céréale, œuf ou laitage selon contexte.</t>
  </si>
  <si>
    <t>Travailler goût, nom du plat, couleur, sauce et satiété.</t>
  </si>
  <si>
    <t>Saisir X en H4 pour afficher les réponses attendues et les mots-clés.</t>
  </si>
  <si>
    <t>La notation automatique est indicative : le formateur garde l'appréciation finale.</t>
  </si>
  <si>
    <t>Éviter les faux menus végétariens : viande retirée, pâtes seules, légumes seuls, assiette sèche.</t>
  </si>
  <si>
    <t>Objectif : un menu végétarien construit, acceptable, nourrissant et réalisable en production collective.</t>
  </si>
  <si>
    <t>Statut</t>
  </si>
  <si>
    <t>Document pédagogique — ne remplace pas les contrôles réglementaires ou nutritionnels détaillés.</t>
  </si>
  <si>
    <t>Base nourrissante</t>
  </si>
  <si>
    <t>Goût / sauce</t>
  </si>
  <si>
    <t>Plat végétarien trop faible : absence de vraie base nourrissante</t>
  </si>
  <si>
    <t>Analysez pourquoi ce menu végétarien est insuffisamment construit et proposez une base nourrissante crédible.</t>
  </si>
  <si>
    <t>Pourquoi ce menu végé risque-t-il de ne pas assez caler, et qu’est-ce que tu ajoutes dans le plat ?</t>
  </si>
  <si>
    <t>Si la réponse propose seulement du fromage, demander si le plat principal devient vraiment nourrissant ou seulement complété en fin de repas.</t>
  </si>
  <si>
    <t>Demander : « Qu’est-ce qui remplace vraiment la viande dans ton assiette ? Qu’est-ce qui va caler les élèves ? »</t>
  </si>
  <si>
    <t>Plat végétarien insuffisant 4 pts ; base nourrissante 4 pts ; association adaptée 4 pts ; goût/couleur/satiété 3 pts ; convive/contexte 3 pts ; justification 2 pts.</t>
  </si>
  <si>
    <t>végétarien ; pâtes ; tomate ; lentilles ; pois chiches ; haricots ; protéines ; satiété ; vrai plat ; adolescents</t>
  </si>
  <si>
    <t>M01 ; M02 ; M03 ; M05 ; M06</t>
  </si>
  <si>
    <t>Pâtes + lentilles corail, pois chiches ou haricots rouges</t>
  </si>
  <si>
    <t>Sauce tomate enrichie en légumes, herbes, épices douces</t>
  </si>
  <si>
    <t>Crudité colorée ou salade composée</t>
  </si>
  <si>
    <t>Yaourt, fromage blanc ou fruit selon équilibre</t>
  </si>
  <si>
    <t>Renforcer satiété et acceptabilité pour adolescents</t>
  </si>
  <si>
    <t>Cuisson des légumineuses et tenue de la sauce à maîtriser</t>
  </si>
  <si>
    <t>Végétarien = vrai plat, pas viande retirée</t>
  </si>
  <si>
    <t>Plat végétarien insuffisant repéré</t>
  </si>
  <si>
    <t>insuffisant</t>
  </si>
  <si>
    <t>Base nourrissante proposée</t>
  </si>
  <si>
    <t>Association adaptée</t>
  </si>
  <si>
    <t>oeuf</t>
  </si>
  <si>
    <t>Goût, couleur et satiété</t>
  </si>
  <si>
    <t>Convive / contexte pris en compte</t>
  </si>
  <si>
    <t>justifie</t>
  </si>
  <si>
    <t>coherent</t>
  </si>
  <si>
    <t>Potage de légumes ; riz aux légumes ; fromage blanc ; pomme</t>
  </si>
  <si>
    <t>Menu végétarien trop léger et peu protéique</t>
  </si>
  <si>
    <t>Repérez la faiblesse nutritionnelle et sensorielle de ce menu végétarien scolaire, puis proposez une correction simple.</t>
  </si>
  <si>
    <t>Pourquoi riz aux légumes ne suffit pas comme plat végé pour des enfants ?</t>
  </si>
  <si>
    <t>Le riz aux légumes apporte surtout féculent et légumes, mais manque de base protéique. Il faut ajouter œuf, lentilles, pois chiches ou haricots selon l’acceptabilité, travailler le goût avec une sauce douce et garder un dessert utile sans alourdir.</t>
  </si>
  <si>
    <t>Riz aux légumes, ce n’est pas assez pour faire un vrai plat végé. J’ajoute de l’œuf ou des légumineuses et une sauce douce pour que ce soit meilleur et plus nourrissant.</t>
  </si>
  <si>
    <t>Si l’apprenant parle seulement de quantité de riz, lui faire distinguer satiété par féculent et construction du plat végétarien.</t>
  </si>
  <si>
    <t>Demander : « Dans ce plat, qu’est-ce qui apporte vraiment de quoi construire le repas ? »</t>
  </si>
  <si>
    <t>riz ; légumes ; œuf ; lentilles ; pois chiches ; protéines ; scolaire ; enfants ; sauce douce ; satiété</t>
  </si>
  <si>
    <t>Base protéique absente</t>
  </si>
  <si>
    <t>Riz + œuf dur, lentilles ou pois chiches adaptés</t>
  </si>
  <si>
    <t>Sauce douce tomate, curry doux ou herbes</t>
  </si>
  <si>
    <t>Potage conservé si pas trop volumineux</t>
  </si>
  <si>
    <t>Fruit ou laitage selon le reste du repas</t>
  </si>
  <si>
    <t>Goût doux et aliments identifiables pour primaire</t>
  </si>
  <si>
    <t>Éviter un mélange sec ; garder un plat moelleux</t>
  </si>
  <si>
    <t>Riz + légumes seuls = souvent trop faible</t>
  </si>
  <si>
    <t>Salade verte ; galette céréales-légumineuses ; purée de courge ; compote</t>
  </si>
  <si>
    <t>Plat végétarien sec et menu trop mou</t>
  </si>
  <si>
    <t>Analysez la tenue sensorielle de ce menu végétarien et proposez une correction par sauce, texture et couleur.</t>
  </si>
  <si>
    <t>Pourquoi une galette végétale peut être sèche, et pourquoi ce menu fait trop mou autour ?</t>
  </si>
  <si>
    <t>La galette céréales-légumineuses peut être sèche si elle n’est pas accompagnée d’une sauce. La purée et la compote renforcent une texture molle. Il faut ajouter une sauce yaourt-herbes ou tomate douce, une garniture plus structurée ou une crudité croquante si le public le permet.</t>
  </si>
  <si>
    <t>La galette peut être sèche, et autour tout est mou. Je mets une sauce, une crudité ou un légume qui a plus de tenue.</t>
  </si>
  <si>
    <t>Si la réponse valide la galette parce qu’elle contient céréales et légumineuses, demander ce qui se passe en bouche au service.</t>
  </si>
  <si>
    <t>Demander : « Est-ce que ça se mange facilement sans sauce ? Qu’est-ce qui change la texture ? »</t>
  </si>
  <si>
    <t>galette ; céréales ; légumineuses ; sec ; sauce ; texture ; mou ; courge ; compote ; crudité</t>
  </si>
  <si>
    <t>Sec / mou</t>
  </si>
  <si>
    <t>Galette conservée avec garniture plus structurée</t>
  </si>
  <si>
    <t>Sauce yaourt-herbes, tomate douce ou jus de légumes</t>
  </si>
  <si>
    <t>Crudité d’automne ou salade croquante</t>
  </si>
  <si>
    <t>Fruit cru si adapté plutôt que compote systématique</t>
  </si>
  <si>
    <t>Adultes : besoin de texture et de satiété</t>
  </si>
  <si>
    <t>Préserver l’humidité et éviter galette sèche au maintien chaud</t>
  </si>
  <si>
    <t>Galette végétale = sauce indispensable</t>
  </si>
  <si>
    <t>Steak végétal industriel ; frites ; ketchup ; crème dessert</t>
  </si>
  <si>
    <t>Menu végétarien trop fast-food et peu construit</t>
  </si>
  <si>
    <t>Analysez pourquoi ce menu végétarien est peu éducatif et proposez une correction qui conserve l’acceptabilité.</t>
  </si>
  <si>
    <t>Pourquoi steak végétal + frites + ketchup, ça ne suffit pas pour faire un bon menu végé ?</t>
  </si>
  <si>
    <t>Le steak végétal industriel peut dépanner mais ne doit pas devenir le centre d’un menu fast-food. Il faut ajouter légumes, couleur, sauce plus qualitative, garniture moins grasse et fruit ou laitage simple. Le plat doit être valorisé et non réduit à une imitation de burger.</t>
  </si>
  <si>
    <t>Le steak végé tout seul avec frites et ketchup, ça fait fast-food. Je garde ce qui plaît mais je mets des légumes, une sauce plus propre et un dessert plus simple.</t>
  </si>
  <si>
    <t>Si l’apprenant supprime le steak végétal, rappeler que l’exercice consiste à corriger sans tout remplacer.</t>
  </si>
  <si>
    <t>Demander : « Comment tu gardes l’acceptation des jeunes sans faire un repas de fast-food ? »</t>
  </si>
  <si>
    <t>steak végétal ; frites ; ketchup ; fast-food ; légumes ; sauce ; fruit ; lycée ; acceptabilité ; végétarien</t>
  </si>
  <si>
    <t>Ultra-transformé / fast-food</t>
  </si>
  <si>
    <t>Steak végétal accompagné d’une vraie garniture légumes/féculent</t>
  </si>
  <si>
    <t>Sauce yaourt-herbes, tomate maison ou condiment maîtrisé</t>
  </si>
  <si>
    <t>Crudité fraîche ou salade colorée</t>
  </si>
  <si>
    <t>Lycéens : garder acceptabilité sans caricaturer</t>
  </si>
  <si>
    <t>Vérifier tenue du steak végétal au chaud</t>
  </si>
  <si>
    <t>Végétal industriel ≠ menu végétarien construit</t>
  </si>
  <si>
    <t>Menu végétarien de saison mais trop mou</t>
  </si>
  <si>
    <t>Repérez la cohérence saisonnière du menu puis corrigez la monotonie de texture.</t>
  </si>
  <si>
    <t>Pourquoi ce menu est de saison mais trop mou en bouche ?</t>
  </si>
  <si>
    <t>Le menu est cohérent en hiver et apporte une base de lentilles, mais il cumule velouté, dahl fondant, purée et compote. Il faut introduire une texture de contraste : salade de chou, crudité adaptée, riz pilaf ou fruit cru si le public le permet.</t>
  </si>
  <si>
    <t>Le menu va bien avec l’hiver, mais tout est mou. Je garde le dahl mais j’ajoute quelque chose qui change en bouche : salade, chou, riz ou fruit cru.</t>
  </si>
  <si>
    <t>Si l’apprenant corrige uniquement la protéine, lui faire analyser la texture globale du repas.</t>
  </si>
  <si>
    <t>dahl ; lentilles ; courge ; carottes ; compote ; mou ; texture ; hiver ; salade ; contraste</t>
  </si>
  <si>
    <t>Dahl conservé avec riz pilaf ou céréale structurée</t>
  </si>
  <si>
    <t>Dahl pas trop liquide, assaisonnement doux</t>
  </si>
  <si>
    <t>Chou rouge, carottes râpées ou salade croquante</t>
  </si>
  <si>
    <t>Fruit cru adapté plutôt que compote</t>
  </si>
  <si>
    <t>Adultes sans difficulté de mastication : ajouter contraste</t>
  </si>
  <si>
    <t>Ne pas trop liquéfier le dahl au maintien chaud</t>
  </si>
  <si>
    <t>De saison ne veut pas dire tout mou</t>
  </si>
  <si>
    <t>Couscous végétarien ; semoule très abondante ; légumes peu visibles ; yaourt</t>
  </si>
  <si>
    <t>Menu végétarien trop centré sur la semoule</t>
  </si>
  <si>
    <t>Analysez l’équilibre entre semoule, légumes et pois chiches dans ce couscous végétarien.</t>
  </si>
  <si>
    <t>Pourquoi dans un couscous végé il ne faut pas mettre surtout de la semoule ?</t>
  </si>
  <si>
    <t>Un couscous végétarien doit montrer clairement légumes et pois chiches, pas seulement remplir avec de la semoule. Il faut équilibrer semoule, légumes, légumineuses, sauce et épices douces pour garantir satiété, couleur et acceptabilité.</t>
  </si>
  <si>
    <t>Si on met surtout de la semoule, le couscous végé est faible. Il faut voir les légumes et les pois chiches, avec une sauce qui donne du goût.</t>
  </si>
  <si>
    <t>Si la réponse parle uniquement de volume de semoule, demander où sont les protéines végétales et la couleur.</t>
  </si>
  <si>
    <t>Demander : « Dans ton assiette, est-ce qu’on voit assez de légumes et de pois chiches ? »</t>
  </si>
  <si>
    <t>couscous ; semoule ; pois chiches ; légumes ; féculent ; couleur ; légumineuses ; sauce ; collège ; satiété</t>
  </si>
  <si>
    <t>Trop féculent</t>
  </si>
  <si>
    <t>Semoule + pois chiches en quantité lisible + légumes variés</t>
  </si>
  <si>
    <t>Bouillon épicé doux, légumes parfumés</t>
  </si>
  <si>
    <t>Entrée légère si plat complet</t>
  </si>
  <si>
    <t>Fruit ou laitage simple selon besoin</t>
  </si>
  <si>
    <t>Collège : plat coloré, nommé positivement</t>
  </si>
  <si>
    <t>Cuisson séparée semoule/légumes pour éviter l’écrasement</t>
  </si>
  <si>
    <t>Couscous végé = pois chiches visibles</t>
  </si>
  <si>
    <t>Lasagnes végétariennes aux légumes ; salade verte ; fruit</t>
  </si>
  <si>
    <t>Plat végétarien possiblement pauvre si les lasagnes ne contiennent que légumes et pâtes</t>
  </si>
  <si>
    <t>Vérifiez si ces lasagnes végétariennes sont un vrai plat construit ou seulement un plat de légumes et pâtes.</t>
  </si>
  <si>
    <t>Dans des lasagnes végé, comment vérifier que ce n’est pas juste des légumes avec des pâtes ?</t>
  </si>
  <si>
    <t>Des lasagnes végétariennes doivent intégrer une base nourrissante : lentilles, soja texturé, haricots, œuf ou fromage selon contexte. Si elles ne contiennent que pâtes, légumes et sauce, le plat peut manquer de satiété. Il faut aussi garder couleur et goût.</t>
  </si>
  <si>
    <t>Je regarde s’il y a autre chose que pâtes et légumes. Il faut une base qui cale : lentilles, haricots, œuf ou fromage selon la recette.</t>
  </si>
  <si>
    <t>Si l’apprenant répond “il y a des légumes donc c’est équilibré”, faire vérifier la base protéique et la satiété.</t>
  </si>
  <si>
    <t>Demander : « Qu’est-ce qui cale dans tes lasagnes ? »</t>
  </si>
  <si>
    <t>lasagnes ; végétariennes ; lentilles ; haricots ; œuf ; fromage ; satiété ; pâtes ; légumes ; vrai plat</t>
  </si>
  <si>
    <t>Lasagnes avec lentilles, haricots, œuf ou fromage selon recette</t>
  </si>
  <si>
    <t>Sauce tomate/légumes avec herbes, pas trop grasse</t>
  </si>
  <si>
    <t>Salade verte ou crudité fraîche</t>
  </si>
  <si>
    <t>Adultes : satiété sans lourdeur</t>
  </si>
  <si>
    <t>Tenue des lasagnes et découpe au service</t>
  </si>
  <si>
    <t>Lasagnes végé : vérifier la base qui cale</t>
  </si>
  <si>
    <t>Plat correct mais nom et présentation peuvent provoquer un rejet</t>
  </si>
  <si>
    <t>Analysez l’acceptabilité du chili sin carne et proposez une valorisation du plat végétarien.</t>
  </si>
  <si>
    <t>Comment éviter que les élèves pensent que le chili sans viande est un plat où il manque quelque chose ?</t>
  </si>
  <si>
    <t>Le chili sin carne peut être cohérent s’il contient haricots, légumes, sauce et riz. Il faut le présenter comme un chili végétarien complet, maîtriser les épices, garder une couleur attractive et éviter une formulation négative centrée sur l’absence de viande.</t>
  </si>
  <si>
    <t>Je ne le présente pas comme un plat où il manque de la viande. Je dis que c’est un vrai chili avec haricots, légumes, sauce, riz et goût.</t>
  </si>
  <si>
    <t>Si l’apprenant corrige seulement la recette, lui faire travailler le nom du plat et l’explication au convive.</t>
  </si>
  <si>
    <t>Demander : « Comment tu annonces le plat pour qu’il donne envie ? »</t>
  </si>
  <si>
    <t>chili ; sin carne ; haricots ; riz ; nom ; valoriser ; lycée ; acceptabilité ; sauce ; goût</t>
  </si>
  <si>
    <t>Acceptabilité / nom du plat</t>
  </si>
  <si>
    <t>Haricots rouges + riz + légumes</t>
  </si>
  <si>
    <t>Sauce tomate épicée douce, pas trop forte</t>
  </si>
  <si>
    <t>Crudité colorée ou salade simple</t>
  </si>
  <si>
    <t>Lycéens : nom valorisant, goût identifiable</t>
  </si>
  <si>
    <t>Maintenir haricots entiers et sauce nappante</t>
  </si>
  <si>
    <t>Nommer positivement le plat végétarien</t>
  </si>
  <si>
    <t>Omelette nature ; haricots verts ; pommes vapeur ; yaourt</t>
  </si>
  <si>
    <t>Plat végétarien simple mais peu valorisé</t>
  </si>
  <si>
    <t>Analysez comment valoriser une omelette végétarienne simple pour éviter un menu banal.</t>
  </si>
  <si>
    <t>Pourquoi une omelette nature peut faire repas trop simple, et comment tu l’améliores ?</t>
  </si>
  <si>
    <t>L’omelette nature est une base végétarienne acceptable mais peut être perçue comme trop simple. Il faut la valoriser par légumes colorés, herbes, sauce légère ou garniture plus attractive, tout en gardant une présentation adaptée au primaire.</t>
  </si>
  <si>
    <t>L’omelette toute seule peut faire trop simple. Je la rends plus jolie avec des légumes, des herbes, une bonne garniture et de la couleur.</t>
  </si>
  <si>
    <t>Si l’apprenant ajoute seulement un dessert, rappeler que le plat principal doit aussi être valorisé.</t>
  </si>
  <si>
    <t>Demander : « Comment tu fais pour que l’omelette donne envie dès l’assiette ? »</t>
  </si>
  <si>
    <t>omelette ; œuf ; simple ; légumes ; herbes ; couleur ; primaire ; valoriser ; garniture ; présentation</t>
  </si>
  <si>
    <t>Plat simple à valoriser</t>
  </si>
  <si>
    <t>Omelette aux herbes ou aux légumes</t>
  </si>
  <si>
    <t>Jus léger ou coulis tomate doux si utile</t>
  </si>
  <si>
    <t>Crudité douce et colorée</t>
  </si>
  <si>
    <t>Primaire : portions simples, plat identifiable</t>
  </si>
  <si>
    <t>Cuisson de l’omelette et tenue en bac</t>
  </si>
  <si>
    <t>Omelette = simple, mais pas triste</t>
  </si>
  <si>
    <t>Gratin de courgettes ; riz ; salade verte ; fruit</t>
  </si>
  <si>
    <t>Plat végétarien avec légumes mais base nourrissante insuffisante</t>
  </si>
  <si>
    <t>Vérifiez si ce gratin de courgettes constitue un plat végétarien complet et proposez un renforcement.</t>
  </si>
  <si>
    <t>Pourquoi un gratin de courgettes avec du riz ne suffit pas forcément ?</t>
  </si>
  <si>
    <t>Le gratin de courgettes apporte légumes et éventuellement lait/œuf selon recette, mais peut rester faible s’il n’a pas de vraie base nourrissante. Il faut ajouter œuf, fromage maîtrisé, pois chiches, lentilles ou céréale mieux intégrée selon le contexte.</t>
  </si>
  <si>
    <t>Courgettes et riz, ça peut être trop léger. Je vérifie s’il y a œuf, fromage ou légumineuses pour que ça cale vraiment.</t>
  </si>
  <si>
    <t>Si l’apprenant affirme que le gratin est complet, demander quelle base apporte la satiété.</t>
  </si>
  <si>
    <t>Demander : « Qu’est-ce qui nourrit vraiment dans ce plat ? »</t>
  </si>
  <si>
    <t>courgettes ; gratin ; riz ; œuf ; fromage ; pois chiches ; lentilles ; été ; satiété ; base</t>
  </si>
  <si>
    <t>Légume seul</t>
  </si>
  <si>
    <t>Gratin enrichi avec œuf/fromage maîtrisé ou pois chiches</t>
  </si>
  <si>
    <t>Appareil pas trop liquide, herbes, ail doux</t>
  </si>
  <si>
    <t>Entrée fraîche estivale non redondante</t>
  </si>
  <si>
    <t>Adultes : équilibre entre légèreté et satiété</t>
  </si>
  <si>
    <t>Courgette rend de l’eau ; égouttage/cuisson à maîtriser</t>
  </si>
  <si>
    <t>Légume visible ne suffit pas toujours</t>
  </si>
  <si>
    <t>Risotto aux champignons ; salade ; compote</t>
  </si>
  <si>
    <t>Plat végétarien crémeux mais pauvre en base protéique</t>
  </si>
  <si>
    <t>Analysez la construction du risotto végétarien et proposez une amélioration de satiété sans alourdir.</t>
  </si>
  <si>
    <t>Pourquoi un risotto aux champignons peut être bon mais ne pas assez caler ?</t>
  </si>
  <si>
    <t>Le risotto apporte féculent et goût, mais les champignons ne suffisent pas à construire une base protéique. Il faut intégrer pois chiches, lentilles, œuf, fromage maîtrisé ou légumineuse complémentaire, et ajouter une salade ou un fruit pour éviter la lourdeur.</t>
  </si>
  <si>
    <t>Le risotto a du goût mais surtout du riz. J’ajoute une base qui cale, comme des pois chiches, lentilles, œuf ou fromage bien dosé.</t>
  </si>
  <si>
    <t>Si l’apprenant parle seulement de champignons, rappeler que champignon n’est pas une base protéique suffisante.</t>
  </si>
  <si>
    <t>Demander : « Est-ce que les champignons remplacent vraiment une base nourrissante ? »</t>
  </si>
  <si>
    <t>risotto ; champignons ; riz ; protéine ; lentilles ; pois chiches ; œuf ; fromage ; étudiants ; satiété</t>
  </si>
  <si>
    <t>Féculent dominant</t>
  </si>
  <si>
    <t>Risotto complété par légumineuse, œuf ou fromage maîtrisé</t>
  </si>
  <si>
    <t>Crémeux contrôlé, pas trop lourd</t>
  </si>
  <si>
    <t>Salade croquante ou crudité</t>
  </si>
  <si>
    <t>Fruit plutôt que dessert crémeux</t>
  </si>
  <si>
    <t>Étudiants : satiété et coût maîtrisé</t>
  </si>
  <si>
    <t>Risotto pâteux si maintien trop long</t>
  </si>
  <si>
    <t>Risotto : attention au riz seul</t>
  </si>
  <si>
    <t>Burger végétarien ; pommes wedges ; sauce mayonnaise ; brownie</t>
  </si>
  <si>
    <t>Menu végétarien trop lourd et mal équilibré</t>
  </si>
  <si>
    <t>Analysez le risque de menu végétarien caricatural et proposez une correction professionnelle.</t>
  </si>
  <si>
    <t>Pourquoi burger végé + potatoes + mayo + brownie, ça fait trop lourd ?</t>
  </si>
  <si>
    <t>Le burger végétarien peut être accepté, mais l’ensemble est trop gras et trop dense. Il faut vérifier la base du burger, ajouter légumes, sauce plus légère, garniture moins grasse et dessert fruité. L’objectif est de construire un menu végétarien crédible et pas seulement attractif.</t>
  </si>
  <si>
    <t>Le burger végé peut plaire, mais avec potatoes, mayo et brownie ça fait trop lourd. Je mets des légumes, une sauce plus légère et un fruit.</t>
  </si>
  <si>
    <t>Si l’apprenant garde tout pour l’acceptabilité, demander comment il corrige la lourdeur et la qualité du menu.</t>
  </si>
  <si>
    <t>Demander : « Qu’est-ce que tu changes sans enlever tout ce qui plaît ? »</t>
  </si>
  <si>
    <t>burger ; végétarien ; lourd ; mayo ; brownie ; légumes ; sauce légère ; CFA ; galette ; fruit</t>
  </si>
  <si>
    <t>Lourd / attractif mais faible</t>
  </si>
  <si>
    <t>Burger avec galette légumineuses/céréales lisible</t>
  </si>
  <si>
    <t>Sauce yaourt-herbes ou condiment allégé</t>
  </si>
  <si>
    <t>Crudité ou salade colorée</t>
  </si>
  <si>
    <t>CFA : conserver plaisir mais construire le menu</t>
  </si>
  <si>
    <t>Tenue de la galette et service chaud</t>
  </si>
  <si>
    <t>Accepté ne veut pas dire équilibré</t>
  </si>
  <si>
    <t>Taboulé ; melon ; salade verte ; sorbet</t>
  </si>
  <si>
    <t>Menu froid végétarien trop léger et peu nourrissant</t>
  </si>
  <si>
    <t>Repérez la faiblesse de satiété de ce menu froid et proposez une correction végétarienne complète.</t>
  </si>
  <si>
    <t>Pourquoi ce menu frais risque-t-il de ne pas assez nourrir ?</t>
  </si>
  <si>
    <t>Le menu est frais mais très léger. Le taboulé doit être enrichi avec pois chiches, lentilles, œuf ou fromage selon contexte, et la salade peut devenir plus complète. Il faut conserver la fraîcheur tout en ajoutant une base nourrissante.</t>
  </si>
  <si>
    <t>C’est frais, mais ça risque de ne pas caler. J’ajoute pois chiches, lentilles, œuf ou fromage dans le taboulé ou la salade.</t>
  </si>
  <si>
    <t>Si la réponse conserve uniquement la fraîcheur, demander comment un adulte actif tient après le repas.</t>
  </si>
  <si>
    <t>Demander : « Est-ce que tu tiens l’après-midi avec ça ? »</t>
  </si>
  <si>
    <t>taboulé ; froid ; léger ; pois chiches ; lentilles ; œuf ; fromage ; été ; satiété ; adultes</t>
  </si>
  <si>
    <t>Froid / léger</t>
  </si>
  <si>
    <t>Taboulé enrichi pois chiches/lentilles/œuf/fromage selon contexte</t>
  </si>
  <si>
    <t>Vinaigrette maîtrisée, citron, herbes</t>
  </si>
  <si>
    <t>Fruit frais ou laitage selon besoin</t>
  </si>
  <si>
    <t>Adultes actifs : satiété sans lourdeur</t>
  </si>
  <si>
    <t>Maintien froid, humidité du taboulé</t>
  </si>
  <si>
    <t>Frais ne doit pas vouloir dire vide</t>
  </si>
  <si>
    <t>Salade de lentilles ; purée de pommes de terre ; compote</t>
  </si>
  <si>
    <t>Plat végétarien nourrissant mais mal accepté et peu coloré</t>
  </si>
  <si>
    <t>Analysez l’acceptabilité d’une salade de lentilles en primaire et proposez une correction de couleur et de présentation.</t>
  </si>
  <si>
    <t>Pourquoi les lentilles peuvent être nourrissantes mais pas forcément bien acceptées par les enfants ?</t>
  </si>
  <si>
    <t>Les lentilles apportent une base nourrissante, mais en salade froide elles peuvent être peu acceptées en primaire, surtout si l’assiette est terne. Il faut travailler assaisonnement doux, couleur avec carotte/betterave, présentation lisible et accompagnement moins monotone.</t>
  </si>
  <si>
    <t>Les lentilles calent, mais les enfants peuvent refuser si c’est froid, brun et triste. Je mets de la couleur, un goût doux et une présentation plus sympa.</t>
  </si>
  <si>
    <t>Si l’apprenant rejette les lentilles, rappeler que la correction peut porter sur présentation et assaisonnement.</t>
  </si>
  <si>
    <t>Demander : « Comment tu rends les lentilles plus jolies et plus faciles à accepter ? »</t>
  </si>
  <si>
    <t>lentilles ; primaire ; brun ; couleur ; carottes ; betteraves ; acceptabilité ; assaisonnement ; nourrissant ; présentation</t>
  </si>
  <si>
    <t>Nourrissant mais peu accepté</t>
  </si>
  <si>
    <t>Lentilles conservées avec céréale ou légume de contraste si besoin</t>
  </si>
  <si>
    <t>Vinaigrette douce, herbes, moutarde très modérée</t>
  </si>
  <si>
    <t>Carottes, betteraves ou légumes colorés associés</t>
  </si>
  <si>
    <t>Compote ou fruit selon texture souhaitée</t>
  </si>
  <si>
    <t>Primaire : couleur, portion, goût doux</t>
  </si>
  <si>
    <t>Cuisson des lentilles sans éclatement</t>
  </si>
  <si>
    <t>Base nourrissante + présentation acceptable</t>
  </si>
  <si>
    <t>Curry de pois chiches ; riz ; épinards ; yaourt</t>
  </si>
  <si>
    <t>Plat cohérent mais épices et couleur à maîtriser</t>
  </si>
  <si>
    <t>Analysez les points de vigilance d’un curry végétarien construit pour garantir acceptabilité et équilibre.</t>
  </si>
  <si>
    <t>Pourquoi un curry de pois chiches peut être bien construit mais doit rester bien dosé ?</t>
  </si>
  <si>
    <t>Le curry de pois chiches est une bonne base végétarienne avec légumineuse et riz. Il faut maîtriser les épices, la liaison de sauce, la couleur et la texture des épinards. Une entrée fraîche ou un dessert doux peut aider l’acceptabilité.</t>
  </si>
  <si>
    <t>Le curry est intéressant parce qu’il y a pois chiches et riz, mais il ne doit pas être trop fort. Je dose les épices, garde une sauce agréable et j’équilibre avec du frais ou du doux.</t>
  </si>
  <si>
    <t>Si l’apprenant dit seulement “c’est complet”, demander comment il ajuste goût, épices et public.</t>
  </si>
  <si>
    <t>Demander : « Est-ce que tout le monde peut manger si c’est trop fort ? »</t>
  </si>
  <si>
    <t>curry ; pois chiches ; riz ; épices ; sauce ; doux ; épinards ; acceptabilité ; adultes ; végétarien</t>
  </si>
  <si>
    <t>Construit mais à maîtriser</t>
  </si>
  <si>
    <t>Pois chiches + riz + légumes</t>
  </si>
  <si>
    <t>Curry doux, sauce nappante non lourde</t>
  </si>
  <si>
    <t>Crudité fraîche ou salade</t>
  </si>
  <si>
    <t>Adultes : goût présent mais acceptable</t>
  </si>
  <si>
    <t>Texture des pois chiches et sauce au maintien chaud</t>
  </si>
  <si>
    <t>Bon végétarien = aussi goût maîtrisé</t>
  </si>
  <si>
    <t>Tofu sauté ; nouilles ; légumes verts ; fruit</t>
  </si>
  <si>
    <t>Base végétarienne peu connue, acceptabilité à travailler</t>
  </si>
  <si>
    <t>Analysez comment introduire une base tofu auprès de collégiens sans créer de rejet.</t>
  </si>
  <si>
    <t>Pourquoi le tofu peut être refusé si on le sert sans explication ni goût ?</t>
  </si>
  <si>
    <t>Le tofu peut apporter une base végétarienne, mais il est souvent peu connu. Il faut le mariner, le colorer, l’associer à une sauce identifiable, des légumes colorés et un nom de plat valorisant. Le risque principal est le rejet si le plat paraît fade.</t>
  </si>
  <si>
    <t>Le tofu peut faire peur ou sembler fade. Je le marine, je le fais dorer, je mets une sauce connue et je présente le plat avec un nom qui donne envie.</t>
  </si>
  <si>
    <t>Si l’apprenant remplace le tofu, demander comment il pourrait le rendre acceptable sans abandonner l’objectif pédagogique.</t>
  </si>
  <si>
    <t>Demander : « Qu’est-ce qui donne du goût au tofu ? Comment tu l’annonces ? »</t>
  </si>
  <si>
    <t>tofu ; marinade ; doré ; sauce ; goût ; fade ; collège ; nom ; acceptabilité ; légumes</t>
  </si>
  <si>
    <t>Base peu connue</t>
  </si>
  <si>
    <t>Tofu mariné et doré avec nouilles/légumes</t>
  </si>
  <si>
    <t>Sauce soja douce, tomate, sésame ou herbes selon contexte</t>
  </si>
  <si>
    <t>Entrée repère simple</t>
  </si>
  <si>
    <t>Fruit connu ou laitage selon menu</t>
  </si>
  <si>
    <t>Collège : nom valorisant, goût rassurant</t>
  </si>
  <si>
    <t>Marinade, coloration, tenue au chaud</t>
  </si>
  <si>
    <t>Tofu non travaillé = refus probable</t>
  </si>
  <si>
    <t>Quiche aux légumes ; salade ; fromage ; pâtisserie</t>
  </si>
  <si>
    <t>Menu végétarien trop riche par cumul pâte, appareil, fromage et dessert</t>
  </si>
  <si>
    <t>Analysez la richesse globale de ce menu végétarien et proposez un correcteur entrée-dessert.</t>
  </si>
  <si>
    <t>Pourquoi une quiche aux légumes peut quand même faire un repas lourd ?</t>
  </si>
  <si>
    <t>La quiche apporte pâte, œufs, lait ou crème, parfois fromage. Ajouter fromage et pâtisserie alourdit le menu. Il faut garder une salade ou crudité, éviter le fromage en plus si déjà présent, et choisir un fruit ou dessert léger.</t>
  </si>
  <si>
    <t>Même avec des légumes, une quiche peut être riche. Je ne rajoute pas fromage et pâtisserie derrière. Je mets du frais et un fruit.</t>
  </si>
  <si>
    <t>Si l’apprenant voit seulement les légumes, demander d’identifier pâte, crème, œufs, fromage.</t>
  </si>
  <si>
    <t>Demander : « Qu’est-ce qui est déjà riche dans une quiche ? »</t>
  </si>
  <si>
    <t>quiche ; légumes ; riche ; pâte ; fromage ; pâtisserie ; salade ; fruit ; lourd ; adulte</t>
  </si>
  <si>
    <t>Végétarien lourd</t>
  </si>
  <si>
    <t>Quiche conservée, portion maîtrisée</t>
  </si>
  <si>
    <t>Pas de sauce riche ajoutée</t>
  </si>
  <si>
    <t>Salade ou crudité fraîche</t>
  </si>
  <si>
    <t>Adultes : repas digeste</t>
  </si>
  <si>
    <t>Tenue de la quiche, cuisson de l’appareil</t>
  </si>
  <si>
    <t>Légumes dans quiche ≠ repas léger</t>
  </si>
  <si>
    <t>Soupe de légumes ; salade verte ; pain ; fruit</t>
  </si>
  <si>
    <t>Menu végétarien très léger, absence de plat principal construit</t>
  </si>
  <si>
    <t>Repérez l’absence de plat principal végétarien construit et proposez une correction compatible avec un service d’entreprise.</t>
  </si>
  <si>
    <t>Pourquoi soupe + salade + pain, ce n’est pas un vrai repas complet pour beaucoup d’adultes ?</t>
  </si>
  <si>
    <t>Le menu est trop léger et ne contient pas de plat végétarien construit. Il faut ajouter un plat à base de légumineuses, œufs, céréales complètes ou fromage selon contexte : dahl, chili végétarien, omelette légumes, salade complète chaude/froide.</t>
  </si>
  <si>
    <t>Soupe, salade et pain, ça peut être trop léger. Il faut un vrai plat : lentilles, œufs, pois chiches, céréales ou fromage selon la recette.</t>
  </si>
  <si>
    <t>Si la réponse augmente seulement la quantité de pain, demander quelle est la base nourrissante du repas.</t>
  </si>
  <si>
    <t>Demander : « Quel est le vrai plat principal ici ? »</t>
  </si>
  <si>
    <t>soupe ; salade ; pain ; léger ; plat principal ; lentilles ; œufs ; pois chiches ; entreprise ; satiété</t>
  </si>
  <si>
    <t>Pas de plat principal</t>
  </si>
  <si>
    <t>Ajouter dahl, chili végétarien, omelette ou salade complète</t>
  </si>
  <si>
    <t>Sauce/jus selon plat choisi</t>
  </si>
  <si>
    <t>Soupe conservée en entrée si plat ajouté</t>
  </si>
  <si>
    <t>Fruit conservé</t>
  </si>
  <si>
    <t>Entreprise : satiété pendant la journée</t>
  </si>
  <si>
    <t>Choisir un plat simple à produire en volume</t>
  </si>
  <si>
    <t>Sans plat construit, le menu reste incomplet</t>
  </si>
  <si>
    <t>Hachis de lentilles ; purée ; poêlée de champignons ; gâteau chocolat</t>
  </si>
  <si>
    <t>Menu végétarien nourrissant mais trop brun et lourd</t>
  </si>
  <si>
    <t>Analysez les qualités et limites d’un hachis végétarien de lentilles, puis corrigez couleur et lourdeur.</t>
  </si>
  <si>
    <t>Pourquoi un hachis de lentilles peut caler mais faire trop marron et lourd ?</t>
  </si>
  <si>
    <t>Le hachis de lentilles est une base nourrissante, mais lentilles, purée, champignons et chocolat donnent une dominante brune et dense. Il faut ajouter une entrée ou garniture colorée, alléger le dessert avec un fruit et préserver une sauce ou une texture agréable.</t>
  </si>
  <si>
    <t>Les lentilles calent, mais tout fait marron et lourd. Je mets une couleur comme carottes, chou rouge ou salade, et je finis par un fruit.</t>
  </si>
  <si>
    <t>Si l’apprenant valide uniquement la base protéique, demander d’analyser couleur et perception du repas.</t>
  </si>
  <si>
    <t>Demander : « Est-ce que l’assiette donne envie ou est-ce que tout est marron ? »</t>
  </si>
  <si>
    <t>hachis ; lentilles ; brun ; lourd ; purée ; champignons ; chocolat ; couleur ; fruit ; satiété</t>
  </si>
  <si>
    <t>Nourrissant mais brun</t>
  </si>
  <si>
    <t>Hachis lentilles conservé</t>
  </si>
  <si>
    <t>Jus de légumes ou sauce tomate légère</t>
  </si>
  <si>
    <t>Crudité colorée : carotte, chou rouge, betterave</t>
  </si>
  <si>
    <t>Adultes : satiété sans lourdeur visuelle</t>
  </si>
  <si>
    <t>Texture du hachis et tenue de la purée</t>
  </si>
  <si>
    <t>Plat nourrissant mais couleur à corriger</t>
  </si>
  <si>
    <t>Buddha bowl froid ; quinoa ; crudités ; houmous ; fruit</t>
  </si>
  <si>
    <t>Menu végétarien intéressant mais portion/satiété et lisibilité à contrôler</t>
  </si>
  <si>
    <t>Analysez la composition d’un bowl végétarien et vérifiez base, couleur, satiété et lisibilité.</t>
  </si>
  <si>
    <t>Pourquoi un bowl végé peut être bien, mais doit être bien construit pour caler ?</t>
  </si>
  <si>
    <t>Le bowl peut être équilibré s’il associe céréale, légumineuse ou houmous, légumes, sauce et portion suffisante. Il faut contrôler la quantité de quinoa, la place du houmous, la sauce, les couleurs et éviter un assemblage froid peu rassasiant.</t>
  </si>
  <si>
    <t>Le bowl peut être une bonne idée, mais il faut qu’il y ait assez de quinoa, houmous ou légumineuses, des couleurs et une sauce. Sinon ça fait salade légère.</t>
  </si>
  <si>
    <t>Si l’apprenant se contente de dire “c’est sain”, demander où sont satiété, sauce et portion.</t>
  </si>
  <si>
    <t>Demander : « Est-ce que ce bowl cale ou est-ce juste joli ? »</t>
  </si>
  <si>
    <t>bowl ; quinoa ; houmous ; pois chiches ; froid ; sauce ; portion ; étudiants ; satiété ; couleur</t>
  </si>
  <si>
    <t>Bowl à contrôler</t>
  </si>
  <si>
    <t>Quinoa + houmous/pois chiches + légumes</t>
  </si>
  <si>
    <t>Sauce citron, yaourt, tahini ou vinaigrette maîtrisée</t>
  </si>
  <si>
    <t>Pas nécessaire si bowl complet</t>
  </si>
  <si>
    <t>Fruit ou laitage selon besoin</t>
  </si>
  <si>
    <t>Étudiants : portion, prix et satiété</t>
  </si>
  <si>
    <t>Maintien froid, assemblage lisible, humidité</t>
  </si>
  <si>
    <t>Joli bowl ≠ forcément repas complet</t>
  </si>
  <si>
    <t>Galette végétale ; semoule ; haricots verts ; pomme crue</t>
  </si>
  <si>
    <t>Végétarien sec et mal adapté aux personnes âgées</t>
  </si>
  <si>
    <t>Analysez les risques de mastication et de consommation réelle de ce menu végétarien en EHPAD.</t>
  </si>
  <si>
    <t>Pourquoi ce menu végé peut être trop sec ou difficile à manger pour une personne âgée ?</t>
  </si>
  <si>
    <t>La galette végétale et la semoule peuvent être sèches. En EHPAD, il faut sauce, texture moelleuse, légumes fondants et dessert adapté. La galette doit être tendre et la pomme crue peut être remplacée par compote ou fruit cuit selon le convive.</t>
  </si>
  <si>
    <t>La galette et la semoule peuvent être sèches. Pour une personne âgée, je mets de la sauce, du moelleux et un dessert facile comme une compote.</t>
  </si>
  <si>
    <t>Si l’apprenant parle seulement de protéines, rappeler que l’apport réel dépend de ce qui est consommé.</t>
  </si>
  <si>
    <t>Demander : « Est-ce que la personne va vraiment pouvoir manger et finir ? »</t>
  </si>
  <si>
    <t>EHPAD ; galette ; sec ; semoule ; sauce ; moelleux ; mastication ; compote ; personne âgée ; texture</t>
  </si>
  <si>
    <t>EHPAD / sec</t>
  </si>
  <si>
    <t>Galette tendre ou préparation légumineuse moelleuse</t>
  </si>
  <si>
    <t>Sauce douce obligatoire</t>
  </si>
  <si>
    <t>Potage ou entrée adaptée</t>
  </si>
  <si>
    <t>Mastication, appétit, texture, hydratation</t>
  </si>
  <si>
    <t>Texture et humidité au maintien chaud</t>
  </si>
  <si>
    <t>En EHPAD, végétarien doit rester facile à manger</t>
  </si>
  <si>
    <t>Salade de pois chiches ; crudités ; pain ; fruit</t>
  </si>
  <si>
    <t>Menu végétarien froid à adapter selon prescription et mastication</t>
  </si>
  <si>
    <t>Analysez les adaptations à vérifier avant de servir ce menu végétarien en hospitalier.</t>
  </si>
  <si>
    <t>Pourquoi à l’hôpital on doit vérifier si pois chiches, crudités et pain conviennent au patient ?</t>
  </si>
  <si>
    <t>En hospitalier, la prescription, la texture, la mastication, les troubles digestifs et l’appétit doivent être vérifiés. Les pois chiches et crudités peuvent être inadaptés à certains patients. Il faut adapter texture, assaisonnement, portion et dessert selon consigne.</t>
  </si>
  <si>
    <t>À l’hôpital, on ne sert pas pareil à tout le monde. Les pois chiches, crudités ou pain peuvent poser problème. Je vérifie la consigne et j’adapte.</t>
  </si>
  <si>
    <t>Si l’apprenant propose une correction unique, rappeler que le contexte hospitalier impose de vérifier les prescriptions.</t>
  </si>
  <si>
    <t>Demander : « Est-ce que tous les patients peuvent manger des pois chiches et des crudités ? »</t>
  </si>
  <si>
    <t>hospitalier ; prescription ; pois chiches ; crudités ; texture ; mastication ; régime ; patient ; adapter ; consigne</t>
  </si>
  <si>
    <t>Hospitalier / adaptation</t>
  </si>
  <si>
    <t>Pois chiches adaptés ou alternative plus digestible selon prescription</t>
  </si>
  <si>
    <t>Assaisonnement doux, texture adaptée</t>
  </si>
  <si>
    <t>Crudités remplacées si besoin par légumes cuits</t>
  </si>
  <si>
    <t>Fruit, compote ou dessert adapté</t>
  </si>
  <si>
    <t>Prescription, régime, mastication, appétit</t>
  </si>
  <si>
    <t>Traçabilité, allergènes, adaptation individuelle</t>
  </si>
  <si>
    <t>Hospitalier = vérifier avant de généraliser</t>
  </si>
  <si>
    <t>Purée de légumes ; lentilles ; riz ; fruit cru en morceaux</t>
  </si>
  <si>
    <t>Végétarien intéressant mais texture et âge à sécuriser</t>
  </si>
  <si>
    <t>Analysez les adaptations nécessaires pour un menu végétarien en petite enfance.</t>
  </si>
  <si>
    <t>Pourquoi avec les tout-petits il faut vérifier texture, morceaux et lentilles ?</t>
  </si>
  <si>
    <t>En crèche, la texture, la taille des morceaux, l’âge, la mastication, les allergènes et la tolérance digestive sont prioritaires. Les lentilles et le riz doivent être adaptés, la purée doit rester lisible et le fruit cru en morceaux doit être sécurisé ou remplacé.</t>
  </si>
  <si>
    <t>Pour les petits, on adapte tout : lentilles, riz, morceaux, fruit. Il faut que ce soit facile et sûr à manger.</t>
  </si>
  <si>
    <t>Si l’apprenant parle uniquement d’équilibre, le ramener sur la sécurité physique des aliments.</t>
  </si>
  <si>
    <t>Demander : « Est-ce que les morceaux sont adaptés à l’âge ? »</t>
  </si>
  <si>
    <t>crèche ; petits ; lentilles ; riz ; texture ; morceaux ; âge ; sécurité ; compote ; mastication</t>
  </si>
  <si>
    <t>Lentilles/riz adaptés en texture selon âge</t>
  </si>
  <si>
    <t>Texture humide, liaison douce</t>
  </si>
  <si>
    <t>Pas d’entrée dure ; légumes adaptés</t>
  </si>
  <si>
    <t>Compote ou fruit adapté à l’âge</t>
  </si>
  <si>
    <t>Âge, morceaux, mastication, digestion, sécurité</t>
  </si>
  <si>
    <t>Cuisson très maîtrisée et séparation adaptée</t>
  </si>
  <si>
    <t>Crèche : végétarien oui, mais texture d’abord</t>
  </si>
  <si>
    <t>Haricots rouges sauce tomate ; riz ; salade ; fruit</t>
  </si>
  <si>
    <t>Plat végétarien correct mais image et goût à travailler</t>
  </si>
  <si>
    <t>Analysez comment rendre ce plat de légumineuses acceptable et valorisant pour des lycéens.</t>
  </si>
  <si>
    <t>Pourquoi haricots rouges + riz peut être correct, mais doit donner envie ?</t>
  </si>
  <si>
    <t>Haricots rouges et riz forment une base nourrissante, mais le plat doit avoir un nom valorisant, une sauce bien assaisonnée, une couleur attractive et une texture correcte. Il peut être présenté comme chili doux ou bol mexicain plutôt que plat de haricots.</t>
  </si>
  <si>
    <t>Haricots rouges et riz, ça cale, mais il faut le rendre sympa : sauce, épices douces, couleur et nom qui donne envie.</t>
  </si>
  <si>
    <t>Si l’apprenant se limite à l’association nutritionnelle, demander comment il améliore l’image du plat.</t>
  </si>
  <si>
    <t>Demander : « Tu l’appelles comment pour que les lycéens aient envie ? »</t>
  </si>
  <si>
    <t>haricots rouges ; riz ; chili ; sauce ; nom ; lycée ; goût ; couleur ; acceptabilité ; satiété</t>
  </si>
  <si>
    <t>Image / acceptabilité</t>
  </si>
  <si>
    <t>Haricots rouges + riz</t>
  </si>
  <si>
    <t>Sauce tomate épicée douce, légumes, herbes</t>
  </si>
  <si>
    <t>Salade colorée ou crudité</t>
  </si>
  <si>
    <t>Lycéens : nom attractif, sauce maîtrisée</t>
  </si>
  <si>
    <t>Cuisson des haricots et sauce nappante</t>
  </si>
  <si>
    <t>Base correcte + nom valorisant</t>
  </si>
  <si>
    <t>Cycle de menus</t>
  </si>
  <si>
    <t>Menu végétarien répété : pâtes légumes chaque semaine</t>
  </si>
  <si>
    <t>Répétition qui affaiblit l’acceptabilité du végétarien</t>
  </si>
  <si>
    <t>Analysez le risque pédagogique et alimentaire d’un menu végétarien répétitif et proposez des familles d’alternatives.</t>
  </si>
  <si>
    <t>Pourquoi remettre toujours pâtes-légumes comme menu végé finit par poser problème ?</t>
  </si>
  <si>
    <t>Répéter pâtes-légumes donne l’image d’un végétarien pauvre et monotone. Il faut varier les familles : chili sin carne, dahl, couscous végétarien, omelette légumes, gratin de lentilles, curry pois chiches, salade complète selon saison.</t>
  </si>
  <si>
    <t>Si le menu végé, c’est toujours pâtes-légumes, les élèves vont penser que c’est pauvre. Il faut varier : chili, dahl, couscous, omelette, curry, lentilles.</t>
  </si>
  <si>
    <t>Si l’apprenant propose une seule recette alternative, demander de raisonner par familles de plats.</t>
  </si>
  <si>
    <t>Demander : « Quels autres vrais plats végé tu peux proposer ? »</t>
  </si>
  <si>
    <t>répétition ; pâtes ; légumes ; cycle ; chili ; dahl ; couscous ; omelette ; curry ; varier</t>
  </si>
  <si>
    <t>Répétition / cycle</t>
  </si>
  <si>
    <t>Varier légumineuses, œufs, céréales, plats complets</t>
  </si>
  <si>
    <t>Sauces différentes : tomate, curry doux, herbes</t>
  </si>
  <si>
    <t>Entrée adaptée à chaque famille de plat</t>
  </si>
  <si>
    <t>Dessert correcteur selon densité du plat</t>
  </si>
  <si>
    <t>Collège : varier pour éviter rejet</t>
  </si>
  <si>
    <t>Planification du cycle, achats et production</t>
  </si>
  <si>
    <t>Répétition tue l’acceptabilité</t>
  </si>
  <si>
    <t>Pané végétal ; frites ; ketchup ; dessert lacté sucré</t>
  </si>
  <si>
    <t>Menu végétarien ultra-standardisé, gras et peu éducatif</t>
  </si>
  <si>
    <t>Analysez ce menu végétarien pané et proposez une correction sans perdre l’acceptabilité enfant.</t>
  </si>
  <si>
    <t>Pourquoi pané végétal + frites + ketchup, ce n’est pas suffisant comme menu végé ?</t>
  </si>
  <si>
    <t>Le pané végétal peut être accepté, mais l’ensemble frites/ketchup/dessert sucré est trop standardisé. Il faut vérifier la composition du pané, remplacer ou compléter par légumes, proposer une sauce plus adaptée et terminer plus léger avec fruit ou compote.</t>
  </si>
  <si>
    <t>Le pané végé peut plaire, mais avec frites et ketchup, ça fait trop. Je garde le côté accepté mais je mets légumes, sauce plus simple et fruit.</t>
  </si>
  <si>
    <t>Si l’apprenant supprime le pané, rappeler que l’objectif est de corriger autour du plat.</t>
  </si>
  <si>
    <t>Demander : « Comment tu gardes ce qui plaît, mais tu rends le repas plus correct ? »</t>
  </si>
  <si>
    <t>pané ; végétal ; frites ; ketchup ; légumes ; sauce ; fruit ; primaire ; gras ; acceptabilité</t>
  </si>
  <si>
    <t>Pané / gras</t>
  </si>
  <si>
    <t>Pané végétal accompagné de légumes/féculent maîtrisé</t>
  </si>
  <si>
    <t>Sauce yaourt, tomate ou herbes plutôt que ketchup seul</t>
  </si>
  <si>
    <t>Primaire : garder repères sans fast-food</t>
  </si>
  <si>
    <t>Croustillant et tenue du pané</t>
  </si>
  <si>
    <t>Plaisir enfant + correction légumes</t>
  </si>
  <si>
    <t>Salade de pois chiches ; concombre ; pain ; pêche</t>
  </si>
  <si>
    <t>Menu froid végétarien nourrissant mais sec et peu adapté aux enfants</t>
  </si>
  <si>
    <t>Analysez l’acceptabilité et le confort de consommation d’une salade de pois chiches en primaire.</t>
  </si>
  <si>
    <t>Pourquoi une salade de pois chiches peut être sèche pour des enfants ?</t>
  </si>
  <si>
    <t>Les pois chiches sont une base intéressante, mais en salade froide ils peuvent être secs et peu acceptés. Il faut une sauce suffisamment humide, des légumes colorés, une portion adaptée et éventuellement une céréale ou une présentation plus ludique.</t>
  </si>
  <si>
    <t>Les pois chiches calent, mais ça peut être sec. Je mets une bonne sauce, des couleurs et une portion adaptée pour les enfants.</t>
  </si>
  <si>
    <t>Si l’apprenant insiste sur les protéines, demander si les enfants vont réellement consommer la salade.</t>
  </si>
  <si>
    <t>Demander : « Est-ce que les enfants vont manger ça facilement ? Qu’est-ce qui aide ? »</t>
  </si>
  <si>
    <t>pois chiches ; salade ; froid ; sec ; sauce ; enfants ; primaire ; couleur ; portion ; été</t>
  </si>
  <si>
    <t>Froid / sec</t>
  </si>
  <si>
    <t>Pois chiches avec céréale ou légumes selon menu</t>
  </si>
  <si>
    <t>Sauce citron, yaourt, herbes, suffisamment humide</t>
  </si>
  <si>
    <t>Concombre intégré ou entrée plus colorée</t>
  </si>
  <si>
    <t>Pêche ou fruit d’été adapté</t>
  </si>
  <si>
    <t>Primaire : portion, sauce, nom, couleur</t>
  </si>
  <si>
    <t>Pois chiches tendres, pas farineux</t>
  </si>
  <si>
    <t>Pois chiches froids = sauce et présentation</t>
  </si>
  <si>
    <t>Polenta crémeuse ; légumes rôtis ; salade ; fruit</t>
  </si>
  <si>
    <t>Menu végétarien coloré mais base protéique insuffisante</t>
  </si>
  <si>
    <t>Analysez pourquoi un menu coloré peut rester faible s’il manque une base nourrissante.</t>
  </si>
  <si>
    <t>Pourquoi polenta + légumes, même joli, peut ne pas suffire ?</t>
  </si>
  <si>
    <t>La polenta et les légumes apportent couleur et confort, mais la base protéique peut être insuffisante. Il faut ajouter œuf, fromage maîtrisé, lentilles, haricots ou pois chiches selon le contexte, tout en évitant de rendre le plat trop lourd.</t>
  </si>
  <si>
    <t>C’est joli et chaud, mais polenta + légumes ne suffit pas toujours. J’ajoute œuf, fromage bien dosé ou légumineuses pour que ça cale.</t>
  </si>
  <si>
    <t>Si l’apprenant se concentre sur la couleur, demander où est la base nourrissante.</t>
  </si>
  <si>
    <t>Demander : « C’est coloré, mais qu’est-ce qui cale vraiment ? »</t>
  </si>
  <si>
    <t>polenta ; légumes ; couleur ; protéine ; œuf ; fromage ; lentilles ; pois chiches ; satiété ; hiver</t>
  </si>
  <si>
    <t>Coloré mais faible</t>
  </si>
  <si>
    <t>Polenta + œuf/fromage/légumineuses selon recette</t>
  </si>
  <si>
    <t>Jus de légumes rôtis, coulis tomate ou herbes</t>
  </si>
  <si>
    <t>Salade ou crudité légère</t>
  </si>
  <si>
    <t>Adultes : satiété sans excès de gras</t>
  </si>
  <si>
    <t>Polenta qui fige au service</t>
  </si>
  <si>
    <t>Belle assiette mais base à vérifier</t>
  </si>
  <si>
    <t>Gratin courge-semoule ; velouté ; compote</t>
  </si>
  <si>
    <t>Végétarien doux mais trop mou et peu protéique pour un public fragile</t>
  </si>
  <si>
    <t>Analysez les limites d’un menu végétarien doux en EHPAD et proposez un enrichissement adapté.</t>
  </si>
  <si>
    <t>Pourquoi courge, semoule, velouté et compote peuvent faire trop mou et pas assez nourrissant ?</t>
  </si>
  <si>
    <t>Le menu est doux et de saison, mais trop mou et potentiellement insuffisant en base nourrissante. En EHPAD, il faut enrichir avec œuf, fromage, légumineuse mixée adaptée ou laitage, conserver une sauce/texture sécurisée et renforcer couleur et appétence.</t>
  </si>
  <si>
    <t>C’est doux, mais tout est mou et ça peut ne pas assez nourrir. J’ajoute une base adaptée comme œuf, fromage ou légumineuse bien préparée, et je soigne la présentation.</t>
  </si>
  <si>
    <t>Si l’apprenant répond seulement “c’est facile à manger”, demander si c’est assez nourrissant et appétent.</t>
  </si>
  <si>
    <t>Demander : « Facile à manger, oui ; mais est-ce que ça nourrit assez ? »</t>
  </si>
  <si>
    <t>EHPAD ; courge ; semoule ; mou ; enrichi ; œuf ; fromage ; légumineuse ; compote ; texture</t>
  </si>
  <si>
    <t>EHPAD / enrichissement</t>
  </si>
  <si>
    <t>Courge-semoule enrichie avec œuf/fromage/légumineuse adaptée</t>
  </si>
  <si>
    <t>Texture humide, liaison sûre</t>
  </si>
  <si>
    <t>Velouté enrichi si besoin</t>
  </si>
  <si>
    <t>Compote enrichie ou dessert lacté selon besoin</t>
  </si>
  <si>
    <t>EHPAD : appétit, texture, enrichissement, couleur</t>
  </si>
  <si>
    <t>Maîtrise texture et enrichissement sans alourdir</t>
  </si>
  <si>
    <t>Doux ne suffit pas : nourrir et donner envie</t>
  </si>
  <si>
    <t>CFA / adultes en reconversion</t>
  </si>
  <si>
    <t>Menu libre à créer autour d’un plat végétarien imposé : lentilles ou pois chiches</t>
  </si>
  <si>
    <t>Construire un menu végétarien complet, nommé et justifié</t>
  </si>
  <si>
    <t>Construisez un menu végétarien complet à partir de lentilles ou pois chiches, puis justifiez base nourrissante, goût, couleur et satiété.</t>
  </si>
  <si>
    <t>Avec des lentilles ou des pois chiches, comment tu fais un vrai menu végé qui donne envie et qui cale ?</t>
  </si>
  <si>
    <t>Le menu doit partir d’une base légumineuse claire : lentilles ou pois chiches. Il faut l’associer à une céréale ou une garniture adaptée, travailler sauce, nom du plat, couleur, texture et choisir entrée/dessert comme correcteurs. La justification doit montrer que le plat est nourrissant et acceptable.</t>
  </si>
  <si>
    <t>Je pars des lentilles ou pois chiches, j’ajoute une céréale ou une bonne garniture, une sauce, de la couleur et un nom qui donne envie. L’entrée et le dessert servent à corriger le repas.</t>
  </si>
  <si>
    <t>Si la réponse liste des aliments sans logique, demander de justifier chaque choix : base, sauce, couleur, satiété, convive.</t>
  </si>
  <si>
    <t>Demander : « Pourquoi tu choisis cette garniture, cette sauce, cette entrée et ce dessert ? »</t>
  </si>
  <si>
    <t>lentilles ; pois chiches ; céréale ; sauce ; couleur ; satiété ; nom ; entrée ; dessert ; justification</t>
  </si>
  <si>
    <t>Création complète</t>
  </si>
  <si>
    <t>Lentilles ou pois chiches + céréale/garniture cohérente</t>
  </si>
  <si>
    <t>Sauce ou assaisonnement qui donne goût et humidité</t>
  </si>
  <si>
    <t>Correcteur couleur/fraîcheur selon plat</t>
  </si>
  <si>
    <t>Fruit, laitage ou dessert selon équilibre</t>
  </si>
  <si>
    <t>CFA/adultes : justification professionnelle attendue</t>
  </si>
  <si>
    <t>Faisabilité en production collective</t>
  </si>
  <si>
    <t>Créer = base + goût + couleur + justification</t>
  </si>
  <si>
    <t>Méthode PLATS-CF — évaluation finale : diagnostiquer, corriger, adapter, contrôler et justifier</t>
  </si>
  <si>
    <t>BLOC PRO — évaluation finale technique</t>
  </si>
  <si>
    <t>BLOC CFA — évaluation finale terrain</t>
  </si>
  <si>
    <t>1. Saisir un numéro en B4 pour choisir un cas final.</t>
  </si>
  <si>
    <t>2. L’apprenant produit d’abord un diagnostic en réponse A.</t>
  </si>
  <si>
    <t>Diagnostic : le menu est trop blanc et le poisson peut être sec. Correction : poisson sauce citron-herbes, riz pilaf, brocolis ou carottes, entrée colorée et fruit de saison. Adapter au public scolaire en rendant l’assiette plus lisible et plus appétente. Contrôle final : équilibre, allergènes poisson/lait, tenue chaude et gaspillage.</t>
  </si>
  <si>
    <t>Le menu est trop blanc et le poisson risque d’être sec. Je mets une sauce, un légume coloré, une entrée qui donne de la couleur et un fruit. Je vérifie les allergènes, la tenue au chaud et si les enfants vont vraiment manger.</t>
  </si>
  <si>
    <t>3. Après conseil formateur, il propose une correction complète en réponse B.</t>
  </si>
  <si>
    <t>4. La réponse finale doit couvrir : diagnostic, plat/garniture/sauce, entrée-dessert, convive, contrôle final, justification.</t>
  </si>
  <si>
    <t>5. Saisir X en H4 pour afficher les réponses attendues, mots-clés et corrections.</t>
  </si>
  <si>
    <t>6. La notation automatique reste indicative : elle repère des mots-clés, mais le formateur décide.</t>
  </si>
  <si>
    <t>Réponse B PRO — correction complète</t>
  </si>
  <si>
    <t>Réponse B CFA — correction complète</t>
  </si>
  <si>
    <t>7. Les contrôles attendus portent sur équilibre, végétarien si concerné, EGalim, saison, PMS/allergènes/production, gaspillage/acceptabilité.</t>
  </si>
  <si>
    <t>8. Ce document est une évaluation pédagogique, pas un document réglementaire exhaustif.</t>
  </si>
  <si>
    <t>Sources de méthode : modules M01, M02, M03, M05, M06, M08, M09 — PLATS-CF.</t>
  </si>
  <si>
    <t>CORRECTIONS ET CONTRÔLES ATTENDUS — affichés seulement si X est saisi en H4</t>
  </si>
  <si>
    <t>Contrôle final</t>
  </si>
  <si>
    <t>NOTATION AUTOMATIQUE INDICATIVE — évaluation finale, à contrôler par le formateur</t>
  </si>
  <si>
    <t>Menu trop blanc, sec, faible attractivité</t>
  </si>
  <si>
    <t>Analysez ce menu faible et produisez une correction complète : diagnostic, plat/garniture/sauce, entrée-dessert, adaptation scolaire et contrôle final.</t>
  </si>
  <si>
    <t>Pourquoi ce menu risque de ne pas être mangé par des enfants, et comment tu le corriges complètement ?</t>
  </si>
  <si>
    <t>Si l’apprenant change tout le menu, le ramener à la consigne : corriger sans supprimer le plat principal.</t>
  </si>
  <si>
    <t>Demander : « Où est la couleur ? Comment tu évites que le poisson soit sec ? Qu’est-ce que tu contrôles avant service ? »</t>
  </si>
  <si>
    <t>Diagnostic 4 ; plat/garniture/sauce 4 ; entrée-dessert 4 ; convive 3 ; contrôle final 3 ; justification 2.</t>
  </si>
  <si>
    <t>diagnostic ; blanc ; sec ; sauce ; garniture ; entrée ; dessert ; enfant ; contrôle ; allergènes ; gaspillage</t>
  </si>
  <si>
    <t>M02 ; M03 ; M05 ; M08</t>
  </si>
  <si>
    <t>Sauce citron-herbes ou jus court</t>
  </si>
  <si>
    <t>Adapter à l’école primaire : lisible, coloré, simple</t>
  </si>
  <si>
    <t>Contrôler allergènes poisson/lait, maintien chaud, gaspillage</t>
  </si>
  <si>
    <t>Évaluation finale = voir + corriger + contrôler</t>
  </si>
  <si>
    <t>Diagnostic global</t>
  </si>
  <si>
    <t>diagnostic</t>
  </si>
  <si>
    <t>probleme</t>
  </si>
  <si>
    <t>Correction plat/garniture/sauce</t>
  </si>
  <si>
    <t>Correction entrée-dessert</t>
  </si>
  <si>
    <t>controle</t>
  </si>
  <si>
    <t>egalim</t>
  </si>
  <si>
    <t>pms</t>
  </si>
  <si>
    <t>controler</t>
  </si>
  <si>
    <t>Justification PRO/CFA</t>
  </si>
  <si>
    <t>explique</t>
  </si>
  <si>
    <t>Menu trop lourd, répétition gras/crème/fromage</t>
  </si>
  <si>
    <t>Évaluez ce menu dense et proposez une correction globale sans perdre la cohérence de restauration collective adulte.</t>
  </si>
  <si>
    <t>Où est-ce que ce menu est trop lourd, et comment tu le rends plus digeste ?</t>
  </si>
  <si>
    <t>Diagnostic : le menu cumule pâte, crème, gratin, fromage et pâtisserie. Correction : remplacer l’entrée par une crudité, alléger la sauce en jus réduit, proposer pommes vapeur et légumes verts, terminer par un fruit. Adapter aux adultes actifs avec un repas digeste. Contrôle final : équilibre gras/féculents, production de sauce, porc/alternative et gaspillage.</t>
  </si>
  <si>
    <t>Il y a trop de gras et trop de choses lourdes. Je mets des crudités, des légumes, une sauce plus légère ou du jus, et un fruit. Je vérifie aussi si le porc convient et si le repas reste digeste.</t>
  </si>
  <si>
    <t>Faire repérer les répétitions sur toute la ligne de menu, pas seulement sur le plat.</t>
  </si>
  <si>
    <t>Demander : « Combien de fois tu remets du gras, de la crème, du fromage ou de la pâte ? »</t>
  </si>
  <si>
    <t>diagnostic ; lourd ; gras ; crème ; garniture ; sauce ; crudité ; fruit ; adulte ; contrôle</t>
  </si>
  <si>
    <t>M03 ; M05 ; M08</t>
  </si>
  <si>
    <t>Lourdeur</t>
  </si>
  <si>
    <t>Adapter à une pause adulte : repas digeste</t>
  </si>
  <si>
    <t>Contrôler porc/alternative, excès de gras, faisabilité production</t>
  </si>
  <si>
    <t>Plat lourd = correcteurs frais</t>
  </si>
  <si>
    <t>Menu végétarien faible, satiété insuffisante</t>
  </si>
  <si>
    <t>Évaluez la construction végétarienne du menu et proposez une correction complète avec base nourrissante et contrôle final.</t>
  </si>
  <si>
    <t>Pourquoi ce menu végé ne cale pas assez, et comment tu en fais un vrai menu ?</t>
  </si>
  <si>
    <t>Diagnostic : les pâtes sauce tomate seules ne construisent pas un plat végétarien suffisant pour adolescents. Correction : ajouter lentilles corail, pois chiches, haricots rouges ou œuf selon contexte, enrichir la sauce en légumes, garder un laitage ou un fruit selon équilibre. Adapter au public adolescent avec goût, couleur et satiété. Contrôle final : menu végétarien, allergènes, équilibre et acceptabilité.</t>
  </si>
  <si>
    <t>Les pâtes tomate seules ne suffisent pas. J’ajoute des lentilles, pois chiches ou une vraie base qui cale, avec légumes et goût. Je vérifie que c’est un vrai menu végétarien et que les élèves vont le manger.</t>
  </si>
  <si>
    <t>Si l’apprenant ajoute seulement du fromage, demander s’il construit vraiment le plat principal.</t>
  </si>
  <si>
    <t>Demander : « Qu’est-ce qui remplace vraiment la viande ? Qu’est-ce qui cale ? »</t>
  </si>
  <si>
    <t>diagnostic ; végétarien ; lentilles ; pois chiches ; sauce ; légumes ; satiété ; adolescent ; contrôle</t>
  </si>
  <si>
    <t>M02 ; M06 ; M08</t>
  </si>
  <si>
    <t>Pâtes + légumineuses + légumes</t>
  </si>
  <si>
    <t>Sauce tomate enrichie en légumes/herbes</t>
  </si>
  <si>
    <t>Adapter aux adolescents : satiété et nom valorisant</t>
  </si>
  <si>
    <t>Contrôler menu végétarien, allergènes, acceptabilité</t>
  </si>
  <si>
    <t>Végétarien = construit</t>
  </si>
  <si>
    <t>Menu sec, mastication difficile, dessert peu adapté</t>
  </si>
  <si>
    <t>Évaluez ce menu pour personnes âgées et proposez une correction complète orientée consommation réelle.</t>
  </si>
  <si>
    <t>Pourquoi ce menu peut être difficile à manger en EHPAD, et comment tu l’adaptes ?</t>
  </si>
  <si>
    <t>Diagnostic : la dinde grillée et le riz risquent d’être secs, la pomme crue peut être difficile selon mastication. Correction : émincé de dinde sauce douce, riz moelleux ou purée, haricots verts fondants, potage enrichi si besoin et compote ou dessert lacté adapté. Contrôle final : texture, allergènes, enrichissement, température et consommation réelle.</t>
  </si>
  <si>
    <t>La dinde et le riz peuvent être secs. Pour une personne âgée, je mets de la sauce, du moelleux, des légumes fondants et un dessert facile comme compote ou laitage. Je vérifie la texture et si la personne peut vraiment manger.</t>
  </si>
  <si>
    <t>Ramener systématiquement sur la consommation réelle : l’assiette sera-t-elle terminée ?</t>
  </si>
  <si>
    <t>Demander : « Est-ce facile à mâcher ? Est-ce assez humide ? Le dessert est-il adapté ? »</t>
  </si>
  <si>
    <t>diagnostic ; sec ; sauce ; moelleux ; compote ; EHPAD ; texture ; contrôle ; température</t>
  </si>
  <si>
    <t>M01 ; M03 ; M05 ; M08</t>
  </si>
  <si>
    <t>Convive sensible</t>
  </si>
  <si>
    <t>Riz moelleux ou purée + légumes fondants</t>
  </si>
  <si>
    <t>Adapter à EHPAD : mastication, appétit, texture</t>
  </si>
  <si>
    <t>Contrôler texture, température, allergènes, consommation</t>
  </si>
  <si>
    <t>Personne âgée = sauce + lisibilité</t>
  </si>
  <si>
    <t>Risque de refus poisson + épinards</t>
  </si>
  <si>
    <t>Évaluez ce menu scolaire et corrigez-le en conservant le plat principal autant que possible.</t>
  </si>
  <si>
    <t>Pourquoi poisson vapeur et épinards peuvent faire trop pour des enfants, et comment tu aides le plat ?</t>
  </si>
  <si>
    <t>Diagnostic : le menu associe deux éléments sensibles en primaire : poisson vapeur et épinards. Correction : conserver le poisson avec sauce douce citronnée ou yaourt-herbes, remplacer ou accompagner les épinards par carottes/petits pois, garder semoule moelleuse, entrée simple et fruit adapté. Contrôle final : allergènes poisson/lait, acceptabilité et gaspillage.</t>
  </si>
  <si>
    <t>Poisson + épinards, ça peut faire trop pour les enfants. Je garde le poisson mais je mets une sauce douce et un légume plus facile comme carottes ou petits pois. Je vérifie les allergènes et si ça risque de partir à la poubelle.</t>
  </si>
  <si>
    <t>Ne pas supprimer automatiquement le poisson : demander comment le rendre acceptable.</t>
  </si>
  <si>
    <t>diagnostic ; refus ; poisson ; épinards ; sauce ; carottes ; petits pois ; enfants ; gaspillage</t>
  </si>
  <si>
    <t>M01 ; M02 ; M03 ; M08</t>
  </si>
  <si>
    <t>Carottes/petits pois ou légumes plus accessibles</t>
  </si>
  <si>
    <t>Sauce citronnée ou yaourt-herbes</t>
  </si>
  <si>
    <t>Concombre sauce douce</t>
  </si>
  <si>
    <t>Poire mûre ou compote selon âge</t>
  </si>
  <si>
    <t>Adapter au primaire : repères connus, couleur</t>
  </si>
  <si>
    <t>Contrôler allergènes et gaspillage</t>
  </si>
  <si>
    <t>Risque de refus = aider le plat</t>
  </si>
  <si>
    <t>Menu trop mou, textures monotones</t>
  </si>
  <si>
    <t>Évaluez la texture globale du menu et proposez une correction complète adaptée à des adultes.</t>
  </si>
  <si>
    <t>Pourquoi ce repas fait-il trop mou, et comment tu ajoutes du contraste ?</t>
  </si>
  <si>
    <t>Diagnostic : le menu cumule velouté, hachis, purée et flan, avec une texture molle dominante. Correction : introduire une crudité, salade ou légume plus ferme, garder une sauce seulement si utile, remplacer le flan par fruit si adapté. Contrôle final : convive sans trouble de mastication, faisabilité et acceptabilité.</t>
  </si>
  <si>
    <t>Tout est mou. Pour des adultes qui peuvent mâcher, je mets une crudité, une salade ou un fruit qui donne de la tenue. Je vérifie que le public peut manger cette texture.</t>
  </si>
  <si>
    <t>Si la réponse parle uniquement de couleur, faire analyser la mastication.</t>
  </si>
  <si>
    <t>diagnostic ; mou ; texture ; salade ; crudité ; fruit ; adulte ; contrôle ; mastication</t>
  </si>
  <si>
    <t>Texture</t>
  </si>
  <si>
    <t>Légume plus ferme ou salade selon contexte</t>
  </si>
  <si>
    <t>Sauce non prioritaire, plat déjà humide</t>
  </si>
  <si>
    <t>Crudité croquante si adaptée</t>
  </si>
  <si>
    <t>Adapter au public : adulte sans contrainte de mastication</t>
  </si>
  <si>
    <t>Contrôler texture et acceptabilité</t>
  </si>
  <si>
    <t>Trop mou = contraste</t>
  </si>
  <si>
    <t>Menu trop brun et dense</t>
  </si>
  <si>
    <t>Évaluez la dominante couleur et la densité du repas, puis proposez une correction globale.</t>
  </si>
  <si>
    <t>Diagnostic : lentilles, bœuf sauce et gâteau chocolat donnent une dominante brune et dense. Correction : ajouter crudité verte/orange, légumes colorés ou fruit clair/acide, garder la sauce maîtrisée. Contrôle final : équilibre, saison, production du mijoté et perception lourde du repas.</t>
  </si>
  <si>
    <t>Tout fait marron et lourd. Je mets du vert ou de l’orange, une crudité ou un fruit plus frais. Je vérifie que le plat mijoté reste bien tenu au service.</t>
  </si>
  <si>
    <t>Si l’apprenant valide seulement car c’est de saison, demander s’il est appétent.</t>
  </si>
  <si>
    <t>Demander : « Quelle couleur manque ? »</t>
  </si>
  <si>
    <t>diagnostic ; brun ; lourd ; couleur ; vert ; orange ; fruit ; saison ; contrôle</t>
  </si>
  <si>
    <t>Couleur brune</t>
  </si>
  <si>
    <t>Sauce bourguignon maîtrisée</t>
  </si>
  <si>
    <t>Crudité verte/orange</t>
  </si>
  <si>
    <t>Adapter aux adultes : repas moins lourd visuellement</t>
  </si>
  <si>
    <t>Contrôler mijoté, saison et perception de lourdeur</t>
  </si>
  <si>
    <t>Trop brun = ajouter contraste</t>
  </si>
  <si>
    <t>Évaluez le risque de sécheresse et proposez une correction complète en conservant le plat principal.</t>
  </si>
  <si>
    <t>Pourquoi dinde grillée + semoule peut faire sec, et comment tu corriges ?</t>
  </si>
  <si>
    <t>Diagnostic : dinde grillée et semoule peuvent donner une sensation sèche. Correction : ajouter jus de volaille ou sauce légère, semoule aux légumes ou légumes fondants, entrée colorée et fruit/laitage selon équilibre. Contrôle final : maintien chaud, allergènes, acceptabilité CFA et faisabilité.</t>
  </si>
  <si>
    <t>Dinde + semoule, ça peut être sec. Je mets du jus ou une sauce, des légumes plus moelleux et de la couleur. Je vérifie la tenue au chaud et si ça donne envie.</t>
  </si>
  <si>
    <t>Rappeler que l’objectif est de corriger, pas de remplacer la dinde.</t>
  </si>
  <si>
    <t>Demander : « Sans changer la dinde, comment tu rends l’assiette moins sèche ? »</t>
  </si>
  <si>
    <t>diagnostic ; sec ; dinde ; semoule ; sauce ; jus ; légumes ; CFA ; contrôle</t>
  </si>
  <si>
    <t>Fruit ou yaourt selon besoin</t>
  </si>
  <si>
    <t>Adapter au CFA : repas concret, appétent</t>
  </si>
  <si>
    <t>Contrôler maintien chaud et dessèchement</t>
  </si>
  <si>
    <t>Végétarien correct mais risque de rejet par nom/presentation</t>
  </si>
  <si>
    <t>Évaluez le menu végétarien et proposez une amélioration de présentation, goût et contrôle final.</t>
  </si>
  <si>
    <t>Comment éviter que les lycéens pensent qu’il manque de la viande ?</t>
  </si>
  <si>
    <t>Diagnostic : le chili sin carne peut être correct s’il est construit avec légumineuses, sauce et épices maîtrisées, mais le nom peut provoquer le rejet. Correction : valoriser le plat, garder riz, ajouter maïs/légumes couleur, entrée simple et dessert cohérent. Contrôle final : menu végétarien, allergènes, épices et acceptabilité.</t>
  </si>
  <si>
    <t>Le plat peut être bon, mais il ne faut pas le présenter comme un plat où il manque de la viande. Je le nomme comme un vrai chili complet, avec haricots, sauce, légumes, riz et goût maîtrisé.</t>
  </si>
  <si>
    <t>Faire travailler le nom du plat et la communication, pas seulement la recette.</t>
  </si>
  <si>
    <t>Demander : « Comment tu annonces ce plat pour donner envie ? »</t>
  </si>
  <si>
    <t>diagnostic ; chili ; végétarien ; légumineuses ; riz ; nom ; acceptabilité ; lycée ; contrôle</t>
  </si>
  <si>
    <t>Riz + maïs/légumes colorés</t>
  </si>
  <si>
    <t>Salade ou crudité colorée</t>
  </si>
  <si>
    <t>Adapter au lycée : nom valorisant, goût</t>
  </si>
  <si>
    <t>Contrôler végétarien, épices, allergènes</t>
  </si>
  <si>
    <t>Nom du plat = acceptabilité</t>
  </si>
  <si>
    <t>Menu riche et pas adapté à tous les patients</t>
  </si>
  <si>
    <t>Évaluez ce menu en contexte hospitalier et proposez une correction avec contrôles prioritaires.</t>
  </si>
  <si>
    <t>Pourquoi à l’hôpital on ne sert pas ce menu pareil à tout le monde ?</t>
  </si>
  <si>
    <t>Diagnostic : ce menu peut être trop riche et inadapté selon prescription, mastication ou régime. Correction : entrée compatible, steak avec jus si besoin, pommes vapeur ou purée et légumes, dessert adapté ou compote selon prescription. Contrôle final : régime, texture, allergènes, PMS, production et appétit.</t>
  </si>
  <si>
    <t>À l’hôpital, il faut vérifier la consigne du patient. Crudités, frites et tarte ne conviennent pas toujours. J’adapte la garniture, le dessert, la texture et je vérifie les allergènes et le régime.</t>
  </si>
  <si>
    <t>Ne jamais laisser une correction unique pour tous les patients.</t>
  </si>
  <si>
    <t>Demander : « Quelle prescription ? Quelle texture ? Quels allergènes ? »</t>
  </si>
  <si>
    <t>diagnostic ; hospitalier ; prescription ; texture ; allergènes ; garniture ; dessert ; contrôle</t>
  </si>
  <si>
    <t>M01 ; M05 ; M08</t>
  </si>
  <si>
    <t>Pommes vapeur/purée + légumes</t>
  </si>
  <si>
    <t>Dessert adapté, compote ou fruit selon régime</t>
  </si>
  <si>
    <t>Adapter au patient : prescription et texture</t>
  </si>
  <si>
    <t>Contrôler PMS, allergènes, régime, production</t>
  </si>
  <si>
    <t>Hôpital = consigne avant menu</t>
  </si>
  <si>
    <t>Plat complet trop alourdi</t>
  </si>
  <si>
    <t>Évaluez ce plat complet et corrigez le reste du menu sans perdre la satiété.</t>
  </si>
  <si>
    <t>Pourquoi les lasagnes calent déjà, et qu’est-ce que tu évites autour ?</t>
  </si>
  <si>
    <t>Diagnostic : les lasagnes sont déjà denses avec féculent, viande, sauce et souvent fromage. Correction : éviter pain/fromage/crème dessert, ajouter salade ou crudité et fruit. Contrôle final : équilibre global, allergènes gluten/lait, portion et acceptabilité collège.</t>
  </si>
  <si>
    <t>Les lasagnes calent déjà. Je n’ajoute pas encore pain, fromage et crème dessert. Je mets plutôt une salade ou crudité et un fruit, puis je vérifie les allergènes et la portion.</t>
  </si>
  <si>
    <t>Faire repérer ce que contient déjà un plat complet.</t>
  </si>
  <si>
    <t>Demander : « Qu’est-ce qu’il y a déjà dans les lasagnes ? »</t>
  </si>
  <si>
    <t>diagnostic ; plat complet ; lasagnes ; lourd ; salade ; fruit ; allergènes ; contrôle</t>
  </si>
  <si>
    <t>M02 ; M05 ; M08</t>
  </si>
  <si>
    <t>Plat complet</t>
  </si>
  <si>
    <t>Salade verte ou crudité</t>
  </si>
  <si>
    <t>Adapter au collège : satiété sans surcharge</t>
  </si>
  <si>
    <t>Contrôler gluten/lait, portion, équilibre</t>
  </si>
  <si>
    <t>Texture/taille des morceaux à sécuriser</t>
  </si>
  <si>
    <t>Évaluez l’adaptation petite enfance de ce menu et proposez les corrections de sécurité.</t>
  </si>
  <si>
    <t>Pourquoi ce menu doit être adapté avant d’être servi aux tout-petits ?</t>
  </si>
  <si>
    <t>Diagnostic : radis, pomme crue, petits pois et poisson demandent adaptation selon âge, mastication et sécurité. Correction : entrée texture adaptée, poisson sans arêtes avec sauce douce, riz et petits pois adaptés, compote ou fruit préparé. Contrôle final : allergènes, taille des morceaux, PMS et consignes crèche.</t>
  </si>
  <si>
    <t>Pour les petits, les morceaux durs ou les arêtes sont dangereux. J’adapte les radis, la pomme, le poisson et les petits pois. Je vérifie les allergènes, la taille des morceaux et les consignes.</t>
  </si>
  <si>
    <t>Ramener sur le risque physique avant l’équilibre.</t>
  </si>
  <si>
    <t>Demander : « Est-ce qu’un tout-petit peut manger ça sans risque ? »</t>
  </si>
  <si>
    <t>diagnostic ; crèche ; morceaux ; texture ; poisson ; arêtes ; compote ; allergènes ; contrôle</t>
  </si>
  <si>
    <t>M01 ; M03 ; M08</t>
  </si>
  <si>
    <t>Riz adapté + petits pois fondants/mixés selon âge</t>
  </si>
  <si>
    <t>Entrée adaptée, pas de morceaux durs</t>
  </si>
  <si>
    <t>Adapter à la crèche : taille et texture</t>
  </si>
  <si>
    <t>Contrôler allergènes, arêtes, morceaux, PMS</t>
  </si>
  <si>
    <t>Tout-petit = sécurité texture</t>
  </si>
  <si>
    <t>Répétition rouge/tomate</t>
  </si>
  <si>
    <t>Évaluez la répétition sensorielle de ce menu d’été et corrigez couleur, entrée et dessert.</t>
  </si>
  <si>
    <t>Diagnostic : le menu est de saison mais répète tomate, rouge et acidité. Correction : remplacer l’entrée par concombre/melon, varier la sauce aux herbes, garder légumes d’été différents et choisir fruit non rouge. Contrôle final : saisonnalité, variété, acceptabilité et production froide/chaude.</t>
  </si>
  <si>
    <t>Même si c’est l’été, il y a trop de tomate et de rouge. Je varie avec concombre, melon, courgette, poivron ou un autre fruit. Je vérifie la saison et la variété.</t>
  </si>
  <si>
    <t>Faire distinguer saison correcte et répétition sensorielle.</t>
  </si>
  <si>
    <t>diagnostic ; tomate ; rouge ; répétition ; saison ; concombre ; melon ; fruit ; contrôle</t>
  </si>
  <si>
    <t>Légumes d’été variés : courgette, aubergine, poivron</t>
  </si>
  <si>
    <t>Sauce herbes ou tomate moins dominante</t>
  </si>
  <si>
    <t>Pêche, abricot ou melon</t>
  </si>
  <si>
    <t>Adapter aux adultes : variété sensorielle</t>
  </si>
  <si>
    <t>Contrôler saison et répétition</t>
  </si>
  <si>
    <t>Saison ne suffit pas</t>
  </si>
  <si>
    <t>Menu chaud, dense, sans fraîcheur</t>
  </si>
  <si>
    <t>Évaluez ce menu d’hiver pour une pause déjeuner et proposez une correction de fraîcheur et contrôle.</t>
  </si>
  <si>
    <t>Pourquoi ce menu d’hiver peut être lourd pour une pause de travail ?</t>
  </si>
  <si>
    <t>Diagnostic : menu cohérent en hiver mais très chaud, dense et peu frais. Correction : ajouter crudité d’hiver, alléger dessert avec fruit, conserver sauce maîtrisée et éventuellement légume vert. Contrôle final : digestibilité, production du mijoté, équilibre et gaspillage.</t>
  </si>
  <si>
    <t>C’est bien d’hiver mais tout est chaud et lourd. Je mets carottes râpées, betteraves ou chou rouge, et un fruit à la place d’un dessert lourd.</t>
  </si>
  <si>
    <t>Ne pas condamner le plat d’hiver : corriger autour.</t>
  </si>
  <si>
    <t>Demander : « Qu’est-ce qui apporte du frais ? »</t>
  </si>
  <si>
    <t>diagnostic ; hiver ; dense ; frais ; crudité ; fruit ; adulte ; contrôle</t>
  </si>
  <si>
    <t>Pommes vapeur + légume vert si besoin</t>
  </si>
  <si>
    <t>Adapter à entreprise : repas digeste</t>
  </si>
  <si>
    <t>Contrôler mijoté, gaspillage, digestibilité</t>
  </si>
  <si>
    <t>Hiver = chaud mais pas étouffant</t>
  </si>
  <si>
    <t>EHPAD texture modifiée</t>
  </si>
  <si>
    <t>Texture modifiée illisible, couleur unique</t>
  </si>
  <si>
    <t>Évaluez cette présentation en texture modifiée et proposez une correction complète sécurisée et digne.</t>
  </si>
  <si>
    <t>Diagnostic : tout mélanger fait perdre identité, couleur et appétence. Correction : séparer les composants par couleur, adapter sauce et texture prescrite, enrichir si besoin, dessert texture adaptée et présentation digne. Contrôle final : niveau de texture, température, allergènes, sécurité de déglutition et consommation.</t>
  </si>
  <si>
    <t>Même mixé, il faut voir ce qu’on mange. Je sépare les couleurs, je garde une sauce adaptée et un dessert joli. Je vérifie la texture demandée et la sécurité.</t>
  </si>
  <si>
    <t>Éviter de réduire l’exercice à « mixer plus fin ».</t>
  </si>
  <si>
    <t>Demander : « Est-ce que cette assiette donne envie et reste sûre ? »</t>
  </si>
  <si>
    <t>diagnostic ; mixé ; texture ; couleur ; sauce ; EHPAD ; sécurité ; contrôle</t>
  </si>
  <si>
    <t>Texture modifiée</t>
  </si>
  <si>
    <t>Entrée texture adaptée lisible</t>
  </si>
  <si>
    <t>Dessert texture adaptée coloré</t>
  </si>
  <si>
    <t>Adapter à EHPAD : dignité et sécurité</t>
  </si>
  <si>
    <t>Contrôler texture, déglutition, température, allergènes</t>
  </si>
  <si>
    <t>Mixé ≠ tout mélangé</t>
  </si>
  <si>
    <t>Porc répété, alternative à prévoir</t>
  </si>
  <si>
    <t>Évaluez ce menu pour un public mixte et proposez une correction avec alternative et contrôle final.</t>
  </si>
  <si>
    <t>Pourquoi porc en entrée et porc en plat peut poser problème au collège ou lycée ?</t>
  </si>
  <si>
    <t>Diagnostic : le menu répète le porc et exclut certains convives sans alternative. Correction : entrée sans porc, alternative au rôti, garniture colorée, dessert simple. Contrôle final : information convive, organisation alternative, allergènes, équilibre et acceptabilité.</t>
  </si>
  <si>
    <t>Il y a du porc deux fois. Certains élèves n’en mangent pas. Je mets une entrée sans porc, je prévois une autre solution et je garde une garniture correcte.</t>
  </si>
  <si>
    <t>Demander ce que mange concrètement le convive qui ne prend pas de porc.</t>
  </si>
  <si>
    <t>Demander : « Quelle est l’alternative réelle ? »</t>
  </si>
  <si>
    <t>diagnostic ; porc ; alternative ; public ; entrée ; convive ; contrôle ; information</t>
  </si>
  <si>
    <t>Alternative convive</t>
  </si>
  <si>
    <t>Entrée sans porc, crudité</t>
  </si>
  <si>
    <t>Adapter public mixte : alternative sans porc</t>
  </si>
  <si>
    <t>Contrôler information, organisation, allergènes</t>
  </si>
  <si>
    <t>Public mixte = alternative pensée</t>
  </si>
  <si>
    <t>Menu effet fast-food, pauvre en végétaux</t>
  </si>
  <si>
    <t>Évaluez ce menu attractif mais déséquilibré, puis proposez une correction sans supprimer le poisson pané.</t>
  </si>
  <si>
    <t>Comment garder ce qui plaît sans faire un repas fast-food ?</t>
  </si>
  <si>
    <t>Diagnostic : poisson pané + frites + ketchup + crème dessert donne un menu gras, standardisé et pauvre en végétaux. Correction : garder poisson pané mais remplacer frites par légumes/pommes vapeur, sauce yaourt-herbes ou citron, crudité et fruit. Contrôle final : équilibre, friture/pané, allergènes et acceptabilité.</t>
  </si>
  <si>
    <t>Le poisson pané peut plaire, mais avec frites, ketchup et crème dessert, ça fait trop fast-food. Je garde le poisson et je mets légumes, sauce plus simple et fruit.</t>
  </si>
  <si>
    <t>Ne pas supprimer ce qui aide l’acceptabilité ; corriger l’environnement du plat.</t>
  </si>
  <si>
    <t>Demander : « Qu’est-ce que tu gardes ? Qu’est-ce que tu corriges ? »</t>
  </si>
  <si>
    <t>diagnostic ; fast-food ; poisson pané ; frites ; légumes ; fruit ; collège ; contrôle</t>
  </si>
  <si>
    <t>Fast-food</t>
  </si>
  <si>
    <t>Légumes verts, pommes vapeur ou purée légumes</t>
  </si>
  <si>
    <t>Adapter collège : garder acceptabilité</t>
  </si>
  <si>
    <t>Contrôler pané, allergènes, équilibre</t>
  </si>
  <si>
    <t>Garder l’attrait, corriger autour</t>
  </si>
  <si>
    <t>Velouté de courge ; dahl lentilles corail ; purée de carottes ; compote</t>
  </si>
  <si>
    <t>Évaluez ce menu végétarien et corrigez texture, satiété et contrôle final.</t>
  </si>
  <si>
    <t>Diagnostic : le menu est cohérent avec l’automne et végétarien mais cumule velouté, dahl, purée et compote. Correction : ajouter texture de contraste si public adapté : crudité d’automne, céréale plus structurée, salade ou fruit cru. Contrôle final : végétarien, texture, saison, production et acceptabilité.</t>
  </si>
  <si>
    <t>C’est de saison et végé, mais tout est mou. J’ajoute quelque chose qui change en bouche : crudité, salade, céréale ou fruit cru si le public peut manger.</t>
  </si>
  <si>
    <t>Faire reconnaître le point positif avant la correction.</t>
  </si>
  <si>
    <t>Demander : « Qu’est-ce qui est bien ? Qu’est-ce qui manque ? »</t>
  </si>
  <si>
    <t>diagnostic ; végétarien ; mou ; texture ; saison ; crudité ; céréale ; contrôle</t>
  </si>
  <si>
    <t>M03 ; M06 ; M08</t>
  </si>
  <si>
    <t>Texture végétarien</t>
  </si>
  <si>
    <t>Riz pilaf, céréale structurée ou légume plus ferme</t>
  </si>
  <si>
    <t>Crudité d’automne</t>
  </si>
  <si>
    <t>Adapter aux adultes : mastication possible</t>
  </si>
  <si>
    <t>Contrôler végétarien, texture, saison</t>
  </si>
  <si>
    <t>Cohérent mais monotone</t>
  </si>
  <si>
    <t>Menu peu rassasiant</t>
  </si>
  <si>
    <t>Évaluez la satiété de ce menu étudiant et proposez une correction équilibrée.</t>
  </si>
  <si>
    <t>Pourquoi ce repas risque de ne pas caler des étudiants ?</t>
  </si>
  <si>
    <t>Diagnostic : le menu est léger et peu valorisé pour étudiants. Correction : ajouter féculent ou salade composée plus complète, valoriser l’omelette avec légumes/herbes, garder yaourt ou fruit selon équilibre. Contrôle final : satiété, coût, production et acceptabilité.</t>
  </si>
  <si>
    <t>Ça ne cale pas assez pour des étudiants. J’ajoute un féculent ou une salade plus complète, je valorise l’omelette et je vérifie que ça reste équilibré.</t>
  </si>
  <si>
    <t>Si l’apprenant ajoute seulement un dessert riche, demander s’il corrige vraiment le plat.</t>
  </si>
  <si>
    <t>diagnostic ; étudiant ; satiété ; omelette ; féculent ; salade ; contrôle</t>
  </si>
  <si>
    <t>M01 ; M02 ; M05 ; M08</t>
  </si>
  <si>
    <t>Satiété</t>
  </si>
  <si>
    <t>Herbes ou sauce légère</t>
  </si>
  <si>
    <t>Adapter étudiants : satiété et coût</t>
  </si>
  <si>
    <t>Contrôler équilibre, coût, production</t>
  </si>
  <si>
    <t>Étudiant = caler sans alourdir</t>
  </si>
  <si>
    <t>Évaluez ce menu conforme mais peu attractif et proposez une correction complète simple.</t>
  </si>
  <si>
    <t>Pourquoi ce menu n’est pas faux mais ne donne pas beaucoup envie ?</t>
  </si>
  <si>
    <t>Diagnostic : le menu peut être correct mais manque de relief : dinde sèche, pommes vapeur neutres, yaourt blanc. Correction : jus de dinde, légume coloré, crudité d’hiver ou fruit, présentation plus lisible. Contrôle final : allergènes, maintien chaud, équilibre et acceptabilité.</t>
  </si>
  <si>
    <t>Le menu est correct mais triste. Je mets du jus, un légume coloré ou un fruit, et je vérifie que la dinde ne sèche pas au service.</t>
  </si>
  <si>
    <t>Faire distinguer menu conforme et menu mangé.</t>
  </si>
  <si>
    <t>diagnostic ; conforme ; triste ; dinde ; jus ; couleur ; fruit ; contrôle</t>
  </si>
  <si>
    <t>Pommes vapeur + carottes/légume vert</t>
  </si>
  <si>
    <t>Adapter tous publics : lisible et appétent</t>
  </si>
  <si>
    <t>Contrôler maintien chaud, allergènes, gaspillage</t>
  </si>
  <si>
    <t>Conforme ne veut pas dire appétent</t>
  </si>
  <si>
    <t>Melon ; steak haché ; pâtes au beurre ; yaourt nature</t>
  </si>
  <si>
    <t>Menu simple mais manque de légumes et de couleur dans le plat</t>
  </si>
  <si>
    <t>Évaluez ce menu maternelle et proposez une correction simple qui garde les repères des enfants.</t>
  </si>
  <si>
    <t>Pourquoi ce menu est facile mais pas assez complet, et qu’est-ce que tu ajoutes ?</t>
  </si>
  <si>
    <t>Diagnostic : le menu est lisible pour maternelle mais la garniture pâtes au beurre manque de légumes et de couleur. Correction : steak haché avec jus, pâtes avec légumes doux ou ratatouille fine, melon maintenu si adapté et fruit/laitage selon équilibre. Contrôle final : cuisson du steak, allergènes, taille des morceaux et gaspillage.</t>
  </si>
  <si>
    <t>C’est simple, mais il manque du légume et de la couleur avec le plat. Je mets un peu de sauce/jus, des légumes faciles et je vérifie la cuisson et les morceaux.</t>
  </si>
  <si>
    <t>Valoriser les repères connus mais faire ajouter un vrai correcteur.</t>
  </si>
  <si>
    <t>Demander : « Où sont les légumes dans le plat ? »</t>
  </si>
  <si>
    <t>diagnostic ; maternelle ; légumes ; couleur ; steak ; sauce ; cuisson ; contrôle</t>
  </si>
  <si>
    <t>Manque légumes</t>
  </si>
  <si>
    <t>Pâtes avec légumes doux ou ratatouille fine</t>
  </si>
  <si>
    <t>Jus léger du steak</t>
  </si>
  <si>
    <t>Melon adapté</t>
  </si>
  <si>
    <t>Adapter maternelle : repères, morceaux, goût doux</t>
  </si>
  <si>
    <t>Contrôler cuisson steak, allergènes, taille morceaux</t>
  </si>
  <si>
    <t>Simple oui, incomplet non</t>
  </si>
  <si>
    <t>Salade de pommes de terre ; galette végétale ; riz ; compote</t>
  </si>
  <si>
    <t>Menu végétarien trop sec et trop féculent</t>
  </si>
  <si>
    <t>Évaluez ce menu végétarien et proposez une correction complète sur féculents, sauce et satiété.</t>
  </si>
  <si>
    <t>Pourquoi ce menu végé fait trop féculent et sec, et comment tu le corriges ?</t>
  </si>
  <si>
    <t>Diagnostic : pommes de terre + riz + galette végétale donnent répétition de féculents et risque sec. Correction : remplacer une partie par légumes, ajouter sauce yaourt-herbes ou coulis, vérifier base légumineuse de la galette, dessert fruit/laitage selon équilibre. Contrôle final : végétarien construit, allergènes, production et acceptabilité CFA.</t>
  </si>
  <si>
    <t>Il y a trop de féculents et ça peut être sec. Je mets des légumes, une sauce et je vérifie que la galette apporte vraiment quelque chose qui cale.</t>
  </si>
  <si>
    <t>Faire repérer la double garniture féculente.</t>
  </si>
  <si>
    <t>Demander : « Combien de féculents vois-tu ? Où est la sauce ? »</t>
  </si>
  <si>
    <t>diagnostic ; végétarien ; féculent ; sec ; galette ; sauce ; légumes ; contrôle</t>
  </si>
  <si>
    <t>Végétarien féculent</t>
  </si>
  <si>
    <t>Remplacer riz ou pommes de terre par légumes colorés</t>
  </si>
  <si>
    <t>Sauce yaourt-herbes ou coulis légumes</t>
  </si>
  <si>
    <t>Entrée légume frais plutôt que féculent</t>
  </si>
  <si>
    <t>Compote ou fruit selon équilibre</t>
  </si>
  <si>
    <t>Adapter CFA : comprendre base nourrissante</t>
  </si>
  <si>
    <t>Contrôler végétarien, allergènes, production</t>
  </si>
  <si>
    <t>Végé sec = sauce + légumes</t>
  </si>
  <si>
    <t>Betteraves ; saucisse ; lentilles ; fromage ; gâteau chocolat</t>
  </si>
  <si>
    <t>Menu brun/salé, risque refus et lourdeur</t>
  </si>
  <si>
    <t>Évaluez ce menu scolaire et corrigez couleur, sel, entrée-dessert et contrôle final.</t>
  </si>
  <si>
    <t>Pourquoi saucisse + lentilles + gâteau chocolat peut faire lourd pour des enfants ?</t>
  </si>
  <si>
    <t>Diagnostic : saucisse et lentilles donnent un repas dense, salé et brun, avec dessert chocolat qui alourdit. Correction : légumes verts ou carottes, sauce/jus maîtrisé, entrée fraîche ou betteraves conservées en petite portion, fruit en dessert. Contrôle final : sel, porc/alternative, allergènes et gaspillage.</t>
  </si>
  <si>
    <t>C’est lourd et ça tire vers le brun. Je mets plus de couleur, un fruit à la place du gâteau, je vérifie le sel et l’alternative si besoin.</t>
  </si>
  <si>
    <t>Faire repérer le sel et le porc en plus de la couleur.</t>
  </si>
  <si>
    <t>Demander : « Qu’est-ce qui est salé ? Quelle alternative ? »</t>
  </si>
  <si>
    <t>diagnostic ; salé ; brun ; saucisse ; lentilles ; fruit ; porc ; contrôle</t>
  </si>
  <si>
    <t>Sel / lourdeur</t>
  </si>
  <si>
    <t>Légume vert ou carottes en complément</t>
  </si>
  <si>
    <t>Jus maîtrisé, pas de sauce grasse</t>
  </si>
  <si>
    <t>Entrée fraîche ou betteraves en portion adaptée</t>
  </si>
  <si>
    <t>Adapter primaire : couleur et acceptabilité</t>
  </si>
  <si>
    <t>Contrôler sel, porc, allergènes, gaspillage</t>
  </si>
  <si>
    <t>Dense = fruit + couleur</t>
  </si>
  <si>
    <t>Potage ; poisson pané ; purée ; crème dessert</t>
  </si>
  <si>
    <t>Menu mou/riche et prescription à vérifier</t>
  </si>
  <si>
    <t>Évaluez ce menu hospitalier et proposez une correction compatible avec prescription, texture et production.</t>
  </si>
  <si>
    <t>Pourquoi il faut vérifier la consigne avant de servir ce menu à l’hôpital ?</t>
  </si>
  <si>
    <t>Diagnostic : poisson pané, purée et crème dessert peuvent être inadaptés selon régime, texture ou prescription. Correction : poisson non pané ou sauce douce selon besoin, purée/légumes adaptés, entrée et dessert compatibles. Contrôle final : prescription, allergènes poisson/gluten/lait, texture, PMS et appétit.</t>
  </si>
  <si>
    <t>À l’hôpital, on vérifie d’abord la prescription. Le pané, la crème dessert ou la texture ne conviennent pas à tous. J’adapte le poisson, la garniture et le dessert.</t>
  </si>
  <si>
    <t>Ramener sur prescription avant goût.</t>
  </si>
  <si>
    <t>Demander : « Quelle consigne médicale ? Quels allergènes ? »</t>
  </si>
  <si>
    <t>diagnostic ; hospitalier ; prescription ; pané ; allergènes ; texture ; contrôle</t>
  </si>
  <si>
    <t>M01 ; M08</t>
  </si>
  <si>
    <t>Prescription</t>
  </si>
  <si>
    <t>Purée + légume adapté</t>
  </si>
  <si>
    <t>Sauce douce si poisson non pané</t>
  </si>
  <si>
    <t>Potage compatible</t>
  </si>
  <si>
    <t>Dessert compatible prescription</t>
  </si>
  <si>
    <t>Adapter hospitalier : régime et texture</t>
  </si>
  <si>
    <t>Contrôler prescription, allergènes, PMS</t>
  </si>
  <si>
    <t>Hôpital = prescription d’abord</t>
  </si>
  <si>
    <t>Asperges vinaigrette ; rôti de veau ; pommes vapeur ; fraises</t>
  </si>
  <si>
    <t>Menu de saison mais mastication/sauce à vérifier</t>
  </si>
  <si>
    <t>Évaluez ce menu EHPAD de saison et proposez une adaptation sans perdre la qualité du menu.</t>
  </si>
  <si>
    <t>Pourquoi un menu de saison peut quand même devoir être adapté en EHPAD ?</t>
  </si>
  <si>
    <t>Diagnostic : le menu est cohérent en saison mais rôti et pommes vapeur peuvent être secs, asperges/fraises demandent adaptation selon mastication. Correction : veau émincé avec jus, légumes fondants, dessert adapté si besoin. Contrôle final : texture, allergènes, température, appétit et consommation réelle.</t>
  </si>
  <si>
    <t>C’est de saison, mais il faut vérifier si la personne âgée peut manger le rôti, les asperges et les fraises. Je mets du jus et j’adapte les textures.</t>
  </si>
  <si>
    <t>Faire reconnaître qualité de saison puis adaptation convive.</t>
  </si>
  <si>
    <t>Demander : « Qu’est-ce qui est bien ? Qu’est-ce qui peut être difficile à manger ? »</t>
  </si>
  <si>
    <t>diagnostic ; EHPAD ; saison ; sauce ; mastication ; fraises ; contrôle</t>
  </si>
  <si>
    <t>Saison / EHPAD</t>
  </si>
  <si>
    <t>Pommes vapeur moelleuses + légume fondant</t>
  </si>
  <si>
    <t>Jus de veau</t>
  </si>
  <si>
    <t>Asperges adaptées en texture</t>
  </si>
  <si>
    <t>Fraises préparées ou dessert adapté</t>
  </si>
  <si>
    <t>Adapter EHPAD : mastication et appétit</t>
  </si>
  <si>
    <t>Contrôler texture, température, allergènes</t>
  </si>
  <si>
    <t>Saison oui, adaptation aussi</t>
  </si>
  <si>
    <t>Soupe ; curry de pois chiches ; riz ; pomme</t>
  </si>
  <si>
    <t>Menu cohérent mais acceptabilité/épices/satiété à contrôler</t>
  </si>
  <si>
    <t>Évaluez ce menu végétarien étudiant et proposez une amélioration goût, couleur et contrôle.</t>
  </si>
  <si>
    <t>Pourquoi ce menu peut être bon mais doit être bien dosé pour des étudiants ?</t>
  </si>
  <si>
    <t>Diagnostic : curry pois chiches + riz est végétarien et nourrissant mais l’acceptabilité dépend du dosage des épices, de la sauce et de la présentation. Correction : légumes colorés, sauce maîtrisée, nom valorisant, dessert fruit/laitage selon équilibre. Contrôle final : végétarien, allergènes, épices, coût et satiété.</t>
  </si>
  <si>
    <t>Le curry peut bien caler mais il faut doser les épices et mettre de la couleur. Je vérifie que c’est un vrai plat végé, pas trop fort, et assez nourrissant.</t>
  </si>
  <si>
    <t>Ne pas corriger comme si tout végétarien était faible : ici le contrôle porte sur acceptabilité.</t>
  </si>
  <si>
    <t>Demander : « Qu’est-ce qui est déjà bien construit ? Qu’est-ce qui peut bloquer ? »</t>
  </si>
  <si>
    <t>diagnostic ; curry ; pois chiches ; végétarien ; épices ; satiété ; contrôle</t>
  </si>
  <si>
    <t>M06 ; M08</t>
  </si>
  <si>
    <t>Végétarien construit</t>
  </si>
  <si>
    <t>Riz + légumes colorés</t>
  </si>
  <si>
    <t>Sauce curry maîtrisée</t>
  </si>
  <si>
    <t>Soupe ou crudité selon saison</t>
  </si>
  <si>
    <t>Pomme ou laitage selon équilibre</t>
  </si>
  <si>
    <t>Adapter étudiants : satiété/coût/goût</t>
  </si>
  <si>
    <t>Bon plat = contrôler acceptabilité</t>
  </si>
  <si>
    <t>Taboulé ; poulet froid ; salade de pâtes ; tarte aux fruits</t>
  </si>
  <si>
    <t>Menu froid trop féculent</t>
  </si>
  <si>
    <t>Évaluez ce menu froid d’été et proposez une correction de structure et contrôle production.</t>
  </si>
  <si>
    <t>Pourquoi ce menu froid peut faire trop féculent même s’il semble pratique ?</t>
  </si>
  <si>
    <t>Diagnostic : taboulé et salade de pâtes répètent les féculents, avec poulet froid et tarte. Correction : remplacer une entrée/garniture par légumes, crudités ou salade composée plus végétale, sauce légère, fruit ou dessert plus simple. Contrôle final : chaîne du froid, allergènes, équilibre et gaspillage.</t>
  </si>
  <si>
    <t>C’est pratique mais il y a trop de féculents. Je mets plus de légumes ou crudités, une sauce légère et je vérifie la chaîne du froid.</t>
  </si>
  <si>
    <t>Faire repérer les doublons dans les plats froids.</t>
  </si>
  <si>
    <t>Demander : « Combien de fois tu retrouves semoule/pâtes ? »</t>
  </si>
  <si>
    <t>diagnostic ; froid ; féculent ; taboulé ; pâtes ; légumes ; chaîne du froid ; contrôle</t>
  </si>
  <si>
    <t>Froid / féculent</t>
  </si>
  <si>
    <t>Remplacer une partie par crudités/légumes</t>
  </si>
  <si>
    <t>Sauce légère maîtrisée</t>
  </si>
  <si>
    <t>Crudité ou salade végétale</t>
  </si>
  <si>
    <t>Adapter entreprise été : pratique mais digeste</t>
  </si>
  <si>
    <t>Contrôler chaîne du froid, allergènes</t>
  </si>
  <si>
    <t>Froid pratique ≠ double féculent</t>
  </si>
  <si>
    <t>Salade verte ; pizza fromage ; pommes de terre sautées ; flan vanille</t>
  </si>
  <si>
    <t>Menu attractif mais trop fromage/féculent</t>
  </si>
  <si>
    <t>Évaluez ce menu lycée attractif mais déséquilibré, puis proposez une correction complète.</t>
  </si>
  <si>
    <t>Pourquoi pizza + pommes de terre + flan, ça fait trop même si ça plaît ?</t>
  </si>
  <si>
    <t>Diagnostic : pizza fromage, pommes de terre et flan donnent féculents et produits laitiers répétés, avec peu de légumes. Correction : salade composée/crudité, légumes ou fruit en dessert, limiter garniture féculente, conserver acceptabilité. Contrôle final : allergènes gluten/lait, équilibre, gaspillage et acceptabilité.</t>
  </si>
  <si>
    <t>Ça peut plaire, mais il y a trop de féculent et de fromage/laitage. Je mets plus de légumes et un fruit, sans rendre le menu triste.</t>
  </si>
  <si>
    <t>Ne pas casser l’acceptabilité : corriger autour.</t>
  </si>
  <si>
    <t>Demander : « Qu’est-ce qui plaît ? Qu’est-ce qui déséquilibre ? »</t>
  </si>
  <si>
    <t>diagnostic ; pizza ; féculent ; fromage ; légumes ; fruit ; lycée ; contrôle</t>
  </si>
  <si>
    <t>M05 ; M08</t>
  </si>
  <si>
    <t>Attractif déséquilibré</t>
  </si>
  <si>
    <t>Remplacer pommes sautées par légumes/salade</t>
  </si>
  <si>
    <t>Sauce déjà dans la pizza</t>
  </si>
  <si>
    <t>Adapter lycée : garder attractivité</t>
  </si>
  <si>
    <t>Contrôler gluten/lait, équilibre, gaspillage</t>
  </si>
  <si>
    <t>Ce qui plaît doit être cadré</t>
  </si>
  <si>
    <t>Potage ; omelette ; purée ; fromage blanc</t>
  </si>
  <si>
    <t>Menu doux mais allergènes/textures à vérifier</t>
  </si>
  <si>
    <t>Évaluez ce menu crèche et proposez une adaptation avec contrôles prioritaires.</t>
  </si>
  <si>
    <t>Pourquoi ce menu simple doit quand même être contrôlé pour des tout-petits ?</t>
  </si>
  <si>
    <t>Diagnostic : menu doux mais œuf et laitages sont allergènes, textures et portions doivent être adaptées. Correction : omelette bien cuite adaptée, purée lisse ou écrasée selon âge, potage et dessert conformes aux consignes. Contrôle final : allergènes, cuisson œuf, taille/texture, température et PMS.</t>
  </si>
  <si>
    <t>C’est simple, mais il y a œuf et lait. Pour les petits, je vérifie allergènes, cuisson, texture, température et portions.</t>
  </si>
  <si>
    <t>Insister sur sécurité malgré menu apparemment facile.</t>
  </si>
  <si>
    <t>Demander : « Quels allergènes ? Quelle cuisson ? Quelle texture ? »</t>
  </si>
  <si>
    <t>diagnostic ; crèche ; œuf ; lait ; allergènes ; texture ; cuisson ; contrôle</t>
  </si>
  <si>
    <t>Crèche / allergènes</t>
  </si>
  <si>
    <t>Purée adaptée à l’âge</t>
  </si>
  <si>
    <t>Omelette bien cuite, texture adaptée</t>
  </si>
  <si>
    <t>Fromage blanc si autorisé</t>
  </si>
  <si>
    <t>Adapter crèche : portion, texture, allergènes</t>
  </si>
  <si>
    <t>Contrôler œuf/lait, température, PMS</t>
  </si>
  <si>
    <t>Simple mais contrôlé</t>
  </si>
  <si>
    <t>Carottes râpées ; sauté de dinde ; boulgour ; courgettes ; yaourt</t>
  </si>
  <si>
    <t>Menu globalement correct à valider par contrôle final</t>
  </si>
  <si>
    <t>Évaluez ce menu plutôt correct et indiquez les contrôles finaux avant validation.</t>
  </si>
  <si>
    <t>Ce menu semble correct : qu’est-ce que tu vérifies avant de le valider ?</t>
  </si>
  <si>
    <t>Diagnostic : le menu est globalement cohérent : crudité, volaille, féculent, légume et laitage. Correction légère : vérifier sauce/jus pour éviter le sec, saison des courgettes selon période, portion et présentation. Contrôle final : équilibre, allergènes gluten/lait, PMS, maintien chaud, acceptabilité et gaspillage.</t>
  </si>
  <si>
    <t>Le menu est plutôt correct. Je vérifie que la dinde n’est pas sèche, que les courgettes sont de saison, les allergènes, la tenue au chaud et si le menu sera mangé.</t>
  </si>
  <si>
    <t>Utiliser ce cas pour montrer qu’une évaluation finale peut confirmer, pas seulement corriger.</t>
  </si>
  <si>
    <t>Demander : « Qu’est-ce qui est déjà bon ? Quels contrôles restent obligatoires ? »</t>
  </si>
  <si>
    <t>diagnostic ; correct ; contrôle ; dinde ; saison ; allergènes ; PMS ; acceptabilité</t>
  </si>
  <si>
    <t>Validation finale</t>
  </si>
  <si>
    <t>Boulgour + courgettes, ajuster selon saison</t>
  </si>
  <si>
    <t>Jus de dinde si besoin</t>
  </si>
  <si>
    <t>Carottes râpées</t>
  </si>
  <si>
    <t>Yaourt ou fruit selon cycle</t>
  </si>
  <si>
    <t>Adapter tous publics : portion et lisibilité</t>
  </si>
  <si>
    <t>Contrôler équilibre, allergènes, PMS, saison</t>
  </si>
  <si>
    <t>Un bon menu se contrôle aussi</t>
  </si>
  <si>
    <t>Méthode PLATS-CF — contrôler après avoir composé : équilibre, végétarien, EGalim, saison, PMS/allergènes, production, gaspillage</t>
  </si>
  <si>
    <t>MODE D’EMPLOI — M08 ATELIER CONTRÔLES MENU</t>
  </si>
  <si>
    <t>1. Saisir un numéro de question en B4 : 1 à 30.</t>
  </si>
  <si>
    <t>2. Lire le menu, le public, la saison et le problème principal.</t>
  </si>
  <si>
    <t>Le repas doit être contrôlé sur l’équilibre global et sur le cycle. Le point prioritaire est l’absence de menu végétarien identifié : il faut prévoir un vrai menu végétarien construit avec légumineuses, céréales, œufs ou laitage selon le contexte. Les achats EGalim, la saison, le PMS, les allergènes, la production et l’acceptabilité doivent aussi être vérifiés pour limiter le gaspillage.</t>
  </si>
  <si>
    <t>Il ne suffit pas que chaque repas ait un plat. Il faut vérifier l’équilibre du menu, prévoir un vrai menu végé dans la semaine, regarder EGalim, la saison, les allergènes, l’hygiène et si les élèves vont le manger.</t>
  </si>
  <si>
    <t>3. Répondre en A, lire le conseil formateur, puis améliorer en B.</t>
  </si>
  <si>
    <t>4. Saisir X en H4 pour afficher les réponses attendues, mots-clés et corrections.</t>
  </si>
  <si>
    <t>5. La notation automatique est indicative : elle aide à repérer des mots-clés, mais le formateur tranche.</t>
  </si>
  <si>
    <t>6. Contrôler dans cet ordre : équilibre global, végétarien/diversification, EGalim, saison, PMS/allergènes/production, gaspillage/acceptabilité.</t>
  </si>
  <si>
    <t>Sources officielles à vérifier selon secteur et date :</t>
  </si>
  <si>
    <t>ma cantine — obligations : https://ma-cantine.agriculture.gouv.fr/v2/comprendre-mes-obligations</t>
  </si>
  <si>
    <t>Légifrance — arrêté 30/09/2011 qualité nutritionnelle scolaire : https://www.legifrance.gouv.fr/loda/id/JORFTEXT000024614763/</t>
  </si>
  <si>
    <t>Ministère Agriculture — menu végétarien hebdomadaire : https://agriculture.gouv.fr/restauration-scolaire-tout-savoir-sur-le-menu-vegetarien-hebdomadaire</t>
  </si>
  <si>
    <t>Service-public Entreprendre — allergènes : https://entreprendre.service-public.gouv.fr/vosdroits/F32192</t>
  </si>
  <si>
    <t>Éducation nationale — restauration scolaire : https://www.education.gouv.fr/la-restauration-scolaire-6254</t>
  </si>
  <si>
    <t>Statut : support pédagogique, non substitut aux textes officiels ni aux procédures internes.</t>
  </si>
  <si>
    <t>Verdict formateur : prioritaire sur le score automatique.</t>
  </si>
  <si>
    <t>Équilibre</t>
  </si>
  <si>
    <t>Végétarien / diversification</t>
  </si>
  <si>
    <t>EGalim / achats</t>
  </si>
  <si>
    <t>PMS / allergènes / production</t>
  </si>
  <si>
    <t>Gaspillage / acceptabilité</t>
  </si>
  <si>
    <t>Limite : les seuils et champs d’application EGalim doivent être vérifiés selon le type d’établissement.</t>
  </si>
  <si>
    <t>Semaine scolaire</t>
  </si>
  <si>
    <t>Lundi poisson-riz ; mardi poulet-pâtes ; jeudi bœuf-purée ; vendredi jambon-gratin</t>
  </si>
  <si>
    <t>Cycle sans menu végétarien hebdomadaire identifié</t>
  </si>
  <si>
    <t>Contrôlez ce cycle court : équilibre global, présence d’un menu végétarien, obligations EGalim, saisonnalité, PMS/allergènes/production et risque de gaspillage.</t>
  </si>
  <si>
    <t>Dans cette semaine de cantine, qu’est-ce qu’il faut vérifier avant de dire que les menus sont corrects ?</t>
  </si>
  <si>
    <t>Si la réponse parle seulement d’équilibre, faire chercher l’absence du menu végétarien dans le cycle.</t>
  </si>
  <si>
    <t>Demander : « Où est le menu végé de la semaine ? Est-ce qu’il est vraiment construit ? »</t>
  </si>
  <si>
    <t>Équilibre global 4 pts ; végétarien/diversification 4 pts ; EGalim/achats 3 pts ; saison 3 pts ; PMS/allergènes/production 3 pts ; gaspillage/acceptabilité 3 pts.</t>
  </si>
  <si>
    <t>equilibre ; vegetarien ; diversification ; egalim ; durables ; bio ; saison ; pms ; allergenes ; production ; gaspillage ; acceptabilite</t>
  </si>
  <si>
    <t>M08 ; M00 ; M02 ; M03 ; M05 ; sources officielles</t>
  </si>
  <si>
    <t>Cycle scolaire / végétarien</t>
  </si>
  <si>
    <t>Contrôler les familles de repas et les composantes.</t>
  </si>
  <si>
    <t>Créer un menu végétarien construit dans le cycle.</t>
  </si>
  <si>
    <t>Vérifier taux produits durables/bio sur achats.</t>
  </si>
  <si>
    <t>Adapter aux produits de saison disponibles.</t>
  </si>
  <si>
    <t>Vérifier allergènes et faisabilité production.</t>
  </si>
  <si>
    <t>Évaluer acceptabilité élèves pour éviter refus.</t>
  </si>
  <si>
    <t>Un cycle se contrôle avant validation.</t>
  </si>
  <si>
    <t>Équilibre global</t>
  </si>
  <si>
    <t>menu</t>
  </si>
  <si>
    <t>repas</t>
  </si>
  <si>
    <t>diversification</t>
  </si>
  <si>
    <t>EGalim / achats durables</t>
  </si>
  <si>
    <t>durables</t>
  </si>
  <si>
    <t>bio</t>
  </si>
  <si>
    <t>durable</t>
  </si>
  <si>
    <t>Saisonnalité</t>
  </si>
  <si>
    <t>hygiene</t>
  </si>
  <si>
    <t>gaspillage</t>
  </si>
  <si>
    <t>Menu végétarien faible et peu rassasiant</t>
  </si>
  <si>
    <t>Contrôlez ce menu végétarien : base nourrissante, équilibre global, EGalim, saison, allergènes/production et acceptabilité.</t>
  </si>
  <si>
    <t>Pourquoi ce menu végé risque-t-il d’être trop faible pour des collégiens ou lycéens ?</t>
  </si>
  <si>
    <t>Le menu végétarien doit être un menu complet, pas une simple absence de viande. Ici l’équilibre et la satiété sont faibles : il faut ajouter une base nourrissante comme lentilles, pois chiches, haricots ou œufs selon le contexte. On contrôle aussi EGalim, produits durables ou bio, saison, PMS, allergènes et acceptabilité pour éviter le gaspillage.</t>
  </si>
  <si>
    <t>Les pâtes tomate seules ne suffisent pas. Il faut un vrai plat végé avec des protéines, par exemple lentilles ou pois chiches, puis vérifier la saison, EGalim, les allergènes et si les élèves vont le manger.</t>
  </si>
  <si>
    <t>Si l’apprenant ajoute seulement du fromage, demander si le plat principal est réellement construit.</t>
  </si>
  <si>
    <t>Demander : « Qu’est-ce qui cale vraiment dans ton plat végé ? »</t>
  </si>
  <si>
    <t>Renforcer équilibre du menu.</t>
  </si>
  <si>
    <t>Ajouter légumineuses/céréales/œufs/laitage selon contexte.</t>
  </si>
  <si>
    <t>Contrôler qualité des achats et bio si disponible.</t>
  </si>
  <si>
    <t>Choisir légumes de saison.</t>
  </si>
  <si>
    <t>Surveiller allergènes gluten/lait/œuf selon recette.</t>
  </si>
  <si>
    <t>Valoriser le nom du plat pour limiter rejet.</t>
  </si>
  <si>
    <t>Un menu végétarien se construit.</t>
  </si>
  <si>
    <t>Restauration scolaire</t>
  </si>
  <si>
    <t>Année civile</t>
  </si>
  <si>
    <t>Menus variés mais achats non suivis : aucun tableau produits durables/bio renseigné</t>
  </si>
  <si>
    <t>Contrôle EGalim impossible faute de suivi d’achats</t>
  </si>
  <si>
    <t>Identifiez pourquoi un menu apparemment correct ne suffit pas si les achats EGalim ne sont pas suivis.</t>
  </si>
  <si>
    <t>Pourquoi on ne peut pas dire que la cantine est conforme si on ne suit pas les achats ?</t>
  </si>
  <si>
    <t>L’équilibre du menu doit être contrôlé, mais la conformité EGalim se vérifie sur les achats : produits durables et de qualité, part bio ou conversion, traçabilité et justificatifs. Il faut mettre en place un suivi annuel, vérifier le menu végétarien/diversification, la saison, PMS, allergènes, production, gaspillage et acceptabilité.</t>
  </si>
  <si>
    <t>Un menu peut être bien écrit, mais il faut aussi prouver les achats. On doit suivre les produits durables, le bio, la saison, les allergènes, l’hygiène et ce qui est vraiment mangé.</t>
  </si>
  <si>
    <t>Si la réponse reste sur le menu, ramener sur les preuves d’achat et la traçabilité.</t>
  </si>
  <si>
    <t>Demander : « Où sont les factures ou le suivi EGalim ? »</t>
  </si>
  <si>
    <t>EGalim / suivi achats</t>
  </si>
  <si>
    <t>Contrôler le menu mais aussi le cycle.</t>
  </si>
  <si>
    <t>Vérifier diversification et menu végétarien.</t>
  </si>
  <si>
    <t>Créer suivi achats durables/bio avec justificatifs.</t>
  </si>
  <si>
    <t>Croiser achats avec saisonnalité.</t>
  </si>
  <si>
    <t>Conserver fiches techniques/allergènes/traçabilité.</t>
  </si>
  <si>
    <t>Mesurer consommation et déchets.</t>
  </si>
  <si>
    <t>Sans suivi, pas de preuve.</t>
  </si>
  <si>
    <t>Tomate mozzarella ; poisson vapeur ; courgettes ; fraises</t>
  </si>
  <si>
    <t>Menu hors saison et faible cohérence sensorielle</t>
  </si>
  <si>
    <t>Contrôlez la saisonnalité de ce menu et proposez des alternatives cohérentes sans perdre couleur et équilibre.</t>
  </si>
  <si>
    <t>Pourquoi ce menu n’est pas logique en hiver, même s’il paraît frais ?</t>
  </si>
  <si>
    <t>Le menu doit être contrôlé sur l’équilibre global, mais la saisonnalité est faible : tomates, courgettes et fraises évoquent l’été. Il faut proposer crudités d’hiver, carottes, betteraves, chou rouge, poireaux, agrumes, pommes ou poires. On vérifie aussi diversification, EGalim, PMS, allergènes, production, gaspillage et acceptabilité.</t>
  </si>
  <si>
    <t>En hiver, tomate, courgette et fraise ne sont pas les meilleurs repères. On remplace par carotte, betterave, chou rouge, poireau, agrume, pomme ou poire, puis on contrôle EGalim, hygiène et gaspillage.</t>
  </si>
  <si>
    <t>Si l’apprenant remplace tout par du blanc, demander de garder une couleur de contraste.</t>
  </si>
  <si>
    <t>Demander : « Quel produit d’hiver garde de la couleur dans l’assiette ? »</t>
  </si>
  <si>
    <t>Conserver équilibre global.</t>
  </si>
  <si>
    <t>Vérifier si menu végétarien/diversification nécessaire.</t>
  </si>
  <si>
    <t>Privilégier achats cohérents avec politique EGalim.</t>
  </si>
  <si>
    <t>Remplacer par produits d’hiver.</t>
  </si>
  <si>
    <t>Vérifier lavage, stockage, allergènes laitage.</t>
  </si>
  <si>
    <t>Limiter rejet lié aux produits sans goût.</t>
  </si>
  <si>
    <t>La saison doit rester appétente.</t>
  </si>
  <si>
    <t>Œufs durs sauce béchamel ; épinards ; riz au lait</t>
  </si>
  <si>
    <t>Allergènes majeurs non explicités dans un menu riche en œuf/lait/gluten</t>
  </si>
  <si>
    <t>Contrôlez les allergènes et la lisibilité de ce menu avant validation.</t>
  </si>
  <si>
    <t>Quels allergènes faut-il repérer ici avant de servir ce repas ?</t>
  </si>
  <si>
    <t>L’équilibre global et la saison doivent être vérifiés, mais le contrôle prioritaire porte sur les allergènes : œufs, lait et gluten selon la béchamel et le riz au lait. Il faut assurer l’information des convives, les fiches techniques, le PMS, la production sans contamination croisée, la conformité EGalim, le menu végétarien/diversification et l’acceptabilité.</t>
  </si>
  <si>
    <t>Il faut repérer œuf, lait et peut-être gluten dans la béchamel. On vérifie les fiches, l’affichage allergènes, l’hygiène, la production et si le repas est accepté.</t>
  </si>
  <si>
    <t>Si l’apprenant répond seulement « c’est végétarien », le ramener aux allergènes.</t>
  </si>
  <si>
    <t>Demander : « Où sont le lait, l’œuf et le gluten dans ce menu ? »</t>
  </si>
  <si>
    <t>Allergènes</t>
  </si>
  <si>
    <t>Vérifier équilibre et répétitions laitières.</t>
  </si>
  <si>
    <t>Identifier que le plat est végétarien mais allergène.</t>
  </si>
  <si>
    <t>Contrôler produits et justificatifs EGalim.</t>
  </si>
  <si>
    <t>Vérifier cohérence saison/épinards.</t>
  </si>
  <si>
    <t>Identifier œuf, lait, gluten et PMS.</t>
  </si>
  <si>
    <t>Prévenir éviction injustifiée ou gaspillage.</t>
  </si>
  <si>
    <t>Végétarien ne veut pas dire sans allergènes.</t>
  </si>
  <si>
    <t>Cuisine centrale</t>
  </si>
  <si>
    <t>Poulet rôti produit la veille ; refroidissement ; remise en température ; service en liaison chaude</t>
  </si>
  <si>
    <t>Risque PMS / production mal maîtrisé</t>
  </si>
  <si>
    <t>Contrôlez les points de production et de sécurité avant validation de ce menu.</t>
  </si>
  <si>
    <t>Pourquoi ce menu demande un vrai contrôle cuisine avant d’être servi ?</t>
  </si>
  <si>
    <t>Le contrôle ne porte pas seulement sur l’équilibre. Il faut vérifier PMS, refroidissement, remise en température, maintien au chaud, traçabilité, allergènes, organisation de production, acceptabilité et gaspillage. Le menu végétarien/diversification et les achats EGalim doivent aussi être contrôlés dans le cycle.</t>
  </si>
  <si>
    <t>Il faut vérifier l’hygiène et la production : refroidir correctement, réchauffer correctement, garder chaud, tracer le plat et éviter qu’il sèche ou soit refusé.</t>
  </si>
  <si>
    <t>Si l’apprenant parle seulement du poulet, demander de suivre le produit jusqu’au service.</t>
  </si>
  <si>
    <t>Demander : « Que se passe-t-il entre cuisson, refroidissement, réchauffage et service ? »</t>
  </si>
  <si>
    <t>PMS / production</t>
  </si>
  <si>
    <t>Vérifier équilibre du repas complet.</t>
  </si>
  <si>
    <t>Contrôler diversification sur le cycle.</t>
  </si>
  <si>
    <t>Vérifier achats durables/bio si concernés.</t>
  </si>
  <si>
    <t>Adapter garniture de saison.</t>
  </si>
  <si>
    <t>Contrôler PMS, températures, traçabilité.</t>
  </si>
  <si>
    <t>Limiter dessèchement et gaspillage.</t>
  </si>
  <si>
    <t>Un plat se contrôle jusqu’au service.</t>
  </si>
  <si>
    <t>Self collège</t>
  </si>
  <si>
    <t>Grand choix de crudités ; plat peu apprécié ; desserts lactés en excès ; retours assiettes importants</t>
  </si>
  <si>
    <t>Gaspillage élevé et acceptabilité faible</t>
  </si>
  <si>
    <t>Analysez le menu sous l’angle gaspillage, acceptabilité et contrôle global.</t>
  </si>
  <si>
    <t>Pourquoi un menu avec du choix peut quand même finir à la poubelle ?</t>
  </si>
  <si>
    <t>Le contrôle doit inclure l’équilibre global, mais aussi l’acceptabilité et les retours assiettes. Il faut ajuster les portions, valoriser le plat, limiter les répétitions, proposer un menu végétarien/diversification cohérent, vérifier EGalim, saison, PMS, allergènes et production.</t>
  </si>
  <si>
    <t>Il peut y avoir beaucoup de choix et beaucoup de gaspillage. Il faut regarder ce qui revient en assiette, ajuster les portions, rendre le plat plus acceptable et vérifier EGalim, saison, allergènes et hygiène.</t>
  </si>
  <si>
    <t>Si l’apprenant dit seulement « réduire les quantités », demander quoi et pourquoi.</t>
  </si>
  <si>
    <t>Demander : « Qu’est-ce qui n’est pas mangé ? Le plat ? l’entrée ? le dessert ? »</t>
  </si>
  <si>
    <t>Gaspillage / self</t>
  </si>
  <si>
    <t>Contrôler équilibre des choix.</t>
  </si>
  <si>
    <t>Vérifier offre végétarienne/diversification.</t>
  </si>
  <si>
    <t>Suivre achats et qualité EGalim.</t>
  </si>
  <si>
    <t>Adapter crudités de saison.</t>
  </si>
  <si>
    <t>Surveiller PMS/allergènes au self.</t>
  </si>
  <si>
    <t>Mesurer retours et acceptabilité.</t>
  </si>
  <si>
    <t>Le gaspillage est un indicateur.</t>
  </si>
  <si>
    <t>Menu sec, peu adapté à la consommation réelle</t>
  </si>
  <si>
    <t>Contrôlez ce menu pour un public EHPAD : équilibre, texture, production, gaspillage et acceptabilité.</t>
  </si>
  <si>
    <t>Pourquoi ce repas peut être correct sur papier mais mal mangé en EHPAD ?</t>
  </si>
  <si>
    <t>L’équilibre doit être contrôlé, mais la consommation réelle est prioritaire : dinde et riz secs, pomme crue peu adaptée, besoin de sauce, texture, enrichissement éventuel. Il faut vérifier PMS, allergènes, production, saison, EGalim, diversification et risque de gaspillage par non-consommation.</t>
  </si>
  <si>
    <t>En EHPAD, il faut vérifier si la personne peut vraiment manger. Dinde et riz peuvent être secs, la pomme crue peut être difficile. Il faut sauce, texture adaptée, dessert facile et contrôle hygiène/allergènes.</t>
  </si>
  <si>
    <t>Si l’apprenant valide car le menu semble équilibré, le ramener à la prise alimentaire réelle.</t>
  </si>
  <si>
    <t>Demander : « Est-ce que la personne âgée va finir cette assiette ? »</t>
  </si>
  <si>
    <t>EHPAD / acceptabilité</t>
  </si>
  <si>
    <t>Contrôler équilibre et apport réel.</t>
  </si>
  <si>
    <t>Vérifier diversification du cycle.</t>
  </si>
  <si>
    <t>Contrôler achats adaptés au cahier des charges.</t>
  </si>
  <si>
    <t>Adapter saison et fruits d’hiver.</t>
  </si>
  <si>
    <t>PMS, allergènes, texture, production.</t>
  </si>
  <si>
    <t>Limiter gaspillage par non-consommation.</t>
  </si>
  <si>
    <t>Équilibré ne suffit pas si ce n’est pas mangé.</t>
  </si>
  <si>
    <t>Menu à contrôler selon prescription et capacité du patient</t>
  </si>
  <si>
    <t>Identifiez les contrôles prioritaires en contexte hospitalier avant de valider ce menu.</t>
  </si>
  <si>
    <t>Pourquoi à l’hôpital ce menu ne peut pas être validé sans regarder le patient ?</t>
  </si>
  <si>
    <t>En hospitalier, le contrôle commence par la prescription, la texture, la mastication, les régimes et l’appétit. L’équilibre, EGalim selon contexte, menu végétarien/diversification, saison, PMS, allergènes, production et gaspillage doivent être vérifiés. Crudités, frites et tarte ne conviennent pas forcément à tous.</t>
  </si>
  <si>
    <t>À l’hôpital, il faut regarder la consigne du patient. Crudités, frites et tarte ne vont pas à tout le monde. On vérifie régime, texture, allergènes, hygiène et ce qui sera vraiment mangé.</t>
  </si>
  <si>
    <t>Si l’apprenant propose une seule correction pour tous, rappeler la prescription.</t>
  </si>
  <si>
    <t>Demander : « Quel patient ? Quel régime ? Quelle texture ? »</t>
  </si>
  <si>
    <t>Équilibre selon patient.</t>
  </si>
  <si>
    <t>Diversification ou alternative selon offre.</t>
  </si>
  <si>
    <t>EGalim à vérifier selon établissement.</t>
  </si>
  <si>
    <t>Saison selon approvisionnement.</t>
  </si>
  <si>
    <t>Prescription, allergènes, PMS, production.</t>
  </si>
  <si>
    <t>Limiter gaspillage par adaptation patient.</t>
  </si>
  <si>
    <t>Le patient passe avant le menu type.</t>
  </si>
  <si>
    <t>Menu acceptable mais trop fast-food et pauvre en contrôle global</t>
  </si>
  <si>
    <t>Contrôlez ce menu : équilibre, végétarien/diversification, EGalim, saison, PMS, gaspillage et acceptabilité.</t>
  </si>
  <si>
    <t>Pourquoi ce menu peut plaire mais rester à corriger ?</t>
  </si>
  <si>
    <t>Le poisson pané peut être accepté mais le menu est déséquilibré par l’association frites, ketchup et crème dessert. Il faut contrôler l’équilibre, ajouter légumes ou crudité, vérifier le cycle végétarien/diversification, EGalim, saison, PMS, allergènes, production et risque de banalisation ou gaspillage.</t>
  </si>
  <si>
    <t>Ça peut plaire, mais ce n’est pas suffisant. Il faut remettre du légume, un dessert plus simple, vérifier EGalim, la saison, les allergènes et éviter le menu trop fast-food.</t>
  </si>
  <si>
    <t>Si l’apprenant veut supprimer tout le menu, demander de corriger sans casser l’acceptabilité.</t>
  </si>
  <si>
    <t>Demander : « Comment garder ce qui plaît sans faire fast-food ? »</t>
  </si>
  <si>
    <t>Acceptabilité / équilibre</t>
  </si>
  <si>
    <t>Corriger équilibre du repas.</t>
  </si>
  <si>
    <t>Vérifier diversification et cycle végétarien.</t>
  </si>
  <si>
    <t>Contrôler qualité produits EGalim.</t>
  </si>
  <si>
    <t>Ajouter produit de saison.</t>
  </si>
  <si>
    <t>Allergènes poisson/gluten/lait et production.</t>
  </si>
  <si>
    <t>Réduire gaspillage par menu mieux construit.</t>
  </si>
  <si>
    <t>Accepté ne veut pas dire validé.</t>
  </si>
  <si>
    <t>Steak végétal industriel ; pâtes ; sauce fromage ; dessert lacté</t>
  </si>
  <si>
    <t>Végétarien mais qualité, équilibre et image à contrôler</t>
  </si>
  <si>
    <t>Contrôlez ce menu végétarien en distinguant conformité, qualité et acceptabilité.</t>
  </si>
  <si>
    <t>Pourquoi un steak végétal ne suffit pas à faire un bon menu végé ?</t>
  </si>
  <si>
    <t>Le menu est végétarien, mais il faut contrôler la base nourrissante, la qualité du produit, l’équilibre, les légumineuses/céréales éventuelles, la sauce fromage déjà riche, EGalim, saison, PMS, allergènes et acceptabilité. Le nom et la présentation doivent éviter l’image de remplacement pauvre.</t>
  </si>
  <si>
    <t>Un steak végétal tout seul ne suffit pas. Il faut regarder la qualité, ce qui cale, la sauce, les allergènes, la saison, EGalim et si les lycéens vont l’accepter.</t>
  </si>
  <si>
    <t>Si l’apprenant valide parce que c’est végétarien, demander la qualité et la satiété.</t>
  </si>
  <si>
    <t>Demander : « Est-ce un vrai plat construit ou juste un remplacement ? »</t>
  </si>
  <si>
    <t>Végétarien / qualité</t>
  </si>
  <si>
    <t>Contrôler équilibre global.</t>
  </si>
  <si>
    <t>Vérifier construction végétarienne/diversification.</t>
  </si>
  <si>
    <t>Vérifier qualité achat EGalim.</t>
  </si>
  <si>
    <t>Associer légumes de saison.</t>
  </si>
  <si>
    <t>Allergènes soja/gluten/lait selon produit.</t>
  </si>
  <si>
    <t>Limiter rejet de l’industriel mal présenté.</t>
  </si>
  <si>
    <t>Végétarien doit être construit.</t>
  </si>
  <si>
    <t>Cycle de 20 repas</t>
  </si>
  <si>
    <t>Peu de fruits crus servis sur le cycle ; desserts lactés fréquents</t>
  </si>
  <si>
    <t>Fréquences nutritionnelles à contrôler sur série de repas</t>
  </si>
  <si>
    <t>Expliquez pourquoi le contrôle ne se fait pas seulement sur un menu isolé mais sur une série.</t>
  </si>
  <si>
    <t>Pourquoi il faut regarder plusieurs repas et pas seulement le menu du jour ?</t>
  </si>
  <si>
    <t>L’équilibre global se contrôle aussi sur une série de repas. Il faut vérifier les fréquences : fruits crus, crudités, légumes, féculents, produits laitiers, plats protidiques, menus végétariens/diversification. Les achats EGalim, la saison, PMS, allergènes, production, gaspillage et acceptabilité doivent être suivis.</t>
  </si>
  <si>
    <t>On ne contrôle pas seulement le menu du jour. Il faut regarder le cycle : fruits, crudités, légumes, féculents, produits laitiers, plats, menu végé, EGalim, allergènes et gaspillage.</t>
  </si>
  <si>
    <t>Si l’apprenant corrige un seul dessert, l’amener au cycle complet.</t>
  </si>
  <si>
    <t>Demander : « Sur 20 repas, combien de fruits crus ? Combien de crudités ? »</t>
  </si>
  <si>
    <t>Fréquences / cycle</t>
  </si>
  <si>
    <t>Contrôler cycle et repas successifs.</t>
  </si>
  <si>
    <t>Vérifier végétarien/diversification sur le cycle.</t>
  </si>
  <si>
    <t>Suivre achats EGalim annuels.</t>
  </si>
  <si>
    <t>Adapter produits à la saison.</t>
  </si>
  <si>
    <t>PMS/allergènes sur recettes du cycle.</t>
  </si>
  <si>
    <t>Suivre consommation et refus.</t>
  </si>
  <si>
    <t>Un menu se contrôle aussi sur un cycle.</t>
  </si>
  <si>
    <t>Accompagnements majoritairement pâtes, riz, pommes de terre ; peu de légumes cuits</t>
  </si>
  <si>
    <t>Déséquilibre légumes/féculents sur le cycle</t>
  </si>
  <si>
    <t>Contrôlez la répartition légumes/féculents et proposez un rééquilibrage.</t>
  </si>
  <si>
    <t>Pourquoi on ne peut pas mettre presque toujours des pâtes, du riz ou des pommes de terre ?</t>
  </si>
  <si>
    <t>Le contrôle d’équilibre global doit repérer l’excès de féculents et le manque de légumes cuits. Il faut rééquilibrer les garnitures, vérifier le menu végétarien/diversification, les achats EGalim, la saison, PMS, allergènes, production, gaspillage et acceptabilité.</t>
  </si>
  <si>
    <t>Il y a trop souvent pâtes, riz, pommes de terre. Il faut remettre des légumes cuits et garder un menu que les élèves acceptent, avec contrôle EGalim, saison et hygiène.</t>
  </si>
  <si>
    <t>Si l’apprenant remplace tout par des légumes refusés, rappeler l’acceptabilité.</t>
  </si>
  <si>
    <t>Demander : « Quels légumes cuits peuvent être acceptés et de saison ? »</t>
  </si>
  <si>
    <t>Équilibre garnitures</t>
  </si>
  <si>
    <t>Rééquilibrer légumes/féculents.</t>
  </si>
  <si>
    <t>Vérifier diversification des protéines.</t>
  </si>
  <si>
    <t>Contrôler achats durables/bio.</t>
  </si>
  <si>
    <t>Adapter production des légumes.</t>
  </si>
  <si>
    <t>Réduire gaspillage par choix acceptés.</t>
  </si>
  <si>
    <t>Garnir ne veut pas dire féculent systématique.</t>
  </si>
  <si>
    <t>Plat principal + garniture + dessert, mais produit laitier oublié plusieurs fois</t>
  </si>
  <si>
    <t>Structure du repas et apports à contrôler</t>
  </si>
  <si>
    <t>Repérez le défaut de structure et expliquez les contrôles à effectuer avant validation.</t>
  </si>
  <si>
    <t>Qu’est-ce qui manque si on oublie souvent le laitage ou le fromage ?</t>
  </si>
  <si>
    <t>L’équilibre global et la structure du repas doivent être vérifiés : plat principal, garniture, produit laitier, entrée et/ou dessert selon contexte scolaire. Il faut contrôler aussi menu végétarien/diversification, EGalim, saison, PMS, allergènes, production, gaspillage et acceptabilité.</t>
  </si>
  <si>
    <t>Il faut vérifier la structure du repas. Si le laitage ou fromage manque souvent, le menu n’est pas complet. On contrôle aussi menu végé, EGalim, saison, allergènes et production.</t>
  </si>
  <si>
    <t>Si l’apprenant parle seulement du calcium, demander la structure réglementaire du repas scolaire.</t>
  </si>
  <si>
    <t>Demander : « Quelles composantes obligatoires retrouves-tu dans le repas ? »</t>
  </si>
  <si>
    <t>Structure du repas</t>
  </si>
  <si>
    <t>Vérifier composantes du repas.</t>
  </si>
  <si>
    <t>Contrôler menu végétarien/diversification.</t>
  </si>
  <si>
    <t>Suivre achats EGalim.</t>
  </si>
  <si>
    <t>Adapter produits laitiers à la saison/cycle.</t>
  </si>
  <si>
    <t>Allergènes lait et production.</t>
  </si>
  <si>
    <t>Éviter refus par laitage mal choisi.</t>
  </si>
  <si>
    <t>La structure se vérifie.</t>
  </si>
  <si>
    <t>Viandes et poissons achetés sans indication de qualité ou origine dans le suivi</t>
  </si>
  <si>
    <t>Contrôle qualité achats viandes/poissons insuffisant</t>
  </si>
  <si>
    <t>Expliquez quels contrôles d’achats doivent accompagner la validation des menus.</t>
  </si>
  <si>
    <t>Pourquoi il ne suffit pas d’écrire viande ou poisson dans le menu ?</t>
  </si>
  <si>
    <t>Le menu doit être équilibré, mais il faut aussi contrôler les achats : produits durables et de qualité, bio quand concerné, origine, fiches techniques, traçabilité et justificatifs. Le cycle doit intégrer diversification et menu végétarien. Il faut aussi vérifier saison, PMS, allergènes, production, gaspillage et acceptabilité.</t>
  </si>
  <si>
    <t>Il ne suffit pas de mettre viande ou poisson. Il faut savoir ce qu’on achète, d’où ça vient, les justificatifs, EGalim, la saison, l’hygiène et si ce sera mangé.</t>
  </si>
  <si>
    <t>Si l’apprenant reste sur la recette, demander les preuves d’achat.</t>
  </si>
  <si>
    <t>Demander : « Quelle preuve as-tu sur la qualité du produit ? »</t>
  </si>
  <si>
    <t>Achats / traçabilité</t>
  </si>
  <si>
    <t>Vérifier équilibre et fréquence.</t>
  </si>
  <si>
    <t>Diversifier protéines et menu végétarien.</t>
  </si>
  <si>
    <t>Contrôler durables, bio, origine, fiches.</t>
  </si>
  <si>
    <t>Croiser saison et approvisionnement.</t>
  </si>
  <si>
    <t>Fiches techniques/allergènes/traçabilité.</t>
  </si>
  <si>
    <t>Évaluer qualité perçue et gaspillage.</t>
  </si>
  <si>
    <t>Le contrôle menu inclut les achats.</t>
  </si>
  <si>
    <t>Restauration collective</t>
  </si>
  <si>
    <t>Menus conformes mais aucune information convives sur démarches EGalim et allergènes</t>
  </si>
  <si>
    <t>Information convives incomplète</t>
  </si>
  <si>
    <t>Analysez les obligations d’information et leur intérêt pédagogique pour les convives.</t>
  </si>
  <si>
    <t>Pourquoi il faut aussi informer les personnes qui mangent ?</t>
  </si>
  <si>
    <t>Le contrôle ne se limite pas à la cuisine. Il faut informer les convives sur les démarches de qualité, les produits, le menu végétarien/diversification quand concerné et les allergènes. L’équilibre, EGalim, saison, PMS, production, gaspillage et acceptabilité doivent être documentés.</t>
  </si>
  <si>
    <t>Il ne suffit pas de faire les choses. Il faut aussi informer : allergènes, produits, démarche EGalim, menu végé. Ça aide à comprendre et à accepter le repas.</t>
  </si>
  <si>
    <t>Si l’apprenant pense que l’information est secondaire, demander l’impact sur confiance et acceptabilité.</t>
  </si>
  <si>
    <t>Demander : « Comment le convive sait-il ce qu’il mange ? »</t>
  </si>
  <si>
    <t>Information convives</t>
  </si>
  <si>
    <t>Contrôler menu et communication.</t>
  </si>
  <si>
    <t>Informer sur végétarien/diversification.</t>
  </si>
  <si>
    <t>Communiquer démarches EGalim.</t>
  </si>
  <si>
    <t>Valoriser saison/local si applicable.</t>
  </si>
  <si>
    <t>Afficher allergènes et sécuriser PMS.</t>
  </si>
  <si>
    <t>L’information peut réduire le rejet.</t>
  </si>
  <si>
    <t>Informer fait partie du service.</t>
  </si>
  <si>
    <t>Cuisine scolaire</t>
  </si>
  <si>
    <t>Plat livré en barquettes ; réchauffage ; service différé</t>
  </si>
  <si>
    <t>Contrôle emballage, réchauffage et production à renforcer</t>
  </si>
  <si>
    <t>Repérez les contrôles de production à effectuer avant service différé.</t>
  </si>
  <si>
    <t>Pourquoi un plat livré ou réchauffé demande des contrôles particuliers ?</t>
  </si>
  <si>
    <t>Il faut vérifier l’équilibre du menu, mais aussi la production : conditionnement, réchauffage, maintien en température, traçabilité, allergènes, conformité des contenants selon le contexte, qualité à la dégustation, EGalim, saison, diversification et gaspillage.</t>
  </si>
  <si>
    <t>Un plat livré ou réchauffé peut perdre en qualité. On vérifie emballage, réchauffage, température, allergènes, traçabilité, EGalim et si le plat reste bon à manger.</t>
  </si>
  <si>
    <t>Si l’apprenant parle seulement de transport, demander la qualité au moment du service.</t>
  </si>
  <si>
    <t>Demander : « Le plat est-il encore bon, chaud et sûr au moment où il arrive dans l’assiette ? »</t>
  </si>
  <si>
    <t>Production différée</t>
  </si>
  <si>
    <t>Vérifier équilibre final.</t>
  </si>
  <si>
    <t>Contrôler diversification du cycle.</t>
  </si>
  <si>
    <t>Vérifier achats et contenants selon contexte.</t>
  </si>
  <si>
    <t>Adapter menu à saison/service différé.</t>
  </si>
  <si>
    <t>PMS, températures, traçabilité, allergènes.</t>
  </si>
  <si>
    <t>Limiter pertes liées à qualité dégradée.</t>
  </si>
  <si>
    <t>La qualité se juge au service.</t>
  </si>
  <si>
    <t>Dessert maison avec fruits à coque ; atelier commun ; allergène non mis en avant</t>
  </si>
  <si>
    <t>Risque allergènes et contamination croisée</t>
  </si>
  <si>
    <t>Contrôlez le risque allergène et l’organisation de production associée.</t>
  </si>
  <si>
    <t>Pourquoi un dessert avec fruits à coque demande plus de vigilance ?</t>
  </si>
  <si>
    <t>L’équilibre et la saison sont à vérifier, mais le point prioritaire est l’allergène : fruits à coque, traçabilité, information, fiches recettes et contamination croisée en production. Il faut aussi contrôler EGalim, menu végétarien/diversification, gaspillage et acceptabilité.</t>
  </si>
  <si>
    <t>Les fruits à coque sont allergènes. Il faut prévenir, tracer, éviter les mélanges en production, informer les convives et vérifier que le dessert ne crée pas de risque.</t>
  </si>
  <si>
    <t>Si l’apprenant écrit seulement « allergène », demander comment il le maîtrise en production.</t>
  </si>
  <si>
    <t>Demander : « Où est l’allergène, comment tu l’indiques, comment tu évites la contamination ? »</t>
  </si>
  <si>
    <t>Allergènes / contamination</t>
  </si>
  <si>
    <t>Contrôler équilibre repas-dessert.</t>
  </si>
  <si>
    <t>Vérifier place du végétarien/diversification.</t>
  </si>
  <si>
    <t>Vérifier qualité des ingrédients.</t>
  </si>
  <si>
    <t>Fruit/saison si dessert fruité.</t>
  </si>
  <si>
    <t>Allergènes, PMS, contamination croisée.</t>
  </si>
  <si>
    <t>Éviter gaspillage par peur/non-information.</t>
  </si>
  <si>
    <t>Un allergène se maîtrise du stock au service.</t>
  </si>
  <si>
    <t>Salade composée mayonnaise ; poisson froid ; dessert lacté ; service en plein pic de chaleur</t>
  </si>
  <si>
    <t>Risque PMS et acceptabilité en période chaude</t>
  </si>
  <si>
    <t>Contrôlez les points de vigilance d’un menu froid estival avec sauce sensible.</t>
  </si>
  <si>
    <t>Pourquoi ce menu d’été demande une attention particulière à l’hygiène ?</t>
  </si>
  <si>
    <t>Le menu doit être équilibré et de saison, mais la production est sensible : chaîne du froid, mayonnaise, poisson froid, allergènes œuf/poisson/lait, délais de service, traçabilité. Il faut aussi vérifier EGalim, diversification, acceptabilité et risque de gaspillage.</t>
  </si>
  <si>
    <t>En été avec poisson froid et mayonnaise, on surveille la chaîne du froid, les allergènes, le temps de service et si les enfants vont manger le plat.</t>
  </si>
  <si>
    <t>Si l’apprenant dit seulement « c’est frais », demander la sécurité du froid.</t>
  </si>
  <si>
    <t>Demander : « Comment tu gardes ce menu froid sûr jusqu’au service ? »</t>
  </si>
  <si>
    <t>PMS froid / été</t>
  </si>
  <si>
    <t>Contrôler équilibre du repas froid.</t>
  </si>
  <si>
    <t>Contrôler achats EGalim.</t>
  </si>
  <si>
    <t>Vérifier saison estivale réelle.</t>
  </si>
  <si>
    <t>Chaîne du froid, allergènes, production.</t>
  </si>
  <si>
    <t>Limiter refus et pertes par service maîtrisé.</t>
  </si>
  <si>
    <t>Froid ne veut pas dire sans risque.</t>
  </si>
  <si>
    <t>Cantine durable</t>
  </si>
  <si>
    <t>Menu de saison annoncé, mais fiches produits et origine non documentées</t>
  </si>
  <si>
    <t>Traçabilité insuffisante malgré intention durable</t>
  </si>
  <si>
    <t>Expliquez pourquoi une intention durable doit être documentée.</t>
  </si>
  <si>
    <t>Pourquoi dire “de saison” ou “local” ne suffit pas ?</t>
  </si>
  <si>
    <t>Le menu peut être cohérent, mais il faut documenter les produits : fiches, origine, labels, bio/durable si revendiqué, suivi EGalim. Il faut aussi vérifier équilibre, menu végétarien/diversification, saison, PMS, allergènes, production, gaspillage et acceptabilité.</t>
  </si>
  <si>
    <t>Dire local ou de saison ne suffit pas. Il faut des preuves : fiche produit, origine, label, bio si annoncé, et vérifier hygiène, allergènes et gaspillage.</t>
  </si>
  <si>
    <t>Si l’apprenant valide sur l’intention, demander les preuves.</t>
  </si>
  <si>
    <t>Demander : « Qu’est-ce qui prouve l’origine ou le label ? »</t>
  </si>
  <si>
    <t>Traçabilité durable</t>
  </si>
  <si>
    <t>Vérifier diversification du menu.</t>
  </si>
  <si>
    <t>Contrôler preuves EGalim, labels, bio.</t>
  </si>
  <si>
    <t>Vérifier saison réelle des produits.</t>
  </si>
  <si>
    <t>PMS, allergènes, fiches techniques.</t>
  </si>
  <si>
    <t>Une annonce doit être prouvée.</t>
  </si>
  <si>
    <t>Poisson vapeur ; épinards ; semoule ; fruit ; retours assiettes importants les semaines précédentes</t>
  </si>
  <si>
    <t>Acceptabilité non prise en compte malgré menu équilibré</t>
  </si>
  <si>
    <t>Contrôlez ce menu en intégrant l’historique de consommation et le risque de gaspillage.</t>
  </si>
  <si>
    <t>Pourquoi il faut regarder ce que les élèves ont vraiment mangé les fois précédentes ?</t>
  </si>
  <si>
    <t>Le menu peut être équilibré, mais l’acceptabilité est faible si les retours assiettes montrent un rejet. Il faut adapter sauce, présentation, garniture ou pédagogie, vérifier végétarien/diversification, EGalim, saison, PMS, allergènes, production et gaspillage.</t>
  </si>
  <si>
    <t>Si les élèves jettent souvent poisson et épinards, il faut en tenir compte. On améliore sauce, légumes, présentation, et on contrôle EGalim, saison, allergènes et hygiène.</t>
  </si>
  <si>
    <t>Si l’apprenant dit « ils doivent goûter », ramener au résultat observé.</t>
  </si>
  <si>
    <t>Demander : « Que disent les retours d’assiettes ? »</t>
  </si>
  <si>
    <t>Acceptabilité / retours</t>
  </si>
  <si>
    <t>Contrôler équilibre et consommation.</t>
  </si>
  <si>
    <t>Vérifier diversité du cycle.</t>
  </si>
  <si>
    <t>Adapter saison et légumes.</t>
  </si>
  <si>
    <t>PMS/allergènes/production du poisson.</t>
  </si>
  <si>
    <t>Utiliser retours pour limiter gaspillage.</t>
  </si>
  <si>
    <t>Un menu non mangé n’est pas réussi.</t>
  </si>
  <si>
    <t>Même menu que primaire : crudités dures ; morceaux de viande ; pomme crue</t>
  </si>
  <si>
    <t>Menu non adapté à l’âge et à la sécurité physique</t>
  </si>
  <si>
    <t>Contrôlez les adaptations nécessaires pour la petite enfance.</t>
  </si>
  <si>
    <t>Pourquoi on ne sert pas le même menu en crèche et en primaire ?</t>
  </si>
  <si>
    <t>L’équilibre doit être adapté à l’âge : texture, taille des morceaux, mastication, allergènes, sécurité, sauce, dessert et portions. On vérifie aussi PMS, production, saison, EGalim selon contexte, diversification et gaspillage par refus ou difficulté.</t>
  </si>
  <si>
    <t>En crèche, on adapte les morceaux, la texture, la sauce, le dessert et les portions. On vérifie les allergènes, l’hygiène et si l’enfant peut vraiment manger.</t>
  </si>
  <si>
    <t>Si l’apprenant parle seulement d’équilibre, insister sur taille des morceaux et texture.</t>
  </si>
  <si>
    <t>Demander : « Est-ce que ce morceau est adapté à un tout-petit ? »</t>
  </si>
  <si>
    <t>Équilibre adapté à l’âge.</t>
  </si>
  <si>
    <t>Diversification selon plan et âge.</t>
  </si>
  <si>
    <t>Achats contrôlés selon structure.</t>
  </si>
  <si>
    <t>Saison adaptée aux fruits/légumes.</t>
  </si>
  <si>
    <t>Texture, morceaux, allergènes, PMS.</t>
  </si>
  <si>
    <t>Limiter gaspillage par difficulté alimentaire.</t>
  </si>
  <si>
    <t>Le convive change le menu.</t>
  </si>
  <si>
    <t>Tous les éléments mixés ensemble dans une seule purée beige</t>
  </si>
  <si>
    <t>Texture sécurisée mais repas illisible et peu appétent</t>
  </si>
  <si>
    <t>Contrôlez ce repas texture modifiée sous l’angle sécurité, appétence, production et gaspillage.</t>
  </si>
  <si>
    <t>Pourquoi même en mixé il ne faut pas tout mélanger ?</t>
  </si>
  <si>
    <t>La texture doit être sécurisée selon la prescription, mais le contrôle doit aussi porter sur lisibilité, couleur, goût, enrichissement éventuel, sauce, température, PMS, allergènes, production, EGalim, saison, consommation réelle et gaspillage.</t>
  </si>
  <si>
    <t>Même mixé, il faut garder les couleurs, le goût et l’envie. On vérifie la texture demandée, la sauce, les allergènes, l’hygiène et si la personne va manger.</t>
  </si>
  <si>
    <t>Si l’apprenant se limite à la texture, demander l’appétence et la dignité.</t>
  </si>
  <si>
    <t>Demander : « Est-ce que cette assiette donne envie, même mixée ? »</t>
  </si>
  <si>
    <t>Diversification adaptée au public.</t>
  </si>
  <si>
    <t>Achats adaptés au cahier des charges.</t>
  </si>
  <si>
    <t>Couleurs de saison si possible.</t>
  </si>
  <si>
    <t>Texture prescrite, PMS, allergènes.</t>
  </si>
  <si>
    <t>Réduire gaspillage par appétence.</t>
  </si>
  <si>
    <t>La sécurité ne suffit pas sans appétence.</t>
  </si>
  <si>
    <t>Charcuterie ; tartiflette ; fromage ; gâteau chocolat</t>
  </si>
  <si>
    <t>Excès gras/salé et manque de correction entrée-dessert</t>
  </si>
  <si>
    <t>Contrôlez ce menu riche et proposez les points de correction prioritaires.</t>
  </si>
  <si>
    <t>Pourquoi ce menu est trop chargé même s’il peut plaire ?</t>
  </si>
  <si>
    <t>Le menu cumule charcuterie, fromage, plat riche et dessert dense. Il faut contrôler équilibre global, limiter gras/sel, corriger avec crudité ou fruit, vérifier végétarien/diversification sur le cycle, EGalim, saison, PMS, allergènes, production, gaspillage et acceptabilité.</t>
  </si>
  <si>
    <t>Il y a trop de choses riches : charcuterie, fromage, tartiflette, gâteau. Il faut alléger avec du frais et un fruit, puis vérifier EGalim, allergènes et production.</t>
  </si>
  <si>
    <t>Si l’apprenant garde fromage et dessert riche, demander la fonction du correcteur.</t>
  </si>
  <si>
    <t>Demander : « Qu’est-ce qui allège vraiment ce repas ? »</t>
  </si>
  <si>
    <t>Lourdeur / sel</t>
  </si>
  <si>
    <t>Contrôler équilibre et excès.</t>
  </si>
  <si>
    <t>Contrôler qualité des produits EGalim.</t>
  </si>
  <si>
    <t>Saison hiver mais pas surcharge.</t>
  </si>
  <si>
    <t>Allergènes lait/gluten et production.</t>
  </si>
  <si>
    <t>Limiter gaspillage par portions adaptées.</t>
  </si>
  <si>
    <t>Un menu plaisir se contrôle aussi.</t>
  </si>
  <si>
    <t>Restaurant administratif</t>
  </si>
  <si>
    <t>Offre unique carnée chaque jour ; aucune alternative végétarienne visible</t>
  </si>
  <si>
    <t>Diversification et offre végétarienne à vérifier selon champ applicable</t>
  </si>
  <si>
    <t>Contrôlez l’offre de protéines et l’alternative végétarienne selon le contexte de restauration.</t>
  </si>
  <si>
    <t>Pourquoi proposer toujours de la viande peut poser problème dans une restauration administrative ?</t>
  </si>
  <si>
    <t>L’équilibre global et la diversification des sources de protéines doivent être contrôlés. Selon le contexte applicable, une offre végétarienne peut être requise ou attendue. Il faut vérifier EGalim, saison, PMS, allergènes, production, gaspillage et acceptabilité des convives.</t>
  </si>
  <si>
    <t>Si on propose toujours viande, il faut vérifier la diversification et l’offre végé selon la structure. On contrôle aussi EGalim, saison, allergènes, hygiène et ce que les convives acceptent.</t>
  </si>
  <si>
    <t>Si l’apprenant applique une règle sans contexte, demander de vérifier le champ d’application.</t>
  </si>
  <si>
    <t>Demander : « Quelle structure ? Quelle obligation ? Quelle offre alternative ? »</t>
  </si>
  <si>
    <t>Diversification / contexte</t>
  </si>
  <si>
    <t>Contrôler équilibre de l’offre.</t>
  </si>
  <si>
    <t>Vérifier végétarien/diversification selon champ.</t>
  </si>
  <si>
    <t>Saison et choix produits.</t>
  </si>
  <si>
    <t>PMS/allergènes/production.</t>
  </si>
  <si>
    <t>Limiter gaspillage par offre adaptée.</t>
  </si>
  <si>
    <t>Le contrôle dépend du contexte.</t>
  </si>
  <si>
    <t>Menu avec produits bio/durables affichés mais assiette pâle, sèche et peu consommée</t>
  </si>
  <si>
    <t>Conformité achat ne garantit pas consommation</t>
  </si>
  <si>
    <t>Montrez pourquoi un menu peut être bon sur les achats mais faible à l’assiette.</t>
  </si>
  <si>
    <t>Pourquoi un produit bio ou durable ne suffit pas si le repas n’est pas mangé ?</t>
  </si>
  <si>
    <t>Le contrôle EGalim et les achats durables/bio sont nécessaires, mais ils ne garantissent pas l’équilibre, la texture, la couleur ni l’acceptabilité. Il faut vérifier menu végétarien/diversification, saison, PMS, allergènes, production, sauce, présentation, consommation et gaspillage.</t>
  </si>
  <si>
    <t>Bio ou durable, c’est bien, mais si c’est sec et pas mangé, le menu rate. On vérifie aussi couleur, sauce, saison, allergènes, production et gaspillage.</t>
  </si>
  <si>
    <t>Si l’apprenant s’arrête à EGalim, demander la consommation réelle.</t>
  </si>
  <si>
    <t>Demander : « Le convive mange-t-il réellement ce menu ? »</t>
  </si>
  <si>
    <t>EGalim / acceptabilité</t>
  </si>
  <si>
    <t>Contrôler assiette et équilibre.</t>
  </si>
  <si>
    <t>Vérifier diversification et végétarien.</t>
  </si>
  <si>
    <t>Contrôler durables/bio avec preuves.</t>
  </si>
  <si>
    <t>Vérifier saisonnalité.</t>
  </si>
  <si>
    <t>Mesurer consommation et gaspillage.</t>
  </si>
  <si>
    <t>Conforme achat ne veut pas dire accepté.</t>
  </si>
  <si>
    <t>Fête / événement</t>
  </si>
  <si>
    <t>Menu festif avec fromage, fruits à coque, sauce crème ; production en gros volume</t>
  </si>
  <si>
    <t>Menu valorisant mais allergènes et production à sécuriser</t>
  </si>
  <si>
    <t>Contrôlez un menu festif : qualité, allergènes, production, équilibre et gaspillage.</t>
  </si>
  <si>
    <t>Pourquoi un menu de fête demande encore plus de contrôle ?</t>
  </si>
  <si>
    <t>Un menu festif peut être valorisant mais doit rester contrôlé : équilibre global, allergènes lait/fruits à coque/gluten selon recettes, production en volume, maintien qualité, EGalim, saison, diversification, acceptabilité et gaspillage. Les portions doivent être maîtrisées.</t>
  </si>
  <si>
    <t>Un menu de fête ne dispense pas des contrôles. On regarde les allergènes, la production en grande quantité, les portions, EGalim, la saison et le gaspillage.</t>
  </si>
  <si>
    <t>Si l’apprenant se concentre sur plaisir, demander les allergènes et volumes.</t>
  </si>
  <si>
    <t>Demander : « Qu’est-ce qui peut mal se passer en gros volume ? »</t>
  </si>
  <si>
    <t>Festif / sécurité</t>
  </si>
  <si>
    <t>Contrôler équilibre malgré fête.</t>
  </si>
  <si>
    <t>Diversifier sur le cycle.</t>
  </si>
  <si>
    <t>Valoriser produits de qualité avec preuves.</t>
  </si>
  <si>
    <t>Saison selon événement.</t>
  </si>
  <si>
    <t>Allergènes et production volume.</t>
  </si>
  <si>
    <t>Maîtriser portions et retours.</t>
  </si>
  <si>
    <t>Fête ne veut pas dire sans contrôle.</t>
  </si>
  <si>
    <t>Viande ou volaille presque chaque jour ; peu de légumineuses ; végétarien faible</t>
  </si>
  <si>
    <t>Diversification des protéines insuffisante</t>
  </si>
  <si>
    <t>Contrôlez la diversification des sources de protéines sur ce cycle.</t>
  </si>
  <si>
    <t>Pourquoi il faut varier les protéines et ne pas mettre viande presque tous les jours ?</t>
  </si>
  <si>
    <t>L’équilibre global se regarde sur le cycle. Il faut diversifier les protéines : poissons, œufs, légumineuses, céréales, menus végétariens construits. Les achats EGalim, saison, PMS, allergènes, production, gaspillage et acceptabilité doivent être contrôlés.</t>
  </si>
  <si>
    <t>Il faut varier : viande, poisson, œufs, lentilles, pois chiches, menus végé bien faits. On contrôle aussi EGalim, saison, allergènes, hygiène et gaspillage.</t>
  </si>
  <si>
    <t>Si l’apprenant remplace par un végé faible, demander la base nourrissante.</t>
  </si>
  <si>
    <t>Demander : « Quelle vraie protéine végétale mets-tu dans le cycle ? »</t>
  </si>
  <si>
    <t>Diversification protéines</t>
  </si>
  <si>
    <t>Contrôler cycle complet.</t>
  </si>
  <si>
    <t>Renforcer végétarien/diversification.</t>
  </si>
  <si>
    <t>Saison des accompagnements.</t>
  </si>
  <si>
    <t>Allergènes/production des nouvelles recettes.</t>
  </si>
  <si>
    <t>Éviter refus par présentation.</t>
  </si>
  <si>
    <t>Varier les protéines se prépare.</t>
  </si>
  <si>
    <t>Menu apprécié par adultes mais portions trop grandes pour enfants ; retours importants</t>
  </si>
  <si>
    <t>Portions et gaspillage non adaptés au public</t>
  </si>
  <si>
    <t>Analysez le lien entre portion, convive et gaspillage.</t>
  </si>
  <si>
    <t>Pourquoi une portion trop grande peut faire gaspiller même si le menu est bon ?</t>
  </si>
  <si>
    <t>L’équilibre global doit être adapté au convive. Des portions trop grandes augmentent les restes et faussent l’acceptabilité. Il faut ajuster portion, présentation, dessert, saison, PMS, allergènes, production, EGalim et menu végétarien/diversification sur le cycle.</t>
  </si>
  <si>
    <t>Si la portion est trop grande, l’enfant laisse. Il faut adapter la quantité, la présentation, vérifier EGalim, allergènes, hygiène et regarder les retours.</t>
  </si>
  <si>
    <t>Si l’apprenant dit seulement « ils n’aiment pas », demander la taille de portion.</t>
  </si>
  <si>
    <t>Demander : « Est-ce refus ou portion trop grande ? »</t>
  </si>
  <si>
    <t>Portions / gaspillage</t>
  </si>
  <si>
    <t>Équilibre adapté au public.</t>
  </si>
  <si>
    <t>Saison et présentation.</t>
  </si>
  <si>
    <t>Mesurer restes et ajuster portions.</t>
  </si>
  <si>
    <t>Trop servir peut faire gaspiller.</t>
  </si>
  <si>
    <t>Gestionnaire / formateur</t>
  </si>
  <si>
    <t>Menu validé oralement ; pas de fiches techniques ; pas de grammages ; pas de suivi allergènes/achats</t>
  </si>
  <si>
    <t>Contrôle final impossible faute de documents</t>
  </si>
  <si>
    <t>Expliquez quels documents rendent le contrôle du menu possible.</t>
  </si>
  <si>
    <t>Pourquoi un menu validé à l’oral ne suffit pas ?</t>
  </si>
  <si>
    <t>Le contrôle final exige des traces : menu, fiches techniques, grammages, allergènes, achats EGalim, produits durables/bio, saison, PMS, production, retours consommation et gaspillage. La diversification et le menu végétarien doivent être documentés sur le cycle.</t>
  </si>
  <si>
    <t>Dire que le menu est bon ne suffit pas. Il faut des fiches, les quantités, les allergènes, les achats, EGalim, la saison, l’hygiène et les retours de gaspillage.</t>
  </si>
  <si>
    <t>Si l’apprenant répond sur le goût, demander les documents de preuve.</t>
  </si>
  <si>
    <t>Demander : « Avec quoi prouves-tu que le menu est contrôlé ? »</t>
  </si>
  <si>
    <t>Traçabilité documents</t>
  </si>
  <si>
    <t>Contrôler équilibre avec grammages.</t>
  </si>
  <si>
    <t>Documenter végétarien/diversification.</t>
  </si>
  <si>
    <t>Fiches achats EGalim durables/bio.</t>
  </si>
  <si>
    <t>Calendrier saison et fournisseurs.</t>
  </si>
  <si>
    <t>Fiches techniques, allergènes, PMS.</t>
  </si>
  <si>
    <t>Suivi restes et acceptabilité.</t>
  </si>
  <si>
    <t>Sans trace, contrôle fragile.</t>
  </si>
  <si>
    <t>Audit généré le 24/06/2026 — contrôle technique par inspection du classeur et du XML interne.</t>
  </si>
  <si>
    <t>Rôle des feuilles et audit par feuille</t>
  </si>
  <si>
    <t>Feuille</t>
  </si>
  <si>
    <t>À quoi sert la feuille</t>
  </si>
  <si>
    <t>Dimension</t>
  </si>
  <si>
    <t>ATELIER_ACTIF</t>
  </si>
  <si>
    <t>Feuille active d’entraînement/cas terrain. Elle sert à travailler une situation complète : diagnostic du menu, correction, adaptation convive et justification PRO/CFA.</t>
  </si>
  <si>
    <t>A1:BT72</t>
  </si>
  <si>
    <t>CONVIVES</t>
  </si>
  <si>
    <t>A1:BT82</t>
  </si>
  <si>
    <t>COULEURS</t>
  </si>
  <si>
    <t>PLAT_PRINCIPAL</t>
  </si>
  <si>
    <t>A1:BT95</t>
  </si>
  <si>
    <t>DESSERTS</t>
  </si>
  <si>
    <t>VEGETARIENS</t>
  </si>
  <si>
    <t>FINAL_1</t>
  </si>
  <si>
    <t>FINAL_2</t>
  </si>
  <si>
    <t>AUDIT DU CLASSEUR — MENUS PLATS-CF</t>
  </si>
  <si>
    <t>Formules</t>
  </si>
  <si>
    <t>N° questions de 1 à 30</t>
  </si>
  <si>
    <t>Adapter le menu selon le convive : petite enfance, texture, portion, sauce, présentation, dessert et sécurité.</t>
  </si>
  <si>
    <t>Former le regard couleur/saison/texture : repérer une assiette trop blanche ou sèche et proposer des corrections réalistes.</t>
  </si>
  <si>
    <t>Partir du plat principal : famille du plat, risque principal, garniture, sauce/jus, convive et justification.</t>
  </si>
  <si>
    <t>Utiliser l’entrée et le dessert comme correcteurs du menu, pas comme éléments décoratifs.</t>
  </si>
  <si>
    <t>Construire de vrais menus végétariens : base nourrissante, goût, couleur, satiété et acceptabilité.</t>
  </si>
  <si>
    <t>Évaluation finale : diagnostic, correction plat/garniture/sauce, entrée-dessert, adaptation convive, contrôle final et justification.</t>
  </si>
  <si>
    <t>Contrôle menu après composition : équilibre, végétarien, EGalim, saisonnalité, PMS/allergènes/production et gaspillage.</t>
  </si>
  <si>
    <t>CORRECTEURS_ENTRÉE-DESSERT</t>
  </si>
  <si>
    <t>ATELIER_MENUS_VEGETARIENS</t>
  </si>
  <si>
    <t>ATELIER_CONTROLES_MENU</t>
  </si>
  <si>
    <t>EVALUATION_FINALE_MENUS_PLATS_CF</t>
  </si>
  <si>
    <t>ATELIER_PLATS_PRINCIPAUX</t>
  </si>
  <si>
    <t>ATELIER_CONVIVES_MENU</t>
  </si>
  <si>
    <t>ATELIER_ACTIF_CAS_TERRAIN</t>
  </si>
  <si>
    <t>exemple</t>
  </si>
  <si>
    <t>limiter</t>
  </si>
  <si>
    <t>ATELIER_COULEURS_SAISONS_TEXTURES</t>
  </si>
  <si>
    <t>N° questions de 1 à 43</t>
  </si>
  <si>
    <t>et un fruit de saison plutôt qu’un dessert blanc.</t>
  </si>
  <si>
    <t xml:space="preserve"> un légume vert ou orange, une entrée colorée </t>
  </si>
  <si>
    <t xml:space="preserve">Diagnostic : le menu est trop blanc et le poisson peut être sec. Correction : poisson sauce citron-herbes, </t>
  </si>
  <si>
    <t>riz pilaf, brocolis ou carottes, entrée colorée et fruit de saison. A</t>
  </si>
  <si>
    <t>dapter au public scolaire en rendant l’assiette plus lisible et plus appétente.</t>
  </si>
  <si>
    <t xml:space="preserve"> Contrôle final : équilibre, allergènes poisson/lait, tenue chaude et gaspillage.</t>
  </si>
  <si>
    <t xml:space="preserve">Le menu est trop blanc et le poisson risque d’être sec. </t>
  </si>
  <si>
    <t xml:space="preserve">Je mets une sauce, un légume coloré, une entrée qui donne de la couleur </t>
  </si>
  <si>
    <t xml:space="preserve">et un fruit. Je vérifie les allergènes, la tenue au chaud </t>
  </si>
  <si>
    <t>et si les enfants vont vraiment manger.</t>
  </si>
  <si>
    <t xml:space="preserve">Le repas doit être contrôlé sur l’équilibre global et sur le cycle. </t>
  </si>
  <si>
    <t>Le point prioritaire est l’absence de menu végétarien identifié :</t>
  </si>
  <si>
    <t xml:space="preserve"> il faut prévoir un vrai menu végétarien construit avec légumineuses, céréales, œufs ou laitage selon le contexte. </t>
  </si>
  <si>
    <t>Les achats EGalim, la saison, le PMS, les allergènes, la production et l’acceptabilité doivent aussi être vérifiés pour limiter le gaspillage.</t>
  </si>
  <si>
    <t xml:space="preserve">Il ne suffit pas que chaque repas ait un plat. </t>
  </si>
  <si>
    <t xml:space="preserve">Il faut vérifier l’équilibre du menu, prévoir un vrai menu végé dans la semaine, </t>
  </si>
  <si>
    <t>regarder EGalim, la saison, les allergènes,</t>
  </si>
  <si>
    <t xml:space="preserve"> l’hygiène et si les élèves vont le manger.</t>
  </si>
  <si>
    <t>Les pâtes sauce tomate seules ne construisent pas un vrai plat végétarien.</t>
  </si>
  <si>
    <t xml:space="preserve"> Il faut ajouter une base nourrissante comme lentilles corail, pois chiches ou haricots,</t>
  </si>
  <si>
    <t xml:space="preserve"> renforcer la sauce avec légumes et herbes, </t>
  </si>
  <si>
    <t>puis garder un laitage ou un fruit selon l’équilibre.</t>
  </si>
  <si>
    <t>Les pâtes tomate seules ne calent pas assez</t>
  </si>
  <si>
    <t xml:space="preserve">. J’ajoute des lentilles, </t>
  </si>
  <si>
    <t>des pois chiches ou des haricots avec des légumes et du goût pour faire un vrai plat.</t>
  </si>
  <si>
    <t>et du goût pour faire un vrai plat.</t>
  </si>
  <si>
    <t>Le menu est trop blanc et le poisson risque d’être sec.</t>
  </si>
  <si>
    <t xml:space="preserve"> L’entrée doit apporter couleur et fraîcheur, par exemple carottes râpées ou betteraves.</t>
  </si>
  <si>
    <t xml:space="preserve"> Le dessert doit éviter de rester blanc : un fruit de saison coloré corrige mieux qu’un fromage blanc</t>
  </si>
  <si>
    <t>. Il faut éviter d’ajouter encore un dessert blanc parce que cela renforce le défaut visuel.</t>
  </si>
  <si>
    <t xml:space="preserve">Le repas est trop blanc et le poisson peut être sec. </t>
  </si>
  <si>
    <t>Je mets une entrée colorée comme carottes ou betteraves</t>
  </si>
  <si>
    <t xml:space="preserve"> et je finis par un fruit. J’évite le fromage blanc </t>
  </si>
  <si>
    <t>car il rajoute encore du blanc.</t>
  </si>
  <si>
    <t>Poisson blanc vapeur appartient à la famille poisson. Le risque principal est pâle, sec, risque de refus</t>
  </si>
  <si>
    <t xml:space="preserve">. Je propose comme garniture : Brocolis, carottes ou riz pilaf avec légume coloré. Pour la sauce ou le jus : Sauce légère citron-herbes ou jus court. </t>
  </si>
  <si>
    <t>L’adaptation convive est : Enfants : rendre le poisson plus lisible et moins sec.</t>
  </si>
  <si>
    <t xml:space="preserve"> La justification est de construire le menu à partir du plat principal sans corriger au hasard.</t>
  </si>
  <si>
    <t>C’est un plat de la famille poisson. Le risque, c’est pâle, sec, risque de refus.</t>
  </si>
  <si>
    <t xml:space="preserve"> Je mets avec : Brocolis, carottes ou riz pilaf avec légume coloré.</t>
  </si>
  <si>
    <t xml:space="preserve"> J’ajoute ou je vérifie : Sauce légère citron-herbes ou jus court. Je pense au convive : Enfants : rendre le poisson plus lisible et moins sec.</t>
  </si>
  <si>
    <t xml:space="preserve"> J’explique mon choix au lieu de répondre au hasard.</t>
  </si>
  <si>
    <t xml:space="preserve">L’assiette présente une dominante blanche avec poisson, riz, chou-fleur et fromage blanc. </t>
  </si>
  <si>
    <t>Il faut ajouter une couleur de contraste, par exemple brocolis ou carottes</t>
  </si>
  <si>
    <t xml:space="preserve">, une sauce citron-herbes pour limiter le sec, </t>
  </si>
  <si>
    <t>et remplacer le dessert blanc par un fruit de saison coloré.</t>
  </si>
  <si>
    <t xml:space="preserve">C’est trop blanc </t>
  </si>
  <si>
    <t>et le poisson risque d’être sec. J</t>
  </si>
  <si>
    <t>et je finis avec un fruit coloré plutôt qu’un fromage blanc.</t>
  </si>
  <si>
    <t>La priorité est la sécurité, la texture et la progression alimentaire.</t>
  </si>
  <si>
    <t>Pour les tout-petits, on ne donne pas des morceaux durs.</t>
  </si>
  <si>
    <t xml:space="preserve"> Je vérifie le poisson, je mets de la sauce</t>
  </si>
  <si>
    <t>mets</t>
  </si>
  <si>
    <t>plutot</t>
  </si>
  <si>
    <t xml:space="preserve">MODE D’EMPLOI </t>
  </si>
  <si>
    <t>(Je fournis la base. Vous construisez votre outil)</t>
  </si>
  <si>
    <t>N° question active ►</t>
  </si>
  <si>
    <t>1 à 20</t>
  </si>
  <si>
    <t>21 à 50</t>
  </si>
  <si>
    <t>51 à 80</t>
  </si>
  <si>
    <t>81 à 123</t>
  </si>
  <si>
    <t>124 à 153</t>
  </si>
  <si>
    <t>154 à 183</t>
  </si>
  <si>
    <t>184 à 213</t>
  </si>
  <si>
    <t>214 à 243</t>
  </si>
  <si>
    <t>Correction_garniture conseillée</t>
  </si>
  <si>
    <t>Correction_sauce conseillée</t>
  </si>
  <si>
    <t>Correction_entree conseillée</t>
  </si>
  <si>
    <t>Correction_dessert conseillé</t>
  </si>
  <si>
    <t xml:space="preserve">Auteur : Joel Leboucher • Rochefort sur Mer |  Date : 24 Juin 2026  |  heure : 18h30 |  Document réalisé avec l'aide de ChatGPT </t>
  </si>
  <si>
    <t>M01_ATELIER_CONVIVES_MENU_PRO_CFA_V1</t>
  </si>
  <si>
    <t xml:space="preserve">Pour la crèche, il faut adapter les morceaux, vérifier l’absence d’arêtes, </t>
  </si>
  <si>
    <t>rendre les petits pois et le riz faciles à manger,</t>
  </si>
  <si>
    <t xml:space="preserve"> ajouter une sauce douce au poisson et remplacer la pomme crue par une compote ou un fruit adapté. </t>
  </si>
  <si>
    <t xml:space="preserve">je mets une sauce, un légume vert ou orange, </t>
  </si>
  <si>
    <t>et je remplace la pomme crue par une compote.</t>
  </si>
  <si>
    <t xml:space="preserve"> j’adapte le riz et les petits pois, </t>
  </si>
  <si>
    <t>M09_ATELIER_ACTIF_CAS_TERRAIN_PRO_CFA_V2_MONOFEUILLE</t>
  </si>
  <si>
    <t>Le menu présente une dominante blanche excessive et un risque de sécheresse</t>
  </si>
  <si>
    <t>. Corriger par une sauce citron-herbes,</t>
  </si>
  <si>
    <t>j'ajoute carottes ou brocolis</t>
  </si>
  <si>
    <t xml:space="preserve"> et je finis par un fruit plutôt qu’un fromage blanc.</t>
  </si>
  <si>
    <t>FICHE 01 — COMPOSER UN MENU SIMPLE — DOCUMENT PROPRE APPRENANT</t>
  </si>
  <si>
    <t>CADENCIER SIMPLIFIÉ</t>
  </si>
  <si>
    <t>PRÉCONISATIONS UTILISÉES</t>
  </si>
  <si>
    <t>Objectif</t>
  </si>
  <si>
    <t>Construire un menu du midi lisible, équilibré et productible avec la méthode PLATS-CF.</t>
  </si>
  <si>
    <t>Méthode PLATS-CF = méthode de construction d’un menu à partir du plat principal, complétée par les garnitures, sauces, cuissons, couleurs, saisons et compléments froids, avec contrôle final de cohérence.</t>
  </si>
  <si>
    <t>Mode d'emploi</t>
  </si>
  <si>
    <t>Écrire X dans une seule petite case de la ligne. Les résultats se calculent en colonne B. Les aides et suggestions guident l'apprenant.</t>
  </si>
  <si>
    <t>Situation professionnelle</t>
  </si>
  <si>
    <t>Vous travaillez en cuisine centrale. Vous devez proposer un menu du midi</t>
  </si>
  <si>
    <t>Consigne</t>
  </si>
  <si>
    <t>Compléter dans l'ordre : public, plat, légume, sauce, cuisson, entrée/dessert, laitage, justification, puis auto-contrôle.</t>
  </si>
  <si>
    <t>Point attendu</t>
  </si>
  <si>
    <t>Le menu doit être simple, adapté aux enfants, cohérent en couleur, saison, production et équilibre.</t>
  </si>
  <si>
    <t>Principe</t>
  </si>
  <si>
    <t>Compose d'abord — adapte ensuite — contrôle enfin.</t>
  </si>
  <si>
    <t>Décision</t>
  </si>
  <si>
    <t>Réponse apprenant / résultat auto</t>
  </si>
  <si>
    <t>Aide au remplissage</t>
  </si>
  <si>
    <t>X</t>
  </si>
  <si>
    <t>Suggestion / correction</t>
  </si>
  <si>
    <t>Lettre</t>
  </si>
  <si>
    <t>Entrée — repère simplifié</t>
  </si>
  <si>
    <t>Type</t>
  </si>
  <si>
    <t>Exemples</t>
  </si>
  <si>
    <t>Quel public</t>
  </si>
  <si>
    <t>Coche un seul public. Le contexte indique une école primaire : le choix logique est Primaire.</t>
  </si>
  <si>
    <t>Adolescents / Université</t>
  </si>
  <si>
    <t>Adultes sédentaires</t>
  </si>
  <si>
    <t>Travailleurs de force</t>
  </si>
  <si>
    <t>EHPAD midi</t>
  </si>
  <si>
    <t>EHPAD soir</t>
  </si>
  <si>
    <t>A</t>
  </si>
  <si>
    <t>Crudité / entrée fraîche simple : légumes ou fruits crus, au moins 50 %. Exemple : carottes râpées, tomate, concombre.</t>
  </si>
  <si>
    <t>Crudités de légumes ou de fruits ≥ 50 %</t>
  </si>
  <si>
    <t>10 / 20 minimum</t>
  </si>
  <si>
    <t>Carottes râpées, salade de tomates, melon, pamplemousse.</t>
  </si>
  <si>
    <t>Plat principal</t>
  </si>
  <si>
    <t>saucisse</t>
  </si>
  <si>
    <t>B</t>
  </si>
  <si>
    <t>Cuidité ou entrée cuite/simple : légume cuit, féculent froid simple. Exemple : betterave, salade de pommes de terre.</t>
  </si>
  <si>
    <t>Entrées grasses &gt; 15 % lipides</t>
  </si>
  <si>
    <t>4 / 20 maximum</t>
  </si>
  <si>
    <t>Charcuteries, quiches, salades très mayonnaise, avocat.</t>
  </si>
  <si>
    <t>Présence de porc</t>
  </si>
  <si>
    <t>Oui</t>
  </si>
  <si>
    <t>Non</t>
  </si>
  <si>
    <t>C</t>
  </si>
  <si>
    <t>Entrée avec protéine ou laitage léger : œuf, thon, fromage blanc, petit-suisse selon contexte.</t>
  </si>
  <si>
    <t>Poisson ou préparation poisson ≥ 70 %, P/L ≥ 2</t>
  </si>
  <si>
    <t>4 / 20 minimum</t>
  </si>
  <si>
    <t>Cabillaud, saumon, poisson meunière.</t>
  </si>
  <si>
    <t>Variante sans porc nécessaire</t>
  </si>
  <si>
    <t>D</t>
  </si>
  <si>
    <t>Entrée plaisir à limiter : quiche, charcuterie, mayonnaise. À justifier, pas en routine.</t>
  </si>
  <si>
    <t>Viandes non hachées bœuf, veau, agneau et abats</t>
  </si>
  <si>
    <t>Rôti de bœuf, blanquette de veau, sauté d'agneau.</t>
  </si>
  <si>
    <t>Légume / féculent d'accompagnement</t>
  </si>
  <si>
    <t>Écris le légume ou féculent principal. Il doit accompagner naturellement le plat et rester productible en volume.</t>
  </si>
  <si>
    <t>Plats protidiques gras / P/L faible</t>
  </si>
  <si>
    <t>2 / 20 maximum</t>
  </si>
  <si>
    <t>Saucisses, nuggets, panés industriels.</t>
  </si>
  <si>
    <t>Couleur dominante après cuisson</t>
  </si>
  <si>
    <t>Indique la couleur la plus visible dans l'assiette après cuisson : vert, orange, blanc, rouge, brun, mélangé.</t>
  </si>
  <si>
    <t>Dessert — repère simplifié</t>
  </si>
  <si>
    <t>Produits transformés &lt; 70 % viande/poisson/œuf</t>
  </si>
  <si>
    <t>3 / 20 maximum scolaires ; 4 / 20 maximum adultes</t>
  </si>
  <si>
    <t>Boulettes, cordons bleus, nuggets.</t>
  </si>
  <si>
    <t>Fruit cru 100 % fruit, sans sucre ajouté. Objectif : vitamine C et fibres.</t>
  </si>
  <si>
    <t>Plat végétarien</t>
  </si>
  <si>
    <t>4 à 5 / 20 soit 1 par semaine</t>
  </si>
  <si>
    <t>Curry de lentilles, omelette, lasagnes chèvre-épinards.</t>
  </si>
  <si>
    <t>Destination sauce</t>
  </si>
  <si>
    <t>Avec le plat</t>
  </si>
  <si>
    <t>Avec le légume</t>
  </si>
  <si>
    <t>Commune plat/légume</t>
  </si>
  <si>
    <t>Aucune</t>
  </si>
  <si>
    <t>Fruit cuit / compote / dessert simple. Utile si texture plus facile ou fruit cuit prévu.</t>
  </si>
  <si>
    <t>Légumes cuits ≥ 50 % légumes</t>
  </si>
  <si>
    <t>10 / 20 environ</t>
  </si>
  <si>
    <t>Haricots verts, brocolis, ratatouille, courgettes.</t>
  </si>
  <si>
    <t>Type de sauce ou jus</t>
  </si>
  <si>
    <t>Laitage / fromage blanc / petit-suisse : utile pour le calcium et pour compléter le repas.</t>
  </si>
  <si>
    <t>Féculents / céréales / légumes secs ≥ 50 %</t>
  </si>
  <si>
    <t>Pâtes, riz, pommes de terre, lentilles, flageolets.</t>
  </si>
  <si>
    <t>Mode de cuisson du plat</t>
  </si>
  <si>
    <t>Dessert plaisir à limiter : pâtisserie, dessert gras ou très sucré. À justifier, pas en routine.</t>
  </si>
  <si>
    <t>Produits frits ou pré-frits &gt; 15 % lipides</t>
  </si>
  <si>
    <t>Frites, beignets, pommes noisettes.</t>
  </si>
  <si>
    <t>Hors-d'œuvre</t>
  </si>
  <si>
    <t>Fromages riches en calcium ≥ 150 mg/portion</t>
  </si>
  <si>
    <t>8 / 20 minimum</t>
  </si>
  <si>
    <t>Emmental, Comté, Cantal, Gouda, Edam.</t>
  </si>
  <si>
    <t>Lettre cadencier hors-d'œuvre</t>
  </si>
  <si>
    <t>Fromages 100 à 150 mg calcium/portion</t>
  </si>
  <si>
    <t>Camembert, Coulommiers, Saint-Paulin.</t>
  </si>
  <si>
    <t>Laitages ≥ 100 mg calcium et &lt; 5 g lipides</t>
  </si>
  <si>
    <t>6 / 20 minimum</t>
  </si>
  <si>
    <t>Yaourt nature, fromage blanc, petits-suisses.</t>
  </si>
  <si>
    <t>Lettre cadencier dessert</t>
  </si>
  <si>
    <t>Desserts de fruits crus 100 % fruits</t>
  </si>
  <si>
    <t>Pomme, banane, orange, salade de fruits frais.</t>
  </si>
  <si>
    <t>Réponse possible : un fromage/laitage précis OU « non nécessaire car déjà couvert ». Si tu ne sais pas : « à vérifier avec le formateur ».</t>
  </si>
  <si>
    <t>Desserts gras &gt; 15 % lipides</t>
  </si>
  <si>
    <t>3 / 20 maximum</t>
  </si>
  <si>
    <t>Tartes, éclairs, mousse chocolat, beignets.</t>
  </si>
  <si>
    <t>Écris une phrase : pourquoi ce menu fonctionne ? équilibre, couleur, saison, production, adaptation au public.</t>
  </si>
  <si>
    <t>Desserts sucrés peu gras</t>
  </si>
  <si>
    <t>Compotes sucrées, crèmes dessert, gâteau de semoule, glaces.</t>
  </si>
  <si>
    <t>AUTO-CONTRÔLE APPRENANT</t>
  </si>
  <si>
    <t>Point contrôlé</t>
  </si>
  <si>
    <t>Résultat</t>
  </si>
  <si>
    <t>Aide au contrôle</t>
  </si>
  <si>
    <t>À vérifier</t>
  </si>
  <si>
    <t>Correction proposée</t>
  </si>
  <si>
    <t>Plat principal identifié</t>
  </si>
  <si>
    <t>Coche Oui si le plat principal est écrit clairement en B12.</t>
  </si>
  <si>
    <t>Revenir en B12 et écrire un plat principal précis.</t>
  </si>
  <si>
    <t>Légume cohérent avec le plat</t>
  </si>
  <si>
    <t>Coche Oui si le légume/féculent accompagne naturellement le plat.</t>
  </si>
  <si>
    <t>Changer B15 ou ajuster le plat pour éviter une association faible.</t>
  </si>
  <si>
    <t>Couleur visuelle lisible</t>
  </si>
  <si>
    <t>Coche Oui si l'assiette a une couleur identifiable et appétente.</t>
  </si>
  <si>
    <t>Modifier B16 ou changer le légume pour une couleur plus lisible.</t>
  </si>
  <si>
    <t>Sauce avec destination claire</t>
  </si>
  <si>
    <t>Coche Oui si tu sais si la sauce va sur le plat, le légume, les deux, ou aucune.</t>
  </si>
  <si>
    <t>Revenir en B18/B19 et préciser destination + type de sauce.</t>
  </si>
  <si>
    <t>Cuisson réaliste en volume</t>
  </si>
  <si>
    <t>Coche Oui si la cuisson peut être faite pour beaucoup de convives.</t>
  </si>
  <si>
    <t>Revenir en B20 et choisir une cuisson collective réaliste.</t>
  </si>
  <si>
    <t>Entrée cohérente</t>
  </si>
  <si>
    <t>Coche Oui si l'entrée respecte la lettre B22 et ne surcharge pas le menu.</t>
  </si>
  <si>
    <t>Revoir B21/B22 avec le cadencier simplifié.</t>
  </si>
  <si>
    <t>Dessert cohérent</t>
  </si>
  <si>
    <t>Coche Oui si le dessert respecte la lettre B24 et complète le menu.</t>
  </si>
  <si>
    <t>Revoir B23/B24 avec le cadencier simplifié.</t>
  </si>
  <si>
    <t>Laitage utile ou absence justifiée</t>
  </si>
  <si>
    <t>Coche Oui si B25 est renseigné ou si l'absence est justifiée.</t>
  </si>
  <si>
    <t>Écrire un laitage/fromage ou « non nécessaire car déjà couvert ».</t>
  </si>
  <si>
    <t>Menu adapté au public</t>
  </si>
  <si>
    <t>Coche Oui si goûts, portions et textures sont compatibles avec le public choisi.</t>
  </si>
  <si>
    <t>Adapter texture, portion, assaisonnement ou présentation.</t>
  </si>
  <si>
    <t>Menu productible</t>
  </si>
  <si>
    <t>Coche Oui si le menu peut être produit, transporté et servi sans complication excessive.</t>
  </si>
  <si>
    <t>Simplifier la technique ou limiter les préparations fragiles.</t>
  </si>
  <si>
    <t>LECTURE RAPIDE</t>
  </si>
  <si>
    <t>Indicateur</t>
  </si>
  <si>
    <t>Commentaire</t>
  </si>
  <si>
    <t>Nombre de points Oui</t>
  </si>
  <si>
    <t>Objectif : au moins 8 Oui avant validation formateur.</t>
  </si>
  <si>
    <t>Nombre de corrections / contrôles incomplets</t>
  </si>
  <si>
    <t>Compte Non + À vérifier + lignes non cochées.</t>
  </si>
  <si>
    <t>Verdict apprenant</t>
  </si>
  <si>
    <t>Le verdict aide à prioriser les corrections ; il ne remplace pas l'avis formateur.</t>
  </si>
  <si>
    <t>NOTE TECHNIQUE</t>
  </si>
  <si>
    <t>Formules compatibles Excel 2021 : INDEX dynamique, FILTRE, UNIQUE, LET, plages nommées et macros non utilisés.</t>
  </si>
  <si>
    <t>Saisie</t>
  </si>
  <si>
    <t>Les petites cases sont de simples cellules : écrire X. Une seule case par ligne.</t>
  </si>
  <si>
    <t>https://pedagogie.ac-strasbourg.fr/fileadmin/pedagogie/nutrition/Ressources/NR_Recommandation_GRCN_diversification_origine_proteines_29_03_2019_2.pdf</t>
  </si>
  <si>
    <t>https://www.economie.gouv.fr/files/directions_services/daj/marches_publics/oeap/gem/nutrition/nutrition.pdf</t>
  </si>
  <si>
    <t>https://www.legifrance.gouv.fr/loda/id/JORFTEXT000024614763/</t>
  </si>
  <si>
    <t>https://www.cdg16.fr/wp-content/uploads/2023/09/Dietetique-tableau-de-controle-des-frequences-enfants-scolarises.pdf</t>
  </si>
  <si>
    <t>Fin de la feuille</t>
  </si>
  <si>
    <t>&lt;  89  largeurs de colonnes   &gt;</t>
  </si>
  <si>
    <t>(6 A et B) Résumé des fréquences utilisées pour les personnes en institution A : Déjeuner - B : Diner sur 20 repas successifs et sur 28 repas successifs</t>
  </si>
  <si>
    <t>(5A) Contôle Annexe 5 -  DEJEUNER pour les personnes agées en institution ou en structure de soins  2011…</t>
  </si>
  <si>
    <t>(4B) Contôle Annexe 4 - Pour enfants en crèche PLUS de 18 mois, halte garderie ou stucture de soins</t>
  </si>
  <si>
    <t>(4A) Contôle Annexe 4 - Pour enfants moins de 18 MOINS en crèche, halte garderie ou stucture de soins</t>
  </si>
  <si>
    <t>Contrôle</t>
  </si>
  <si>
    <t>Pour les préparations &lt;70 %, utiliser 3/20 pour enfants/adolescents ; 4/20 pour adultes. Dans le tableau, la valeur de référence garde 3 par prudence scolaire.</t>
  </si>
  <si>
    <t>Important</t>
  </si>
  <si>
    <t>Les valeurs « A servir » sont calculées sur le total repas à servir en S222. Les fréquences ne sont pas cumulables : elles correspondent à des critères qui peuvent se chevaucher.</t>
  </si>
  <si>
    <t>Lecture</t>
  </si>
  <si>
    <t>chaque jour</t>
  </si>
  <si>
    <t>Viandes hachées &gt;10 % lipides — petite enfance</t>
  </si>
  <si>
    <t>Filets de poisson 100 % poisson — petite enfance</t>
  </si>
  <si>
    <t>libre</t>
  </si>
  <si>
    <t>Desserts/laitages &gt;20 g sucres simples et &lt;15 % lipides</t>
  </si>
  <si>
    <t>Desserts &gt;15 % lipides</t>
  </si>
  <si>
    <t>Quantité limitée des matières grasses</t>
  </si>
  <si>
    <t>Variété des Féculents</t>
  </si>
  <si>
    <t>Joël Leboucher</t>
  </si>
  <si>
    <t>Bonne utilisation, à vous d'améliorer</t>
  </si>
  <si>
    <t>Police personnalisée  0" Repas"</t>
  </si>
  <si>
    <t xml:space="preserve">1 tous les  = 1 repas tous les </t>
  </si>
  <si>
    <t>A servir Nombre de repas à servir</t>
  </si>
  <si>
    <t>pour le total de repas prévus ❹</t>
  </si>
  <si>
    <t>Vous obtenez les nombres de services à prévoir</t>
  </si>
  <si>
    <t>selon capacité</t>
  </si>
  <si>
    <t>❸ Nombre de jours</t>
  </si>
  <si>
    <t>Consommation suffisante de Fruits et légumes</t>
  </si>
  <si>
    <t>Entrées contenant plus de 15 % de lipides</t>
  </si>
  <si>
    <t>❷ NB de repas par jour</t>
  </si>
  <si>
    <t>Fréq.</t>
  </si>
  <si>
    <t>1 tous les</t>
  </si>
  <si>
    <t>A servir</t>
  </si>
  <si>
    <t>Carcéral</t>
  </si>
  <si>
    <t>PA 28 dîner</t>
  </si>
  <si>
    <t>PA 28 déj.</t>
  </si>
  <si>
    <t>PA 24 déj.</t>
  </si>
  <si>
    <t>PA 20 déj.</t>
  </si>
  <si>
    <t>Grand</t>
  </si>
  <si>
    <t>Bébé</t>
  </si>
  <si>
    <t>Scol./adultes</t>
  </si>
  <si>
    <t>Carcéral 56</t>
  </si>
  <si>
    <t>Grand 18m-3a</t>
  </si>
  <si>
    <t>Moyen 12-18m</t>
  </si>
  <si>
    <t>Bébé 8-12m</t>
  </si>
  <si>
    <t>Scolaire/adulte</t>
  </si>
  <si>
    <t>Police personnalisée  0" Maxi" ou 0" Mini"</t>
  </si>
  <si>
    <t xml:space="preserve">seules les cellules en jaune clair sont formatées </t>
  </si>
  <si>
    <t>❶ Vérifier ou compléter les fréquences</t>
  </si>
  <si>
    <t>❹ Total repas à servir</t>
  </si>
  <si>
    <t>❷ NB repas/jour</t>
  </si>
  <si>
    <t>QUE FAUT-IL SAISIR</t>
  </si>
  <si>
    <t>Objectifs nutritionnels</t>
  </si>
  <si>
    <t>Récap actualisé : aliments/préparations et fréquences GEM-RCN / PNNS</t>
  </si>
  <si>
    <t>semaines</t>
  </si>
  <si>
    <t>Légumes cuits, autres que secs seuls ou en mélange (garnitures contenant au moins 50% de légumes)</t>
  </si>
  <si>
    <t>Entrée de légumes cuits, ou potage de légumes à base de 40% de légumes</t>
  </si>
  <si>
    <t>Fruits pressés riches en vitamineC ou jus d'agrumes à teneur garantie en vitamine C</t>
  </si>
  <si>
    <t>Desserts de fruits crus 100% de fruits crus (sans sucre ajouté) ou contenant au moins 80g de fruits crus</t>
  </si>
  <si>
    <t>Crudités de  légumes ou de fruits(entrées ou garnitures contenant au moins 50% de légumes ou de fruits)</t>
  </si>
  <si>
    <t xml:space="preserve">1 tous les </t>
  </si>
  <si>
    <t>Recommandé</t>
  </si>
  <si>
    <t>DÉJEUNER</t>
  </si>
  <si>
    <t>❹Nb de repas par semaine</t>
  </si>
  <si>
    <t xml:space="preserve">Enfants  + de 3 ans-adolescents-adultes et P.A portage </t>
  </si>
  <si>
    <t>❸ Total repas à servir</t>
  </si>
  <si>
    <t>❶ Nb repas de référence</t>
  </si>
  <si>
    <t>GEMRCN - PNNS - Fréquences recommandées</t>
  </si>
  <si>
    <t>non cumulable</t>
  </si>
  <si>
    <t>Durée de référence</t>
  </si>
  <si>
    <t>Plats-préparations base viande-poisson-œuf &lt;70% MP animale</t>
  </si>
  <si>
    <t>Viande non hachée bœuf-veau-agneau et abats boucherie</t>
  </si>
  <si>
    <t>Poisson ou préparation au moins 70% poisson -P/L &gt;ou=2</t>
  </si>
  <si>
    <t>Plat protéique  P/L &lt;ou= à 1 le rapport ne concerne pas les œufs</t>
  </si>
  <si>
    <t>Frits ou pré-frits + de 15% de lipides</t>
  </si>
  <si>
    <t>DINER</t>
  </si>
  <si>
    <t>Personnes agées en structures de soins</t>
  </si>
  <si>
    <t>GEMRCN - PNNS - Fréquences PA dîner base 28</t>
  </si>
  <si>
    <t>❹ Nb de repas par semaine</t>
  </si>
  <si>
    <t>❷ Saisir vos Fréquencezs</t>
  </si>
  <si>
    <t>❷ Fréquences</t>
  </si>
  <si>
    <t>GEMRCN - PNNS - Fréquences PA déjeuner base 28</t>
  </si>
  <si>
    <t>VOUS POUVEZ CRÉER PLUSIEURS MODÈLES DE TABLEAU en voici quelques exemples</t>
  </si>
  <si>
    <t>MG : Matières Grasses - P : Protides - P/L : rapport Protides sur Lipides</t>
  </si>
  <si>
    <t>G.P.E.M.D.A. : Groupement Permanent d'Études des Marchés et Denrées Alimentaires</t>
  </si>
  <si>
    <t>Mini</t>
  </si>
  <si>
    <t>Desserts de fruits crus 100 % fruit cru, sans sucre ajouté</t>
  </si>
  <si>
    <t>Consommation suffisante de produits laitiers variés</t>
  </si>
  <si>
    <t>Maxi</t>
  </si>
  <si>
    <t>Desserts contenant plus de 15 % de lipides</t>
  </si>
  <si>
    <t>Laitages/desserts lactés &gt;100 mg calcium et &lt;5 g lipides/portion</t>
  </si>
  <si>
    <t>Place des poissons et consommation suffisante de viandes sources de fer</t>
  </si>
  <si>
    <t>Fromages entre 100 mg et moins de 150 mg de calcium par portion</t>
  </si>
  <si>
    <t>Fromages contenant au moins 150 mg de calcium par portion</t>
  </si>
  <si>
    <t>Exact</t>
  </si>
  <si>
    <t>Légumes secs, féculents ou céréales seuls/en mélange ≥50 %</t>
  </si>
  <si>
    <t>Légumes cuits autres que secs, seuls ou en mélange ≥50 % légumes</t>
  </si>
  <si>
    <t>Préparations &lt;70 % denrée protidique : scolaire/ado 3 ; adultes 4</t>
  </si>
  <si>
    <t>Viandes non hachées bœuf, veau, agneau et abats de boucherie</t>
  </si>
  <si>
    <t>Poissons/préparations ≥70 % poisson et P/L ≥ 2</t>
  </si>
  <si>
    <t>Plats protidiques ayant un rapport P/L ≤ 1</t>
  </si>
  <si>
    <t>❸ Contrôler les fréquences</t>
  </si>
  <si>
    <t>Produits à frire ou pré-frits contenant plus de 15 % de lipides</t>
  </si>
  <si>
    <t>❷ Saisir vos nombres de services dans les colonnes</t>
  </si>
  <si>
    <t>Crudités de légumes ou fruits contenant au moins 50 % de légumes/fruits</t>
  </si>
  <si>
    <t>❶ Saisir vos Fréquences</t>
  </si>
  <si>
    <t>Règle</t>
  </si>
  <si>
    <t>Fréquence recommandée</t>
  </si>
  <si>
    <t>Fréquence observée</t>
  </si>
  <si>
    <t>Produit laitier</t>
  </si>
  <si>
    <t>Plat</t>
  </si>
  <si>
    <t>Critère actualisé GEM-RCN / arrêté 30-09-2011</t>
  </si>
  <si>
    <t>Tableau de fréquences GEMRCN par MealCanteen.com</t>
  </si>
  <si>
    <t>Lien &gt;</t>
  </si>
  <si>
    <t>Min 8</t>
  </si>
  <si>
    <t>Desserts de fruits crus 100% fruits crus</t>
  </si>
  <si>
    <t>Max 4</t>
  </si>
  <si>
    <t>Desserts ou produits laitiers &lt; 15% de lipides et ≥ 20 g de sucres par portion</t>
  </si>
  <si>
    <t>Max 3</t>
  </si>
  <si>
    <t>Desserts &gt;= 15% de lipides</t>
  </si>
  <si>
    <t>Min 6</t>
  </si>
  <si>
    <t>Produits ou desserts laitiers &gt;=  100 mg calcium laitier et &lt; 5 g lipides par portion</t>
  </si>
  <si>
    <t>Min 4</t>
  </si>
  <si>
    <t>Fromages entre 100 et 150 mg de calcium laitier par portion</t>
  </si>
  <si>
    <t>Fromages &gt;= 150 mg de calcium laitier par portion</t>
  </si>
  <si>
    <t>10/20</t>
  </si>
  <si>
    <t>Légumes secs, féculents ou céréales, seuls ou en mélange &gt; 50%</t>
  </si>
  <si>
    <t>Légumes cuits, autres que secs, seuls ou en mélange &gt; 50% de légumes</t>
  </si>
  <si>
    <t>plats prêts à consommer à base de viande, poisson, œuf et/ ou fromage &lt; 70%</t>
  </si>
  <si>
    <t>Max 3 scolaire/ado</t>
  </si>
  <si>
    <t>Viandes non hachées : bœuf, veau, agneau, abats de boucherie</t>
  </si>
  <si>
    <t>Poissons ou préparations  ≥ 70% de poisson et P/L ≥ 2, ou poisson gras</t>
  </si>
  <si>
    <t>Max 2</t>
  </si>
  <si>
    <t>Plats protidiques P/L ≤ 1 (sauf plats 100% œufs)</t>
  </si>
  <si>
    <t>Produits à frire ou pré-frits &gt;= 15% MG</t>
  </si>
  <si>
    <t>Entrée &gt;= 15% lipides</t>
  </si>
  <si>
    <t>Min 10</t>
  </si>
  <si>
    <t>Crudités légumes et/ou fruits &gt; 50%</t>
  </si>
  <si>
    <t>❸ TOTAL</t>
  </si>
  <si>
    <t>❶ Fréquence</t>
  </si>
  <si>
    <t>Laitage</t>
  </si>
  <si>
    <t>❷ Menu &gt;</t>
  </si>
  <si>
    <t>Enfants  + de 3 ans-adolescents-adultes et P.A portage - Fréquences sur 20 repas successifs</t>
  </si>
  <si>
    <t>Fréquences non cumulables</t>
  </si>
  <si>
    <t>Contrôle global</t>
  </si>
  <si>
    <t>Desserts féculents contenant moins de 15 % de lipides et plus de 20 g de glucides simples totaux par portion</t>
  </si>
  <si>
    <t>Desserts sucrés contenant moins de 15 % de lipides et plus de 20 g de glucides simples totaux par portion</t>
  </si>
  <si>
    <t>Quantité limitée des sucres ajoutés</t>
  </si>
  <si>
    <t>Desserts contenant plus de 20g de sucres simples totaux par portion et contenant moins de 15 % de matières grasses (lipides)</t>
  </si>
  <si>
    <t>Laitages/desserts lactés + de 100mg calcium moins 5g lipides par portion</t>
  </si>
  <si>
    <t>Fromages dont la teneur en calcium laitier est comprise entre 100mg et moins de 150mg par portion</t>
  </si>
  <si>
    <t xml:space="preserve"> Fromages contenant au moins 150 mg de  calcium par portion</t>
  </si>
  <si>
    <t>Préparations ou plats prêts à consommer à base de viande,de poisson, d’œuf et/ou de fromage, contenant moins de 70 % du grammage recommandé pour la denrée protidique des plats composés</t>
  </si>
  <si>
    <t>Viandes non hachées de bœuf, veau, agneau ou d’abats de boucherie</t>
  </si>
  <si>
    <t>Poissons ou préparations à base de poisson contenant au moins 70 % de poisson, et contenant au moins 2 fois plus de protéines que de matières grasses Protéines/lipides ≥ 2</t>
  </si>
  <si>
    <t>Filet de Poisson 100%</t>
  </si>
  <si>
    <t>Desserts constitués de produits à teneur en matière grasse &gt; 15%</t>
  </si>
  <si>
    <t xml:space="preserve">Viande hachée &gt; 10% de lipides </t>
  </si>
  <si>
    <t>Plats protidiques contenant autant ou plus de matières grasses que de protéines (Protéines/lipides ≤ 1) le critère P/L ne s’applique pas aux plats aux œufs</t>
  </si>
  <si>
    <t xml:space="preserve">Produits frits -pré-frits ou à frire à teneur en matière grasse (lipides) &gt; 15 % </t>
  </si>
  <si>
    <t>Entrées contenant plus de 15% DE LIPIDES</t>
  </si>
  <si>
    <t>COMPOSES+ FECULENTS</t>
  </si>
  <si>
    <t>Légumes secs, pommes de terre ou céréales (garniture en contenant au moins 50% – féculents</t>
  </si>
  <si>
    <t>dessert de fruits cuits et Autres desserts</t>
  </si>
  <si>
    <t>COMPOSES VERTS</t>
  </si>
  <si>
    <t>Bonne utilisation, à chacun d'améliorer</t>
  </si>
  <si>
    <t>❻ Nombre de jours</t>
  </si>
  <si>
    <t>❺ Nombre de repas à servir par jour</t>
  </si>
  <si>
    <t>à vous de saisir les vôtres</t>
  </si>
  <si>
    <t>❹ Fréquences recommandées</t>
  </si>
  <si>
    <t>❹ Recommandé</t>
  </si>
  <si>
    <t>Récap : Aliments/préparations</t>
  </si>
  <si>
    <t>❸ Nombre de repas successifs de référence</t>
  </si>
  <si>
    <t>&lt; Total repas à servir</t>
  </si>
  <si>
    <t>❷ Déjeuner ou diner ou les deux</t>
  </si>
  <si>
    <t>❶ Convives concernés</t>
  </si>
  <si>
    <t>❸ Nb repas successifs de référence</t>
  </si>
  <si>
    <t>❶  (3) Contôle Annexe 3 - Pour enfants de plus de 3 ans, des ADOLESCENTS, des ADULTES et des personnes agées en cas de portage à domicile</t>
  </si>
  <si>
    <t>❺ NB de repas par jour</t>
  </si>
  <si>
    <t>❷  DÉJEUNER</t>
  </si>
  <si>
    <t xml:space="preserve">GEMRCN - PNNS - Fréquences recommandées </t>
  </si>
  <si>
    <t>❹ Fréquences observées</t>
  </si>
  <si>
    <t>❸ Desserts</t>
  </si>
  <si>
    <t>Max 5</t>
  </si>
  <si>
    <t>❷ Fréquence</t>
  </si>
  <si>
    <t>Limiter le sucre</t>
  </si>
  <si>
    <t xml:space="preserve">❹ Fréquences recommandées A ACTUALISER </t>
  </si>
  <si>
    <t>❶  Personnes agées en structures de soins</t>
  </si>
  <si>
    <t>Ventilation indicative - positionnez les plus grands services en premier; puis complétez.ATTENTION : râgouts et plats complets le jeudi; jamais le lundi - ni veilles de ponts ou fériés (DLC et gestion des invendus)</t>
  </si>
  <si>
    <t>CONTROLES DES FRÉQUENCES RECOMMANDÉES -PNNS</t>
  </si>
  <si>
    <t>SUR CETTE FEUILLE :   4 Modèles de contrôles, et 4 exemples à vous de choisir le modèle qui vous convient et supprimez les autres</t>
  </si>
  <si>
    <t>Max 4 adulte</t>
  </si>
  <si>
    <t>Fréquence sur 28 repas successifs</t>
  </si>
  <si>
    <t>Comparatif entre 28 et 20 repas successifs</t>
  </si>
  <si>
    <t>Conversion sur 20 repas successifs</t>
  </si>
  <si>
    <t>( 6 A )</t>
  </si>
  <si>
    <t>( 6 B )</t>
  </si>
  <si>
    <t>DÎNER</t>
  </si>
  <si>
    <t>Crudités de légumes ou de fruits ≥ 50 % légumes/fruits — cas multi-repas PA</t>
  </si>
  <si>
    <t>Desserts de fruits crus 100 % fruit cru ou contenant au moins 80 g de fruit cru</t>
  </si>
  <si>
    <t>Fruits pressés riches en vitamine C ou jus d’agrumes à teneur garantie — petit-déjeuner ou journée</t>
  </si>
  <si>
    <t>Entrée de légumes cuits ou potage de légumes à base de 40 % de légumes</t>
  </si>
  <si>
    <t>Légumes cuits autres que secs, seuls ou en mélange ≥ 50 % légumes</t>
  </si>
  <si>
    <t>COMPOSÉS VERTS</t>
  </si>
  <si>
    <t>Desserts de fruits cuits et autres desserts — fréquence libre PA</t>
  </si>
  <si>
    <t>Légumes secs, pommes de terre ou céréales ≥ 50 % féculents</t>
  </si>
  <si>
    <t>COMPOSÉS + FÉCULENTS</t>
  </si>
  <si>
    <t>Produits frits, pré-frits ou à frire &gt; 15 % de lipides</t>
  </si>
  <si>
    <t>Plats protidiques avec rapport protéines/lipides ≤ 1</t>
  </si>
  <si>
    <t>hors annexe PA</t>
  </si>
  <si>
    <t>Viandes hachées &gt; 10 % de lipides — critère hors annexe PA</t>
  </si>
  <si>
    <t>Desserts constitués de produits &gt; 15 % de matières grasses — autres desserts PA</t>
  </si>
  <si>
    <t>Poissons ou préparations ≥ 70 % poisson et P/L ≥ 2 — filets 100 % inclus</t>
  </si>
  <si>
    <t>voir ligne 29</t>
  </si>
  <si>
    <t>Poissons/préparations à base de poisson ≥ 70 % et P/L ≥ 2 — ligne de rappel</t>
  </si>
  <si>
    <t>Viandes non hachées de bœuf, veau, agneau ou abats de boucherie</t>
  </si>
  <si>
    <t>Préparations/plats prêts à consommer contenant &lt; 70 % du grammage recommandé en VPO</t>
  </si>
  <si>
    <t>Fromages contenant 100 à &lt;150 mg de calcium par portion</t>
  </si>
  <si>
    <t>Laitages/desserts lactés &gt;100 mg calcium et &lt;5 g lipides par portion</t>
  </si>
  <si>
    <t>Desserts &gt;20 g sucres simples et &lt;15 % lipides — autres desserts PA</t>
  </si>
  <si>
    <t>Desserts sucrés &lt;15 % lipides et &gt;20 g glucides simples — autres desserts PA</t>
  </si>
  <si>
    <t>Desserts féculents &lt;15 % lipides et &gt;20 g glucides simples — autres desserts PA</t>
  </si>
  <si>
    <t>A vous de saisir vos fréquences dans les cellules fond jaune  pour alimenter le tableau</t>
  </si>
  <si>
    <t>Crudités de légumes ou fruits ≥ 50 % légumes/fruits</t>
  </si>
  <si>
    <t>Poissons ou préparations ≥ 70 % poisson et P/L ≥ 2</t>
  </si>
  <si>
    <t>Fromages contenant au moins 150 mg calcium/portion</t>
  </si>
  <si>
    <t>Fromages contenant 100 à &lt;150 mg calcium/portion</t>
  </si>
  <si>
    <t>Desserts de fruits crus 100 % fruit cru / fruits cuits sans sucre ajouté (&lt;3 ans) ou ≥80 g fruit cru (PA)</t>
  </si>
  <si>
    <t>Préparations pâtissières P/L ≥1 et ≥70 % grammage VPO — petite enfance</t>
  </si>
  <si>
    <t>Fruits pressés riches en vitamine C / jus d’agrumes — personnes âgées</t>
  </si>
  <si>
    <t>Plat végétarien complet — contrôle complémentaire</t>
  </si>
  <si>
    <t>Tableau actualisé ; anciennes lignes obsolètes supprimées ; formules individuelles C:T recalculées depuis U:AC.</t>
  </si>
  <si>
    <t>Note correction : O:P = fréquences PA base 28 déjeuners/dîners ; Y:Z = conversion automatique proportionnelle vers base 20.</t>
  </si>
  <si>
    <t>ÉQUILIBRER LES MENUS SUR 20 OU 28 REPAS — QUESTIONS / RÉPONSES</t>
  </si>
  <si>
    <t>N°</t>
  </si>
  <si>
    <t>Question</t>
  </si>
  <si>
    <t>Réponse courte</t>
  </si>
  <si>
    <t>Application dans le classeur</t>
  </si>
  <si>
    <t>Point de vigilance</t>
  </si>
  <si>
    <t>Pourquoi ne pas valider l’équilibre sur une seule semaine de 5 repas ?</t>
  </si>
  <si>
    <t>Parce qu’une semaine sert surtout à composer et à repérer les grosses erreurs. Elle ne couvre pas assez de repas pour contrôler les fréquences.</t>
  </si>
  <si>
    <t>Utiliser la semaine comme brouillon, puis reporter les catégories dans la grille 20 ou 28 repas.</t>
  </si>
  <si>
    <t>Ne pas écrire “équilibré” après seulement 5 repas.</t>
  </si>
  <si>
    <t>Quelle base utiliser pour l’école maternelle et primaire ?</t>
  </si>
  <si>
    <t>La variété des repas scolaires s’apprécie sur 20 repas successifs.</t>
  </si>
  <si>
    <t>Remplir l’onglet 02_GRILLE_20_REPAS sur 4 semaines de 5 déjeuners.</t>
  </si>
  <si>
    <t>Le menu scolaire doit aussi respecter la structure du repas : plat principal, garniture, produit laitier, entrée et/ou dessert.</t>
  </si>
  <si>
    <t>Quelle base utiliser pour un internat ou une structure midi/soir ?</t>
  </si>
  <si>
    <t>Le plan alimentaire doit au minimum distinguer 20 déjeuners et 20 dîners.</t>
  </si>
  <si>
    <t>Utiliser l’onglet 02 pour les déjeuners et refaire une deuxième série pour les dîners, ou dupliquer la grille.</t>
  </si>
  <si>
    <t>Ne pas additionner midi et soir si les seuils doivent être lus séparément.</t>
  </si>
  <si>
    <t>Quelle base utiliser pour l’EHPAD ?</t>
  </si>
  <si>
    <t>Quand déjeuner et dîner sont servis tous les jours, la fiche GEM-RCN personnes âgées travaille sur 28 déjeuners + 28 dîners consécutifs.</t>
  </si>
  <si>
    <t>Utiliser directement l’onglet 03_GRILLE_28_EHPAD.</t>
  </si>
  <si>
    <t>Les besoins PA ne sont pas ceux d’un adulte allégé : protéines, calcium, plaisir, texture et hydratation comptent fortement.</t>
  </si>
  <si>
    <t>Que devient l’onglet de planification hebdomadaire ?</t>
  </si>
  <si>
    <t>Il reste utile pour écrire les menus visibles, mais il ne valide pas la série complète.</t>
  </si>
  <si>
    <t>Reporter les catégories nutritionnelles dans les onglets de contrôle.</t>
  </si>
  <si>
    <t>Le plat écrit ne suffit pas ; il faut coder sa catégorie nutritionnelle.</t>
  </si>
  <si>
    <t>Quelle différence entre composer et contrôler ?</t>
  </si>
  <si>
    <t>Composer = choisir les plats. Contrôler = compter les fréquences sur une série complète.</t>
  </si>
  <si>
    <t>Les grilles séparent saisie des menus et tableau de contrôle automatique.</t>
  </si>
  <si>
    <t>Un bon menu isolé peut produire une mauvaise série s’il se répète trop.</t>
  </si>
  <si>
    <t>Que faut-il saisir dans les colonnes de catégories ?</t>
  </si>
  <si>
    <t>Il faut saisir les codes exacts indiqués dans l’onglet 04_LISTES_SOURCES.</t>
  </si>
  <si>
    <t>Exemple : Poisson, Légume cuit, Fruit cru, Dessert gras &gt;15% lipides.</t>
  </si>
  <si>
    <t>Une faute de frappe empêche le comptage automatique.</t>
  </si>
  <si>
    <t>Comment corriger une série qui manque de fruits crus ?</t>
  </si>
  <si>
    <t>Remplacer des desserts sucrés ou pâtissiers par des fruits crus adaptés au public.</t>
  </si>
  <si>
    <t>Le tableau de contrôle affichera MANQUE si le seuil minimum n’est pas atteint.</t>
  </si>
  <si>
    <t>Pour crèche/EHPAD, adapter la texture : fruit mûr, compote sans sucre ajouté, fruit coupé, mixé si besoin.</t>
  </si>
  <si>
    <t>Comment corriger trop de produits frits ?</t>
  </si>
  <si>
    <t>Remplacer une partie des produits frits/préfrits par cuisson rôtie, vapeur, braisée, basse température ou four.</t>
  </si>
  <si>
    <t>Le contrôle affiche TROP si le maximum est dépassé.</t>
  </si>
  <si>
    <t>Attention aux produits panés, nuggets, cordons bleus, pommes préfrites.</t>
  </si>
  <si>
    <t>Comment équilibrer légumes et féculents ?</t>
  </si>
  <si>
    <t>Sur une série complète, il faut alterner légumes cuits et féculents/légumineuses/céréales.</t>
  </si>
  <si>
    <t>Le contrôle compte les garnitures codées dans la colonne Garniture.</t>
  </si>
  <si>
    <t>Une garniture mixte doit être classée selon le composant majoritaire ou selon la fiche technique.</t>
  </si>
  <si>
    <t>Comment traiter les travailleurs de force ?</t>
  </si>
  <si>
    <t>L’équilibre qualitatif reste le même ; ce sont surtout les portions, féculents, pain et apports énergétiques qui changent.</t>
  </si>
  <si>
    <t>Utiliser l’onglet 02 comme base qualitative, puis adapter les grammages en production.</t>
  </si>
  <si>
    <t>Ne pas augmenter seulement le gras : augmenter intelligemment les glucides complexes et protéines.</t>
  </si>
  <si>
    <t>Comment traiter les adultes sédentaires ?</t>
  </si>
  <si>
    <t>Même diversité alimentaire, mais vigilance sur énergie, produits gras, desserts sucrés et portions.</t>
  </si>
  <si>
    <t>Utiliser la grille 20 repas comme outil de cohérence.</t>
  </si>
  <si>
    <t>Le piège est le cumul sauce grasse + friture + dessert sucré.</t>
  </si>
  <si>
    <t>Comment traiter les étudiants ?</t>
  </si>
  <si>
    <t>Les étudiants ont besoin de menus lisibles, rassasiants et variés, avec légumes/féculents/protéines bien placés.</t>
  </si>
  <si>
    <t>Utiliser la grille 20 repas comme repère de variété.</t>
  </si>
  <si>
    <t>Éviter une offre répétitive type féculent + produit pané + dessert sucré.</t>
  </si>
  <si>
    <t>Comment traiter la crèche ?</t>
  </si>
  <si>
    <t>Ne pas copier brutalement la grille scolaire. Pour les moins de 3 ans : diversification, textures, sécurité, portions, répétition progressive.</t>
  </si>
  <si>
    <t>Utiliser l’onglet 02 comme support pédagogique, pas comme grille réglementaire crèche complète.</t>
  </si>
  <si>
    <t>Toujours vérifier âge, texture, sel, sucre, allergènes, capacité de mastication.</t>
  </si>
  <si>
    <t>Pourquoi séparer déjeuner et dîner en EHPAD ?</t>
  </si>
  <si>
    <t>Parce que les objectifs ne sont pas toujours identiques au déjeuner et au dîner.</t>
  </si>
  <si>
    <t>L’onglet 03 calcule séparément Observé déjeuner et Observé dîner.</t>
  </si>
  <si>
    <t>Le dîner doit rester nourrissant mais souvent plus digeste et adapté au sommeil/acceptabilité.</t>
  </si>
  <si>
    <t>Pourquoi les seuils sont-ils en mini ou maxi ?</t>
  </si>
  <si>
    <t>Certains aliments sont encouragés : mini. D’autres sont à limiter : maxi.</t>
  </si>
  <si>
    <t>Les colonnes Mini/Maxi alimentent les verdicts OK, MANQUE ou TROP.</t>
  </si>
  <si>
    <t>Ne jamais inverser un mini et un maxi.</t>
  </si>
  <si>
    <t>Que signifie LIBRE ?</t>
  </si>
  <si>
    <t>La fréquence n’est pas limitée par ce critère dans la grille utilisée.</t>
  </si>
  <si>
    <t>Le verdict devient LIBRE quand aucun seuil n’est renseigné.</t>
  </si>
  <si>
    <t>LIBRE ne veut pas dire à servir sans bon sens.</t>
  </si>
  <si>
    <t>Faut-il contrôler les menus à choix multiples ?</t>
  </si>
  <si>
    <t>Oui, il faut pouvoir produire un menu conseil ou une combinaison cohérente respectant les fréquences.</t>
  </si>
  <si>
    <t>Utiliser une ligne par menu conseil ou par offre principale retenue.</t>
  </si>
  <si>
    <t>Un choix multiple peut masquer un déséquilibre réel si les convives choisissent toujours la même famille.</t>
  </si>
  <si>
    <t>Quelle preuve conserver ?</t>
  </si>
  <si>
    <t>Menus, fiches recettes, fiches techniques fournisseurs, valeurs nutritionnelles et teneur en calcium si produit laitier.</t>
  </si>
  <si>
    <t>Les sources et codes de saisie sont listés dans l’onglet 04.</t>
  </si>
  <si>
    <t>Sans fiche technique, certaines classifications sont fragiles.</t>
  </si>
  <si>
    <t>Quel verdict retenir à la fin ?</t>
  </si>
  <si>
    <t>Le document aide à repérer manques/excès. Le verdict final reste professionnel : il faut corriger la série, pas seulement obtenir des cases OK.</t>
  </si>
  <si>
    <t>Lire les lignes MANQUE/TROP et noter les corrections prévues.</t>
  </si>
  <si>
    <t>Un outil Excel ne remplace pas la validation diététique pour publics sensibles.</t>
  </si>
  <si>
    <t>CODES DE SAISIE ET SOURCES</t>
  </si>
  <si>
    <t>Colonne de saisie</t>
  </si>
  <si>
    <t>Code exact à utiliser</t>
  </si>
  <si>
    <t>Utilisation</t>
  </si>
  <si>
    <t>Remarque</t>
  </si>
  <si>
    <t>Source principale</t>
  </si>
  <si>
    <t>URL</t>
  </si>
  <si>
    <t>Crudité ou fruit frais</t>
  </si>
  <si>
    <t>Compter crudités/fruits frais</t>
  </si>
  <si>
    <t>Légumes/fruits crus ; adapter coupe/texture.</t>
  </si>
  <si>
    <t>Arrêté scolaire / GEM-RCN PA</t>
  </si>
  <si>
    <t>Entrée &gt;15% lipides</t>
  </si>
  <si>
    <t>EHPAD : entrées grasses à limiter</t>
  </si>
  <si>
    <t>Charcuterie, entrée mayonnaise riche, etc.</t>
  </si>
  <si>
    <t>GEM-RCN personnes âgées</t>
  </si>
  <si>
    <t>https://www.economie.gouv.fr/files/files/directions_services/daj/marches_publics/oeap/gem/nutrition/fiche-nutrition-personnes-agees.pdf</t>
  </si>
  <si>
    <t>Entrée légumes cuits/potage</t>
  </si>
  <si>
    <t>EHPAD dîner : potages/légumes cuits</t>
  </si>
  <si>
    <t>Potage à base de légumes, cuidités.</t>
  </si>
  <si>
    <t>Plat protidique</t>
  </si>
  <si>
    <t>Viande non hachée BVA/abats</t>
  </si>
  <si>
    <t>Compter viandes non hachées bœuf/veau/agneau/abats</t>
  </si>
  <si>
    <t>Adapter aux capacités de mastication.</t>
  </si>
  <si>
    <t>https://www.legifrance.gouv.fr/loda/article_lc/LEGIARTI000024625998/</t>
  </si>
  <si>
    <t>Poisson</t>
  </si>
  <si>
    <t>Grille 20 repas scolaire/adulte</t>
  </si>
  <si>
    <t>Code simplifié pour poissons/préparations poisson.</t>
  </si>
  <si>
    <t>Arrêté scolaire</t>
  </si>
  <si>
    <t>Poisson &gt;=70% P/L &gt;=2</t>
  </si>
  <si>
    <t>Grille EHPAD</t>
  </si>
  <si>
    <t>P/L &gt;2 ne s’applique pas aux poissons naturellement gras selon GEM-RCN PA.</t>
  </si>
  <si>
    <t>Marqueur plat</t>
  </si>
  <si>
    <t>Frit/préfrit &gt;15% lipides</t>
  </si>
  <si>
    <t>Produits frits/préfrits à limiter</t>
  </si>
  <si>
    <t>Frites préfrites, produits panés gras, beignets.</t>
  </si>
  <si>
    <t>VPO &lt;70%</t>
  </si>
  <si>
    <t>Préparations pauvres en viande/poisson/œuf</t>
  </si>
  <si>
    <t>À vérifier avec fiche technique.</t>
  </si>
  <si>
    <t>P/L &lt;=1</t>
  </si>
  <si>
    <t>EHPAD : plats protidiques riches en lipides</t>
  </si>
  <si>
    <t>Rapport protéines/lipides à vérifier.</t>
  </si>
  <si>
    <t>Légume cuit</t>
  </si>
  <si>
    <t>Compter légumes cuits hors légumes secs</t>
  </si>
  <si>
    <t>Légumes seuls ou mélange majoritaire.</t>
  </si>
  <si>
    <t>Féculent/légume sec/céréale</t>
  </si>
  <si>
    <t>Compter féculents/céréales/légumineuses</t>
  </si>
  <si>
    <t>Pommes de terre, riz, pâtes, semoule, lentilles, haricots.</t>
  </si>
  <si>
    <t>Fromage Ca &gt;=150 mg</t>
  </si>
  <si>
    <t>Fromages riches en calcium</t>
  </si>
  <si>
    <t>Calcium par portion à vérifier.</t>
  </si>
  <si>
    <t>Fromage Ca 100-150 mg</t>
  </si>
  <si>
    <t>Fromages calcium intermédiaire</t>
  </si>
  <si>
    <t>Laitage Ca &gt;100mg MG&lt;5g</t>
  </si>
  <si>
    <t>Laitages/desserts lactés favorables</t>
  </si>
  <si>
    <t>Code utilisé dans produit laitier ou dessert.</t>
  </si>
  <si>
    <t>Fruit cru</t>
  </si>
  <si>
    <t>Compter fruits crus</t>
  </si>
  <si>
    <t>En EHPAD : ≥80 g de fruit cru selon GEM-RCN PA.</t>
  </si>
  <si>
    <t>Dessert lacté Ca &gt;100mg MG&lt;5g</t>
  </si>
  <si>
    <t>Compter dans la famille laitage/dessert lacté</t>
  </si>
  <si>
    <t>Vérifier calcium et MG.</t>
  </si>
  <si>
    <t>Dessert gras &gt;15% lipides</t>
  </si>
  <si>
    <t>Desserts gras à limiter</t>
  </si>
  <si>
    <t>Pâtisseries, desserts riches.</t>
  </si>
  <si>
    <t>Dessert sucré &lt;15% lipides</t>
  </si>
  <si>
    <t>Desserts sucrés à limiter</t>
  </si>
  <si>
    <t>Produits sucrés peu gras.</t>
  </si>
  <si>
    <t>Source</t>
  </si>
  <si>
    <t>Ce que la source confirme</t>
  </si>
  <si>
    <t>Arrêté du 30 septembre 2011 — restauration scolaire</t>
  </si>
  <si>
    <t>Repas scolaires et contrôle des fréquences sur 20 repas successifs.</t>
  </si>
  <si>
    <t>Annexe I de l’arrêté scolaire</t>
  </si>
  <si>
    <t>Fréquences sur 20 repas : crudités/fruits, fruits crus, légumes/féculents, calcium, poisson, viandes, produits à limiter.</t>
  </si>
  <si>
    <t>GEM-RCN — fiche milieu scolaire</t>
  </si>
  <si>
    <t>Plan alimentaire établi au minimum sur 20 déjeuners consécutifs ; internat : 20 déjeuners et 20 dîners.</t>
  </si>
  <si>
    <t>https://www.economie.gouv.fr/files/files/directions_services/daj/marches_publics/oeap/gem/nutrition/fiche-nutrition-milieu-scolaire.pdf</t>
  </si>
  <si>
    <t>GEM-RCN — fiche personnes âgées</t>
  </si>
  <si>
    <t>28 déjeuners + 28 dîners si deux repas principaux servis ; bases 20/24/28 si un seul déjeuner par jour.</t>
  </si>
  <si>
    <t>GEM-RCN — recommandation nutrition</t>
  </si>
  <si>
    <t>Cadre général couvrant les populations de la restauration collective.</t>
  </si>
  <si>
    <t>&lt; Choix 1</t>
  </si>
  <si>
    <t>&lt; Choix 2</t>
  </si>
  <si>
    <t>&lt; Choix 3</t>
  </si>
  <si>
    <t>&lt; Choix 4</t>
  </si>
  <si>
    <t>&lt; Choix 5</t>
  </si>
  <si>
    <t>&lt; Choix 6</t>
  </si>
  <si>
    <t>&lt; Choix 7</t>
  </si>
  <si>
    <t>&lt; Écris le plat principal tel qu'il apparaîtra au menu. Exemple : sauté de dinde, omelette, poisson meunière.</t>
  </si>
  <si>
    <t>Coche Oui si une alternative sans porc doit être prévue. Sinon coche Non. &gt;</t>
  </si>
  <si>
    <t>Coche Oui si le plat contient porc, charcuterie, lardons, jambon ou saucisse de porc. Sinon coche Non. &gt;</t>
  </si>
  <si>
    <t>Coche la saison logique. Si le produit est courant toute l'année, coche Toute saison. &gt;</t>
  </si>
  <si>
    <t>Coche où va la sauce : sur le plat, sur le légume, commune aux deux, ou aucune. &gt;</t>
  </si>
  <si>
    <t>Coche A, B, C ou D. Le cadencier simplifié est visible en U:V. ligne 15 &gt;</t>
  </si>
  <si>
    <t>Coche A, B, C ou D. Le cadencier simplifié est visible en T:U. &gt;</t>
  </si>
  <si>
    <t>&lt; Écris un dessert cohérent. Utilise la lettre choisie en B24 et le cadencier U:V. ligne 9</t>
  </si>
  <si>
    <t>&lt; Écris une entrée simple. Utilise la lettre choisie en B21 et le cadencier T:U.</t>
  </si>
  <si>
    <t>&lt; Écris la technique principale : rôti, sauté, mijoté, vapeur, four, grillé, braisé.</t>
  </si>
  <si>
    <t>&lt; Écris le type de sauce ou de jus. Si aucune sauce n'est prévue, écris « aucune ».</t>
  </si>
  <si>
    <t>Fromage ou laitage &gt;</t>
  </si>
  <si>
    <t>Justification courte &gt;</t>
  </si>
  <si>
    <t>Mode d’emploi</t>
  </si>
  <si>
    <t>Remplir 28 déjeuners et 28 dîners. Les contrôles sont séparés car les seuils déjeuner/dîner ne sont pas identiques.</t>
  </si>
  <si>
    <t>Priorité métier</t>
  </si>
  <si>
    <t>Ne pas alléger systématiquement : prévenir dénutrition, préserver plaisir, moelleux, protéines, calcium, hydratation et texture.</t>
  </si>
  <si>
    <t>Attention</t>
  </si>
  <si>
    <t>Les valeurs ci-dessous reprennent les fréquences recommandées GEM-RCN personnes âgées pour base 28 déjeuners et base 28 dîners.</t>
  </si>
  <si>
    <t>Règle de saisie</t>
  </si>
  <si>
    <t>Le verdict déjeuner et le verdict dîner restent À SAISIR tant qu’aucune catégorie nutritionnelle n’est renseignée dans le bloc concerné.</t>
  </si>
  <si>
    <t>Semaine</t>
  </si>
  <si>
    <t>Jour</t>
  </si>
  <si>
    <t>Service</t>
  </si>
  <si>
    <t>Entrée - catégorie</t>
  </si>
  <si>
    <t>Plat protidique - famille</t>
  </si>
  <si>
    <t>Marqueur plat à limiter</t>
  </si>
  <si>
    <t>Garniture - catégorie</t>
  </si>
  <si>
    <t>Dessert - catégorie</t>
  </si>
  <si>
    <t>Texture / adaptation</t>
  </si>
  <si>
    <t>Hydratation / plaisir</t>
  </si>
  <si>
    <t>Correction prévue</t>
  </si>
  <si>
    <t>Lundi</t>
  </si>
  <si>
    <t>Déjeuner</t>
  </si>
  <si>
    <t>Normal tendre ; adaptation hachée/mixée si besoin</t>
  </si>
  <si>
    <t>Eau proposée + pain ; sauce/moelleux contrôlé</t>
  </si>
  <si>
    <t>Conserver apport protéines/calcium ; corriger texture si mastication difficile.</t>
  </si>
  <si>
    <t>Mardi</t>
  </si>
  <si>
    <t>Mercredi</t>
  </si>
  <si>
    <t>Jeudi</t>
  </si>
  <si>
    <t>Vendredi</t>
  </si>
  <si>
    <t>Samedi</t>
  </si>
  <si>
    <t>Dimanche</t>
  </si>
  <si>
    <t>Volaille tendre</t>
  </si>
  <si>
    <t>Entrée simple</t>
  </si>
  <si>
    <t>Œuf</t>
  </si>
  <si>
    <t>Compote sans sucre ajouté</t>
  </si>
  <si>
    <t>Plat protéique adapté</t>
  </si>
  <si>
    <t>Fruit cuit</t>
  </si>
  <si>
    <t>Dîner</t>
  </si>
  <si>
    <t>Soir léger mais non appauvri ; moelleux</t>
  </si>
  <si>
    <t>Hydratation proposée ; potage si adapté</t>
  </si>
  <si>
    <t>Surveiller dîner : plaisir, calcium, hydratation, protéines suffisantes.</t>
  </si>
  <si>
    <t>Préparation du soir enrichie</t>
  </si>
  <si>
    <t>Critère contrôlé</t>
  </si>
  <si>
    <t>Code exact à saisir</t>
  </si>
  <si>
    <t>Composante</t>
  </si>
  <si>
    <t>Mini déjeuner</t>
  </si>
  <si>
    <t>Maxi déjeuner</t>
  </si>
  <si>
    <t>Mini dîner</t>
  </si>
  <si>
    <t>Maxi dîner</t>
  </si>
  <si>
    <t>Obs déjeuner</t>
  </si>
  <si>
    <t>Verdict déjeuner</t>
  </si>
  <si>
    <t>Obs dîner</t>
  </si>
  <si>
    <t>Verdict dîner</t>
  </si>
  <si>
    <t>Correction métier</t>
  </si>
  <si>
    <t>Synthèse</t>
  </si>
  <si>
    <t>Action</t>
  </si>
  <si>
    <t>Entrées contenant plus de 15% de lipides</t>
  </si>
  <si>
    <t>Réduire entrées grasses, surtout le soir.</t>
  </si>
  <si>
    <t>Critères OK</t>
  </si>
  <si>
    <t>Conserver si cohérence culinaire.</t>
  </si>
  <si>
    <t>Crudités légumes/fruits ≥50% — service plusieurs repas/jour</t>
  </si>
  <si>
    <t>Adapter texture : râpé, brunoise, fruit mûr/coupé.</t>
  </si>
  <si>
    <t>Manques</t>
  </si>
  <si>
    <t>Ajouter les familles encouragées.</t>
  </si>
  <si>
    <t>Entrée légumes cuits ou potage ≥40% légumes</t>
  </si>
  <si>
    <t>Prévoir potages/légumes cuits au dîner.</t>
  </si>
  <si>
    <t>Excès</t>
  </si>
  <si>
    <t>Remplacer les familles à limiter.</t>
  </si>
  <si>
    <t>Produits à frire/préfrits &gt;15% lipides</t>
  </si>
  <si>
    <t>Plat/Garniture</t>
  </si>
  <si>
    <t>Réduire fritures et panés ; privilégier moelleux.</t>
  </si>
  <si>
    <t>Libres</t>
  </si>
  <si>
    <t>Contrôle non limité par ce critère.</t>
  </si>
  <si>
    <t>Plats protidiques P/L ≤1</t>
  </si>
  <si>
    <t>Limiter plats pauvres en protéines relativement aux lipides.</t>
  </si>
  <si>
    <t>Poissons ou préparations ≥70% poisson et P/L ≥2</t>
  </si>
  <si>
    <t>Prévoir poisson adapté, moelleux, sans arêtes.</t>
  </si>
  <si>
    <t>Viandes non hachées BVA/abats</t>
  </si>
  <si>
    <t>Préférer au déjeuner ; adapter découpe/tendreté.</t>
  </si>
  <si>
    <t>Préparations ou plats VPO &lt;70%</t>
  </si>
  <si>
    <t>Limiter les préparations faibles en VPO.</t>
  </si>
  <si>
    <t>Légumes cuits hors légumes secs ≥50%</t>
  </si>
  <si>
    <t>Sécuriser présence de légumes cuits, surtout au dîner.</t>
  </si>
  <si>
    <t>Légumes secs / pommes de terre / céréales ≥50%</t>
  </si>
  <si>
    <t>Maintenir énergie utile et satiété.</t>
  </si>
  <si>
    <t>Fromages calcium ≥150 mg/portion</t>
  </si>
  <si>
    <t>Renforcer calcium ; tenir compte mastication.</t>
  </si>
  <si>
    <t>Fromages calcium 100 à &lt;150 mg/portion</t>
  </si>
  <si>
    <t>Varier sans remplacer les fromages riches en calcium.</t>
  </si>
  <si>
    <t>Laitages / desserts lactés calcium &gt;100 mg</t>
  </si>
  <si>
    <t>Produit laitier/Dessert</t>
  </si>
  <si>
    <t>Renforcer apports calcium/protéines.</t>
  </si>
  <si>
    <t>Desserts de fruits crus ≥80 g fruit cru</t>
  </si>
  <si>
    <t>Adapter maturité, coupe, mixé si besoin.</t>
  </si>
  <si>
    <t>Publics concernés</t>
  </si>
  <si>
    <t>École maternelle, école primaire, étudiants, adultes, travailleurs de force : grille de repère sur 20 repas. Crèche : support pédagogique à adapter.</t>
  </si>
  <si>
    <t>Une semaine de 5 repas = préparation. La validation des fréquences se fait sur la série complète de 20 repas.</t>
  </si>
  <si>
    <t>Le verdict reste À SAISIR tant qu’aucune catégorie nutritionnelle n’est renseignée dans le tableau. Les codes doivent être copiés exactement depuis l’onglet 04.</t>
  </si>
  <si>
    <t>Normal scolaire ; portions âge</t>
  </si>
  <si>
    <t>Maintenir alternance légumes cuits/féculents.</t>
  </si>
  <si>
    <t>Maintenir équilibre avec crudité ou fruit cru sur la série.</t>
  </si>
  <si>
    <t>Volaille</t>
  </si>
  <si>
    <t>À surveiller : ne pas dépasser 4/20 ; alterner avec cuisson four/vapeur.</t>
  </si>
  <si>
    <t>À limiter : prévoir plat plus riche en VPO sur autre repas.</t>
  </si>
  <si>
    <t>Légumineuse</t>
  </si>
  <si>
    <t>Observé</t>
  </si>
  <si>
    <t>Verdict</t>
  </si>
  <si>
    <t>Valeur</t>
  </si>
  <si>
    <t>Crudités ou fruits frais en entrée/accompagnement</t>
  </si>
  <si>
    <t>MINI</t>
  </si>
  <si>
    <t>Ajouter crudités, fruits frais ou accompagnement cru adapté.</t>
  </si>
  <si>
    <t>Nombre de lignes OK</t>
  </si>
  <si>
    <t>Conserver la série si cohérente.</t>
  </si>
  <si>
    <t>Fruits crus en dessert</t>
  </si>
  <si>
    <t>Remplacer des desserts sucrés par fruits crus adaptés.</t>
  </si>
  <si>
    <t>Seuil minimum non atteint</t>
  </si>
  <si>
    <t>Ajouter la famille manquante.</t>
  </si>
  <si>
    <t>Légumes cuits hors légumes secs</t>
  </si>
  <si>
    <t>ÉQUILIBRE</t>
  </si>
  <si>
    <t>Rééquilibrer avec les féculents si trop/manque.</t>
  </si>
  <si>
    <t>Seuil maximum dépassé</t>
  </si>
  <si>
    <t>Retirer/remplacer les familles à limiter.</t>
  </si>
  <si>
    <t>Féculents, céréales, légumes secs</t>
  </si>
  <si>
    <t>Rééquilibrer avec légumes cuits.</t>
  </si>
  <si>
    <t>À saisir</t>
  </si>
  <si>
    <t>Données insuffisantes</t>
  </si>
  <si>
    <t>Compléter les 20 lignes repas.</t>
  </si>
  <si>
    <t>Prévoir fromages riches en calcium.</t>
  </si>
  <si>
    <t>Varier les fromages à teneur intermédiaire.</t>
  </si>
  <si>
    <t>Laitages ou desserts lactés Ca &gt;100mg et MG &lt;5g</t>
  </si>
  <si>
    <t>Ajouter laitages simples ou desserts lactés adaptés.</t>
  </si>
  <si>
    <t>Viandes non hachées bœuf/veau/agneau/abats</t>
  </si>
  <si>
    <t>Prévoir pièces non hachées selon public et texture.</t>
  </si>
  <si>
    <t>Poissons ou préparations poisson</t>
  </si>
  <si>
    <t>Ajouter poisson hors produits trop panés/gras.</t>
  </si>
  <si>
    <t>Plats/préparations avec VPO &lt;70%</t>
  </si>
  <si>
    <t>MAXI</t>
  </si>
  <si>
    <t>Limiter préparations pauvres en viande/poisson/œuf.</t>
  </si>
  <si>
    <t>Produits frits ou préfrits &gt;15% lipides</t>
  </si>
  <si>
    <t>Remplacer par cuisson four, vapeur, rôtie, braisée.</t>
  </si>
  <si>
    <t>Desserts gras &gt;15% lipides</t>
  </si>
  <si>
    <t>Réduire pâtisseries et desserts gras.</t>
  </si>
  <si>
    <t>Desserts sucrés &lt;15% lipides</t>
  </si>
  <si>
    <t>Réduire desserts très sucrés, remplacer par fruit/laitage.</t>
  </si>
  <si>
    <t>Copier/Coller</t>
  </si>
  <si>
    <t>École pmaternelle</t>
  </si>
  <si>
    <t>Étudiant</t>
  </si>
  <si>
    <t>Adulte sédentaire</t>
  </si>
  <si>
    <t>Travailleur de force</t>
  </si>
  <si>
    <t>EHPAD Midi</t>
  </si>
  <si>
    <t>EHPAD Soir</t>
  </si>
  <si>
    <t>Diner</t>
  </si>
  <si>
    <t>AINÉS Midi</t>
  </si>
  <si>
    <t>AINÉS Soir</t>
  </si>
  <si>
    <t>SENIORS Midi</t>
  </si>
  <si>
    <t>SENIORS Soir</t>
  </si>
  <si>
    <t>RÉSIDENCE</t>
  </si>
  <si>
    <t>FOYER</t>
  </si>
  <si>
    <t>← largeurs actuelles des colonnes</t>
  </si>
  <si>
    <t>Ce document est composé de :</t>
  </si>
  <si>
    <t>&lt; ✅ largeurs conseillées</t>
  </si>
  <si>
    <t>avec valeurs ou texte</t>
  </si>
  <si>
    <t xml:space="preserve">cellules vides </t>
  </si>
  <si>
    <t/>
  </si>
  <si>
    <t>pâtisserie--ENTREMET</t>
  </si>
  <si>
    <t>The file texts may be in English or Spanish, but the formulas remain in French.</t>
  </si>
  <si>
    <t>Los textos de los archivos pueden estar en inglés o en español, pero las fórmulas siguen en francés.</t>
  </si>
  <si>
    <t>Through your examples, everyone can move forward at their own pace, with confidence, and gain autonomy.</t>
  </si>
  <si>
    <t>Texts can be in EN or ES — Formulas stay in FR</t>
  </si>
  <si>
    <t>Textos posibles en EN o ES — Fórmulas siempre en FR</t>
  </si>
  <si>
    <t>Passez le flambeau. Transmettez vos savoir-faire : les apprenants comprendront plus vite, réussiront mieux et feront progresser vos documents.</t>
  </si>
  <si>
    <t>Pass the torch. Share your know-how: learners will understand faster, succeed better, and improve your documents.</t>
  </si>
  <si>
    <t>Pasen la antorcha. Transmitan su saber hacer: los aprendices comprenderán más rápido, tendrán más éxito y mejorarán sus documentos.</t>
  </si>
  <si>
    <t>Sharing your know-how is a way to pay tribute to those who passed theirs on to us —</t>
  </si>
  <si>
    <t>Voici une petite liste je vous laisse le plaisir de modifier les couleurs à votre convenance</t>
  </si>
  <si>
    <t>Here is a short list — feel free to adjust the colors as you see fit.</t>
  </si>
  <si>
    <t>Aquí tienes una lista breve — puedes modificar los colores como prefieras.</t>
  </si>
  <si>
    <t>sometimes in silence, sometimes with high expectations — and thanks to whom we move forward today.</t>
  </si>
  <si>
    <t>j'ai saisi "Postit" parce que Post-it® est une marque déposée</t>
  </si>
  <si>
    <t>I used "Postit" because Post-it® is a registered trademark.</t>
  </si>
  <si>
    <t>He escrito "Postit" porque Post-it® es una marca registrada.</t>
  </si>
  <si>
    <t>Tiende la mano, comparte tus saberes: tus intentos, tus errores y tu perseverancia son impulsores para quienes desean avanzar.</t>
  </si>
  <si>
    <t>FAMILLE--Identité</t>
  </si>
  <si>
    <t>Code couleur Rouge Vert Bleu RVB</t>
  </si>
  <si>
    <t>PASTRY</t>
  </si>
  <si>
    <t>CATERING</t>
  </si>
  <si>
    <t>FAMILY--Identity</t>
  </si>
  <si>
    <t>BARTENDERS - BAR - DRINKS</t>
  </si>
  <si>
    <t>RGB color codes (Red–Green–Blue)</t>
  </si>
  <si>
    <t>PASTELERÍA</t>
  </si>
  <si>
    <t>CÁTERING</t>
  </si>
  <si>
    <t>FAMILIA--Identidad</t>
  </si>
  <si>
    <t>PESCADERÍA</t>
  </si>
  <si>
    <t>BARTENDERS - BAR - BEBIDAS</t>
  </si>
  <si>
    <t>Con tu ejemplo, cada persona podrá progresar a su ritmo, con confianza y ganar en autonomía.</t>
  </si>
  <si>
    <t>R      G       B           HEX</t>
  </si>
  <si>
    <t>Couleur diététique</t>
  </si>
  <si>
    <t>Compartir tus saberes es una forma de rendir homenaje a quienes nos transmitieron los suyos,</t>
  </si>
  <si>
    <t>CUISINE</t>
  </si>
  <si>
    <t>PATISSERIE</t>
  </si>
  <si>
    <t>TRAITEUR</t>
  </si>
  <si>
    <t>CHARCUTERIE</t>
  </si>
  <si>
    <t>MODES DE CUISSON</t>
  </si>
  <si>
    <t>POISSONNERIE</t>
  </si>
  <si>
    <t>Batenders-BAR-BOISSONS</t>
  </si>
  <si>
    <t>pastry--BAVARIANS (BAVAROIS)</t>
  </si>
  <si>
    <t>catering-COLD ROASTS</t>
  </si>
  <si>
    <t>COOKING METHODS</t>
  </si>
  <si>
    <t>Dietary color</t>
  </si>
  <si>
    <t>Poissonnerie--SHELLFISH (MOLLUSCS)</t>
  </si>
  <si>
    <t>BAR-Cocktails-with alcohol</t>
  </si>
  <si>
    <t>pastelería--BÁVAROS (BAVAROIS)</t>
  </si>
  <si>
    <t>traiteur-ASADOS FRÍOS</t>
  </si>
  <si>
    <t>CHARCUTERÍA</t>
  </si>
  <si>
    <t>MODOS DE COCCIÓN</t>
  </si>
  <si>
    <t>Color dietético</t>
  </si>
  <si>
    <t>Poissonnerie--MOLUSCOS</t>
  </si>
  <si>
    <t>BAR-Cócteles-con alcohol</t>
  </si>
  <si>
    <t>a veces en silencio, a veces con exigencia, y gracias a quienes seguimos avanzando hoy.</t>
  </si>
  <si>
    <t>pâtisserie--BAVAROIS</t>
  </si>
  <si>
    <t>traiteur-ROTIS-froids</t>
  </si>
  <si>
    <t xml:space="preserve"> charcuterie--GELEES</t>
  </si>
  <si>
    <t>cuisson--BRAISÉ</t>
  </si>
  <si>
    <t>AGRUMES-comme -POMME PAMPLE.</t>
  </si>
  <si>
    <t>crudité-AGRUMES-POMME PAMPLE.</t>
  </si>
  <si>
    <t>Poissonnerie--COQUILLAGES</t>
  </si>
  <si>
    <t>BAR-Cocktails-avec alcool</t>
  </si>
  <si>
    <t>pastry--BISCUITS</t>
  </si>
  <si>
    <t>catering-AMUSE-BOUCHES</t>
  </si>
  <si>
    <t>charcuterie--JELLIES</t>
  </si>
  <si>
    <t>cooking--BRAISED</t>
  </si>
  <si>
    <t>Poissonnerie--CRUSTACEANS</t>
  </si>
  <si>
    <t>BAR-Cocktails-non-alcoholic</t>
  </si>
  <si>
    <t>pastelería--BIZCOCHOS</t>
  </si>
  <si>
    <t>traiteur-APERITIVOS</t>
  </si>
  <si>
    <t>charcutería--GELATINAS</t>
  </si>
  <si>
    <t>cocción--BRASADO</t>
  </si>
  <si>
    <t>Poissonnerie--CRUSTÁCEOS</t>
  </si>
  <si>
    <t>BAR-Cócteles-sin alcohol</t>
  </si>
  <si>
    <t>pâtisserie--BISCUITS</t>
  </si>
  <si>
    <t>traiteur-AMUSE-BOUCHE</t>
  </si>
  <si>
    <t>charcuterie-BOUDIN-BLANC</t>
  </si>
  <si>
    <t>cuisson--CONFIT</t>
  </si>
  <si>
    <t>Poissonnerie--CRUSTACÉS</t>
  </si>
  <si>
    <t>BAR-Cocktails-sans alcool</t>
  </si>
  <si>
    <t>pastry--CHARLOTTES</t>
  </si>
  <si>
    <t>catering--ASPICS</t>
  </si>
  <si>
    <t>charcuterie-BOUDIN BLANC</t>
  </si>
  <si>
    <t>cooking--CONFIT</t>
  </si>
  <si>
    <t>CITRUS (e.g., grapefruit)</t>
  </si>
  <si>
    <t>crudité-CITRUS—POMELO/GRAPEFRUIT</t>
  </si>
  <si>
    <t>Poissonnerie--WHOLE FISH</t>
  </si>
  <si>
    <t>BAR-Drinks-hot beverages</t>
  </si>
  <si>
    <t>pastelería--CHARLOTTES</t>
  </si>
  <si>
    <t>traiteur--ASPICS</t>
  </si>
  <si>
    <t>charcutería-BOUDIN BLANC (morcilla blanca)</t>
  </si>
  <si>
    <t>cocción--CONFITADO</t>
  </si>
  <si>
    <t>CÍTRICOS (p. ej., pomelo)</t>
  </si>
  <si>
    <t>crudité-CÍTRICOS—POMELO/TORONJA</t>
  </si>
  <si>
    <t>Poissonnerie--PESCADO ENTERO</t>
  </si>
  <si>
    <t>BAR-Bebidas-calientes</t>
  </si>
  <si>
    <t>pâtisserie--CHARLOTES</t>
  </si>
  <si>
    <t xml:space="preserve"> charcuterie-BOUDIN-NOIR</t>
  </si>
  <si>
    <t>cuisson--FRIT</t>
  </si>
  <si>
    <t>Poissonnerie--POISSON ENTIER</t>
  </si>
  <si>
    <t>BAR-Boissons-boissons chaudes</t>
  </si>
  <si>
    <t>pastry--CHOCOLATES</t>
  </si>
  <si>
    <t>catering--CANAPES</t>
  </si>
  <si>
    <t>charcuterie-BOUDIN NOIR</t>
  </si>
  <si>
    <t>cooking--FRIED</t>
  </si>
  <si>
    <t>Poissonnerie--FILLETs / PORTIONS</t>
  </si>
  <si>
    <t>BAR-Drinks-cold beverages</t>
  </si>
  <si>
    <t>pastelería--CHOCOLATES</t>
  </si>
  <si>
    <t>traiteur--CANAPÉS</t>
  </si>
  <si>
    <t>charcutería-BOUDIN NOIR (morcilla)</t>
  </si>
  <si>
    <t>cocción--FRITO</t>
  </si>
  <si>
    <t>Poissonnerie--FILETES / PORCIONES</t>
  </si>
  <si>
    <t>BAR-Bebidas-frías</t>
  </si>
  <si>
    <t>Códigos de color RGB (Rojo–Verde–Azul)</t>
  </si>
  <si>
    <t>pâtisserie--CHOCOLATS</t>
  </si>
  <si>
    <t xml:space="preserve"> charcuterie--GIBIER</t>
  </si>
  <si>
    <t>cuisson--FUMÉ</t>
  </si>
  <si>
    <t>Poissonnerie--Filets / Portions</t>
  </si>
  <si>
    <t>BAR-Boissons-boissons froides</t>
  </si>
  <si>
    <t>pastry--CONFECTIONERY</t>
  </si>
  <si>
    <t>catering-CHAUD-FROID</t>
  </si>
  <si>
    <t>charcuterie--GAME</t>
  </si>
  <si>
    <t>cooking--SMOKED</t>
  </si>
  <si>
    <t>Poissonnerie--SEAFOOD CHARCUTERIE</t>
  </si>
  <si>
    <t>BAR-COFFEES</t>
  </si>
  <si>
    <t>pastelería--CONFITERÍA</t>
  </si>
  <si>
    <t>traiteur-CALIENTE-FRÍO</t>
  </si>
  <si>
    <t>charcutería--CAZA</t>
  </si>
  <si>
    <t>cocción--AHUMADO</t>
  </si>
  <si>
    <t>Poissonnerie--CHARCUTERÍA DEL MAR</t>
  </si>
  <si>
    <t>BAR-CAFÉS</t>
  </si>
  <si>
    <t>pâtisserie--CONFISERIES</t>
  </si>
  <si>
    <t>traiteur-CHAUD-FROID</t>
  </si>
  <si>
    <t xml:space="preserve"> charcuterie--LAPIN</t>
  </si>
  <si>
    <t>cuisson--GRILLÉ</t>
  </si>
  <si>
    <t>Poissonnerie--Charcuterie de la Mer</t>
  </si>
  <si>
    <t>BAR-CAFES-cafés</t>
  </si>
  <si>
    <t>pastry--ENTREMETS</t>
  </si>
  <si>
    <t>catering-COLD STARTER</t>
  </si>
  <si>
    <t>charcuterie--RABBIT</t>
  </si>
  <si>
    <t>cooking--GRILLED</t>
  </si>
  <si>
    <t>Poissonnerie--SMOKED FISH</t>
  </si>
  <si>
    <t>BAR-TEAS</t>
  </si>
  <si>
    <t>pastelería--ENTREMETS</t>
  </si>
  <si>
    <t>traiteur-ENTRANTE FRÍO</t>
  </si>
  <si>
    <t>charcutería--CONEJO</t>
  </si>
  <si>
    <t>cocción--A LA PARRILLA</t>
  </si>
  <si>
    <t>Poissonnerie--AHUMADOS</t>
  </si>
  <si>
    <t>BAR-TÉS</t>
  </si>
  <si>
    <t>traiteur-ENTRÉE-FROIDE</t>
  </si>
  <si>
    <t xml:space="preserve"> charcuterie-PURE-VOLAILLE </t>
  </si>
  <si>
    <t>cuisson--NATURE</t>
  </si>
  <si>
    <t>Poissonnerie--FUMAISONS</t>
  </si>
  <si>
    <t>BAR-THE-thés</t>
  </si>
  <si>
    <t>pastry-ENTREMET-GENOISE</t>
  </si>
  <si>
    <t>catering-HOT STARTER</t>
  </si>
  <si>
    <t>charcuterie-PURE POULTRY</t>
  </si>
  <si>
    <t>cooking--PLAIN</t>
  </si>
  <si>
    <t>Poissonnerie--MARINADES &amp; CURES</t>
  </si>
  <si>
    <t>BAR--JUICES-Juices &amp; fresh-pressed</t>
  </si>
  <si>
    <t>pastelería-ENTREMET-GENOVESA</t>
  </si>
  <si>
    <t>traiteur-ENTRANTE CALIENTE</t>
  </si>
  <si>
    <t>charcutería-PURA AVE</t>
  </si>
  <si>
    <t>cocción--NATURAL</t>
  </si>
  <si>
    <t>Poissonnerie--MARINADOS Y SALAZONES</t>
  </si>
  <si>
    <t>BAR--ZUMOS-Zumos y prensados</t>
  </si>
  <si>
    <t>pâtisserie-ENTREMET-GÉNOISE</t>
  </si>
  <si>
    <t>traiteur-ENTRÉE-CHAUDE</t>
  </si>
  <si>
    <t xml:space="preserve"> charcuterie--GALANTINE</t>
  </si>
  <si>
    <t>cuisson--PAPILLOTES</t>
  </si>
  <si>
    <t>Poissonnerie--MARINADES &amp; SALAISONS</t>
  </si>
  <si>
    <t>BAR--JUS-Jus &amp; pressés</t>
  </si>
  <si>
    <t>pastry--GANACHE</t>
  </si>
  <si>
    <t>catering-FOIE GRAS</t>
  </si>
  <si>
    <t>charcuterie--GALANTINE</t>
  </si>
  <si>
    <t>cooking--EN PAPILLOTE</t>
  </si>
  <si>
    <t>Poissonnerie--TARTARES &amp; CEVICHES</t>
  </si>
  <si>
    <t>BAR--Smoothies</t>
  </si>
  <si>
    <t>pastelería--GANACHE</t>
  </si>
  <si>
    <t>traiteur-FOIE GRAS</t>
  </si>
  <si>
    <t>charcutería--GALANTINA</t>
  </si>
  <si>
    <t>cocción--EN PAPILLOTE</t>
  </si>
  <si>
    <t>Poissonnerie--TÁRTAROS Y CEVICHES</t>
  </si>
  <si>
    <t>pâtisserie--GANACHE</t>
  </si>
  <si>
    <t>traiteur-FOIE-GRAS</t>
  </si>
  <si>
    <t xml:space="preserve"> charcuterie--MORTADELLE</t>
  </si>
  <si>
    <t>cuisson--POCHÉ</t>
  </si>
  <si>
    <t>Poissonnerie--Tatrtares &amp; Ceviches</t>
  </si>
  <si>
    <t>pastry--CAKE</t>
  </si>
  <si>
    <t>catering-HORS D'OEUVRES</t>
  </si>
  <si>
    <t>charcuterie--MORTADELLA</t>
  </si>
  <si>
    <t>cooking--POACHED</t>
  </si>
  <si>
    <t>Poissonnerie--SOUPS &amp; BISQUES</t>
  </si>
  <si>
    <t>BAR--Sodas &amp; lemonades</t>
  </si>
  <si>
    <t>pastelería--PASTEL</t>
  </si>
  <si>
    <t>traiteur-ENTREM ESES</t>
  </si>
  <si>
    <t>charcutería--MORTADELA</t>
  </si>
  <si>
    <t>cocción--POCHADO</t>
  </si>
  <si>
    <t>Poissonnerie--SOPAS Y BISQUES</t>
  </si>
  <si>
    <t>BAR--Refrescos y limonadas</t>
  </si>
  <si>
    <t>pâtisserie--GATEAU</t>
  </si>
  <si>
    <t>traiteur-HORS-D'ŒUVRE</t>
  </si>
  <si>
    <t xml:space="preserve"> charcuterie-PATE-CAMPAGNE</t>
  </si>
  <si>
    <t>cuisson--POELLÉ</t>
  </si>
  <si>
    <t>Poissonnerie--Soupes &amp; Bisques</t>
  </si>
  <si>
    <t>BAR--Sodas &amp; limonades</t>
  </si>
  <si>
    <t>pastry--MERINGUE</t>
  </si>
  <si>
    <t>catering-CATERING PASTRY</t>
  </si>
  <si>
    <t>charcuterie-COUNTRY PÂTÉ</t>
  </si>
  <si>
    <t>cooking--PAN-ROASTED</t>
  </si>
  <si>
    <t>Poissonnerie--BASIC PREPARATIONS</t>
  </si>
  <si>
    <t>BAR--Syrups &amp; shrubs</t>
  </si>
  <si>
    <t>pastelería--MERENGUE</t>
  </si>
  <si>
    <t>traiteur-PASTELERÍA DE CÁTERING</t>
  </si>
  <si>
    <t>charcutería-PATÉ DE CAMPAÑA</t>
  </si>
  <si>
    <t>cocción--A LA SARTÉN</t>
  </si>
  <si>
    <t>Poissonnerie--PREPARACIONES BÁSICAS</t>
  </si>
  <si>
    <t>BAR--Jarabes y shrubs</t>
  </si>
  <si>
    <t>pâtisserie--MERINGUE</t>
  </si>
  <si>
    <t>traiteur-PATISSERIE-TRAITEUR</t>
  </si>
  <si>
    <t xml:space="preserve"> charcuterie-PATÉ DE-FOIE </t>
  </si>
  <si>
    <t>cuisson--RÂGOUTS</t>
  </si>
  <si>
    <t>Poissonnerie--Préparations de base</t>
  </si>
  <si>
    <t>BAR--Sirops &amp; shrubs</t>
  </si>
  <si>
    <t>pastry--MOUSSES</t>
  </si>
  <si>
    <t>catering-COMPOSED SALAD</t>
  </si>
  <si>
    <t>charcuterie-LIVER PÂTÉ</t>
  </si>
  <si>
    <t>cooking--STEWED</t>
  </si>
  <si>
    <t>Poissonnerie--SAUCES &amp; BUTTERS</t>
  </si>
  <si>
    <t>BAR--Punches</t>
  </si>
  <si>
    <t>pastelería--MOUSSES</t>
  </si>
  <si>
    <t>traiteur-ENSALADA COMPUESTA</t>
  </si>
  <si>
    <t>charcutería-PATÉ DE HÍGADO</t>
  </si>
  <si>
    <t>cocción--ESTOFADO</t>
  </si>
  <si>
    <t>Poissonnerie--SALSAS Y MANTEQUILLAS</t>
  </si>
  <si>
    <t>BAR--Ponches</t>
  </si>
  <si>
    <t>pâtisserie--MOUSSES</t>
  </si>
  <si>
    <t>traiteur-SALADE-COMPOSÉE</t>
  </si>
  <si>
    <t xml:space="preserve"> charcuterie--QUENELLES</t>
  </si>
  <si>
    <t>cuisson--RÔTI</t>
  </si>
  <si>
    <t>Poissonnerie--Sauces &amp; Beurres</t>
  </si>
  <si>
    <t xml:space="preserve">BAR--Punchs </t>
  </si>
  <si>
    <t>pastry-DOUGH-BRIOCHE</t>
  </si>
  <si>
    <t>catering-SIMPLE SALAD</t>
  </si>
  <si>
    <t>charcuterie--QUENELLES</t>
  </si>
  <si>
    <t>cooking--ROASTED</t>
  </si>
  <si>
    <t>Poissonnerie--COD</t>
  </si>
  <si>
    <t>BAR-Fermented-(kefir, kombucha)</t>
  </si>
  <si>
    <t>pastelería-MASA-BRIOCHE</t>
  </si>
  <si>
    <t>traiteur-ENSALADA SIMPLE</t>
  </si>
  <si>
    <t>charcutería--QUENELLES</t>
  </si>
  <si>
    <t>cocción--ASADO</t>
  </si>
  <si>
    <t>Poissonnerie--BACALAO</t>
  </si>
  <si>
    <t>BAR-Fermentadas-(kéfir, kombucha)</t>
  </si>
  <si>
    <t>pâtisserie-PATE A-BRIOCHE</t>
  </si>
  <si>
    <t>traiteur-SALADE-SIMPLE</t>
  </si>
  <si>
    <t xml:space="preserve"> charcuterie--RILLETTES</t>
  </si>
  <si>
    <t>cuisson--SAUMURÉ</t>
  </si>
  <si>
    <t>Poissonnerie--CABILLAUD</t>
  </si>
  <si>
    <t>BAR-Fermentées-(kefir, kombucha)</t>
  </si>
  <si>
    <t>pastry-DOUGH-CROISSANTS</t>
  </si>
  <si>
    <t>catering-HOT SAUCE</t>
  </si>
  <si>
    <t>charcuterie--RILLETTES</t>
  </si>
  <si>
    <t>cooking--BRINED</t>
  </si>
  <si>
    <t>Poissonnerie--SALMON</t>
  </si>
  <si>
    <t>BAR--Detox</t>
  </si>
  <si>
    <t>pastelería-MASA-CROISSANT</t>
  </si>
  <si>
    <t>traiteur-SALSA CALIENTE</t>
  </si>
  <si>
    <t>charcutería--RILLETTES</t>
  </si>
  <si>
    <t>cocción--SALMUERADO</t>
  </si>
  <si>
    <t>Poissonnerie--SALMÓN</t>
  </si>
  <si>
    <t>pâtisserie-PATE A-CROISSANTS</t>
  </si>
  <si>
    <t>traiteur-SAUCE-CHAUDE</t>
  </si>
  <si>
    <t xml:space="preserve"> charcuterie--RILLONS</t>
  </si>
  <si>
    <t>cuisson-SAUTÉ-AVEC SAUCE</t>
  </si>
  <si>
    <t>Poissonnerie--SAUMON</t>
  </si>
  <si>
    <t>pastry-DOUGH-PUFF PASTRY</t>
  </si>
  <si>
    <t>catering-HOT EMULSIFIED SAUCE</t>
  </si>
  <si>
    <t>charcuterie--RILLONS</t>
  </si>
  <si>
    <t>cooking-SAUTEED-WITH SAUCE</t>
  </si>
  <si>
    <t>Poissonnerie--TUNA</t>
  </si>
  <si>
    <t>BAR--Fruity</t>
  </si>
  <si>
    <t>pastelería-MASA-HOJALDRADA</t>
  </si>
  <si>
    <t>traiteur-SALSA EMULSIONADA CALIENTE</t>
  </si>
  <si>
    <t>charcutería--RILLONS (de cerdo)</t>
  </si>
  <si>
    <t>cocción-SALTEADO-CON SALSA</t>
  </si>
  <si>
    <t>Poissonnerie--ATÚN</t>
  </si>
  <si>
    <t>BAR--Afrutado</t>
  </si>
  <si>
    <t>pâtisserie-PATE -FEUILLETÉE</t>
  </si>
  <si>
    <t>traiteur-SAUCE-EMULSIONNÉE CHAUDE</t>
  </si>
  <si>
    <t xml:space="preserve"> charcuterie--ROULADE</t>
  </si>
  <si>
    <t>cuisson-SAUTÉ-SANS SAUCE</t>
  </si>
  <si>
    <t>Poissonnerie--THON</t>
  </si>
  <si>
    <t>BAR--Fruité</t>
  </si>
  <si>
    <t>pastry-DOUGH-BREAD</t>
  </si>
  <si>
    <t>catering-COLD SAUCE</t>
  </si>
  <si>
    <t>charcuterie--ROULADE</t>
  </si>
  <si>
    <t>cooking-SAUTEED-WITHOUT SAUCE</t>
  </si>
  <si>
    <t>Poissonnerie--SEA BREAM</t>
  </si>
  <si>
    <t>BAR--Creamy</t>
  </si>
  <si>
    <t>pastelería-MASA-PAN</t>
  </si>
  <si>
    <t>traiteur-SALSA FRÍA</t>
  </si>
  <si>
    <t>charcutería--ROULADE</t>
  </si>
  <si>
    <t>cocción-SALTEADO-SIN SALSA</t>
  </si>
  <si>
    <t>Poissonnerie--DORADA</t>
  </si>
  <si>
    <t>BAR--Cremoso</t>
  </si>
  <si>
    <t>pâtisserie-PATE A-PAIN</t>
  </si>
  <si>
    <t>traiteur-SAUCE FROIDE</t>
  </si>
  <si>
    <t xml:space="preserve"> charcuterie--SAUCISSE </t>
  </si>
  <si>
    <t>cuisson--VAPEUR</t>
  </si>
  <si>
    <t>Poissonnerie--DORADE</t>
  </si>
  <si>
    <t>BAR--Crémeux</t>
  </si>
  <si>
    <t>pastry-DOUGH-SANDWICH BREAD</t>
  </si>
  <si>
    <t>catering-VEGETABLE TERRINE</t>
  </si>
  <si>
    <t>charcuterie--SAUSAGE</t>
  </si>
  <si>
    <t>cooking--STEAMED</t>
  </si>
  <si>
    <t>Poissonnerie--HAKE</t>
  </si>
  <si>
    <t>BAR--Classics</t>
  </si>
  <si>
    <t>pastelería-MASA-PAN DE MOLDE</t>
  </si>
  <si>
    <t>traiteur-TERRINA DE VERDURAS</t>
  </si>
  <si>
    <t>charcutería--SALCHICHA</t>
  </si>
  <si>
    <t>cocción--AL VAPOR</t>
  </si>
  <si>
    <t>Poissonnerie--MERLUZA</t>
  </si>
  <si>
    <t>BAR--Clásicos</t>
  </si>
  <si>
    <t>pâtisserie-PATE-PAIN DE MIE</t>
  </si>
  <si>
    <t>traiteur-TERRINE DE-LÉGUMES</t>
  </si>
  <si>
    <t xml:space="preserve"> charcuterie-SAUCISSON DE-FOIE</t>
  </si>
  <si>
    <t>Poissonnerie--MERLU</t>
  </si>
  <si>
    <t>BAR--Classiques</t>
  </si>
  <si>
    <t>pastry-DOUGH-SAVARIN</t>
  </si>
  <si>
    <t>catering-FISH TERRINE</t>
  </si>
  <si>
    <t>charcuterie-LIVER SAUSAGE</t>
  </si>
  <si>
    <t>Poissonnerie--POLLOCK</t>
  </si>
  <si>
    <t>BAR--Signatures</t>
  </si>
  <si>
    <t>pastelería-MASA-SAVARIN</t>
  </si>
  <si>
    <t>traiteur-TERRINA DE PESCADO</t>
  </si>
  <si>
    <t>charcutería-SALCHICHA DE HÍGADO</t>
  </si>
  <si>
    <t>Poissonnerie--ABADEJO</t>
  </si>
  <si>
    <t>BAR--De autor</t>
  </si>
  <si>
    <t>pâtisserie-PATE A-SAVARIN</t>
  </si>
  <si>
    <t>traiteur-TERRINE DE-POISSON</t>
  </si>
  <si>
    <t xml:space="preserve"> charcuterie--ABATS</t>
  </si>
  <si>
    <t>Poissonnerie--LIEU</t>
  </si>
  <si>
    <t>pastry-DOUGH-YEASTED</t>
  </si>
  <si>
    <t>catering-MEAT TERRINE</t>
  </si>
  <si>
    <t>charcuterie--OFFAL</t>
  </si>
  <si>
    <t>Poissonnerie--FRESH (DAY)</t>
  </si>
  <si>
    <t>BAR--Short</t>
  </si>
  <si>
    <t>pastelería-MASA-LEVADA</t>
  </si>
  <si>
    <t>traiteur-TERRINA DE CARNE</t>
  </si>
  <si>
    <t>charcutería--CASCQUERÍA</t>
  </si>
  <si>
    <t>Poissonnerie--FRESCO (DEL DÍA)</t>
  </si>
  <si>
    <t>BAR--Corto</t>
  </si>
  <si>
    <t>pâtisserie-PATE-LEVÉE</t>
  </si>
  <si>
    <t>traiteur-TERRINE DE-VIANDE</t>
  </si>
  <si>
    <t xml:space="preserve"> charcuterie--CONFIT</t>
  </si>
  <si>
    <t>Poissonnerie--FRAIS (JOUR)</t>
  </si>
  <si>
    <t>pastry-DOUGH-SHORT/DRY</t>
  </si>
  <si>
    <t>catering-POULTRY TERRINE</t>
  </si>
  <si>
    <t>charcuterie--CONFIT</t>
  </si>
  <si>
    <t>Poissonnerie--FROZEN</t>
  </si>
  <si>
    <t>BAR--Long</t>
  </si>
  <si>
    <t>pastelería-MASA-SECA</t>
  </si>
  <si>
    <t>traiteur-TERRINA DE AVE</t>
  </si>
  <si>
    <t>charcutería--CONFITADO</t>
  </si>
  <si>
    <t>Poissonnerie--CONGELADO</t>
  </si>
  <si>
    <t>BAR--Largo</t>
  </si>
  <si>
    <t>pâtisserie-PATE-SÈCHE</t>
  </si>
  <si>
    <t>traiteur-TERRINE DE-VOLAILLE</t>
  </si>
  <si>
    <t xml:space="preserve"> charcuterie--Pâtés</t>
  </si>
  <si>
    <t>Poissonnerie--SURGELÉ</t>
  </si>
  <si>
    <t>pastry-DOUGH-SWEET (PÂTE SUCRÉE)</t>
  </si>
  <si>
    <t>catering-COCKTAIL BITES</t>
  </si>
  <si>
    <t>charcuterie--PÂTÉS</t>
  </si>
  <si>
    <t>Poissonnerie--STUFFED</t>
  </si>
  <si>
    <t>pastelería-MASA-DULCE (PÂTE SUCRÉE)</t>
  </si>
  <si>
    <t>traiteur-BOCADITOS DE APERITIVO</t>
  </si>
  <si>
    <t>charcutería--PATÉS</t>
  </si>
  <si>
    <t>Poissonnerie--RELLENO</t>
  </si>
  <si>
    <t>pâtisserie-PATE-SUCRÉE</t>
  </si>
  <si>
    <t>traiteur-Bouchées-apéritif</t>
  </si>
  <si>
    <t xml:space="preserve"> charcuterie--TERRINES</t>
  </si>
  <si>
    <t>Poissonnerie--FARCI</t>
  </si>
  <si>
    <t>BAR--Punchs</t>
  </si>
  <si>
    <t>pastry-DOUGHS-FOR-…</t>
  </si>
  <si>
    <t>catering-COLD BUFFET</t>
  </si>
  <si>
    <t>charcuterie--TERRINES</t>
  </si>
  <si>
    <t>pastelería-MASAS-PARA-…</t>
  </si>
  <si>
    <t>traiteur-BUFÉ FRÍO</t>
  </si>
  <si>
    <t>charcutería--TERRINAS</t>
  </si>
  <si>
    <t>pâtisserie-PATES-A….</t>
  </si>
  <si>
    <t>traiteur-Buffet-froid</t>
  </si>
  <si>
    <t>pastry-FRUIT PASTES (PÂTES DE FRUITS)</t>
  </si>
  <si>
    <t>catering-HOT BUFFET</t>
  </si>
  <si>
    <t>pastelería-PÂTES-DE-FRUITS (DULCES DE FRUTA)</t>
  </si>
  <si>
    <t>traiteur-BUFÉ CALIENTE</t>
  </si>
  <si>
    <t>pâtisserie-PATES-DE-FRUITS</t>
  </si>
  <si>
    <t>traiteur-Buffet-chaud</t>
  </si>
  <si>
    <t xml:space="preserve"> charcuterie--SAUCISSES (boyau)</t>
  </si>
  <si>
    <t>pastry--PETITS FOURS</t>
  </si>
  <si>
    <t>catering-COMPOSED SALADS</t>
  </si>
  <si>
    <t>charcuterie--SAUSAGES (casings)</t>
  </si>
  <si>
    <t>pastelería--PETITS FOURS</t>
  </si>
  <si>
    <t>traiteur-ENSALADAS COMPUESTAS</t>
  </si>
  <si>
    <t>charcutería--SALCHICHAS (en tripa)</t>
  </si>
  <si>
    <t>pâtisserie-PETITS-FOURS</t>
  </si>
  <si>
    <t>traiteur-Salades-composées</t>
  </si>
  <si>
    <t xml:space="preserve"> charcuterie--Jambons &amp; salaisons</t>
  </si>
  <si>
    <t>pastry--PUDDING</t>
  </si>
  <si>
    <t>catering--VERRINES</t>
  </si>
  <si>
    <t>charcuterie--HAMS &amp; CURED MEATS</t>
  </si>
  <si>
    <t>pastelería--PUDIN</t>
  </si>
  <si>
    <t>traiteur--VERRINES</t>
  </si>
  <si>
    <t>charcutería--JAMONES Y SALAZONES</t>
  </si>
  <si>
    <t>pâtisserie--PUDDING</t>
  </si>
  <si>
    <t xml:space="preserve"> charcuterie--BALLOTINES</t>
  </si>
  <si>
    <t>pastry--VIENNOISERIES</t>
  </si>
  <si>
    <t>catering--PUFF-PASTRY BITES</t>
  </si>
  <si>
    <t>charcuterie--BALLOTINES</t>
  </si>
  <si>
    <t>pastelería--VIENNOISERIES</t>
  </si>
  <si>
    <t>traiteur--HOJALDRES</t>
  </si>
  <si>
    <t>charcutería--BALOTINAS</t>
  </si>
  <si>
    <t>pâtisserie--Viennoiseries</t>
  </si>
  <si>
    <t>traiteur--FEUILLETES</t>
  </si>
  <si>
    <t xml:space="preserve"> charcuterie--ASPICS</t>
  </si>
  <si>
    <t>pastry--TARTS</t>
  </si>
  <si>
    <t>catering--QUICHES</t>
  </si>
  <si>
    <t>charcuterie--ASPICS</t>
  </si>
  <si>
    <t>pastelería--TARTAS</t>
  </si>
  <si>
    <t>traiteur--QUICHES</t>
  </si>
  <si>
    <t>charcutería--ASPICS</t>
  </si>
  <si>
    <t>pâtisserie--Tartes</t>
  </si>
  <si>
    <t xml:space="preserve"> charcuterie--Fromage de tête</t>
  </si>
  <si>
    <t>pastry--MACARONS</t>
  </si>
  <si>
    <t>catering--DISHES</t>
  </si>
  <si>
    <t>charcuterie--HEAD CHEESE</t>
  </si>
  <si>
    <t>pastelería--MACARONS</t>
  </si>
  <si>
    <t>traiteur--PLATOS</t>
  </si>
  <si>
    <t>charcutería--QUESO DE CABEZA</t>
  </si>
  <si>
    <t>pâtisserie--Macarons</t>
  </si>
  <si>
    <t>traiteur--PLATS</t>
  </si>
  <si>
    <t xml:space="preserve"> charcuterie--CONFITS</t>
  </si>
  <si>
    <t>pastry--CHOCOLATE WORK</t>
  </si>
  <si>
    <t>catering--GARNISHES</t>
  </si>
  <si>
    <t>charcuterie--CONFITS</t>
  </si>
  <si>
    <t>pastelería--CHOCOLATERÍA</t>
  </si>
  <si>
    <t>traiteur--GUARNICIONES</t>
  </si>
  <si>
    <t>charcutería--CONFITS</t>
  </si>
  <si>
    <t>pâtisserie--Chocolaterie</t>
  </si>
  <si>
    <t>traiteur--GARNITURES</t>
  </si>
  <si>
    <t xml:space="preserve"> charcuterie--FUMAISONS</t>
  </si>
  <si>
    <t>pastry--CREAMS &amp; MOUSSES</t>
  </si>
  <si>
    <t>charcuterie--SMOKED PRODUCTS</t>
  </si>
  <si>
    <t>pastelería--CREMAS Y MOUSSES</t>
  </si>
  <si>
    <t>charcutería--AHUMADOS</t>
  </si>
  <si>
    <t>pâtisserie--Crèmes &amp; mousses</t>
  </si>
  <si>
    <t xml:space="preserve"> charcuterie--GRATTONS</t>
  </si>
  <si>
    <t>pastry--BASIC DOUGHS</t>
  </si>
  <si>
    <t>charcuterie--CRACKLINGS</t>
  </si>
  <si>
    <t>pastelería--MASAS BÁSICAS</t>
  </si>
  <si>
    <t>charcutería--CHICHARRONES</t>
  </si>
  <si>
    <t>pâtisserie--Pâtes de base</t>
  </si>
  <si>
    <t>pastry--YULE LOGS (BÛCHES)</t>
  </si>
  <si>
    <t>pastelería--TRONCOS (BÛCHES)</t>
  </si>
  <si>
    <t>pâtisserie--Bûches</t>
  </si>
  <si>
    <t>pâtisserie--Petits fours</t>
  </si>
  <si>
    <t>pastry--ICE CREAM &amp; FROZEN DESSERTS</t>
  </si>
  <si>
    <t>pastelería--HELADERÍA</t>
  </si>
  <si>
    <t>pâtisserie--Glacerie</t>
  </si>
  <si>
    <t>pastry--DECORATIONS</t>
  </si>
  <si>
    <t>pastelería--DECORACIONES</t>
  </si>
  <si>
    <t>pâtisserie--Décors</t>
  </si>
  <si>
    <t>SALADES COMPOSÉES</t>
  </si>
  <si>
    <t>COMPOSED SALADS</t>
  </si>
  <si>
    <t>ENSALADAS COMPUESTAS</t>
  </si>
  <si>
    <t>FIN</t>
  </si>
  <si>
    <t>crudité-CÉLÉRI BRANCHE</t>
  </si>
  <si>
    <t>proteins-LAMB</t>
  </si>
  <si>
    <t>cocido-ESPÁRRAGOS</t>
  </si>
  <si>
    <t>SIDES</t>
  </si>
  <si>
    <t>ACOMPAÑAMIENTOS</t>
  </si>
  <si>
    <t>plat-PROTÉINES</t>
  </si>
  <si>
    <t>légumes-CUIDITES</t>
  </si>
  <si>
    <t>légumes-CRUDITES</t>
  </si>
  <si>
    <t>légumes-FÉCULENTS</t>
  </si>
  <si>
    <t>COMPOSED GREEN SALADS</t>
  </si>
  <si>
    <t>ENSALADAS VERDES COMPUESTAS</t>
  </si>
  <si>
    <t>ACCOMPAGNEMENTS</t>
  </si>
  <si>
    <t>protéines-ABATS</t>
  </si>
  <si>
    <t>féculent-BLÉ</t>
  </si>
  <si>
    <t>-CRUDITES</t>
  </si>
  <si>
    <t>dish-PROTEINS</t>
  </si>
  <si>
    <t>vegetables-COOKED VEGETABLES</t>
  </si>
  <si>
    <t>vegetables-RAW VEGETABLES</t>
  </si>
  <si>
    <t>vegetables-STARCHES</t>
  </si>
  <si>
    <t>-CRUDITÉS</t>
  </si>
  <si>
    <t>plato-PROTEÍNAS</t>
  </si>
  <si>
    <t>verduras-COCIDAS</t>
  </si>
  <si>
    <t>verduras-CRUDITÉS</t>
  </si>
  <si>
    <t>verduras-FÉCULAS</t>
  </si>
  <si>
    <t>COMPOSES-VERTS</t>
  </si>
  <si>
    <t>protéines-ABATTIS</t>
  </si>
  <si>
    <t>cuidité-ARTICHAUT</t>
  </si>
  <si>
    <t>crudité-AVOCAT</t>
  </si>
  <si>
    <t>féculent-BOULGHOUR</t>
  </si>
  <si>
    <t>-COOKED VEGETABLES</t>
  </si>
  <si>
    <t>proteins-OFFAL</t>
  </si>
  <si>
    <t>starch-WHEAT</t>
  </si>
  <si>
    <t>-VERDURAS COCIDAS</t>
  </si>
  <si>
    <t>proteínas-CASQUERÍA</t>
  </si>
  <si>
    <t>féculent-TRIGO</t>
  </si>
  <si>
    <t>protéines-AGNEAU</t>
  </si>
  <si>
    <t>cuidité-ASPERGES</t>
  </si>
  <si>
    <t>crudité-BETTERAVES</t>
  </si>
  <si>
    <t>féculent-FÉVES</t>
  </si>
  <si>
    <t>PLATED DESSERT</t>
  </si>
  <si>
    <t>proteins-GIBLETS</t>
  </si>
  <si>
    <t>cooked-ARTICHOKE</t>
  </si>
  <si>
    <t>raw-AVOCADO</t>
  </si>
  <si>
    <t>starch-BULGUR</t>
  </si>
  <si>
    <t>POSTRE EMPLATADO</t>
  </si>
  <si>
    <t>proteínas-MENUDOS (abattis)</t>
  </si>
  <si>
    <t>cocido-ALCACHOFA</t>
  </si>
  <si>
    <t>crudité-AGUACATE</t>
  </si>
  <si>
    <t>féculent-BULGUR</t>
  </si>
  <si>
    <t>protéines-BŒUF</t>
  </si>
  <si>
    <t>cuidité-BETTERAVES</t>
  </si>
  <si>
    <t>crudité-CAROTTES</t>
  </si>
  <si>
    <t>féculent-FÉVETTES</t>
  </si>
  <si>
    <t>-DESSERTS</t>
  </si>
  <si>
    <t>cooked-ASPARAGUS</t>
  </si>
  <si>
    <t>raw-BEETS</t>
  </si>
  <si>
    <t>starch-BROAD BEANS (FAVA)</t>
  </si>
  <si>
    <t>-POSTRES</t>
  </si>
  <si>
    <t>proteínas-CORDERO</t>
  </si>
  <si>
    <t>crudité-REMOLACHAS</t>
  </si>
  <si>
    <t>féculent-HABAS (FAVA)</t>
  </si>
  <si>
    <t>DESSERT-ASSIETTE</t>
  </si>
  <si>
    <t>protéines-CAILLES</t>
  </si>
  <si>
    <t>cuidité-CAROTTES</t>
  </si>
  <si>
    <t>féculent-H. COCOS</t>
  </si>
  <si>
    <t>-STARTERS</t>
  </si>
  <si>
    <t>proteins-BEEF</t>
  </si>
  <si>
    <t>cooked-BEETS</t>
  </si>
  <si>
    <t>raw-CARROTS</t>
  </si>
  <si>
    <t>starch-BABY FAVA BEANS</t>
  </si>
  <si>
    <t>-ENTRANTES</t>
  </si>
  <si>
    <t>proteínas-TERnera</t>
  </si>
  <si>
    <t>cocido-REMOLACHAS</t>
  </si>
  <si>
    <t>crudité-ZANAHORIAS</t>
  </si>
  <si>
    <t>féculent-HABITAS (HABAS BABY)</t>
  </si>
  <si>
    <t>protéines-CANARD</t>
  </si>
  <si>
    <t>cuidité-CÉLÉRI BRANCHE</t>
  </si>
  <si>
    <t>crudité-CÉLÉRI RAVE</t>
  </si>
  <si>
    <t>féculent-H. FLAGEOLETS</t>
  </si>
  <si>
    <t>-ENTREMETS</t>
  </si>
  <si>
    <t>proteins-QUAIL</t>
  </si>
  <si>
    <t>cooked-CARROTS</t>
  </si>
  <si>
    <t>raw-CELERY STALKS</t>
  </si>
  <si>
    <t>starch-COCO BEANS</t>
  </si>
  <si>
    <t>proteínas-CODORNICES</t>
  </si>
  <si>
    <t>cocido-ZANAHORIAS</t>
  </si>
  <si>
    <t>crudité-APIO EN RAMA</t>
  </si>
  <si>
    <t>féculent-ALUBIAS COCO</t>
  </si>
  <si>
    <t>protéines-CHARCUTERIES</t>
  </si>
  <si>
    <t>cuidité-CÉLÉRI RAVE</t>
  </si>
  <si>
    <t>crudité-CHAMPIGNONS</t>
  </si>
  <si>
    <t>féculent-H. NOIRS</t>
  </si>
  <si>
    <t>-STARCHES</t>
  </si>
  <si>
    <t>proteins-DUCK</t>
  </si>
  <si>
    <t>cooked-CELERY STALKS</t>
  </si>
  <si>
    <t>raw-CELERIAC (CELERY ROOT)</t>
  </si>
  <si>
    <t>starch-FLAGEOLET BEANS</t>
  </si>
  <si>
    <t>-FÉCULAS</t>
  </si>
  <si>
    <t>proteínas-PATO</t>
  </si>
  <si>
    <t>cocido-APIO EN RAMA</t>
  </si>
  <si>
    <t>crudité-APIONABO</t>
  </si>
  <si>
    <t>féculent-FLAGEOLETS</t>
  </si>
  <si>
    <t>protéines-COQUILLAGES</t>
  </si>
  <si>
    <t>cuidité-CHAMPIGNONS</t>
  </si>
  <si>
    <t>crudité-CHOU BLANC</t>
  </si>
  <si>
    <t>féculent-H. ROUGES</t>
  </si>
  <si>
    <t>-AFTERNOON SNACK</t>
  </si>
  <si>
    <t>proteins-CHARCUTERIE</t>
  </si>
  <si>
    <t>cooked-CELERIAC (CELERY ROOT)</t>
  </si>
  <si>
    <t>raw-MUSHROOMS</t>
  </si>
  <si>
    <t>starch-BLACK BEANS</t>
  </si>
  <si>
    <t>-MERIENDA</t>
  </si>
  <si>
    <t>proteínas-CHARCUTERÍA</t>
  </si>
  <si>
    <t>cocido-APIONABO</t>
  </si>
  <si>
    <t>crudité-CHAMPIÑONES</t>
  </si>
  <si>
    <t>féculent-FRIJOLES/ALUBIAS NEGRAS</t>
  </si>
  <si>
    <t>protéines-CRUSTACÉS</t>
  </si>
  <si>
    <t>cuidité-CHOU BLANC</t>
  </si>
  <si>
    <t>crudité-CHOU ROUGE</t>
  </si>
  <si>
    <t>féculent-H. SOISSON</t>
  </si>
  <si>
    <t>DAIRY + STARCHES</t>
  </si>
  <si>
    <t>proteins-SHELLFISH (MOLLUSCS)</t>
  </si>
  <si>
    <t>cooked-MUSHROOMS</t>
  </si>
  <si>
    <t>raw-WHITE CABBAGE</t>
  </si>
  <si>
    <t>starch-RED BEANS</t>
  </si>
  <si>
    <t>LÁCTEOS + FÉCULAS</t>
  </si>
  <si>
    <t>proteínas-MOLUSCOS</t>
  </si>
  <si>
    <t>cocido-CHAMPIÑONES</t>
  </si>
  <si>
    <t>crudité-COL BLANCA</t>
  </si>
  <si>
    <t>féculent-FRIJOLES/ALUBIAS ROJAS</t>
  </si>
  <si>
    <t>protéines-DINDE</t>
  </si>
  <si>
    <t>cuidité-CHOU ROUGE</t>
  </si>
  <si>
    <t>crudité-CHOUX BROCOLIS</t>
  </si>
  <si>
    <t>féculent-H.BLANCS</t>
  </si>
  <si>
    <t>DAIRY-CHEESES</t>
  </si>
  <si>
    <t>proteins-CRUSTACEANS</t>
  </si>
  <si>
    <t>cooked-WHITE CABBAGE</t>
  </si>
  <si>
    <t>raw-RED CABBAGE</t>
  </si>
  <si>
    <t>starch-SOISSON BEANS</t>
  </si>
  <si>
    <t>LÁCTEOS-QUESOS</t>
  </si>
  <si>
    <t>proteínas-CRUSTÁCEOS</t>
  </si>
  <si>
    <t>cocido-COL BLANCA</t>
  </si>
  <si>
    <t>crudité-COL ROJA (LOMBARDA)</t>
  </si>
  <si>
    <t>féculent-ALUBIAS SOISSON</t>
  </si>
  <si>
    <t>LAITAGES-+FECULENTS</t>
  </si>
  <si>
    <t>protéines-FARCES</t>
  </si>
  <si>
    <t>cuidité-CHOUX BROCOLIS</t>
  </si>
  <si>
    <t>crudité-CHOUX CHINOIS</t>
  </si>
  <si>
    <t>féculent-LENTILLES</t>
  </si>
  <si>
    <t>-PASTRIES</t>
  </si>
  <si>
    <t>proteins-TURKEY</t>
  </si>
  <si>
    <t>cooked-RED CABBAGE</t>
  </si>
  <si>
    <t>raw-BROCCOLI</t>
  </si>
  <si>
    <t>starch-WHITE BEANS</t>
  </si>
  <si>
    <t>-PASTELERÍA</t>
  </si>
  <si>
    <t>proteínas-PAVO</t>
  </si>
  <si>
    <t>cocido-COL ROJA (LOMBARDA)</t>
  </si>
  <si>
    <t>crudité-BRÓCOLI</t>
  </si>
  <si>
    <t>féculent-ALUBIAS BLANCAS</t>
  </si>
  <si>
    <t>LAITAGES-FROMAGES</t>
  </si>
  <si>
    <t>protéines-GIBIER À PLUMES</t>
  </si>
  <si>
    <t>cuidité-CHOUX BRUXELLES</t>
  </si>
  <si>
    <t>crudité-CHOUX FLEUR</t>
  </si>
  <si>
    <t>féculent-MAÏS</t>
  </si>
  <si>
    <t>MAIN COURSE</t>
  </si>
  <si>
    <t>proteins-STUFFINGS</t>
  </si>
  <si>
    <t>cooked-BROCCOLI</t>
  </si>
  <si>
    <t>raw-CHINESE CABBAGE</t>
  </si>
  <si>
    <t>starch-LENTILS</t>
  </si>
  <si>
    <t>PLATO PRINCIPAL</t>
  </si>
  <si>
    <t>proteínas-RELLENOS</t>
  </si>
  <si>
    <t>cocido-BRÓCOLI</t>
  </si>
  <si>
    <t>crudité-COL CHINA</t>
  </si>
  <si>
    <t>féculent-LENTEJAS</t>
  </si>
  <si>
    <t>protéines-GIBIER À POIL</t>
  </si>
  <si>
    <t>cuidité-CHOUX CHINOIS</t>
  </si>
  <si>
    <t>crudité-CHOUX ROMANESCO</t>
  </si>
  <si>
    <t>féculent-P.TERRE</t>
  </si>
  <si>
    <t>COMPLETE DISHES</t>
  </si>
  <si>
    <t>proteins-GAME BIRDS</t>
  </si>
  <si>
    <t>cooked-BRUSSELS SPROUTS</t>
  </si>
  <si>
    <t>raw-CAULIFLOWER</t>
  </si>
  <si>
    <t>starch-CORN (MAIZE)</t>
  </si>
  <si>
    <t>PLATOS COMPLETOS</t>
  </si>
  <si>
    <t>proteínas-CAZA DE PLUMA</t>
  </si>
  <si>
    <t>cocido-COLES DE BRUSELAS</t>
  </si>
  <si>
    <t>crudité-COLIFLOR</t>
  </si>
  <si>
    <t>féculent-MAÍZ</t>
  </si>
  <si>
    <t>PLAT-PRINCIPAL</t>
  </si>
  <si>
    <t>protéines-JUS / BOUILLON</t>
  </si>
  <si>
    <t>cuidité-CHOUX DE MILAN</t>
  </si>
  <si>
    <t>crudité-CONCOMBRES</t>
  </si>
  <si>
    <t>féculent-PÂTES</t>
  </si>
  <si>
    <t>FISH</t>
  </si>
  <si>
    <t>proteins-GAME (MAMMALS)</t>
  </si>
  <si>
    <t>cooked-CHINESE CABBAGE</t>
  </si>
  <si>
    <t>raw-ROMANESCO</t>
  </si>
  <si>
    <t>starch-POTATOES</t>
  </si>
  <si>
    <t>PESCADOS</t>
  </si>
  <si>
    <t>proteínas-CAZA DE PELO</t>
  </si>
  <si>
    <t>cocido-COL CHINA</t>
  </si>
  <si>
    <t>crudité-ROMANESCO</t>
  </si>
  <si>
    <t>féculent-PATATAS</t>
  </si>
  <si>
    <t>PLATS-COMPLETS</t>
  </si>
  <si>
    <t>protéines-LAPIN</t>
  </si>
  <si>
    <t>cuidité-CHOUX FLEUR</t>
  </si>
  <si>
    <t>crudité-COURGETTES</t>
  </si>
  <si>
    <t>féculent-POIS CHICHES</t>
  </si>
  <si>
    <t>HOT PREPARATIONS</t>
  </si>
  <si>
    <t>proteins-JUS / STOCK</t>
  </si>
  <si>
    <t>cooked-SAVOY CABBAGE</t>
  </si>
  <si>
    <t>raw-CUCUMBERS</t>
  </si>
  <si>
    <t>starch-PASTA</t>
  </si>
  <si>
    <t>PREPARACIONES CALIENTES</t>
  </si>
  <si>
    <t>proteínas-JUS / CALDO</t>
  </si>
  <si>
    <t>cocido-COL DE SABOYA</t>
  </si>
  <si>
    <t>crudité-PEPINOS</t>
  </si>
  <si>
    <t>féculent-PASTA</t>
  </si>
  <si>
    <t>POISSONS</t>
  </si>
  <si>
    <t>protéines-MOUTON</t>
  </si>
  <si>
    <t>cuidité-CHOUX ROMANESCO</t>
  </si>
  <si>
    <t>crudité-ENDIVES</t>
  </si>
  <si>
    <t>féculent-POLENTA</t>
  </si>
  <si>
    <t>-MEATS</t>
  </si>
  <si>
    <t>proteins-RABBIT</t>
  </si>
  <si>
    <t>cooked-CAULIFLOWER</t>
  </si>
  <si>
    <t>raw-ZUCCHINI</t>
  </si>
  <si>
    <t>starch-CHICKPEAS</t>
  </si>
  <si>
    <t>-CARNES</t>
  </si>
  <si>
    <t>proteínas-CONEJO</t>
  </si>
  <si>
    <t>cocido-COLIFLOR</t>
  </si>
  <si>
    <t>crudité-CALABACINES</t>
  </si>
  <si>
    <t>féculent-GARBANZOS</t>
  </si>
  <si>
    <t>PREPARATIONS-CHAUDES</t>
  </si>
  <si>
    <t>protéines-ŒUFS</t>
  </si>
  <si>
    <t>cuidité-CŒUR DE PALMIER</t>
  </si>
  <si>
    <t>crudité-EPINARDS</t>
  </si>
  <si>
    <t>féculent-RIZ</t>
  </si>
  <si>
    <t>-POULTRY</t>
  </si>
  <si>
    <t>proteins-MUTTON</t>
  </si>
  <si>
    <t>cooked-ROMANESCO</t>
  </si>
  <si>
    <t>raw-ENDIVES</t>
  </si>
  <si>
    <t>starch-POLENTA</t>
  </si>
  <si>
    <t>-AVES</t>
  </si>
  <si>
    <t>proteínas-CARNE DE OVEJA (MUTTON)</t>
  </si>
  <si>
    <t>cocido-ROMANESCO</t>
  </si>
  <si>
    <t>crudité-ENDIVIAS</t>
  </si>
  <si>
    <t>protéines-POISSON</t>
  </si>
  <si>
    <t>cuidité-CONCOMBRES</t>
  </si>
  <si>
    <t>crudité-FENOUIL</t>
  </si>
  <si>
    <t>féculent-RUTABAGA</t>
  </si>
  <si>
    <t>-SOUP</t>
  </si>
  <si>
    <t>proteins-EGGS</t>
  </si>
  <si>
    <t>cooked-HEARTS OF PALM</t>
  </si>
  <si>
    <t>raw-SPINACH</t>
  </si>
  <si>
    <t>starch-RICE</t>
  </si>
  <si>
    <t>-SOPA</t>
  </si>
  <si>
    <t>proteínas-HUEVOS</t>
  </si>
  <si>
    <t>cocido-PALMITOS</t>
  </si>
  <si>
    <t>crudité-ESPINACAS</t>
  </si>
  <si>
    <t>féculent-ARROZ</t>
  </si>
  <si>
    <t>protéines-PORC</t>
  </si>
  <si>
    <t>cuidité-COURGE</t>
  </si>
  <si>
    <t>crudité-NAVETS</t>
  </si>
  <si>
    <t>féculent-SEMOULE</t>
  </si>
  <si>
    <t>-EGGS</t>
  </si>
  <si>
    <t>proteins-FISH</t>
  </si>
  <si>
    <t>cooked-CUCUMBERS</t>
  </si>
  <si>
    <t>raw-FENNEL</t>
  </si>
  <si>
    <t>starch-RUTABAGA</t>
  </si>
  <si>
    <t>-HUEVOS</t>
  </si>
  <si>
    <t>proteínas-PESCADO</t>
  </si>
  <si>
    <t>cocido-PEPINOS</t>
  </si>
  <si>
    <t>crudité-HINOJO</t>
  </si>
  <si>
    <t>féculent-NABO SUECO (RUTABAGA)</t>
  </si>
  <si>
    <t>protéines-POULE</t>
  </si>
  <si>
    <t>cuidité-COURGETTES</t>
  </si>
  <si>
    <t>crudité-OIGNONS</t>
  </si>
  <si>
    <t>féculent-TOPINAMBOUR</t>
  </si>
  <si>
    <t>-SHELLFISH</t>
  </si>
  <si>
    <t>proteins-PORK</t>
  </si>
  <si>
    <t>cooked-SQUASH</t>
  </si>
  <si>
    <t>raw-TURNIPS</t>
  </si>
  <si>
    <t>starch-SEMOLINA (COUSCOUS)</t>
  </si>
  <si>
    <t>-CRUSTÁCEOS</t>
  </si>
  <si>
    <t>proteínas-CERDO</t>
  </si>
  <si>
    <t>cocido-CALABAZA</t>
  </si>
  <si>
    <t>crudité-NABOS</t>
  </si>
  <si>
    <t>féculent-SÉMOLA (COUSCOUS)</t>
  </si>
  <si>
    <t>protéines-POULET</t>
  </si>
  <si>
    <t>cuidité-CROSNE</t>
  </si>
  <si>
    <t>crudité-POIVRONS JAUNES</t>
  </si>
  <si>
    <t>-SAUTE</t>
  </si>
  <si>
    <t>proteins-HEN</t>
  </si>
  <si>
    <t>cooked-ZUCCHINI</t>
  </si>
  <si>
    <t>raw-ONIONS</t>
  </si>
  <si>
    <t>starch-JERUSALEM ARTICHOKE</t>
  </si>
  <si>
    <t>-SALTEADO</t>
  </si>
  <si>
    <t>proteínas-GALLINA</t>
  </si>
  <si>
    <t>cocido-CALABACINES</t>
  </si>
  <si>
    <t>crudité-CEBOLLAS</t>
  </si>
  <si>
    <t>féculent-ALCACHOFA DE JERUSALÉN</t>
  </si>
  <si>
    <t>protéines-VEAU</t>
  </si>
  <si>
    <t>cuidité-ENDIVES</t>
  </si>
  <si>
    <t>crudité-POIVRONS ROUGES</t>
  </si>
  <si>
    <t>-STEW</t>
  </si>
  <si>
    <t>proteins-CHICKEN</t>
  </si>
  <si>
    <t>cooked-CROSNE (CHINESE ARTICHOKE)</t>
  </si>
  <si>
    <t>raw-YELLOW BELL PEPPERS</t>
  </si>
  <si>
    <t>-ESTOFADO</t>
  </si>
  <si>
    <t>proteínas-POLLO</t>
  </si>
  <si>
    <t>cocido-CROSNE (ALCACHOFA CHINA)</t>
  </si>
  <si>
    <t>crudité-PIMIENTOS AMARILLOS</t>
  </si>
  <si>
    <t>cuidité-EPINARDS</t>
  </si>
  <si>
    <t>crudité-POIVRONS VERTS</t>
  </si>
  <si>
    <t>-GRATIN</t>
  </si>
  <si>
    <t>proteins-VEAL</t>
  </si>
  <si>
    <t>cooked-ENDIVES</t>
  </si>
  <si>
    <t>raw-RED BELL PEPPERS</t>
  </si>
  <si>
    <t>-GRATÉN</t>
  </si>
  <si>
    <t>proteínas-TERNERA</t>
  </si>
  <si>
    <t>cocido-ENDIVIAS</t>
  </si>
  <si>
    <t>crudité-PIMIENTOS ROJOS</t>
  </si>
  <si>
    <t>cuidité-FENOUIL</t>
  </si>
  <si>
    <t>crudité-RADIS NOIRS</t>
  </si>
  <si>
    <t>-PORK</t>
  </si>
  <si>
    <t>cooked-SPINACH</t>
  </si>
  <si>
    <t>raw-GREEN BELL PEPPERS</t>
  </si>
  <si>
    <t>-CERDO</t>
  </si>
  <si>
    <t>cocido-ESPINACAS</t>
  </si>
  <si>
    <t>crudité-PIMIENTOS VERDES</t>
  </si>
  <si>
    <t>cuidité-NAVETS</t>
  </si>
  <si>
    <t>crudité-RADIS ROSES</t>
  </si>
  <si>
    <t>-VEAL</t>
  </si>
  <si>
    <t>cooked-FENNEL</t>
  </si>
  <si>
    <t>raw-BLACK RADISHES</t>
  </si>
  <si>
    <t>-TERNERA</t>
  </si>
  <si>
    <t>cocido-HINOJO</t>
  </si>
  <si>
    <t>crudité-RÁBANOS NEGROS</t>
  </si>
  <si>
    <t>cuidité-OIGNONS</t>
  </si>
  <si>
    <t>crudité-SAL.BATAVIA</t>
  </si>
  <si>
    <t>-LAMB</t>
  </si>
  <si>
    <t>cooked-TURNIPS</t>
  </si>
  <si>
    <t>raw-RED RADISHES</t>
  </si>
  <si>
    <t>-CORDERO</t>
  </si>
  <si>
    <t>cocido-NABOS</t>
  </si>
  <si>
    <t>crudité-RÁBANOS ROSAS</t>
  </si>
  <si>
    <t>cuidité-PATISSON</t>
  </si>
  <si>
    <t>crudité-SAL.CHICORÉE</t>
  </si>
  <si>
    <t>cooked-ONIONS</t>
  </si>
  <si>
    <t>raw-SALAD BATAVIA</t>
  </si>
  <si>
    <t>cocido-CEBOLLAS</t>
  </si>
  <si>
    <t>crudité-ENSALADA BATAVIA</t>
  </si>
  <si>
    <t>cuidité-POIVRONS JAUNES</t>
  </si>
  <si>
    <t>crudité-SAL.CRESSON</t>
  </si>
  <si>
    <t>cooked-PATTYPAN SQUASH</t>
  </si>
  <si>
    <t>raw-SALAD CHICORY</t>
  </si>
  <si>
    <t>cocido-PATISSON (CALABAZA BONETERA)</t>
  </si>
  <si>
    <t>crudité-ENSALADA ACHICORIA</t>
  </si>
  <si>
    <t>cuidité-POIVRONS ROUGES</t>
  </si>
  <si>
    <t>crudité-SAL.ENDIVE</t>
  </si>
  <si>
    <t>cooked-YELLOW BELL PEPPERS</t>
  </si>
  <si>
    <t>raw-SALAD CRESS</t>
  </si>
  <si>
    <t>cocido-PIMIENTOS AMARILLOS</t>
  </si>
  <si>
    <t>crudité-ENSALADA BERRO</t>
  </si>
  <si>
    <t>cuidité-POIVRONS VERTS</t>
  </si>
  <si>
    <t>crudité-SAL.FEUILLE DE CHÊNE</t>
  </si>
  <si>
    <t>cooked-RED BELL PEPPERS</t>
  </si>
  <si>
    <t>raw-SALAD ENDIVE</t>
  </si>
  <si>
    <t>cocido-PIMIENTOS ROJOS</t>
  </si>
  <si>
    <t>crudité-ENSALADA ENDIVIA</t>
  </si>
  <si>
    <t>cuidité-POTIRON</t>
  </si>
  <si>
    <t>crudité-SAL.FRISÉE</t>
  </si>
  <si>
    <t>cooked-GREEN BELL PEPPERS</t>
  </si>
  <si>
    <t>raw-SALAD OAK LEAF</t>
  </si>
  <si>
    <t>cocido-PIMIENTOS VERDES</t>
  </si>
  <si>
    <t>crudité-ENSALADA HOJA DE ROBLE</t>
  </si>
  <si>
    <t>cuidité-POUSSES DE BAMBOU</t>
  </si>
  <si>
    <t>crudité-SAL.ICEBERG</t>
  </si>
  <si>
    <t>cooked-PUMPKIN</t>
  </si>
  <si>
    <t>raw-SALAD FRISÉE</t>
  </si>
  <si>
    <t>cocido-CALABAZA (POTIRON)</t>
  </si>
  <si>
    <t>crudité-ENSALADA FRISÉE</t>
  </si>
  <si>
    <t>cuidité-RADIS NOIRS</t>
  </si>
  <si>
    <t>crudité-SAL.KRISETTE</t>
  </si>
  <si>
    <t>cooked-BAMBOO SHOOTS</t>
  </si>
  <si>
    <t>raw-SALAD ICEBERG</t>
  </si>
  <si>
    <t>cocido-BROTES DE BAMBÚ</t>
  </si>
  <si>
    <t>crudité-ENSALADA ICEBERG</t>
  </si>
  <si>
    <t>cuidité-RADIS ROSES</t>
  </si>
  <si>
    <t>crudité-SAL.LAITUE</t>
  </si>
  <si>
    <t>cooked-BLACK RADISHES</t>
  </si>
  <si>
    <t>raw-SALAD KRISETTE</t>
  </si>
  <si>
    <t>cocido-RÁBANOS NEGROS</t>
  </si>
  <si>
    <t>crudité-ENSALADA KRISETTE</t>
  </si>
  <si>
    <t>cuidité-SALADE</t>
  </si>
  <si>
    <t>crudité-SAL.LOLA ROSA</t>
  </si>
  <si>
    <t>cooked-RED RADISHES</t>
  </si>
  <si>
    <t>raw-SALAD LETTUCE</t>
  </si>
  <si>
    <t>cocido-RÁBANOS ROSAS</t>
  </si>
  <si>
    <t>crudité-ENSALADA LECHUGA</t>
  </si>
  <si>
    <t>cuidité-SALSIFIS</t>
  </si>
  <si>
    <t>crudité-SAL.MÂCHE</t>
  </si>
  <si>
    <t>cooked-LETTUCE</t>
  </si>
  <si>
    <t>raw-SALAD LOLLO ROSA</t>
  </si>
  <si>
    <t>cocido-LECHUGA</t>
  </si>
  <si>
    <t>crudité-ENSALADA LOLLO ROSA</t>
  </si>
  <si>
    <t>cuidité-SOJA</t>
  </si>
  <si>
    <t>crudité-SAL.MESCLUN</t>
  </si>
  <si>
    <t>cooked-SALSIFY</t>
  </si>
  <si>
    <t>raw-SALAD LAMB’S LETTUCE (MÂCHE)</t>
  </si>
  <si>
    <t>cocido-SALSIFÍ</t>
  </si>
  <si>
    <t>crudité-ENSALADA CANÓNIGOS (MÂCHE)</t>
  </si>
  <si>
    <t>cuidité-TOMATES CERISES</t>
  </si>
  <si>
    <t>crudité-SAL.PISSENLIT</t>
  </si>
  <si>
    <t>cooked-SOY</t>
  </si>
  <si>
    <t>raw-SALAD MESCLUN</t>
  </si>
  <si>
    <t>cocido-SOJA</t>
  </si>
  <si>
    <t>crudité-ENSALADA MESCLUN</t>
  </si>
  <si>
    <t>cuidité-TOMATES MARMANDE</t>
  </si>
  <si>
    <t>crudité-SAL.ROMAINE</t>
  </si>
  <si>
    <t>cooked-CHERRY TOMATOES</t>
  </si>
  <si>
    <t>raw-SALAD DANDELION</t>
  </si>
  <si>
    <t>cocido-TOMATES CHERRY</t>
  </si>
  <si>
    <t>crudité-ENSALADA DIENTE DE LEÓN</t>
  </si>
  <si>
    <t>cuidité-TOMATES OLIVETTE</t>
  </si>
  <si>
    <t>crudité-SAL.SCAROLE</t>
  </si>
  <si>
    <t>cooked-MARMANDE TOMATOES</t>
  </si>
  <si>
    <t>raw-SALAD ROMAINE</t>
  </si>
  <si>
    <t>cocido-TOMATES MARMANDE</t>
  </si>
  <si>
    <t>crudité-ENSALADA ROMANA</t>
  </si>
  <si>
    <t>cuidité-TOMATES ROMAINE</t>
  </si>
  <si>
    <t>crudité-SAL.TRÉVISE</t>
  </si>
  <si>
    <t>cooked-OLIVETTE (PLUM) TOMATOES</t>
  </si>
  <si>
    <t>raw-SALAD ESCAROLE</t>
  </si>
  <si>
    <t>cocido-TOMATES OLIVETTE (PERA)</t>
  </si>
  <si>
    <t>crudité-ENSALADA ESCAROLA</t>
  </si>
  <si>
    <t>crudité-SALADE</t>
  </si>
  <si>
    <t>cooked-ROMA TOMATOES</t>
  </si>
  <si>
    <t>raw-SALAD TREVISO</t>
  </si>
  <si>
    <t>cocido-TOMATES ROMA</t>
  </si>
  <si>
    <t>crudité-ENSALADA TREVISO</t>
  </si>
  <si>
    <t>raw-SALAD (GENERAL)</t>
  </si>
  <si>
    <t>crudité-ENSALADA (GENERAL)</t>
  </si>
  <si>
    <t>crudité-SALSIFIS</t>
  </si>
  <si>
    <t>crudité-SOJA</t>
  </si>
  <si>
    <t>raw-SALSIFY</t>
  </si>
  <si>
    <t>crudité-SALSIFÍ</t>
  </si>
  <si>
    <t>crudité-TOMATES</t>
  </si>
  <si>
    <t>raw-SOY</t>
  </si>
  <si>
    <t>crudité-TOMATES CERISES</t>
  </si>
  <si>
    <t>raw-TOMATOES</t>
  </si>
  <si>
    <t>crudité-TOMATES MARMANDE</t>
  </si>
  <si>
    <t>raw-CHERRY TOMATOES</t>
  </si>
  <si>
    <t>crudité-TOMATES CHERRY</t>
  </si>
  <si>
    <t>crudité-TOMATES OLIVETTE</t>
  </si>
  <si>
    <t>raw-MARMANDE TOMATOES</t>
  </si>
  <si>
    <t>crudité-TOMATES ROMAINE</t>
  </si>
  <si>
    <t>raw-OLIVETTE (PLUM) TOMATOES</t>
  </si>
  <si>
    <t>crudité-TOMATES OLIVETTE (PERA)</t>
  </si>
  <si>
    <t>raw-ROMA TOMATOES</t>
  </si>
  <si>
    <t>crudité-TOMATES ROMA</t>
  </si>
  <si>
    <t>CRUDITES</t>
  </si>
  <si>
    <t>CUIDITES</t>
  </si>
  <si>
    <t>ENTRÉES</t>
  </si>
  <si>
    <t>ENTREMET</t>
  </si>
  <si>
    <t>FECULENTS</t>
  </si>
  <si>
    <t>GOUTER</t>
  </si>
  <si>
    <t>PATISSERIES</t>
  </si>
  <si>
    <t>VIANDES</t>
  </si>
  <si>
    <t>VOLAILLES</t>
  </si>
  <si>
    <t>POTAGE</t>
  </si>
  <si>
    <t>ŒUFS</t>
  </si>
  <si>
    <t>CRUSTACÉS</t>
  </si>
  <si>
    <t>SAUTÉ</t>
  </si>
  <si>
    <t>RAGOUT</t>
  </si>
  <si>
    <t>GRATIN</t>
  </si>
  <si>
    <t>PORC</t>
  </si>
  <si>
    <t>VEAU</t>
  </si>
  <si>
    <t>AGNEAU</t>
  </si>
  <si>
    <t>R51-V153 B102  #339966</t>
  </si>
  <si>
    <t>R153-V204 B0   #99CC00</t>
  </si>
  <si>
    <t>R128-V0-B0   #800000</t>
  </si>
  <si>
    <t>R255-V0 B255 #FF00FF</t>
  </si>
  <si>
    <t>R255-V102 B0   #FF6600</t>
  </si>
  <si>
    <t>R255-V0 B0  #FF0000</t>
  </si>
  <si>
    <t>R0-V0 B255 #0000FF</t>
  </si>
  <si>
    <t>R255-V204 B153 #FFCC99</t>
  </si>
  <si>
    <t>R204-V153 B255 #CC99FF</t>
  </si>
  <si>
    <t>R0-V128 B0  #008000</t>
  </si>
  <si>
    <t>R0-V255 B0  #00FF00</t>
  </si>
  <si>
    <t>R255-V153 B204   #FF99CC</t>
  </si>
  <si>
    <t>R50-V204 B255   #00CCFF</t>
  </si>
  <si>
    <t>R255-V204 B0   #FFCC00</t>
  </si>
  <si>
    <t>R0-V255 B0   #00FF00</t>
  </si>
  <si>
    <t>R153-V204 B255   #99CCFF</t>
  </si>
  <si>
    <t>R0-V102 B204   #0066CC</t>
  </si>
  <si>
    <t>IDENTIFICATION  DES "GRIILES" DE MENUS    à Copier / Coller</t>
  </si>
  <si>
    <t>Auteur : Joel Leboucher • Rochefort sur Mer |  Date : 02 Juillet 2025  |  heure : 16h30</t>
  </si>
  <si>
    <t>GRILLE À REMPLIR — EHPAD / PERSONNES ÂGÉES : 28 DÉJEUNERS + 28 DÎNERS       EXEMPLE NON VALIDÉ</t>
  </si>
  <si>
    <t>GRILLE À REMPLIR — CONTRÔLE SUR 20 REPAS SUCCESSIFS    SCOLAIRE       EXEMPLE NON VALIDÉ</t>
  </si>
  <si>
    <t>AINÉS</t>
  </si>
  <si>
    <t>SENIORS</t>
  </si>
  <si>
    <t>GRILLE À REMPLIR — EHPAD / PERSONNES ÂGÉES : 28 DÉJEUNERS + 28 DÎNERS       MODÈLE A DUPLIQUER</t>
  </si>
  <si>
    <t>GRILLE À REMPLIR — CONTRÔLE SUR 20 REPAS SUCCESSIFS    SCOLAIRE            MODÈLE A DUPLIQUER</t>
  </si>
  <si>
    <t>❶ Remplir les 20 lignes repas. ❷ Utiliser les codes exacts de l’onglet LISTES_SOURCES. ❸ Lire le tableau de contrôle en bas.</t>
  </si>
  <si>
    <t>Personnes âgées : plaisir, environnement du repas, prévention dénutrition.</t>
  </si>
  <si>
    <t>https://sante.gouv.fr/IMG/pdf/Recueil_EHPAD-2.pdf</t>
  </si>
  <si>
    <t>Ministère de la Santé — alimentation en EHPAD</t>
  </si>
  <si>
    <t>Cadre restauration collective : publics, fréquences, portions, variété.</t>
  </si>
  <si>
    <t>GEM-RCN recommandation nutrition</t>
  </si>
  <si>
    <t>Conversion prudente en repères semaine, non réglementaire.</t>
  </si>
  <si>
    <t>https://www.legifrance.gouv.fr/jorf/article_jo/JORFARTI000024614772</t>
  </si>
  <si>
    <t>Annexe I de l'arrêté — fréquences</t>
  </si>
  <si>
    <t>Rappel : contrôle scolaire officiel sur 20 repas successifs.</t>
  </si>
  <si>
    <t>Arrêté restauration scolaire 30/09/2011</t>
  </si>
  <si>
    <t>Appui scientifique pour publics spécifiques.</t>
  </si>
  <si>
    <t>https://www.anses.fr/fr/content/nutrition-des-enfants-des-personnes-agees-et-des-femmes-enceintes-ou-allaitantes-lanses</t>
  </si>
  <si>
    <t>ANSES — nutrition enfants/personnes âgées</t>
  </si>
  <si>
    <t>Crèche : textures, variété, répétition des aliments, protéines en quantités adaptées.</t>
  </si>
  <si>
    <t>https://www.mangerbouger.fr/ressources-pros/elaboration-des-recommandations-nutritionnelles/les-recommandations-sur-la-diversification-alimentaire-des-enfants-jusqu-a-3-ans</t>
  </si>
  <si>
    <t>Diversification 0-3 ans — Manger Bouger</t>
  </si>
  <si>
    <t>Adultes sédentaires, étudiants, travailleurs de force : qualité alimentaire et ajustement des portions.</t>
  </si>
  <si>
    <t>https://www.mangerbouger.fr/manger-mieux/a-tout-age-et-a-chaque-etape-de-la-vie/les-recommandations-alimentaires-pour-les-adultes</t>
  </si>
  <si>
    <t>Recommandations adultes — Manger Bouger</t>
  </si>
  <si>
    <t>Repères généraux : fruits/légumes, légumes secs, limiter gras/sucré/salé, activité/sédentarité.</t>
  </si>
  <si>
    <t>https://www.mangerbouger.fr/ressources-pros/le-programme-national-nutrition-sante-pnns</t>
  </si>
  <si>
    <t>PNNS / Santé publique France</t>
  </si>
  <si>
    <t>Utilisation dans l'onglet</t>
  </si>
  <si>
    <t>Lien</t>
  </si>
  <si>
    <t>Sources et limites</t>
  </si>
  <si>
    <t>Verdict 10 repas</t>
  </si>
  <si>
    <t>Verdict 5 repas</t>
  </si>
  <si>
    <t>Nombre de critères à corriger</t>
  </si>
  <si>
    <t>Nombre de critères OK</t>
  </si>
  <si>
    <t>Synthèse 10 repas</t>
  </si>
  <si>
    <t>Synthèse 5 repas</t>
  </si>
  <si>
    <t>Enfants, personnes âgées</t>
  </si>
  <si>
    <t>À adapter : enfants et EHPAD ont une vigilance calcium/protéines plus forte.</t>
  </si>
  <si>
    <t>Produit laitier ou source de calcium</t>
  </si>
  <si>
    <t>Tous</t>
  </si>
  <si>
    <t>À compenser par fruits/laitages simples.</t>
  </si>
  <si>
    <t>Dessert pâtissier/sucré marqué</t>
  </si>
  <si>
    <t>Repère de limitation ; pas une interdiction absolue.</t>
  </si>
  <si>
    <t>Produit frit/pané/plat très gras</t>
  </si>
  <si>
    <t>Adultes sédentaires, scolaires</t>
  </si>
  <si>
    <t>Limiter les répétitions dans la semaine.</t>
  </si>
  <si>
    <t>Viande rouge ou charcuterie</t>
  </si>
  <si>
    <t>Crèche/EHPAD : texture et sécurité</t>
  </si>
  <si>
    <t>Varier les protéines ; surveiller arêtes/allergènes.</t>
  </si>
  <si>
    <t>Écoles/étudiants/adultes</t>
  </si>
  <si>
    <t>À intégrer progressivement pour fibres/protéines végétales.</t>
  </si>
  <si>
    <t>Travailleurs de force : plutôt haut ; sédentaires : portions adaptées</t>
  </si>
  <si>
    <t>Nécessaire, mais à doser selon activité.</t>
  </si>
  <si>
    <t>Féculent/céréale/légume sec</t>
  </si>
  <si>
    <t>Corrige les semaines trop féculentes.</t>
  </si>
  <si>
    <t>Légume cuit en vraie garniture</t>
  </si>
  <si>
    <t>Crèche selon âge/texture ; EHPAD selon mastication</t>
  </si>
  <si>
    <t>Repère pédagogique dérivé des fréquences sur 20 repas.</t>
  </si>
  <si>
    <t>Crudité ou fruit cru</t>
  </si>
  <si>
    <t>Base minimum : un repas sans fruit/légume doit être corrigé.</t>
  </si>
  <si>
    <t>Repas avec fruit ou légume réel</t>
  </si>
  <si>
    <t>Publics à adapter</t>
  </si>
  <si>
    <t>Lecture métier</t>
  </si>
  <si>
    <t>Observé 10 repas</t>
  </si>
  <si>
    <t>Max 10 repas</t>
  </si>
  <si>
    <t>Min 10 repas</t>
  </si>
  <si>
    <t>Observé 5 repas</t>
  </si>
  <si>
    <t>Max 5 repas</t>
  </si>
  <si>
    <t>Min 5 repas</t>
  </si>
  <si>
    <t>GRILLE DE CONTRÔLE SEMAINE — saisir les nombres observés</t>
  </si>
  <si>
    <t>EHPAD : hachis moelleux, purée, sauce, entremets lacté.</t>
  </si>
  <si>
    <t>Acceptabilité, déglutition, confort.</t>
  </si>
  <si>
    <t>Dîner moelleux/hydratant.</t>
  </si>
  <si>
    <t>Déjeuner sec ou difficile à mâcher</t>
  </si>
  <si>
    <t>Soir : lentilles-carottes + fruit.</t>
  </si>
  <si>
    <t>Limiter répétition viande rouge/charcuterie.</t>
  </si>
  <si>
    <t>Dîner sans charcuterie ; privilégier œuf, poisson ou légumineuse.</t>
  </si>
  <si>
    <t>Déjeuner viande rouge/charcuterie</t>
  </si>
  <si>
    <t>Midi : fromage ; soir : yaourt nature + compote peu sucrée.</t>
  </si>
  <si>
    <t>Maîtrise sel/lipides.</t>
  </si>
  <si>
    <t>Dîner avec laitage simple ou fruit.</t>
  </si>
  <si>
    <t>Déjeuner avec fromage salé/gras</t>
  </si>
  <si>
    <t>Soir : potage + poisson + fromage blanc + pomme.</t>
  </si>
  <si>
    <t>Fibres/vitamines ; fraîcheur.</t>
  </si>
  <si>
    <t>Ajouter fruit cru ou crudité facile.</t>
  </si>
  <si>
    <t>Déjeuner pauvre en crudités/fruits crus</t>
  </si>
  <si>
    <t>Midi : pâtes bolognaise ; soir : omelette + ratatouille + fruit.</t>
  </si>
  <si>
    <t>Éviter cumul amidon/énergie.</t>
  </si>
  <si>
    <t>Dîner avec légume dominant + portion protéique adaptée.</t>
  </si>
  <si>
    <t>Déjeuner riche en féculents</t>
  </si>
  <si>
    <t>Exemple terrain</t>
  </si>
  <si>
    <t>Pourquoi</t>
  </si>
  <si>
    <t>Correction au dîner</t>
  </si>
  <si>
    <t>Cas constaté au déjeuner</t>
  </si>
  <si>
    <t>Dîner trop pauvre ; protéines insuffisantes ; viande sèche ; hydratation oubliée.</t>
  </si>
  <si>
    <t>Enrichir si besoin, privilégier moelleux, goûts connus, petites portions denses.</t>
  </si>
  <si>
    <t>Appliquer un régime adulte allégé.</t>
  </si>
  <si>
    <t>Repas du soir trop pauvre, légumes difficiles, viande sèche, restriction excessive.</t>
  </si>
  <si>
    <t>Protéines, produits laitiers, plats moelleux, sauces utiles, collations.</t>
  </si>
  <si>
    <t>Menus fractionnables, protéines/calcium/hydratation, textures adaptées.</t>
  </si>
  <si>
    <t>Prévenir dénutrition, déshydratation, perte d'appétit ; maintenir plaisir.</t>
  </si>
  <si>
    <t>Personnes âgées en EHPAD</t>
  </si>
  <si>
    <t>Énergie apportée par fritures plutôt que par féculents/légumineuses.</t>
  </si>
  <si>
    <t>Augmenter énergie propre : féculent, légumineuse, pain, huile de qualité.</t>
  </si>
  <si>
    <t>Faire un menu trop lourd et pauvre en légumes.</t>
  </si>
  <si>
    <t>Compenser par fritures, charcuteries, pâtisseries systématiques.</t>
  </si>
  <si>
    <t>Féculents, pain adapté, protéines, légumes, matières grasses de qualité.</t>
  </si>
  <si>
    <t>Portions féculents plus généreuses, collation possible, hydratation.</t>
  </si>
  <si>
    <t>Couvrir les besoins énergétiques sans dégrader la qualité.</t>
  </si>
  <si>
    <t>Portions féculents/sauces trop hautes, légumes trop bas.</t>
  </si>
  <si>
    <t>Garder féculent raisonnable, augmenter légumes, dessert fruit/laitage.</t>
  </si>
  <si>
    <t>Alléger en supprimant tout féculent.</t>
  </si>
  <si>
    <t>Sauces grasses, charcuterie, desserts riches répétés.</t>
  </si>
  <si>
    <t>Fibres, légumes secs, fruits, eau.</t>
  </si>
  <si>
    <t>Plus de légumes, portions féculents adaptées, protéines variées.</t>
  </si>
  <si>
    <t>Densité énergétique maîtrisée sans repas punitif.</t>
  </si>
  <si>
    <t>Manque légumes + repas trop gras/salé.</t>
  </si>
  <si>
    <t>Augmenter volume légumes, proposer plat complet économique.</t>
  </si>
  <si>
    <t>Confondre quantité et équilibre.</t>
  </si>
  <si>
    <t>Menus trop gras/salés, boissons sucrées, manque de légumes.</t>
  </si>
  <si>
    <t>Légumineuses, plats complets, fruits, eau, offre végétarienne cohérente.</t>
  </si>
  <si>
    <t>Repas nourrissants : féculent + légume + protéine, dessert simple.</t>
  </si>
  <si>
    <t>Satiété, prix, variété, autonomie alimentaire.</t>
  </si>
  <si>
    <t>Répétition pâtes/frites/panés/desserts sucrés.</t>
  </si>
  <si>
    <t>Conserver un plat apprécié mais corriger entrée/dessert/garniture.</t>
  </si>
  <si>
    <t>Faire plaisir seulement avec féculent + sucré.</t>
  </si>
  <si>
    <t>Produits panés, desserts sucrés, charcuterie.</t>
  </si>
  <si>
    <t>Légumes secs, céréales complètes progressives, fruits de saison.</t>
  </si>
  <si>
    <t>Alterner légumes/féculents ; prévoir poisson, légumineuse, fruit cru.</t>
  </si>
  <si>
    <t>Installer variété et repères PNNS sans perdre l'acceptabilité.</t>
  </si>
  <si>
    <t>Assiette trop chargée ; légumes rejetés faute de présentation.</t>
  </si>
  <si>
    <t>Petites portions, présentation attractive, répétition sans forcer.</t>
  </si>
  <si>
    <t>Chercher l'équilibre par grande portion.</t>
  </si>
  <si>
    <t>Fritures, sauces lourdes, morceaux difficiles, répétition pâtes/frites.</t>
  </si>
  <si>
    <t>Crudités/fruits crus, légumes cuits acceptables, laitages simples.</t>
  </si>
  <si>
    <t>5 déjeuners lisibles : couleur, légume, féculent, protéine, laitage/fruit.</t>
  </si>
  <si>
    <t>Éduquer au goût sans surcharger l'assiette.</t>
  </si>
  <si>
    <t>École maternelle</t>
  </si>
  <si>
    <t>Texture trop avancée ; sel/sucre ; portion protéique excessive.</t>
  </si>
  <si>
    <t>Adapter grammage, hachage/mixage/morceaux, cuisson fondante, goût doux mais pas fade.</t>
  </si>
  <si>
    <t>Faire un menu de petit adulte.</t>
  </si>
  <si>
    <t>Sel, sucre, produits crus à risque, lait cru/fromage lait cru, textures non adaptées.</t>
  </si>
  <si>
    <t>Légumes variés, fruits, matières grasses ajoutées de qualité, protéines en petites quantités.</t>
  </si>
  <si>
    <t>Menus simples, très cuits si nécessaire, introduction progressive, répétition des aliments.</t>
  </si>
  <si>
    <t>Sécuriser diversification, textures, portions et apprentissage du goût.</t>
  </si>
  <si>
    <t>Signaux d'alerte à corriger</t>
  </si>
  <si>
    <t>Correction terrain</t>
  </si>
  <si>
    <t>Erreur fréquente</t>
  </si>
  <si>
    <t>À limiter / surveiller</t>
  </si>
  <si>
    <t>À renforcer</t>
  </si>
  <si>
    <t>Repère semaine</t>
  </si>
  <si>
    <t>Objectif prioritaire</t>
  </si>
  <si>
    <t>Composer d'abord, adapter ensuite, contrôler enfin.</t>
  </si>
  <si>
    <t>Méthode</t>
  </si>
  <si>
    <t>Corriger par légumes de saison, fruit cru, herbes, purée colorée.</t>
  </si>
  <si>
    <t>Un menu équilibré mais visuellement triste est moins accepté.</t>
  </si>
  <si>
    <t>Acceptabilité, appétence, pédagogie visuelle.</t>
  </si>
  <si>
    <t>Éviter répétition brun/beige midi + soir.</t>
  </si>
  <si>
    <t>Au moins 3 couleurs alimentaires visibles dans la semaine.</t>
  </si>
  <si>
    <t>Couleurs et saison</t>
  </si>
  <si>
    <t>etc…</t>
  </si>
  <si>
    <t>Fromage &gt;150mg</t>
  </si>
  <si>
    <t>Pour le scolaire : conserver ensuite le contrôle officiel sur 20 repas successifs.</t>
  </si>
  <si>
    <t>Réduire sauces grasses, choisir jus de cuisson, coulis, sauce légume.</t>
  </si>
  <si>
    <t>Crèche/EHPAD : textures et tolérance avant recherche d'effet gustatif fort.</t>
  </si>
  <si>
    <t>Plaisir, hydratation, maîtrise sel/sucre.</t>
  </si>
  <si>
    <t>Alléger le soir ; assaisonner avec herbes, épices douces, acidité.</t>
  </si>
  <si>
    <t>Sauce utile si elle sert le plat, pas automatique.</t>
  </si>
  <si>
    <t>Sel, sucre, sauces</t>
  </si>
  <si>
    <t>Protéine + Cuidité</t>
  </si>
  <si>
    <t>Fromage 100-150mg</t>
  </si>
  <si>
    <t>Si une semaine est trop beige/brune, corriger par crudité, légume coloré, fruit cru ou soupe de saison.</t>
  </si>
  <si>
    <t>Correction</t>
  </si>
  <si>
    <t>Privilégier cuisson four, vapeur, rôtie, mijotée, sauce courte.</t>
  </si>
  <si>
    <t>Ne pas compenser un menu faible par friture ou dessert sucré.</t>
  </si>
  <si>
    <t>Contrôle densité énergétique et qualité lipidique.</t>
  </si>
  <si>
    <t>Limiter ; éviter les doublons dans la même journée.</t>
  </si>
  <si>
    <t>Limiter ; éviter plus d'une présence marquée sur 5.</t>
  </si>
  <si>
    <t>Produits gras, frits, panés, pâtisseries</t>
  </si>
  <si>
    <t>Protéine + Crudité</t>
  </si>
  <si>
    <t>Fromage &lt; 100mg</t>
  </si>
  <si>
    <t>Ce cadencier n'est pas une obligation : il montre comment alterner les familles sans créer d'usine à gaz.</t>
  </si>
  <si>
    <t>Remplacer pâtisserie par yaourt/fromage blanc/fruit + laitage.</t>
  </si>
  <si>
    <t>Fromages au lait cru : vigilance enfants &lt; 5 ans.</t>
  </si>
  <si>
    <t>Calcium, protéines, repères enfants/personnes âgées.</t>
  </si>
  <si>
    <t>Répartir midi/soir selon le public, sans excès de fromages gras/salés.</t>
  </si>
  <si>
    <t>Prévoir une source adaptée dans le repas : lait, yaourt, fromage, dessert lacté simple.</t>
  </si>
  <si>
    <t>Produits laitiers / source de calcium</t>
  </si>
  <si>
    <t>Féculent + Cuidité</t>
  </si>
  <si>
    <t>Laitage simple</t>
  </si>
  <si>
    <t>Viande/poisson selon semaine</t>
  </si>
  <si>
    <t>Choisir recettes moelleuses : sauce légère, parmentier poisson, brandade équilibrée.</t>
  </si>
  <si>
    <t>Arêtes, texture, allergènes, cuisson sèche.</t>
  </si>
  <si>
    <t>Oméga-3, iode, variété protéique.</t>
  </si>
  <si>
    <t>1 à 2 fois sur 10 ; intégrer poisson gras selon acceptabilité.</t>
  </si>
  <si>
    <t>1 fois sur 5 est un bon repère pédagogique.</t>
  </si>
  <si>
    <t>Féculent + Crudité</t>
  </si>
  <si>
    <t>Protéine</t>
  </si>
  <si>
    <t>Légume + céréale</t>
  </si>
  <si>
    <t>Plat végétarien maîtrisé</t>
  </si>
  <si>
    <t>Crudité</t>
  </si>
  <si>
    <t>Alterner poisson, œuf, volaille, légumineuse.</t>
  </si>
  <si>
    <t>Ne pas enchaîner viande rouge/charcuterie/friture.</t>
  </si>
  <si>
    <t>Construction du repas, couverture protéique.</t>
  </si>
  <si>
    <t>Répartir sans doublon lourd midi/soir.</t>
  </si>
  <si>
    <t>Varier : volaille, poisson, œuf, viande, légumineuse, plat végétarien maîtrisé.</t>
  </si>
  <si>
    <t>Protéines animales/végétales</t>
  </si>
  <si>
    <t>Cuidité + cFéculent</t>
  </si>
  <si>
    <t>Féculent</t>
  </si>
  <si>
    <t>Œuf ou légumineuse</t>
  </si>
  <si>
    <t>Fruit ou crudité</t>
  </si>
  <si>
    <t>Introduire lentilles, pois chiches, haricots, pois cassés en petites portions.</t>
  </si>
  <si>
    <t>Tester l'acceptabilité : assaisonnement, texture, association céréales/légumes.</t>
  </si>
  <si>
    <t>Fibres, protéines végétales, diversification.</t>
  </si>
  <si>
    <t>1 à 2 apparitions ; en plat, garniture ou entrée.</t>
  </si>
  <si>
    <t>Au moins 1 apparition utile dans la semaine si possible.</t>
  </si>
  <si>
    <t>Légumineuses</t>
  </si>
  <si>
    <t>Cuidité + Crudité</t>
  </si>
  <si>
    <t>Cuidité</t>
  </si>
  <si>
    <t>Féculent + légume</t>
  </si>
  <si>
    <t>Cuidité/soupe</t>
  </si>
  <si>
    <t>Passer en demi-garniture ou ajouter légumes.</t>
  </si>
  <si>
    <t>Éviter féculent en entrée + féculent en garniture + dessert pâtissier.</t>
  </si>
  <si>
    <t>Énergie, satiété, acceptabilité.</t>
  </si>
  <si>
    <t>Environ 5 fois sur 10 ; portion modulée selon activité et âge.</t>
  </si>
  <si>
    <t>2 à 3 fois sur 5 ; varier pomme de terre, riz, pâtes, semoule, céréales, légumineuses.</t>
  </si>
  <si>
    <t>Crudité + Cuidité</t>
  </si>
  <si>
    <t>Volaille ou plat simple</t>
  </si>
  <si>
    <t>Remplacer une garniture féculente par légume cuit ou duo légume/féculent.</t>
  </si>
  <si>
    <t>Ne pas compter uniquement une sauce tomate ou quelques dés décoratifs.</t>
  </si>
  <si>
    <t>Fibres, satiété, équilibre avec féculents.</t>
  </si>
  <si>
    <t>Environ 5 fois sur 10, davantage possible le soir.</t>
  </si>
  <si>
    <t>2 à 3 fois sur 5 comme garniture réelle.</t>
  </si>
  <si>
    <t>Légumes cuits</t>
  </si>
  <si>
    <t>Plat / protéine</t>
  </si>
  <si>
    <t>Ajouter crudité, cuidité, fruit cru ou légume cuit sur les jours faibles.</t>
  </si>
  <si>
    <t>Ne pas remplacer systématiquement par compote ou jus.</t>
  </si>
  <si>
    <t>Fibres, vitamines, volume alimentaire, couleurs.</t>
  </si>
  <si>
    <t>Présents midi et soir, formes variées : cru, cuit, soupe, compote sans excès de sucre.</t>
  </si>
  <si>
    <t>Présents chaque jour ; viser crudités/fruits crus plusieurs fois.</t>
  </si>
  <si>
    <t>Fruits et légumes</t>
  </si>
  <si>
    <t>Exemple de cadence 5 déjeuners</t>
  </si>
  <si>
    <t>Correction si déséquilibre</t>
  </si>
  <si>
    <t>Rôle diététique</t>
  </si>
  <si>
    <t>Repère midi + soir — 10 repas</t>
  </si>
  <si>
    <t>Repère 1 menu/jour — 5 déjeuners</t>
  </si>
  <si>
    <t>Critère semaine</t>
  </si>
  <si>
    <t>En midi/soir : le soir compense le midi, il ne le répète pas.</t>
  </si>
  <si>
    <t>✓</t>
  </si>
  <si>
    <t>En EHPAD et chez l'enfant jeune, l'objectif n'est pas d'alléger à tout prix : il faut couvrir les besoins, préserver le plaisir et sécuriser.</t>
  </si>
  <si>
    <t>Ne pas confondre équilibre et restriction</t>
  </si>
  <si>
    <t>Texture, grammage et sécurité adaptés au public.</t>
  </si>
  <si>
    <t>Même équilibre général, mais portions, textures, densité énergétique, calcium/protéines et hydratation changent selon le convive.</t>
  </si>
  <si>
    <t>Adapter au public</t>
  </si>
  <si>
    <t>Poisson ou légumineuse présents dans la semaine.</t>
  </si>
  <si>
    <t>Le soir compense le midi : si midi riche en féculents/sauce/fromage, soir plus végétal, simple et digeste.</t>
  </si>
  <si>
    <t>Comparer midi/soir si le document le permet</t>
  </si>
  <si>
    <t>Pas de cumul féculent lourd + sauce grasse + dessert pâtissier.</t>
  </si>
  <si>
    <t>Utiliser l'entrée et le dessert pour corriger : crudité, fruit cru, produit laitier, texture, couleur, saison.</t>
  </si>
  <si>
    <t>Ajuster entrée et dessert</t>
  </si>
  <si>
    <t>Entrée et dessert corrigent les manques du plat.</t>
  </si>
  <si>
    <t>Alterner légumes cuits et féculents/céréales/légumineuses. Éviter deux féculents lourds le même jour.</t>
  </si>
  <si>
    <t>Choisir la garniture</t>
  </si>
  <si>
    <t>Un fruit ou légume réel apparaît chaque jour.</t>
  </si>
  <si>
    <t>Identifier la protéine ou le plat central : viande, poisson, œufs, légumineuses, plat végétarien.</t>
  </si>
  <si>
    <t>Commencer par le plat principal</t>
  </si>
  <si>
    <t>Checklist minute avant validation</t>
  </si>
  <si>
    <t>Attention : la semaine de 5 ou 10 repas est un outil de pré-équilibrage. Pour la restauration scolaire, le contrôle réglementaire des fréquences se fait sur 20 repas successifs.</t>
  </si>
  <si>
    <t>Publics : crèche, maternelle, primaire, étudiants, adultes sédentaires, travailleurs de force, personnes âgées en EHPAD</t>
  </si>
  <si>
    <t>ÉQUILIBRER LES MENUS SUR 1 SEMAINE — OUTIL DIÉTÉTIQUE TERRAIN</t>
  </si>
  <si>
    <t>ADEME / Interfel / MangerBouger + correction métier prudente</t>
  </si>
  <si>
    <t>Repère indicatif France métropolitaine ; à ajuster selon région, météo et fournisseur.</t>
  </si>
  <si>
    <t>Repère complété</t>
  </si>
  <si>
    <t>OUI</t>
  </si>
  <si>
    <t>Ancienne base vide</t>
  </si>
  <si>
    <t>Janvier, Février, Mars, Novembre, Décembre</t>
  </si>
  <si>
    <t>Saison locale indicative</t>
  </si>
  <si>
    <t>TUBERCULES</t>
  </si>
  <si>
    <t>IVOIRE</t>
  </si>
  <si>
    <t>Féculent / Légume</t>
  </si>
  <si>
    <t>Légume</t>
  </si>
  <si>
    <t>TOPINAMBOURS</t>
  </si>
  <si>
    <t>P161</t>
  </si>
  <si>
    <t>Saison locale à privilégier ; hors saison, vérifier serre chauffée/import.</t>
  </si>
  <si>
    <t>Juin, Juillet, Août, Septembre, Octobre</t>
  </si>
  <si>
    <t>JAUNE</t>
  </si>
  <si>
    <t>Cru / Hors-d’œuvre</t>
  </si>
  <si>
    <t>Légume-fruit</t>
  </si>
  <si>
    <t>TOM.  jaunes</t>
  </si>
  <si>
    <t>P160</t>
  </si>
  <si>
    <t>Fruits Légumiers</t>
  </si>
  <si>
    <t>Cru / Cuit / Hors-d’œuvre</t>
  </si>
  <si>
    <t>TOM. Cerises</t>
  </si>
  <si>
    <t>P159</t>
  </si>
  <si>
    <t>Printemps: Printemps | Été: Été | Automne: Automne</t>
  </si>
  <si>
    <t>ROUGE</t>
  </si>
  <si>
    <t>Cru / Cuit / Hors-d’œuvre / Légume</t>
  </si>
  <si>
    <t>TOMATES</t>
  </si>
  <si>
    <t>P158</t>
  </si>
  <si>
    <t>TOM. Romaines</t>
  </si>
  <si>
    <t>P157</t>
  </si>
  <si>
    <t>TOM. Olivettes</t>
  </si>
  <si>
    <t>P156</t>
  </si>
  <si>
    <t>TOM. Marmande</t>
  </si>
  <si>
    <t>P155</t>
  </si>
  <si>
    <t>FEUILLES</t>
  </si>
  <si>
    <t>TETRAGONES</t>
  </si>
  <si>
    <t>P154</t>
  </si>
  <si>
    <t>Produit sec, transformé, germé ou de conservation : saison locale peu pertinente.</t>
  </si>
  <si>
    <t>Toute année en sec / conservation</t>
  </si>
  <si>
    <t>Conservation / sec</t>
  </si>
  <si>
    <t>Pousses de Graines germées</t>
  </si>
  <si>
    <t>BLANC</t>
  </si>
  <si>
    <t>Cru / Hors-d’œuvre / Légume</t>
  </si>
  <si>
    <t>Féculent / sec</t>
  </si>
  <si>
    <t>SOJA</t>
  </si>
  <si>
    <t>P153</t>
  </si>
  <si>
    <t>Féculent / Hors-d’œuvre / Légume</t>
  </si>
  <si>
    <t>SEMOULE</t>
  </si>
  <si>
    <t>P152</t>
  </si>
  <si>
    <t>Janvier, Février, Mars, Octobre, Novembre, Décembre</t>
  </si>
  <si>
    <t>RACINES</t>
  </si>
  <si>
    <t>Cuit / Légume</t>
  </si>
  <si>
    <t>SCORSONERES</t>
  </si>
  <si>
    <t>P151</t>
  </si>
  <si>
    <t>Repris + normalisé</t>
  </si>
  <si>
    <t>NON</t>
  </si>
  <si>
    <t>Hiver: hiver exclusivité</t>
  </si>
  <si>
    <t>SALSIFIS</t>
  </si>
  <si>
    <t>P150</t>
  </si>
  <si>
    <t>Repère salade indicatif : variété, abri, plein champ et fournisseur peuvent modifier la période.</t>
  </si>
  <si>
    <t>Salade</t>
  </si>
  <si>
    <t>Sal.TREVISE</t>
  </si>
  <si>
    <t>P149</t>
  </si>
  <si>
    <t>Hiver: Hiver | Printemps: Printemps | Été: Été | Automne: Automne</t>
  </si>
  <si>
    <t>Janvier, Février, Mars, Septembre, Octobre, Novembre, Décembre</t>
  </si>
  <si>
    <t>VERT CLAIR</t>
  </si>
  <si>
    <t>Sal.SCAROLE</t>
  </si>
  <si>
    <t>P148</t>
  </si>
  <si>
    <t>Mai, Juin, Juillet, Août, Septembre, Octobre</t>
  </si>
  <si>
    <t>Sal.ROMAINE</t>
  </si>
  <si>
    <t>P147</t>
  </si>
  <si>
    <t>Mars, Avril</t>
  </si>
  <si>
    <t>Sal.PISSENLIT</t>
  </si>
  <si>
    <t>P146</t>
  </si>
  <si>
    <t>Avril, Mai, Juin, Juillet, Août, Septembre, Octobre</t>
  </si>
  <si>
    <t>Sal.MESCLUN</t>
  </si>
  <si>
    <t>P145</t>
  </si>
  <si>
    <t>VERT</t>
  </si>
  <si>
    <t>Sal.MACHE</t>
  </si>
  <si>
    <t>P144</t>
  </si>
  <si>
    <t>Sal.LOLA ROSA</t>
  </si>
  <si>
    <t>P143</t>
  </si>
  <si>
    <t>Sal.LAITUE</t>
  </si>
  <si>
    <t>P142</t>
  </si>
  <si>
    <t>Sal.KRISETTE</t>
  </si>
  <si>
    <t>P141</t>
  </si>
  <si>
    <t>Sal.ICEBERG</t>
  </si>
  <si>
    <t>P140</t>
  </si>
  <si>
    <t>Sal.FRISEE</t>
  </si>
  <si>
    <t>P139</t>
  </si>
  <si>
    <t>Sal.F. de CHENE</t>
  </si>
  <si>
    <t>P138</t>
  </si>
  <si>
    <t>Janvier, Février, Mars, Avril, Octobre, Novembre, Décembre</t>
  </si>
  <si>
    <t>Sal.ENDIVE</t>
  </si>
  <si>
    <t>P137</t>
  </si>
  <si>
    <t>Printemps: Printemps | Automne: Automne</t>
  </si>
  <si>
    <t>Janvier, Février, Mars, Avril, Mai, Septembre, Octobre, Novembre, Décembre</t>
  </si>
  <si>
    <t>Sal.CRESSON</t>
  </si>
  <si>
    <t>P136</t>
  </si>
  <si>
    <t>Cru</t>
  </si>
  <si>
    <t>Sal.CHICOREE</t>
  </si>
  <si>
    <t>P135</t>
  </si>
  <si>
    <t>Sal.BATAVIA</t>
  </si>
  <si>
    <t>P134</t>
  </si>
  <si>
    <t>RUTABAGAS</t>
  </si>
  <si>
    <t>P133</t>
  </si>
  <si>
    <t>RIZ</t>
  </si>
  <si>
    <t>P132</t>
  </si>
  <si>
    <t>Été: Été</t>
  </si>
  <si>
    <t>Août, Septembre, Octobre</t>
  </si>
  <si>
    <t>VIOLET</t>
  </si>
  <si>
    <t>Cru / Dessert</t>
  </si>
  <si>
    <t>RAISIN noir</t>
  </si>
  <si>
    <t>P131</t>
  </si>
  <si>
    <t>Été: Été | Automne: Automne exclusivité</t>
  </si>
  <si>
    <t>RAISIN blanc</t>
  </si>
  <si>
    <t>P130</t>
  </si>
  <si>
    <t>Hiver: Hiver | Printemps: Printemps | Automne: Automne</t>
  </si>
  <si>
    <t>Janvier, Février, Mars, Avril, Mai, Juin, Septembre, Octobre, Novembre, Décembre</t>
  </si>
  <si>
    <t>ROSE SAUMON</t>
  </si>
  <si>
    <t>RADIS Blancs-roses-noirs</t>
  </si>
  <si>
    <t>P129</t>
  </si>
  <si>
    <t>Juillet, Août, Septembre, Octobre</t>
  </si>
  <si>
    <t>Cru / Cuit / Dessert</t>
  </si>
  <si>
    <t>PRUNES</t>
  </si>
  <si>
    <t>P128</t>
  </si>
  <si>
    <t>Disponible par conservation une partie de l’année ; distinguer frais, stocké et transformé.</t>
  </si>
  <si>
    <t>Automne: Automne exclusivité</t>
  </si>
  <si>
    <t>Septembre, Octobre, Novembre, Décembre</t>
  </si>
  <si>
    <t>Saison + conservation</t>
  </si>
  <si>
    <t>ORANGE CLAIR</t>
  </si>
  <si>
    <t>Cuit / Hors-d’œuvre / Légume</t>
  </si>
  <si>
    <t>POTIRONS</t>
  </si>
  <si>
    <t>P127</t>
  </si>
  <si>
    <t>POMMES reine des reinettes</t>
  </si>
  <si>
    <t>P126</t>
  </si>
  <si>
    <t>Hiver: hiver présent  | Automne: Automne présent</t>
  </si>
  <si>
    <t>POMMES grany smith</t>
  </si>
  <si>
    <t>P125</t>
  </si>
  <si>
    <t>Hiver: hiver présent  | Printemps: Printemps présent | Automne: Automne présent</t>
  </si>
  <si>
    <t>Cru / Hors-d’œuvre / Dessert</t>
  </si>
  <si>
    <t>POMMES golden</t>
  </si>
  <si>
    <t>P124</t>
  </si>
  <si>
    <t>Hiver: hiver présent  | Printemps: Printemps | Été: Été | Automne: Automne présent</t>
  </si>
  <si>
    <t>POMMES de Terre</t>
  </si>
  <si>
    <t>P123</t>
  </si>
  <si>
    <t>Hiver: Hiver | Automne: Automne</t>
  </si>
  <si>
    <t>POMMES Canada</t>
  </si>
  <si>
    <t>P122</t>
  </si>
  <si>
    <t>Hiver: hiver présent  | Printemps: Printemps présent | Été: Été présent | Automne: Automne présent</t>
  </si>
  <si>
    <t>Janvier, Février, Mars, Avril, Mai, Novembre, Décembre</t>
  </si>
  <si>
    <t>Cru / Cuit / Hors-d’œuvre / Dessert</t>
  </si>
  <si>
    <t>POMÉLO</t>
  </si>
  <si>
    <t>P121</t>
  </si>
  <si>
    <t>POLENTA</t>
  </si>
  <si>
    <t>P120</t>
  </si>
  <si>
    <t>Été: Été | Automne: Automne</t>
  </si>
  <si>
    <t>POIVRONS Verts</t>
  </si>
  <si>
    <t>P119</t>
  </si>
  <si>
    <t>Cru / Cuit / Légume</t>
  </si>
  <si>
    <t>POIVRONS Rouges</t>
  </si>
  <si>
    <t>P118</t>
  </si>
  <si>
    <t>POIVRONS Jaunes</t>
  </si>
  <si>
    <t>P117</t>
  </si>
  <si>
    <t>BRUN</t>
  </si>
  <si>
    <t>POIS chiches</t>
  </si>
  <si>
    <t>P116</t>
  </si>
  <si>
    <t>CITRON VERT</t>
  </si>
  <si>
    <t>POIS cassés</t>
  </si>
  <si>
    <t>P115</t>
  </si>
  <si>
    <t>POIRES william</t>
  </si>
  <si>
    <t>P114</t>
  </si>
  <si>
    <t>Octobre, Novembre, Décembre</t>
  </si>
  <si>
    <t>POIRES comice</t>
  </si>
  <si>
    <t>P113</t>
  </si>
  <si>
    <t>Été: Été exclusivité</t>
  </si>
  <si>
    <t>Juillet, Août</t>
  </si>
  <si>
    <t>POIRES cardinal</t>
  </si>
  <si>
    <t>P112</t>
  </si>
  <si>
    <t>Septembre, Octobre, Novembre</t>
  </si>
  <si>
    <t>POIRES beurré hardy</t>
  </si>
  <si>
    <t>P111</t>
  </si>
  <si>
    <t>Août, Septembre, Octobre, Novembre, Décembre</t>
  </si>
  <si>
    <t>POIRES</t>
  </si>
  <si>
    <t>P110</t>
  </si>
  <si>
    <t>Janvier, Février, Mars, Avril, Septembre, Octobre, Novembre, Décembre</t>
  </si>
  <si>
    <t>Cuit / Hors-d’œuvre</t>
  </si>
  <si>
    <t>POIREAU vert</t>
  </si>
  <si>
    <t>P109</t>
  </si>
  <si>
    <t>POIREAU blanc</t>
  </si>
  <si>
    <t>P108</t>
  </si>
  <si>
    <t>Printemps: Printemps | Été: Été</t>
  </si>
  <si>
    <t>Mai, Juin, Juillet</t>
  </si>
  <si>
    <t>PETITS POIS</t>
  </si>
  <si>
    <t>P107</t>
  </si>
  <si>
    <t>Juin, Juillet, Août, Septembre</t>
  </si>
  <si>
    <t>JAUNE CLAIR</t>
  </si>
  <si>
    <t>PECHES</t>
  </si>
  <si>
    <t>P106</t>
  </si>
  <si>
    <t>PATISSONS</t>
  </si>
  <si>
    <t>P105</t>
  </si>
  <si>
    <t>PATES diverses</t>
  </si>
  <si>
    <t>P104</t>
  </si>
  <si>
    <t>PATATES Douces</t>
  </si>
  <si>
    <t>P103</t>
  </si>
  <si>
    <t>PASTÈQUE</t>
  </si>
  <si>
    <t>P102</t>
  </si>
  <si>
    <t>Janvier, Février, Mars, Avril, Décembre</t>
  </si>
  <si>
    <t>POIRE passe crassane</t>
  </si>
  <si>
    <t>P101</t>
  </si>
  <si>
    <t>PANAIS</t>
  </si>
  <si>
    <t>P100</t>
  </si>
  <si>
    <t>Printemps: Printemps présent | Été: Été présent | Automne: Automne présent</t>
  </si>
  <si>
    <t>PAMPLEMOUSSE</t>
  </si>
  <si>
    <t>P099</t>
  </si>
  <si>
    <t>Hiver: hiver présent  | Printemps: Printemps présent | Été: Été présent</t>
  </si>
  <si>
    <t>ORANGE</t>
  </si>
  <si>
    <t>ORANGES</t>
  </si>
  <si>
    <t>P098</t>
  </si>
  <si>
    <t>Printemps: Printemps exclusivité</t>
  </si>
  <si>
    <t>Avril, Mai, Juin, Juillet</t>
  </si>
  <si>
    <t>Aromatique</t>
  </si>
  <si>
    <t>OIGNONS blancs</t>
  </si>
  <si>
    <t>P097</t>
  </si>
  <si>
    <t>Juillet, Août, Septembre</t>
  </si>
  <si>
    <t>BULBES</t>
  </si>
  <si>
    <t>OIGNONS</t>
  </si>
  <si>
    <t>P096</t>
  </si>
  <si>
    <t>Hiver: Hiver | Automne: Automne exclusivité</t>
  </si>
  <si>
    <t>Septembre, Octobre</t>
  </si>
  <si>
    <t>NOIX</t>
  </si>
  <si>
    <t>P095</t>
  </si>
  <si>
    <t>NECTARINES</t>
  </si>
  <si>
    <t>P094</t>
  </si>
  <si>
    <t>Hiver: Hiver | Printemps: Printemps exclusivité | Automne: Automne</t>
  </si>
  <si>
    <t>Janvier, Février, Mars, Avril, Mai, Octobre, Novembre, Décembre</t>
  </si>
  <si>
    <t>NAVETS</t>
  </si>
  <si>
    <t>P093</t>
  </si>
  <si>
    <t>Août, Septembre</t>
  </si>
  <si>
    <t>ROUGE FONCÉ</t>
  </si>
  <si>
    <t>MURES</t>
  </si>
  <si>
    <t>P092</t>
  </si>
  <si>
    <t>MIRABELLES</t>
  </si>
  <si>
    <t>P091</t>
  </si>
  <si>
    <t>MELONS</t>
  </si>
  <si>
    <t>P090</t>
  </si>
  <si>
    <t>MARRON</t>
  </si>
  <si>
    <t>MARRONS</t>
  </si>
  <si>
    <t>P089</t>
  </si>
  <si>
    <t>I</t>
  </si>
  <si>
    <t>Produit principalement importé/exotique : contrôler l’origine et la politique achat.</t>
  </si>
  <si>
    <t>Toute année en import / exotique</t>
  </si>
  <si>
    <t>Import / exotique</t>
  </si>
  <si>
    <t>Exotique / import</t>
  </si>
  <si>
    <t>MANGUES</t>
  </si>
  <si>
    <t>P088</t>
  </si>
  <si>
    <t>Janvier, Février, Novembre, Décembre</t>
  </si>
  <si>
    <t>MANDARINES</t>
  </si>
  <si>
    <t>P087</t>
  </si>
  <si>
    <t>MAIS doux</t>
  </si>
  <si>
    <t>P086</t>
  </si>
  <si>
    <t>MAIS blanc</t>
  </si>
  <si>
    <t>P085</t>
  </si>
  <si>
    <t>LUZERNE</t>
  </si>
  <si>
    <t>P084</t>
  </si>
  <si>
    <t>LUPIN doux</t>
  </si>
  <si>
    <t>P083</t>
  </si>
  <si>
    <t>LIN</t>
  </si>
  <si>
    <t>P082</t>
  </si>
  <si>
    <t>LENTILLES</t>
  </si>
  <si>
    <t>P081</t>
  </si>
  <si>
    <t>Hiver: Hiver</t>
  </si>
  <si>
    <t>Janvier, Février, Mars, Avril, Novembre, Décembre</t>
  </si>
  <si>
    <t>KIWIS</t>
  </si>
  <si>
    <t>P080</t>
  </si>
  <si>
    <t>Janvier, Octobre, Novembre, Décembre</t>
  </si>
  <si>
    <t>KAKI</t>
  </si>
  <si>
    <t>P079</t>
  </si>
  <si>
    <t>IGNAME</t>
  </si>
  <si>
    <t>P078</t>
  </si>
  <si>
    <t>HARICOTS Verts</t>
  </si>
  <si>
    <t>P077</t>
  </si>
  <si>
    <t>HARICOTS rouges</t>
  </si>
  <si>
    <t>P076</t>
  </si>
  <si>
    <t>HARICOTS  roses</t>
  </si>
  <si>
    <t>P075</t>
  </si>
  <si>
    <t>HARICOTS  plats</t>
  </si>
  <si>
    <t>P074</t>
  </si>
  <si>
    <t>GRIS 50%</t>
  </si>
  <si>
    <t>HARICOTS  noirs</t>
  </si>
  <si>
    <t>P073</t>
  </si>
  <si>
    <t xml:space="preserve">HARICOTS blancs </t>
  </si>
  <si>
    <t>HARICOTS blancs</t>
  </si>
  <si>
    <t>P072</t>
  </si>
  <si>
    <t>HARICOTS  beurre</t>
  </si>
  <si>
    <t>P071</t>
  </si>
  <si>
    <t>HARICOTS à écosser</t>
  </si>
  <si>
    <t>P070</t>
  </si>
  <si>
    <t>Juin, Juillet, Août</t>
  </si>
  <si>
    <t>GROSEILLES</t>
  </si>
  <si>
    <t>P069</t>
  </si>
  <si>
    <t>GOMBOS</t>
  </si>
  <si>
    <t>P068</t>
  </si>
  <si>
    <t>Juin, Juillet, Août, Septembre, Octobre, Novembre</t>
  </si>
  <si>
    <t>Champignons</t>
  </si>
  <si>
    <t>Champignon</t>
  </si>
  <si>
    <t>GIROLES</t>
  </si>
  <si>
    <t>P067</t>
  </si>
  <si>
    <t>FRUITS à Pain</t>
  </si>
  <si>
    <t>P066</t>
  </si>
  <si>
    <t>FRAMBOISES</t>
  </si>
  <si>
    <t>P065</t>
  </si>
  <si>
    <t>FRAISES</t>
  </si>
  <si>
    <t>P064</t>
  </si>
  <si>
    <t>Mai, Juin</t>
  </si>
  <si>
    <t>BOUTONS à FLEUR et FLEURS</t>
  </si>
  <si>
    <t>Cuit / Dessert</t>
  </si>
  <si>
    <t>Fleur comestible</t>
  </si>
  <si>
    <t>FLEURS de Sureau</t>
  </si>
  <si>
    <t>P063</t>
  </si>
  <si>
    <t>FLEURS de Courgettes</t>
  </si>
  <si>
    <t>P062</t>
  </si>
  <si>
    <t>FLEURS de Courge</t>
  </si>
  <si>
    <t>P061</t>
  </si>
  <si>
    <t>FLEURS de Capucine</t>
  </si>
  <si>
    <t>P060</t>
  </si>
  <si>
    <t>FLEURS d'Acacia</t>
  </si>
  <si>
    <t>P059</t>
  </si>
  <si>
    <t>HA.FLAGEOLETS</t>
  </si>
  <si>
    <t>P058</t>
  </si>
  <si>
    <t>FIGUES</t>
  </si>
  <si>
    <t>P057</t>
  </si>
  <si>
    <t>Graines de Légumineuses Fraîches</t>
  </si>
  <si>
    <t>FEVES</t>
  </si>
  <si>
    <t>P056</t>
  </si>
  <si>
    <t>FEVEROLLES</t>
  </si>
  <si>
    <t>P055</t>
  </si>
  <si>
    <t>Mai, Juin, Juillet, Août, Septembre, Octobre, Novembre, Décembre</t>
  </si>
  <si>
    <t>FENOUIL</t>
  </si>
  <si>
    <t>P054</t>
  </si>
  <si>
    <t>Mars, Avril, Mai, Juin, Septembre, Octobre, Novembre, Décembre</t>
  </si>
  <si>
    <t>EPINARDS</t>
  </si>
  <si>
    <t>P053</t>
  </si>
  <si>
    <t>Hiver: hiver exclusivité | Automne: Automne</t>
  </si>
  <si>
    <t>RIZOMES</t>
  </si>
  <si>
    <t>ENDIVES</t>
  </si>
  <si>
    <t>P052</t>
  </si>
  <si>
    <t>Hiver: hiver présent  | Été: Été présent | Automne: Automne présent</t>
  </si>
  <si>
    <t>ECHALOTES</t>
  </si>
  <si>
    <t>P051</t>
  </si>
  <si>
    <t>DATTES</t>
  </si>
  <si>
    <t>P050</t>
  </si>
  <si>
    <t>CROSNES</t>
  </si>
  <si>
    <t>P049</t>
  </si>
  <si>
    <t>COURGETTES</t>
  </si>
  <si>
    <t>P048</t>
  </si>
  <si>
    <t>COURGES</t>
  </si>
  <si>
    <t>P047</t>
  </si>
  <si>
    <t>CORNICHONS</t>
  </si>
  <si>
    <t>P046</t>
  </si>
  <si>
    <t>CONCOMBRES</t>
  </si>
  <si>
    <t>P045</t>
  </si>
  <si>
    <t>?</t>
  </si>
  <si>
    <t>Produit à vérifier selon appellation fournisseur et disponibilité locale.</t>
  </si>
  <si>
    <t>À vérifier : Janvier, Février, Mars, Avril, Mai, Juin, Juillet, Août, Septembre, Octobre, Novembre, Décembre</t>
  </si>
  <si>
    <t>PALMIER cœurs</t>
  </si>
  <si>
    <t>P044</t>
  </si>
  <si>
    <t>COCOS blancs</t>
  </si>
  <si>
    <t>P043</t>
  </si>
  <si>
    <t>CLÉMENTINES</t>
  </si>
  <si>
    <t>P042</t>
  </si>
  <si>
    <t>CITROUILLES</t>
  </si>
  <si>
    <t>P041</t>
  </si>
  <si>
    <t>Hiver: hiver présent  | Printemps: Printemps présent | Été: Été | Automne: Automne présent</t>
  </si>
  <si>
    <t>CITRONS</t>
  </si>
  <si>
    <t>P040</t>
  </si>
  <si>
    <t>CHRISTOPHINES</t>
  </si>
  <si>
    <t>P039</t>
  </si>
  <si>
    <t>CHOUX verts et pommés</t>
  </si>
  <si>
    <t>P038</t>
  </si>
  <si>
    <t>CHOUX Rouge</t>
  </si>
  <si>
    <t>P037</t>
  </si>
  <si>
    <t>CHOUX Romanesco</t>
  </si>
  <si>
    <t>P036</t>
  </si>
  <si>
    <t>CHOUX pommé</t>
  </si>
  <si>
    <t>P035</t>
  </si>
  <si>
    <t>CHOUX Fleurs</t>
  </si>
  <si>
    <t>P034</t>
  </si>
  <si>
    <t>CHOUX chinois</t>
  </si>
  <si>
    <t>P033</t>
  </si>
  <si>
    <t>CHOUX Bruxelles</t>
  </si>
  <si>
    <t>P032</t>
  </si>
  <si>
    <t>CHOUX Brocolis</t>
  </si>
  <si>
    <t>P031</t>
  </si>
  <si>
    <t>CHOUX Blanc</t>
  </si>
  <si>
    <t>P030</t>
  </si>
  <si>
    <t>CHOUCROUTE</t>
  </si>
  <si>
    <t>P029</t>
  </si>
  <si>
    <t>À vérifier : Septembre, Octobre, Novembre</t>
  </si>
  <si>
    <t>CHEVRIERS</t>
  </si>
  <si>
    <t>P028</t>
  </si>
  <si>
    <t>Janvier, Février, Mars, Avril, Mai, Juin, Juillet, Août, Septembre, Octobre, Novembre, Décembre</t>
  </si>
  <si>
    <t>CHAMPIGNONS</t>
  </si>
  <si>
    <t>P027</t>
  </si>
  <si>
    <t>CERISES</t>
  </si>
  <si>
    <t>P026</t>
  </si>
  <si>
    <t>CELERI Rave</t>
  </si>
  <si>
    <t>P025</t>
  </si>
  <si>
    <t>Hiver: Hiver | Été: Été | Automne: Automne</t>
  </si>
  <si>
    <t>Juin, Juillet, Août, Septembre, Octobre, Novembre, Décembre</t>
  </si>
  <si>
    <t>TIGES,COTES ou Pétioles de Feuilles</t>
  </si>
  <si>
    <t>CELERI Branche</t>
  </si>
  <si>
    <t>P024</t>
  </si>
  <si>
    <t>CASSIS</t>
  </si>
  <si>
    <t>P023</t>
  </si>
  <si>
    <t>Hiver: Hiver | Printemps: Printemps exclusivité | Été: Été | Automne: Automne</t>
  </si>
  <si>
    <t>CAROTTES</t>
  </si>
  <si>
    <t>P022</t>
  </si>
  <si>
    <t>CARDONS</t>
  </si>
  <si>
    <t>P021</t>
  </si>
  <si>
    <t>BRUGNONS</t>
  </si>
  <si>
    <t>P020</t>
  </si>
  <si>
    <t>BROCOLIS</t>
  </si>
  <si>
    <t>P019</t>
  </si>
  <si>
    <t>BOULGOUR</t>
  </si>
  <si>
    <t>P018</t>
  </si>
  <si>
    <t>BLE</t>
  </si>
  <si>
    <t>P017</t>
  </si>
  <si>
    <t>BIGARREAUX</t>
  </si>
  <si>
    <t>P016</t>
  </si>
  <si>
    <t>BLETTES feuilles</t>
  </si>
  <si>
    <t>P015</t>
  </si>
  <si>
    <t>Printemps: Printemps</t>
  </si>
  <si>
    <t>Avril, Mai, Juin, Juillet, Août, Septembre, Octobre, Novembre</t>
  </si>
  <si>
    <t>BLETTES côtes</t>
  </si>
  <si>
    <t>P014</t>
  </si>
  <si>
    <t>Avril, Mai, Juin, Juillet, Août, Septembre, Octobre, Novembre, Décembre</t>
  </si>
  <si>
    <t>BETTERAVES</t>
  </si>
  <si>
    <t>P013</t>
  </si>
  <si>
    <t>BANANES Plantain</t>
  </si>
  <si>
    <t>P012</t>
  </si>
  <si>
    <t>Féculent / Dessert</t>
  </si>
  <si>
    <t>BANANE</t>
  </si>
  <si>
    <t>P011</t>
  </si>
  <si>
    <t>BAMBOU pousses</t>
  </si>
  <si>
    <t>P010</t>
  </si>
  <si>
    <t>AVOCAT</t>
  </si>
  <si>
    <t>P009</t>
  </si>
  <si>
    <t>AUBERGINES</t>
  </si>
  <si>
    <t>P008</t>
  </si>
  <si>
    <t>Avril, Mai, Juin</t>
  </si>
  <si>
    <t>ASPERGES vertes</t>
  </si>
  <si>
    <t>P007</t>
  </si>
  <si>
    <t>ASPERGES blanches</t>
  </si>
  <si>
    <t>P006</t>
  </si>
  <si>
    <t>Mai, Juin, Juillet, Août, Septembre, Octobre, Novembre</t>
  </si>
  <si>
    <t>ARTICHAUTS</t>
  </si>
  <si>
    <t>P005</t>
  </si>
  <si>
    <t>ARBOUSES</t>
  </si>
  <si>
    <t>P004</t>
  </si>
  <si>
    <t>ANANAS</t>
  </si>
  <si>
    <t>P003</t>
  </si>
  <si>
    <t>Mai, Juin, Juillet, Août</t>
  </si>
  <si>
    <t>AULX</t>
  </si>
  <si>
    <t>P002</t>
  </si>
  <si>
    <t>ABRICOTS</t>
  </si>
  <si>
    <t>P001</t>
  </si>
  <si>
    <t>Source_repère</t>
  </si>
  <si>
    <t>Déc</t>
  </si>
  <si>
    <t>Nov</t>
  </si>
  <si>
    <t>Oct</t>
  </si>
  <si>
    <t>Sept</t>
  </si>
  <si>
    <t>Août</t>
  </si>
  <si>
    <t>Juil</t>
  </si>
  <si>
    <t>Juin</t>
  </si>
  <si>
    <t>Mai</t>
  </si>
  <si>
    <t>Avr</t>
  </si>
  <si>
    <t>Mars</t>
  </si>
  <si>
    <t>Févr</t>
  </si>
  <si>
    <t>Janv</t>
  </si>
  <si>
    <t>Remarque_métier</t>
  </si>
  <si>
    <t>Statut_donnée</t>
  </si>
  <si>
    <t>Complété</t>
  </si>
  <si>
    <t>Ancienne_saison_base</t>
  </si>
  <si>
    <t>Pleine_saison_mois</t>
  </si>
  <si>
    <t>Disponibilité</t>
  </si>
  <si>
    <t>Famille_source</t>
  </si>
  <si>
    <t>Couleur_produit</t>
  </si>
  <si>
    <t>Usages_cuisine</t>
  </si>
  <si>
    <t>Famille_principale</t>
  </si>
  <si>
    <t>Produit_normalisé</t>
  </si>
  <si>
    <t>Produit_source</t>
  </si>
  <si>
    <t>Code</t>
  </si>
  <si>
    <t>les idées plat d'accompagnement sont extraites de documentation APRIFEL</t>
  </si>
  <si>
    <t>LEG</t>
  </si>
  <si>
    <t>FEC</t>
  </si>
  <si>
    <t>H.O</t>
  </si>
  <si>
    <t>CRU</t>
  </si>
  <si>
    <t>CUI</t>
  </si>
  <si>
    <t>hiver exclusivité</t>
  </si>
  <si>
    <t>DES</t>
  </si>
  <si>
    <t>Automne exclusivité</t>
  </si>
  <si>
    <t>Automne présent</t>
  </si>
  <si>
    <t xml:space="preserve">hiver présent </t>
  </si>
  <si>
    <t>Printemps présent</t>
  </si>
  <si>
    <t>Été présent</t>
  </si>
  <si>
    <t>Été exclusivité</t>
  </si>
  <si>
    <t xml:space="preserve">ORANGE </t>
  </si>
  <si>
    <t>Printemps exclusivité</t>
  </si>
  <si>
    <t>Accompagnement</t>
  </si>
  <si>
    <t xml:space="preserve"> BOUTONS à FLEUR et FLEURS</t>
  </si>
  <si>
    <t>O11</t>
  </si>
  <si>
    <t>dans l'assiette</t>
  </si>
  <si>
    <t>B11</t>
  </si>
  <si>
    <t>Couleurs diététiques</t>
  </si>
  <si>
    <t>Famille</t>
  </si>
  <si>
    <t xml:space="preserve">Couleur visuelle </t>
  </si>
  <si>
    <t>LÉGUMES</t>
  </si>
  <si>
    <t>Hors d'Oeuvre</t>
  </si>
  <si>
    <t>FÉCULENTS</t>
  </si>
  <si>
    <t>CUIDITÉS</t>
  </si>
  <si>
    <t>CRUDITÉ</t>
  </si>
  <si>
    <t>Produits</t>
  </si>
  <si>
    <t>CODES</t>
  </si>
  <si>
    <t>Vous avez à la fois des produits qui sont servis en Hors d'Œuvres et en Légumes ; faites le tri selon ce que vous recherchez</t>
  </si>
  <si>
    <t xml:space="preserve"> puis (10 premiers)-(personnalisé)- et CE QUE VOUS RECHERCHEZ cliquez dessus- essayez plusieurs colonnes - c'est pratique</t>
  </si>
  <si>
    <r>
      <t xml:space="preserve">Puis Cliquez sur Données - Filtre automatique- en cliquant sur une flèche vous pouvez lire </t>
    </r>
    <r>
      <rPr>
        <b/>
        <sz val="12"/>
        <rFont val="Calibri"/>
        <family val="2"/>
      </rPr>
      <t xml:space="preserve">Tous </t>
    </r>
    <r>
      <rPr>
        <sz val="12"/>
        <rFont val="Calibri"/>
        <family val="2"/>
      </rPr>
      <t xml:space="preserve">(c'est le + important pour retrouver la liste complète) </t>
    </r>
  </si>
  <si>
    <t xml:space="preserve">Le fonctionnement d'une base de données est simple :si vous ne voyez pas de flèches ligne 11 cliquez sur la cellule B11 jusqu'à la cellule O11 </t>
  </si>
  <si>
    <t>N° de semaines de 40 à 52</t>
  </si>
  <si>
    <t>Décembre</t>
  </si>
  <si>
    <t>Novembre</t>
  </si>
  <si>
    <t>Octobre</t>
  </si>
  <si>
    <t>AUTOMNE</t>
  </si>
  <si>
    <t>N° de semaines de 27 à 39</t>
  </si>
  <si>
    <t>Septembre</t>
  </si>
  <si>
    <t>Aout</t>
  </si>
  <si>
    <t>Juillet</t>
  </si>
  <si>
    <t>ÉTÉ</t>
  </si>
  <si>
    <t>N° de semaines de 14 à 26</t>
  </si>
  <si>
    <t>Avril</t>
  </si>
  <si>
    <t>PRINTEMPS</t>
  </si>
  <si>
    <t>N° de semaines de 01 à 13</t>
  </si>
  <si>
    <t>Février</t>
  </si>
  <si>
    <t>Janvier</t>
  </si>
  <si>
    <t>HIVER</t>
  </si>
  <si>
    <t>LÉGUMES  ET FRUITS BASE DE DONNÉES</t>
  </si>
  <si>
    <t>CUISINE CENTRALE 17</t>
  </si>
  <si>
    <t>https://agirpourlatransition.ademe.fr/particuliers/mieux-consommer/alimentation/calendrier-fruits-legumes-saison | https://www.lesfruitsetlegumesfrais.com/fruits-de-saison | https://www.lesfruitsetlegumesfrais.com/legumes-de-saison | https://www.mangerbouger.fr/manger-mieux/bien-manger-sans-se-ruiner/calendrier-de-saison</t>
  </si>
  <si>
    <t>Sources générales</t>
  </si>
  <si>
    <t>Les saisons exactes dépendent de la région, de la météo, des variétés, du stockage, de la serre et de l’origine fournisseur.</t>
  </si>
  <si>
    <t>Limite méthodologique</t>
  </si>
  <si>
    <t>https://www.mangerbouger.fr/manger-mieux/bien-manger-sans-se-ruiner/calendrier-de-saison</t>
  </si>
  <si>
    <t>Vérification croisée mois / produits.</t>
  </si>
  <si>
    <t>MangerBouger — Calendrier de saison</t>
  </si>
  <si>
    <t>https://www.lesfruitsetlegumesfrais.com/app/uploads/2025/09/calendrier-de-saison-fruits-legumes.pdf</t>
  </si>
  <si>
    <t>Repère cœur de saison / saison / disponibilité ; périodes indicatives.</t>
  </si>
  <si>
    <t>PDF calendrier Interfel 2025</t>
  </si>
  <si>
    <t>https://www.lesfruitsetlegumesfrais.com/legumes-de-saison</t>
  </si>
  <si>
    <t>Compléments par mois pour légumes.</t>
  </si>
  <si>
    <t>Les fruits et légumes frais / Interfel — Légumes de saison</t>
  </si>
  <si>
    <t>https://www.lesfruitsetlegumesfrais.com/fruits-de-saison</t>
  </si>
  <si>
    <t>Compléments par mois pour fruits.</t>
  </si>
  <si>
    <t>Les fruits et légumes frais / Interfel — Calendrier</t>
  </si>
  <si>
    <t>https://agirpourlatransition.ademe.fr/acteurs-education/enseigner/catalogue/calendrier-fruits-legumes-saison</t>
  </si>
  <si>
    <t>Rappel : calendrier pour repérer les fruits et légumes de saison en France.</t>
  </si>
  <si>
    <t>ADEME — Ressource éducation calendrier</t>
  </si>
  <si>
    <t>https://agirpourlatransition.ademe.fr/particuliers/mieux-consommer/alimentation/calendrier-fruits-legumes-saison</t>
  </si>
  <si>
    <t>Repères saison France, impact environnemental, vigilance hors saison/import.</t>
  </si>
  <si>
    <t>ADEME — Calendrier des fruits et légumes de saison</t>
  </si>
  <si>
    <t>Filtrer un mois, puis vérifier les produits à intégrer dans les menus. La colonne Remarque_métier indique les limites utiles pour achat, réception, production ou pédagogie.</t>
  </si>
  <si>
    <t>Usage cuisine centrale</t>
  </si>
  <si>
    <t>Un X indique un mois de pleine saison ou de saison d’usage professionnel. Les produits importés/exotiques sont signalés en remarque.</t>
  </si>
  <si>
    <t>Lecture des mois</t>
  </si>
  <si>
    <t>Repères construits pour la France métropolitaine. La saison réelle doit être adaptée selon région, météo, origine fournisseur, calibre, maturité et mode de culture.</t>
  </si>
  <si>
    <t>Hypothèse</t>
  </si>
  <si>
    <t>Classeur reconstruit sans formule, sans VBA, sans liaisons externes ajoutées, sans mise en forme conditionnelle volontaire.</t>
  </si>
  <si>
    <t>Audit technique</t>
  </si>
  <si>
    <t>BASE_SAISON = base principale ; VUE_MOIS = lecture par mois ; SOURCES = références ; ORIGINAL_IMPORTÉ = ancienne base conservée.</t>
  </si>
  <si>
    <t>Structure</t>
  </si>
  <si>
    <t>Ne pas confondre “disponible chez fournisseur” et “saison locale”. Pour les marchés publics/restauration collective, contrôler l’origine et la politique achat.</t>
  </si>
  <si>
    <t>Point critique</t>
  </si>
  <si>
    <t>Dans BASE_SAISON, activer les filtres du tableau : filtrer un mois sur X pour saison locale, C pour conservation, I pour import.</t>
  </si>
  <si>
    <t>X = pleine saison locale indicative ; C = conservation/sec/transformé ; I = import/exotique ; ? = appellation à vérifier.</t>
  </si>
  <si>
    <t>Légende mois</t>
  </si>
  <si>
    <t>Produits à vérifier</t>
  </si>
  <si>
    <t>Produits sec/conservation</t>
  </si>
  <si>
    <t>Produits majoritairement import/exotique</t>
  </si>
  <si>
    <t>Produits complétés ou partiellement complétés</t>
  </si>
  <si>
    <t>Nombre de produits traités</t>
  </si>
  <si>
    <t>France métropolitaine ; les repères peuvent varier selon région, météo, fournisseur, serre, conservation et import.</t>
  </si>
  <si>
    <t>Périmètre</t>
  </si>
  <si>
    <t>Refonte mise en page + compléments saisonniers indicatifs</t>
  </si>
  <si>
    <t>Version</t>
  </si>
  <si>
    <t>SAISON DES FRUITS ET LÉGUMES — base restructurée pour filtre métier et lecture mensuelle</t>
  </si>
  <si>
    <t>Usage</t>
  </si>
  <si>
    <t>Produit</t>
  </si>
  <si>
    <t>Repère</t>
  </si>
  <si>
    <t>Mois</t>
  </si>
  <si>
    <t>G u i d e   p r at i q u e   c a n t i n e   d u r a b l e •   F i c h e s   p r at i q u e s  ›  p l a n   a l i m e n ta i r e   &amp;   m e n u s  | p g 1 0 9</t>
  </si>
  <si>
    <t>https://simplyfood.be/onewebmedia/GIDS-100214-GuideCantinD-FR.pdf</t>
  </si>
  <si>
    <t>L’ alimentation durable au menu</t>
  </si>
  <si>
    <t>Plan alimentaire</t>
  </si>
  <si>
    <t>&amp; menus</t>
  </si>
  <si>
    <t>introduction</t>
  </si>
  <si>
    <t>un menu durable vise à intégrer et combiner, autant que possible, les dif-</t>
  </si>
  <si>
    <t>férents principes de l’alimentation durable, tout en étant sain et savoureux !</t>
  </si>
  <si>
    <t>un beau défi qui laisse peu de place à l’improvisation. pour le relever, le plan</t>
  </si>
  <si>
    <t>alimentaire offre un cadre de référence très utile.</t>
  </si>
  <si>
    <t>en définissant les menus à l’avance et sur une période de plusieurs</t>
  </si>
  <si>
    <t>semaines, on obtient une vue d’ensemble de l’offre alimentaire qui doit tenir</t>
  </si>
  <si>
    <t>compte de :</t>
  </si>
  <si>
    <t>• durabilité (produits frais, locaux et de saison, protéines végétales, etc.)</t>
  </si>
  <si>
    <t>(voir les autres fiches pratiques de ce guide)</t>
  </si>
  <si>
    <t>• nutrition (protéines, féculents, légumes, etc.),</t>
  </si>
  <si>
    <t>• diversité et qualité sensorielle et gustative,</t>
  </si>
  <si>
    <t>• organisation,</t>
  </si>
  <si>
    <t>• budget (coût matières),</t>
  </si>
  <si>
    <t>• des fréquences (rythme d’apparition des catégories de produits),</t>
  </si>
  <si>
    <t>• des principes d’attractivité (couleurs, textures, associations, etc.).</t>
  </si>
  <si>
    <t>Pour vous aider à établir votre plan alimentaire, nous proposons une dé-</t>
  </si>
  <si>
    <t>marche en neuf étapes progressives.</t>
  </si>
  <si>
    <t>étape 1 : définir l’offre alimentaire de l’établissement</t>
  </si>
  <si>
    <t>dans un premier temps, le travail consiste à définir les types de plats servis</t>
  </si>
  <si>
    <t>dans le restaurant de collectivité.</t>
  </si>
  <si>
    <t>Exemples :</t>
  </si>
  <si>
    <t>• pour une école : le plat du jour = potage/plat/dessert</t>
  </si>
  <si>
    <t>• pour une entreprise (avec self) : potage/plat du jour /pâtes du jour/</t>
  </si>
  <si>
    <t>salad-bar/sandwichs/ desserts.</t>
  </si>
  <si>
    <t>étape 2 : fixer un tableau de fréquences</t>
  </si>
  <si>
    <t>le tableau de fréquences va définir la succession des catégories de produits</t>
  </si>
  <si>
    <t>(protéines, féculents, légumes, végétarien, etc.) au sein d’un cycle pour une</t>
  </si>
  <si>
    <t>période donnée.</t>
  </si>
  <si>
    <t>prenez votre offre alimentaire et transformez-la en tableau de fréquences :</t>
  </si>
  <si>
    <t>définissez combien de fois chaque catégorie de produit revient pour chaque</t>
  </si>
  <si>
    <t>type de plat identifié dans l’offre alimentaire.</t>
  </si>
  <si>
    <t>Le plus souvent, pour une entreprise ouverte cinq jours par semaine, le</t>
  </si>
  <si>
    <t>tableau de fréquences couvre 4 semaines x 5 jours, soit un total de 20 jours</t>
  </si>
  <si>
    <t>consécutifs. Pour une maison de repos offrant des repas 7 jours sur 7, le</t>
  </si>
  <si>
    <t>tableau de fréquences comportera 28 jours (4 semaines x 7 jours).</t>
  </si>
  <si>
    <t>C’est notamment dans le tableau de fréquences que vous pouvez améliorer</t>
  </si>
  <si>
    <t>vos performances durables, par exemple :</t>
  </si>
  <si>
    <t>• en limitant les protéines animales,</t>
  </si>
  <si>
    <t>• en diminuant la fréquence de viande rouge,</t>
  </si>
  <si>
    <t>• en augmentant la fréquence des protéines végétales et des plats végétariens,</t>
  </si>
  <si>
    <t>• en intégrant au moins quatre légumes « francs » (non mélangés à autre chose)</t>
  </si>
  <si>
    <t>par semaine</t>
  </si>
  <si>
    <t>• en augmentant la fréquence de céréales complètes</t>
  </si>
  <si>
    <t>• en proposant des fruits de saison au dessert,</t>
  </si>
  <si>
    <t>• etc.</t>
  </si>
  <si>
    <t>Exemple de tableau de fréquences durables (voir le document PDF)</t>
  </si>
  <si>
    <t>Ci-dessous l’exemple du tableau de fréquences recommandé par le PNNS</t>
  </si>
  <si>
    <t>pour les restaurants d’entreprise (20 repas sur un cycle de 4 semaines).</t>
  </si>
  <si>
    <t>Il intègre plusieurs éléments d’alimentation durable :</t>
  </si>
  <si>
    <t>• réduction des fréquences de viande,</t>
  </si>
  <si>
    <t>• intégration de protéines végétales (associations légumineuses/céréales et</t>
  </si>
  <si>
    <t>alternatives végétales),</t>
  </si>
  <si>
    <t>• jeudi sans protéine animale dans le cadre de la campagne du Jeudi Veggie,</t>
  </si>
  <si>
    <t>voir fiche « Viande &amp; cuisine végétarienne »</t>
  </si>
  <si>
    <t>• hautes fréquences de légumes francs et de desserts de fruits,</t>
  </si>
  <si>
    <t>• diversité des céréales et fréquence de céréales complètes.</t>
  </si>
  <si>
    <t>voir fiche Produits à (re)découvrir</t>
  </si>
  <si>
    <t>À chaque cuisine de l’adapter en fonction de sa situation (capacité, type de</t>
  </si>
  <si>
    <t>public, etc.</t>
  </si>
  <si>
    <t>étape 3 : construire le plan alimentaire</t>
  </si>
  <si>
    <t>Cette étape consiste à partir du tableau de fréquences (étape 2) pour le</t>
  </si>
  <si>
    <t>transformer en canevas de 5 jours et 4 semaines.</t>
  </si>
  <si>
    <t>pour cela, créez un canevas dans un fichier excel reprenant vos 5 jours</t>
  </si>
  <si>
    <t>(5 colonnes) x 4 semaines (4 lignes) (voir exemple ci-dessous) et divisez</t>
  </si>
  <si>
    <t>chaque ligne par le nombre de plats de votre offre.</t>
  </si>
  <si>
    <t>À partir de votre tableau de fréquences, répartissez les éléments de chaque</t>
  </si>
  <si>
    <t>type de plat de façon équilibrée.</t>
  </si>
  <si>
    <t>Commencez par disposer les protéines et en évitant les répétitions au cours</t>
  </si>
  <si>
    <t>d’une même semaine :</t>
  </si>
  <si>
    <t>1. plat entier</t>
  </si>
  <si>
    <t>2. plat de poisson</t>
  </si>
  <si>
    <t>3. plat de bœuf ou agneau</t>
  </si>
  <si>
    <t>4. plat de volaille</t>
  </si>
  <si>
    <t>5. plat végétarien avec alternative végétale</t>
  </si>
  <si>
    <t>6. plat végétarien en association légumineuses-céréales complètes</t>
  </si>
  <si>
    <t>poursuivez en intégrant :</t>
  </si>
  <si>
    <t>1. légumes francs (non mélangés)</t>
  </si>
  <si>
    <t>2. légumes en sauce (par ex. légumes dans une blanquette)</t>
  </si>
  <si>
    <t>3. féculents</t>
  </si>
  <si>
    <t>4. sauces</t>
  </si>
  <si>
    <t>5. desserts</t>
  </si>
  <si>
    <t>etc</t>
  </si>
  <si>
    <t>trucs &amp; astuces</t>
  </si>
  <si>
    <t>Diversifiez les potages !</t>
  </si>
  <si>
    <t>Pour garantir de la diversité dans les potages, alternez les couleurs : vert,</t>
  </si>
  <si>
    <t>rouge et blanc.</t>
  </si>
  <si>
    <t>Pour terminer votre travail, si le contexte le permet, faites valider votre plan</t>
  </si>
  <si>
    <t>alimentaire par votre clien</t>
  </si>
  <si>
    <t>exemple de plan alimentaire durable</t>
  </si>
  <si>
    <t>ce plan alimentaire scolaire intègre :</t>
  </si>
  <si>
    <t>• une diversité de potages,</t>
  </si>
  <si>
    <t>• deux plats sans viande par mois,</t>
  </si>
  <si>
    <t>• une fréquence limitée de viande rouge,</t>
  </si>
  <si>
    <t>• une diversité de féculents,</t>
  </si>
  <si>
    <t>• des céréales autres que le riz et les pâtes,</t>
  </si>
  <si>
    <t>• des légumes francs,</t>
  </si>
  <si>
    <t>• les associations céréales légumineuses riches en protéines végétales,</t>
  </si>
  <si>
    <t>• une majorité de fruits et laitages en dessert.</t>
  </si>
  <si>
    <t>Adaptez-les à votre contexte, en veillant à maintenir l’équilibre alimentaire et</t>
  </si>
  <si>
    <t>en concevant des menus attrayants et savoureux. Pour vous inspirer,</t>
  </si>
  <si>
    <t>consultez la cinquantaine de fiches recettes durables de ce guide.</t>
  </si>
  <si>
    <t>étape 4 : élaboration des menus</t>
  </si>
  <si>
    <t>Pour démarrer l’élaboration du menu proprement dit, c’est-à-dire le choix des</t>
  </si>
  <si>
    <t>plats qui seront réalisés, différents outils s’avèrent précieux. À vous de déter-</t>
  </si>
  <si>
    <t>miner ceux dont vous avez besoin en fonction de vos objectifs et de votre</t>
  </si>
  <si>
    <t>contexte :</t>
  </si>
  <si>
    <t>• le tableau de fréquences</t>
  </si>
  <si>
    <t>• le plan alimentaire</t>
  </si>
  <si>
    <t>• le calendrier des saisons (voir fiche « Produits locaux &amp; saisonnalité »)</t>
  </si>
  <si>
    <t>• le tableau de grammages (voir fiche « Grammages »)</t>
  </si>
  <si>
    <t>• des fiches techniques</t>
  </si>
  <si>
    <t>• des suggestions ou demandes de votre client</t>
  </si>
  <si>
    <t>• des menus « best-seller »</t>
  </si>
  <si>
    <t>• et « trucs et astuces » du chef bien sûr !</t>
  </si>
  <si>
    <t>une fois « armé » de ceux-ci, vous êtes prêt pour choisir vos menus.</t>
  </si>
  <si>
    <t>Viande hachée : pas trop souvent et de qualité !</t>
  </si>
  <si>
    <t>Les scandales alimentaires nous le rappellent malheureusement régulière-</t>
  </si>
  <si>
    <t>ment : la plupart du temps, la viande hachée contient... peu de viande ! pour</t>
  </si>
  <si>
    <t>le haché, comme pour les autres viandes, choisissez de la qualité. et planifiez</t>
  </si>
  <si>
    <t>une viande hachée maximum une fois par semaine, même dans les écoles :</t>
  </si>
  <si>
    <t>nos enfants ne mastiquent plus assez</t>
  </si>
  <si>
    <t>Bonne Pratique</t>
  </si>
  <si>
    <t>écoles communales d’Ottignies-Louvain-La Neuve</t>
  </si>
  <si>
    <t>Dans les écoles d’Ottignies-Louvain-la-Neuve, les élèves mangent une</t>
  </si>
  <si>
    <t>fois par semaine un plat sans viande ni poisson. une fois sur deux, la</t>
  </si>
  <si>
    <t>viande est remplacée par un substitut de type tofu, seitan ou quorn, et</t>
  </si>
  <si>
    <t>l’autre fois, le repas est composé d’une association céréales-légumi-</t>
  </si>
  <si>
    <t>neuses. mais cela ne s’est pas fait en un jour...</t>
  </si>
  <si>
    <t>Le cuisinier a commencé par proposer ce type de repas une fois par</t>
  </si>
  <si>
    <t>mois, puis deux, etc. Et le changement a été accompagné de séances</t>
  </si>
  <si>
    <t>de dégustation et d’animations dans les classes. L’équipe de cuisine et</t>
  </si>
  <si>
    <t>le personnel de service ont, de leur côté, fait preuve d’une remarquable</t>
  </si>
  <si>
    <t>ouverture d’esprit et accepté de s’adapter rapidement.</t>
  </si>
  <si>
    <t>Actuellement, un plat végétarien par semaine apparaît comme un bon</t>
  </si>
  <si>
    <t>rythme « de croisière » et cette cadence a été validée par le service</t>
  </si>
  <si>
    <t>diététique de l’entreprise de catering.</t>
  </si>
  <si>
    <t>étape 5 : équilibre global</t>
  </si>
  <si>
    <t>une fois votre tableau de menus rempli, revérifiez l’équilibre global par jour et</t>
  </si>
  <si>
    <t>par semaine (vertical et horizontal), en tenant compte de :</t>
  </si>
  <si>
    <t>1. l’équilibre nutritionnel</t>
  </si>
  <si>
    <t>2. la variété (éviter les répétitions)</t>
  </si>
  <si>
    <t>3. la couleur</t>
  </si>
  <si>
    <t>4. la texture</t>
  </si>
  <si>
    <t>5. la saison.</t>
  </si>
  <si>
    <t>Soyez attentif à votre public !</t>
  </si>
  <si>
    <t>en choisissant vos menus, n’oubliez jamais les principes d’attractivité : cou-</t>
  </si>
  <si>
    <t>leurs, textures, associations, etc. La texture constitue un aspect très impor-</t>
  </si>
  <si>
    <t>tant, notamment pour les menus végétariens. Veillez à présenter sur une</t>
  </si>
  <si>
    <t>même assiette une texture plus souple et une texture croquante</t>
  </si>
  <si>
    <t>(par ex. légumes crus).</t>
  </si>
  <si>
    <t>étape 6 : fiches recettes</t>
  </si>
  <si>
    <t>pour chaque plat choisi, créez une fiche recette comme vous le faites habi-</t>
  </si>
  <si>
    <t>tuellement.</t>
  </si>
  <si>
    <t>pour vous inspirer, consultez la cinquantaine de fiches recettes de ce guide.</t>
  </si>
  <si>
    <t>etape 7 : food cost</t>
  </si>
  <si>
    <t>à partir de vos fiches recettes, calculez le food cost (coût des matières</t>
  </si>
  <si>
    <t>premières) de chaque menu et vérifiez que votre budget marchandises est</t>
  </si>
  <si>
    <t>respecté.</t>
  </si>
  <si>
    <t>Réduire la viande pour libérer du budget</t>
  </si>
  <si>
    <t>En diminuant à la fois la fréquence et les grammages de viande, vous déga-</t>
  </si>
  <si>
    <t>gerez un budget qui vous permettra d’agir sur d’autres leviers durables,</t>
  </si>
  <si>
    <t>par exemple pour investir dans du matériel de découpe pour les légumes</t>
  </si>
  <si>
    <t>frais ou acheter des produits de qualité différenciée.</t>
  </si>
  <si>
    <t>Voir les fiches « maîtriser son budget », « Viande &amp; cuisine végétarienne »</t>
  </si>
  <si>
    <t>et « Légumerie &amp; gestion du frais »</t>
  </si>
  <si>
    <t>étape 8 : correctifs</t>
  </si>
  <si>
    <t>Si nécessaire, apportez des corrections pour garantir un bon équilibre</t>
  </si>
  <si>
    <t>à la fois gustatif, nutritionnel et budgétaire</t>
  </si>
  <si>
    <t>étape 9 : v alidation</t>
  </si>
  <si>
    <t>un repas durable étant avant tout équilibré d’un point de vue nutrition-</t>
  </si>
  <si>
    <t>nel faites, dans la mesure du possible, valider votre travail par un(e)</t>
  </si>
  <si>
    <t>diététicien(ne). Si c’est pertinent dans le contexte de votre collectivité,</t>
  </si>
  <si>
    <t>faites également valider votre plan alimentaire par le client et les représen-</t>
  </si>
  <si>
    <t>tants des usagers (direction, responsable rh, délégués syndicaux,</t>
  </si>
  <si>
    <t>comité de restaurant, etc</t>
  </si>
  <si>
    <t>G u i d e  p r at i q u e  c a n t i n e  d u r a b l e •  F i c h e s  p r at i q u e s ›  G r a m m a G e s  | p g 1 1 9</t>
  </si>
  <si>
    <t>Trouver le bon équilibre</t>
  </si>
  <si>
    <t>Grammages</t>
  </si>
  <si>
    <t>Le plan alimentaire fixe la fréquence des aliments de façon équilibrée sur</t>
  </si>
  <si>
    <t>vingt jours (voir fiche « Plan alimentaire &amp; menu design »). Le cahier de</t>
  </si>
  <si>
    <t>grammages, lui, indique la quantité à prévoir par repas ou par jour. Ces deux</t>
  </si>
  <si>
    <t>outils sont indissociables et intimement liés.</t>
  </si>
  <si>
    <t>Établir un cahier de grammages est utile pour répondre aux besoins spéci-</t>
  </si>
  <si>
    <t>fiques des convives tout en évitant le surdosage. La gestion des quantités et</t>
  </si>
  <si>
    <t>grammages constitue par ailleurs une composante importante de l’alimenta-</t>
  </si>
  <si>
    <t>tion durable, dont plusieurs principes sont directement concernés par l’équi-</t>
  </si>
  <si>
    <t>libre des portions, notamment :</t>
  </si>
  <si>
    <t>• l’augmentation des fruits et légumes (voir fiche « Légumerie &amp; gestion</t>
  </si>
  <si>
    <t>du frais »),</t>
  </si>
  <si>
    <t>• la diminution des protéines animales (voir fiche « Viande &amp; cuisine</t>
  </si>
  <si>
    <t>végétarienne »),</t>
  </si>
  <si>
    <t>• l’augmentation des protéines végétales (voir fiche « Produits à</t>
  </si>
  <si>
    <t>(re)découvrir »),</t>
  </si>
  <si>
    <t>• la lutte contre le gaspillage (voir fiche « Gaspillage alimentaire »).</t>
  </si>
  <si>
    <t>En Belgique, le Plan National Nutrition Santé (PNNS-B) ne fournit pas de</t>
  </si>
  <si>
    <t>chiffres précis mais indique quelques recommandations 1</t>
  </si>
  <si>
    <t>. Tenant compte</t>
  </si>
  <si>
    <t>de celles-ci, cette fiche propose un cahier de grammages moyen qui peut</t>
  </si>
  <si>
    <t>constituer une référence de base</t>
  </si>
  <si>
    <t>À chaque chef de cuisine de l’adapter à la réalité de sa collectivité en tenant</t>
  </si>
  <si>
    <t>compte des facteurs suivants :</t>
  </si>
  <si>
    <t>• publics</t>
  </si>
  <si>
    <t>• modes de cuisson,</t>
  </si>
  <si>
    <t>• plats « populaires »,</t>
  </si>
  <si>
    <t>• ingrédients plus rassasiants,</t>
  </si>
  <si>
    <t>• recettes,</t>
  </si>
  <si>
    <t>une fois votre cahier de grammages établi, faites-le si possible valider par</t>
  </si>
  <si>
    <t>un(e) diététicien(ne) ou un(e) nutritionniste</t>
  </si>
  <si>
    <t>cahier de grammages</t>
  </si>
  <si>
    <t>Pour gérer au mieux votre budget et éviter le gaspillage, soyez attentif à</t>
  </si>
  <si>
    <t>commander uniquement les ingrédients nécessaires à la préparation des</t>
  </si>
  <si>
    <t>repas et établissez un cahier de grammages qui tient compte des catégories</t>
  </si>
  <si>
    <t>d’âge, du cahier des charges et des principes de l’alimentation durable</t>
  </si>
  <si>
    <t>(plus de fruits et légumes, moins de protéines animales, plus de protéines</t>
  </si>
  <si>
    <t>végétales, etc.).</t>
  </si>
  <si>
    <t>(voir fiches « maîtriser son budget », « marchés publics » et « Gaspillage</t>
  </si>
  <si>
    <t>alimentaire »).</t>
  </si>
  <si>
    <t>Gérer des grammages pour acheter de la qualité</t>
  </si>
  <si>
    <t>une bonne gestion des grammages, incluant la diminution des portions de</t>
  </si>
  <si>
    <t>viande et l’augmentation des protéines végétales, constitue une clé essen-</t>
  </si>
  <si>
    <t>tielle pour gagner des marges budgétaires qui peuvent être réinvesties</t>
  </si>
  <si>
    <t>dans l’achat de produits de qualité (voir fiches « Viande &amp; cuisine végéta-</t>
  </si>
  <si>
    <t>rienne », « Produits à (re)découvrir », « maîtriser son budget » et « Labels</t>
  </si>
  <si>
    <t>&amp; qualité différenciée »).</t>
  </si>
  <si>
    <t>adaptation progressive</t>
  </si>
  <si>
    <t>Ce cahier de grammages est proposé à titre indicatif. Il peut constituer</t>
  </si>
  <si>
    <t>un point de départ pour avancer pas à pas vers l’alimentation durable, en</t>
  </si>
  <si>
    <t>diminuant progressivement les portions de viande au profit de céréales et</t>
  </si>
  <si>
    <t>légumineuses. Cette évolution vous fera gagner sur les plans budgétaire,</t>
  </si>
  <si>
    <t>environnemental et de santé. Il implique cependant un changement de</t>
  </si>
  <si>
    <t>comportement alimentaire sensible. c’est pourquoi, il doit :</t>
  </si>
  <si>
    <t>• s’opérer de façon progressive,</t>
  </si>
  <si>
    <t>• se décider en concertation avec les parties prenantes et en accord avec le</t>
  </si>
  <si>
    <t>cahier des charges le cas échéant (voir fiches « Participation des parties</t>
  </si>
  <si>
    <t>prenantes » et « marchés publics »),</t>
  </si>
  <si>
    <t>• être validé par un professionnel de la nutrition,</t>
  </si>
  <si>
    <t>• être testé en cuisine pour l’adapter à votre réalité de terrain,</t>
  </si>
  <si>
    <t>• s’accompagner d’une sensibilisation des usagers (voir fiche « Communi-</t>
  </si>
  <si>
    <t>quer &amp; sensibiliser »).</t>
  </si>
  <si>
    <t>L’Expérience Française</t>
  </si>
  <si>
    <t>Chez nos voisins français, le cahier de grammages est fixé</t>
  </si>
  <si>
    <t>dans un cadre légal par un décret national : des normes</t>
  </si>
  <si>
    <t>chiffrées, établies par le Groupe d’étude des marchés de</t>
  </si>
  <si>
    <t>restauration collective et de nutrition (GERMCN), sont obli-</t>
  </si>
  <si>
    <t>gatoires pour toutes les collectivités. Sans être réplicables</t>
  </si>
  <si>
    <t>à la lettre - la composition des repas et les habitudes ali-</t>
  </si>
  <si>
    <t>mentaires françaises étant différentes des nôtres -, il est</t>
  </si>
  <si>
    <t>intéressant d’y jeter un œil. Et surtout de savoir que les</t>
  </si>
  <si>
    <t>grands groupes agroalimentaires ont adapté le conditionne-</t>
  </si>
  <si>
    <t>ment et la composition de certains produits pour se confor-</t>
  </si>
  <si>
    <t>mer à ces recommandations (par exemple : desserts lactés</t>
  </si>
  <si>
    <t>de 100 ml, diminution du taux de sucre, réduction des ma-</t>
  </si>
  <si>
    <t>tières grasses, produits enrichis en vitamines D, etc.). Ces</t>
  </si>
  <si>
    <t>produits, adaptés au marché français, sont le plus souvent</t>
  </si>
  <si>
    <t>également disponibles en Belgique</t>
  </si>
  <si>
    <t>Auteur : Joel Leboucher • Rochefort sur Mer |  Date : 12 Juin 2026  |  heure : 15h30 |  Document réalisé avec l'aide de ChatGPT  |</t>
  </si>
  <si>
    <t>SYSTÈME COULEURS — fruits/légumes, PLATS-CF et repères équilibre</t>
  </si>
  <si>
    <t>Affectation</t>
  </si>
  <si>
    <t>Couleur</t>
  </si>
  <si>
    <t>HEX</t>
  </si>
  <si>
    <t>Système</t>
  </si>
  <si>
    <t>Usage autorisé</t>
  </si>
  <si>
    <t>Fichier modèle pour appliquer des couleurs de manière stable, lisible et reproductible dans les documents Excel de menus.</t>
  </si>
  <si>
    <t>Rouge / brun</t>
  </si>
  <si>
    <t>#C00000</t>
  </si>
  <si>
    <t>PLATS-CF</t>
  </si>
  <si>
    <t>Bandeau ou code fonctionnel</t>
  </si>
  <si>
    <t>Ne pas utiliser pour la couleur naturelle d’un produit rouge.</t>
  </si>
  <si>
    <t>Principe 1</t>
  </si>
  <si>
    <t>Couleur assiette = couleur naturelle du produit visible dans l’assiette. Elle s’applique aux colonnes B, C et F de la base produits.</t>
  </si>
  <si>
    <t>Vert</t>
  </si>
  <si>
    <t>#70AD47</t>
  </si>
  <si>
    <t>Famille ou zone légume</t>
  </si>
  <si>
    <t>Ne pas colorer tous les légumes en vert si leur couleur assiette diffère.</t>
  </si>
  <si>
    <t>Principe 2</t>
  </si>
  <si>
    <t>Couleur PLATS-CF = fonction de construction du menu. Elle reste dans les colonnes de code, bandeaux ou légendes. Elle ne remplace pas la couleur naturelle.</t>
  </si>
  <si>
    <t>Affectation sauce</t>
  </si>
  <si>
    <t>Orange</t>
  </si>
  <si>
    <t>#F4B183</t>
  </si>
  <si>
    <t>Sauce / jus / liaison</t>
  </si>
  <si>
    <t>Ne pas confondre avec carotte ou abricot.</t>
  </si>
  <si>
    <t>Principe 3</t>
  </si>
  <si>
    <t>Repère équilibre = code court texte : CRU, CUI, FEC, FRU, LEG, ARO, SEC, IMP. Le fond de cellule principal reste blanc ou couleur assiette selon la zone.</t>
  </si>
  <si>
    <t>Technique cuisson</t>
  </si>
  <si>
    <t>Gris / acier</t>
  </si>
  <si>
    <t>#A6A6A6</t>
  </si>
  <si>
    <t>Cuisson, technique, transformation</t>
  </si>
  <si>
    <t>Ne pas utiliser comme alerte.</t>
  </si>
  <si>
    <t>Principe 4</t>
  </si>
  <si>
    <t>Contrôles = violet uniquement pour alerte, vérification ou incohérence. Ne pas utiliser le violet pour décorer.</t>
  </si>
  <si>
    <t>Sélection entrée/dessert</t>
  </si>
  <si>
    <t>Bleu</t>
  </si>
  <si>
    <t>#9DC3E6</t>
  </si>
  <si>
    <t>Entrée / dessert / choix</t>
  </si>
  <si>
    <t>Ne pas confondre avec laitages si code bleu distinct.</t>
  </si>
  <si>
    <t>Reproductibilité</t>
  </si>
  <si>
    <t>Pour ajouter un produit : renseigner Produit, choisir Couleur assiette dans la palette, copier le remplissage correspondant sur B, C et F, puis compléter PLATS-CF et repère équilibre.</t>
  </si>
  <si>
    <t>Contrôles</t>
  </si>
  <si>
    <t>Violet</t>
  </si>
  <si>
    <t>#7030A0</t>
  </si>
  <si>
    <t>Alerte, contrôle, validation, incohérence</t>
  </si>
  <si>
    <t>Réserver au contrôle pour garder la force du signal.</t>
  </si>
  <si>
    <t>Limite volontaire</t>
  </si>
  <si>
    <t>Pas de MFC, pas de VBA, pas de formule : la couleur de fond est posée directement pour éviter les fichiers instables et faciliter les contrôles.</t>
  </si>
  <si>
    <t>Feuilles clés</t>
  </si>
  <si>
    <t>01_CODES_PLATS_CF ; 02_REPERES_EQUILIBRE ; 03_BASE_PRODUITS  ; 04_COULEUR_TRANSFORMÉE_CUITE ; 05_DÉCISION COULEURS — fruits/légumes, PLATS-CF, repères équilibre ; 06_PALETTE_ASSIETTE ; 07_EXEMPLES ; 08_REGLES_REPRODUCTION ; 09_CONTROLES ; 10_MODE_D'EMPLOI_COULEURS ; 11_COULEURS_EXCEL</t>
  </si>
  <si>
    <t>Signal achat/origine, pas jugement nutritionnel.</t>
  </si>
  <si>
    <t>Colonne Disponibilité ou Repère_équilibre</t>
  </si>
  <si>
    <t>#D9E1F2</t>
  </si>
  <si>
    <t>Gris clair</t>
  </si>
  <si>
    <t>IMP</t>
  </si>
  <si>
    <t>Différencier sec/conservation et couleur assiette.</t>
  </si>
  <si>
    <t>Colonne Repère_équilibre</t>
  </si>
  <si>
    <t>#D7C4A3</t>
  </si>
  <si>
    <t>Brun clair</t>
  </si>
  <si>
    <t>Fruit sec / graine / noix</t>
  </si>
  <si>
    <t>SEC</t>
  </si>
  <si>
    <t>Ail/oignon/échalote : fonction aromatique.</t>
  </si>
  <si>
    <t>Aromatique / condiment</t>
  </si>
  <si>
    <t>ARO</t>
  </si>
  <si>
    <t>Seulement si CRU/CUI/FEC ne suffit pas.</t>
  </si>
  <si>
    <t>Vert neutre</t>
  </si>
  <si>
    <t>Légume générique</t>
  </si>
  <si>
    <t>Le fruit garde sa couleur assiette naturelle.</t>
  </si>
  <si>
    <t>Bleu ou texte neutre</t>
  </si>
  <si>
    <t>FRU</t>
  </si>
  <si>
    <t>Ne pas colorer le produit en marron si sa couleur assiette est orange ou ivoire.</t>
  </si>
  <si>
    <t>#C6A27E</t>
  </si>
  <si>
    <t>Marron</t>
  </si>
  <si>
    <t>Féculent / tubercule / légumineuse</t>
  </si>
  <si>
    <t>À utiliser si le produit se sert dans plusieurs fonctions.</t>
  </si>
  <si>
    <t>#FFCC00</t>
  </si>
  <si>
    <t>Jaune orangé</t>
  </si>
  <si>
    <t>Cru ou cuit / usage mixte</t>
  </si>
  <si>
    <t>C.MIXTE</t>
  </si>
  <si>
    <t>Code cuisson/alimentation, pas couleur assiette.</t>
  </si>
  <si>
    <t>#99CC00</t>
  </si>
  <si>
    <t>Vert clair pastille</t>
  </si>
  <si>
    <t>Cuidité / produit cuit</t>
  </si>
  <si>
    <t>Ne pas confondre avec couleur naturelle verte.</t>
  </si>
  <si>
    <t>Colonne Repère_équilibre, pas fond principal</t>
  </si>
  <si>
    <t>#008000</t>
  </si>
  <si>
    <t>Vert foncé texte ou pastille</t>
  </si>
  <si>
    <t>Crudité / produit cru</t>
  </si>
  <si>
    <t>Vigilance</t>
  </si>
  <si>
    <t>Usage dans Excel</t>
  </si>
  <si>
    <t>Couleur/pastille conseillée</t>
  </si>
  <si>
    <t>02_REPERES_EQUILIBRE</t>
  </si>
  <si>
    <t>Signal de travail, pas une couleur assiette</t>
  </si>
  <si>
    <t>Créations / produits à classer</t>
  </si>
  <si>
    <t>?!</t>
  </si>
  <si>
    <t>#FF99CC</t>
  </si>
  <si>
    <t>Rose / magenta</t>
  </si>
  <si>
    <t>Création libre</t>
  </si>
  <si>
    <t>Création</t>
  </si>
  <si>
    <t>Code dessert</t>
  </si>
  <si>
    <t>Desserts sucrés divers</t>
  </si>
  <si>
    <t>D.sucré</t>
  </si>
  <si>
    <t>#D9D2E9</t>
  </si>
  <si>
    <t>Violet clair</t>
  </si>
  <si>
    <t>Dessert sucré</t>
  </si>
  <si>
    <t>Desserts</t>
  </si>
  <si>
    <t>Riz au lait, semoule, tapioca</t>
  </si>
  <si>
    <t>D.FEC</t>
  </si>
  <si>
    <t>#FFC000</t>
  </si>
  <si>
    <t>Orange ambre</t>
  </si>
  <si>
    <t>Dessert féculent</t>
  </si>
  <si>
    <t>Biscuits</t>
  </si>
  <si>
    <t>Orange clair</t>
  </si>
  <si>
    <t>Biscuits secs</t>
  </si>
  <si>
    <t>Desserts pâtissiers</t>
  </si>
  <si>
    <t>PAT</t>
  </si>
  <si>
    <t>#FFFF00</t>
  </si>
  <si>
    <t>Jaune</t>
  </si>
  <si>
    <t>Pâtisserie</t>
  </si>
  <si>
    <t>Desserts fruits cuits</t>
  </si>
  <si>
    <t>FRUIT</t>
  </si>
  <si>
    <t>Vert clair</t>
  </si>
  <si>
    <t>Code dessert, pas couleur fruit</t>
  </si>
  <si>
    <t>Desserts fruits crus</t>
  </si>
  <si>
    <t>FRUIT.</t>
  </si>
  <si>
    <t>Vert foncé</t>
  </si>
  <si>
    <t>Repère famille menu</t>
  </si>
  <si>
    <t>Laitages</t>
  </si>
  <si>
    <t>LAIT</t>
  </si>
  <si>
    <t>#EAF2F8</t>
  </si>
  <si>
    <t>Bleu très clair</t>
  </si>
  <si>
    <t>Fromages / laitages</t>
  </si>
  <si>
    <t>Repère nutrition du menu</t>
  </si>
  <si>
    <t>FROM.3</t>
  </si>
  <si>
    <t>#5B9BD5</t>
  </si>
  <si>
    <t>Bleu soutenu</t>
  </si>
  <si>
    <t>Fromage ≥ 150 mg Ca</t>
  </si>
  <si>
    <t>Fromages intermédiaires</t>
  </si>
  <si>
    <t>FROM.2</t>
  </si>
  <si>
    <t>Bleu moyen</t>
  </si>
  <si>
    <t>Fromage 100–150 mg Ca</t>
  </si>
  <si>
    <t>Fromages faibles en calcium</t>
  </si>
  <si>
    <t>FROM1</t>
  </si>
  <si>
    <t>#DDEBF7</t>
  </si>
  <si>
    <t>Bleu clair</t>
  </si>
  <si>
    <t>Fromage &lt; 100 mg Ca</t>
  </si>
  <si>
    <t>Code sauce</t>
  </si>
  <si>
    <t>Sauces brunes</t>
  </si>
  <si>
    <t>SAU.br</t>
  </si>
  <si>
    <t>Sauce brune</t>
  </si>
  <si>
    <t>Sauces</t>
  </si>
  <si>
    <t>Sauces blanches</t>
  </si>
  <si>
    <t>SAU.bl</t>
  </si>
  <si>
    <t>#FFFF99</t>
  </si>
  <si>
    <t>Jaune très clair</t>
  </si>
  <si>
    <t>Sauce blanche</t>
  </si>
  <si>
    <t>Jus, bouillon, fond</t>
  </si>
  <si>
    <t>JUS</t>
  </si>
  <si>
    <t>Bleu pâle</t>
  </si>
  <si>
    <t>Jus / bouillon</t>
  </si>
  <si>
    <t>Code menu</t>
  </si>
  <si>
    <t>Préparations salées type pâte</t>
  </si>
  <si>
    <t>P.PAT</t>
  </si>
  <si>
    <t>Préparation pâtissière</t>
  </si>
  <si>
    <t>À isoler si possible en technique</t>
  </si>
  <si>
    <t>Technique / mode frit</t>
  </si>
  <si>
    <t>FRIT</t>
  </si>
  <si>
    <t>Friture</t>
  </si>
  <si>
    <t>Plats reconstitués</t>
  </si>
  <si>
    <t>REC</t>
  </si>
  <si>
    <t>Produit reconstitué</t>
  </si>
  <si>
    <t>Plats charcuterie</t>
  </si>
  <si>
    <t>CHAR</t>
  </si>
  <si>
    <t>Charcuterie</t>
  </si>
  <si>
    <t>Ne jamais utiliser pour tomate/fraise</t>
  </si>
  <si>
    <t>Repère plat principal PLATS-CF</t>
  </si>
  <si>
    <t>PLAT</t>
  </si>
  <si>
    <t>Code composition</t>
  </si>
  <si>
    <t>Mélanges de légumes</t>
  </si>
  <si>
    <t>C.mixte</t>
  </si>
  <si>
    <t>Composés mixtes</t>
  </si>
  <si>
    <t>Légumes</t>
  </si>
  <si>
    <t>Code de composition</t>
  </si>
  <si>
    <t>Mélanges verts</t>
  </si>
  <si>
    <t>C.Vert</t>
  </si>
  <si>
    <t>#00B050</t>
  </si>
  <si>
    <t>Vert vif</t>
  </si>
  <si>
    <t>Composés verts</t>
  </si>
  <si>
    <t>Pas couleur produit</t>
  </si>
  <si>
    <t>Féculents et tubercules</t>
  </si>
  <si>
    <t>Féculents</t>
  </si>
  <si>
    <t>Code équilibre/cuisson</t>
  </si>
  <si>
    <t>Cuidités</t>
  </si>
  <si>
    <t>Peut cohabiter avec couleur assiette en colonne séparée</t>
  </si>
  <si>
    <t>Légumes crus</t>
  </si>
  <si>
    <t>Crudités</t>
  </si>
  <si>
    <t>Code menu, pas couleur assiette</t>
  </si>
  <si>
    <t>Entrées œufs</t>
  </si>
  <si>
    <t>HO.Œufs</t>
  </si>
  <si>
    <t>#FF0000</t>
  </si>
  <si>
    <t>Rouge</t>
  </si>
  <si>
    <t>Œufs</t>
  </si>
  <si>
    <t>Hors-d’œuvre</t>
  </si>
  <si>
    <t>Entrées poisson</t>
  </si>
  <si>
    <t>HO.Pois.</t>
  </si>
  <si>
    <t>Code fonctionnel</t>
  </si>
  <si>
    <t>Entrées pâtissières</t>
  </si>
  <si>
    <t>HO.Pat.</t>
  </si>
  <si>
    <t>Pâtisseries salées</t>
  </si>
  <si>
    <t>Attention avec jaune produit</t>
  </si>
  <si>
    <t>Entrées charcuterie</t>
  </si>
  <si>
    <t>HO.Char.</t>
  </si>
  <si>
    <t>Pas couleur naturelle</t>
  </si>
  <si>
    <t>Entrées féculentes</t>
  </si>
  <si>
    <t>HO.Fec.</t>
  </si>
  <si>
    <t>#FFCC99</t>
  </si>
  <si>
    <t>Beige pêche</t>
  </si>
  <si>
    <t>Féculents en entrée</t>
  </si>
  <si>
    <t>Ne pas confondre avec vert naturel assiette</t>
  </si>
  <si>
    <t>Liste HO cuidités</t>
  </si>
  <si>
    <t>HO.Cuit.</t>
  </si>
  <si>
    <t>Couleur fonctionnelle, pas couleur du produit</t>
  </si>
  <si>
    <t>Liste HO crudités / entrées froides</t>
  </si>
  <si>
    <t>HO.Cru.</t>
  </si>
  <si>
    <t>Ne pas utiliser pour</t>
  </si>
  <si>
    <t>Couleur observée/proposée</t>
  </si>
  <si>
    <t>Bloc</t>
  </si>
  <si>
    <t>01_CODES_PLATS_CF</t>
  </si>
  <si>
    <t>NE PAS SUPPRIMER</t>
  </si>
  <si>
    <t>N° question &gt;</t>
  </si>
  <si>
    <t>Afficher les réponses = Saisissez un X</t>
  </si>
  <si>
    <t>Ces documents sont les fruits :</t>
  </si>
  <si>
    <t>Série Festival des menus</t>
  </si>
  <si>
    <t>de mon expérience et des utilitaires de la restauration collective</t>
  </si>
  <si>
    <t>Document : Aide aux menus</t>
  </si>
  <si>
    <t>de documents mis sur le net par des passionnés</t>
  </si>
  <si>
    <t>me = menus</t>
  </si>
  <si>
    <t>Je les mets à disposition des professionnels et des jeunes cuisiniers en formation .</t>
  </si>
  <si>
    <t>A chacun de faire évoluer ces documents et de les modifier pour son utilisation.......</t>
  </si>
  <si>
    <t>Annule ou remplace les versions précédentes</t>
  </si>
  <si>
    <t>Conservez ce document dans votre webthèque. Copiez les supports qui vous intéressent et adaptez-les à votre utilisation.</t>
  </si>
  <si>
    <t>CONTENU DU CLASSEUR</t>
  </si>
  <si>
    <t>Adresse</t>
  </si>
  <si>
    <t>Quelques polices de caractères utilisées</t>
  </si>
  <si>
    <t>Quelques formats utilisés</t>
  </si>
  <si>
    <t>Arial</t>
  </si>
  <si>
    <t>Calibri</t>
  </si>
  <si>
    <t>Rockwell</t>
  </si>
  <si>
    <t>Verdana</t>
  </si>
  <si>
    <t>15.5 &gt;</t>
  </si>
  <si>
    <t>ARIAL</t>
  </si>
  <si>
    <t>CALIBRI</t>
  </si>
  <si>
    <t>ROCKWELL</t>
  </si>
  <si>
    <t>VERDANA</t>
  </si>
  <si>
    <t>personnalisés &gt;</t>
  </si>
  <si>
    <t>0.000" Kg"</t>
  </si>
  <si>
    <t>0" %"</t>
  </si>
  <si>
    <t>Monétaire</t>
  </si>
  <si>
    <t>Autres polices à découvrir</t>
  </si>
  <si>
    <t>ARIAL NARROW    Arial Narrow</t>
  </si>
  <si>
    <t>COMIC SANS MF  Comic Sans MF</t>
  </si>
  <si>
    <t>GIL SANS MT  Gill Sans MT</t>
  </si>
  <si>
    <t>PALATINO LINOTYPE  Palatino Linotype</t>
  </si>
  <si>
    <t>TAHOMA   Tahoma</t>
  </si>
  <si>
    <t>TIMES NEW ROMAN Times New Roman</t>
  </si>
  <si>
    <t>TRBUCHET MF  Trébuchet MF</t>
  </si>
  <si>
    <t>TW CEN MT  Tw Cen MT</t>
  </si>
  <si>
    <t>VRINDA   Vrinda</t>
  </si>
  <si>
    <t>Une numérotation avec couleur de police modifiable</t>
  </si>
  <si>
    <t>❶</t>
  </si>
  <si>
    <t>❷</t>
  </si>
  <si>
    <t>❸</t>
  </si>
  <si>
    <t>❹</t>
  </si>
  <si>
    <t>❺</t>
  </si>
  <si>
    <t>❻</t>
  </si>
  <si>
    <t>❼</t>
  </si>
  <si>
    <t>❽</t>
  </si>
  <si>
    <t>❾</t>
  </si>
  <si>
    <t>❿</t>
  </si>
  <si>
    <t>⓫</t>
  </si>
  <si>
    <t>⓬</t>
  </si>
  <si>
    <t>⓭</t>
  </si>
  <si>
    <t>⓮</t>
  </si>
  <si>
    <t>⓯</t>
  </si>
  <si>
    <t>⓰</t>
  </si>
  <si>
    <t>⓱</t>
  </si>
  <si>
    <t>⓲</t>
  </si>
  <si>
    <t>⓳</t>
  </si>
  <si>
    <t>⓴</t>
  </si>
  <si>
    <t>11</t>
  </si>
  <si>
    <t>12</t>
  </si>
  <si>
    <t>13</t>
  </si>
  <si>
    <t>14</t>
  </si>
  <si>
    <t>15</t>
  </si>
  <si>
    <t>16</t>
  </si>
  <si>
    <t>17</t>
  </si>
  <si>
    <t>18</t>
  </si>
  <si>
    <t>19</t>
  </si>
  <si>
    <t>20</t>
  </si>
  <si>
    <t>⓪①②③④⑤⑥⑦⑧⑨⑩⑪⑫⑬⑭⑮⑯⑰⑱⑲⑳  0️⃣ 1️⃣ 2️⃣ 3️⃣ 4️⃣ 5️⃣ 6️⃣ 7️⃣ 8️⃣ 9️⃣ 🔟</t>
  </si>
  <si>
    <t>cliquez sur la colonne  C et sélectionnez dans la barre de formule le numéro ou la lettre qui vous intéresse choisissez la police de caractères et la couleur qui vous conviennent</t>
  </si>
  <si>
    <t xml:space="preserve">⓿❶❷❸❹❺❻❼❽❾❿⓫⓬⓭⓮⓯⓰⓱⓲⓳⓴  </t>
  </si>
  <si>
    <t xml:space="preserve">  ► ◄  ▲ ▼  ➕ ➖ ➗ ✖️  ✅  »   " #  %  &amp;  '@  ≈  ±  ¼  ½  ¾  ! M² m² cm²  M³ m³ cm³ 😊 ChatGPT</t>
  </si>
  <si>
    <t>Ⓐ Ⓑ Ⓒ Ⓓ Ⓔ Ⓕ Ⓖ Ⓗ Ⓘ Ⓙ Ⓚ Ⓛ Ⓜ Ⓝ Ⓞ Ⓟ Ⓠ Ⓡ Ⓢ Ⓣ Ⓤ Ⓥ Ⓦ Ⓧ Ⓧ Ⓩ MAJUSCULES</t>
  </si>
  <si>
    <t>ⓐ ⓑ ⓒ ⓓ ⓔ ⓕ ⓕ ⓗ ⓗ ⓘ ⓙ ⓚ ⓛ ⓜ ⓝ ⓞ ⓟ ⓠ ⓡ ⓡ ⓣ ⓤ ⓥ ⓦ ⓧ ⓨ ⓩ minuscules</t>
  </si>
  <si>
    <t>🅐🅑🅒🅓🅔🅕🅖🅗🅘🅙🅚🅛🅜🅝🅞🅟🅠🅡🅢🅣🅤🅥🅦🅧🅨🅩</t>
  </si>
  <si>
    <t>🅰🅱🅲🅳🅴🅵🅶🅷🅸🅹🅺🅻🅼🅽🅾🅿🆀🆁🆂🆃🆄🆅🆆🆇🆈🆉</t>
  </si>
  <si>
    <t>Excel avec les émoticônes</t>
  </si>
  <si>
    <t>https://www.bonbache.fr/syntheses-graphiques-excel-avec-les-emoticones-499.html</t>
  </si>
  <si>
    <t>pour intégrer un N° dans un texte c'est simple :</t>
  </si>
  <si>
    <t>❶ commencez à écrire votre texte</t>
  </si>
  <si>
    <t xml:space="preserve">② puis choisisser le N° qui vous convient en cliquant dessus </t>
  </si>
  <si>
    <t>❸  DANS LA BARRE DE FORMULE copiez le</t>
  </si>
  <si>
    <t xml:space="preserve">puis cliquez de nouveau cliquez sur votre texte et collez votre N° ⓫ </t>
  </si>
  <si>
    <t>à l'emplacement souhaté toujours dans la barre de formule</t>
  </si>
  <si>
    <t xml:space="preserve">si vous voulez colorer seulement le N° dans une phrase sélectionnez </t>
  </si>
  <si>
    <r>
      <t xml:space="preserve">le dans la barre de formule et changez la taille et la couleur </t>
    </r>
    <r>
      <rPr>
        <b/>
        <sz val="14"/>
        <color rgb="FFC00000"/>
        <rFont val="Calibri"/>
        <family val="2"/>
        <scheme val="minor"/>
      </rPr>
      <t>⓫</t>
    </r>
  </si>
  <si>
    <t>des caractères spéciaux</t>
  </si>
  <si>
    <t>!</t>
  </si>
  <si>
    <t>"</t>
  </si>
  <si>
    <t>#</t>
  </si>
  <si>
    <t>$</t>
  </si>
  <si>
    <t>%</t>
  </si>
  <si>
    <t>&amp;</t>
  </si>
  <si>
    <t>@</t>
  </si>
  <si>
    <t>‰</t>
  </si>
  <si>
    <t>≈</t>
  </si>
  <si>
    <t>±</t>
  </si>
  <si>
    <t>»</t>
  </si>
  <si>
    <t>¼</t>
  </si>
  <si>
    <t>½</t>
  </si>
  <si>
    <t>¾</t>
  </si>
  <si>
    <t>ø</t>
  </si>
  <si>
    <t>►</t>
  </si>
  <si>
    <t>◄</t>
  </si>
  <si>
    <t>▲</t>
  </si>
  <si>
    <t>▼</t>
  </si>
  <si>
    <t>Φ</t>
  </si>
  <si>
    <t>0.00\ " cm³"</t>
  </si>
  <si>
    <t>Format | cellule | personnalisé | 0" cm³"</t>
  </si>
  <si>
    <t>ou copier-coller</t>
  </si>
  <si>
    <t>t</t>
  </si>
  <si>
    <t>u</t>
  </si>
  <si>
    <t>le ² se fait en tapant alt+0178</t>
  </si>
  <si>
    <t xml:space="preserve">m² </t>
  </si>
  <si>
    <t xml:space="preserve">M² </t>
  </si>
  <si>
    <t xml:space="preserve">cm² </t>
  </si>
  <si>
    <t>²</t>
  </si>
  <si>
    <t>Police Wingdings 3</t>
  </si>
  <si>
    <t>le ³ se fait en tapant alt+0179</t>
  </si>
  <si>
    <t>m³ </t>
  </si>
  <si>
    <t>M³ </t>
  </si>
  <si>
    <t>cm³ </t>
  </si>
  <si>
    <t>³</t>
  </si>
  <si>
    <t>Z</t>
  </si>
  <si>
    <t>q</t>
  </si>
  <si>
    <t>p</t>
  </si>
  <si>
    <t>Transmettez votre savoir et votre savoir faire  peu importe qui le récupère; pourvu qu'un plus grand nombre puisse en bénéficier.</t>
  </si>
  <si>
    <t>Joël LEBOUCHER</t>
  </si>
  <si>
    <t>un lien rompu ou devenu obsolète…..pas de panique…Google saura vous retrouver un document équivalent</t>
  </si>
  <si>
    <t>Site à découvrir</t>
  </si>
  <si>
    <r>
      <t xml:space="preserve">SPACE pour </t>
    </r>
    <r>
      <rPr>
        <b/>
        <sz val="22"/>
        <color theme="0"/>
        <rFont val="Arial"/>
        <family val="2"/>
      </rPr>
      <t>S</t>
    </r>
    <r>
      <rPr>
        <sz val="22"/>
        <color theme="0"/>
        <rFont val="Arial"/>
        <family val="2"/>
      </rPr>
      <t xml:space="preserve">uivi et </t>
    </r>
    <r>
      <rPr>
        <b/>
        <sz val="22"/>
        <color theme="0"/>
        <rFont val="Arial"/>
        <family val="2"/>
      </rPr>
      <t>P</t>
    </r>
    <r>
      <rPr>
        <sz val="22"/>
        <color theme="0"/>
        <rFont val="Arial"/>
        <family val="2"/>
      </rPr>
      <t>rogrammation d'</t>
    </r>
    <r>
      <rPr>
        <b/>
        <sz val="22"/>
        <color theme="0"/>
        <rFont val="Arial"/>
        <family val="2"/>
      </rPr>
      <t>AC</t>
    </r>
    <r>
      <rPr>
        <sz val="22"/>
        <color theme="0"/>
        <rFont val="Arial"/>
        <family val="2"/>
      </rPr>
      <t xml:space="preserve">tivités en </t>
    </r>
    <r>
      <rPr>
        <b/>
        <sz val="22"/>
        <color theme="0"/>
        <rFont val="Arial"/>
        <family val="2"/>
      </rPr>
      <t>E</t>
    </r>
    <r>
      <rPr>
        <sz val="22"/>
        <color theme="0"/>
        <rFont val="Arial"/>
        <family val="2"/>
      </rPr>
      <t>quipe est un outil destiné à permettre un suivi exhaustif des activités d'une équipe.</t>
    </r>
  </si>
  <si>
    <t>https://coach-agile.com/2025/12/space-framework-pour-mesurer-la-performance-des-equipes-de-developpement/</t>
  </si>
  <si>
    <t>00_MODE_EMPLOI</t>
  </si>
  <si>
    <t>01_AUDIT_FEUILLES</t>
  </si>
  <si>
    <t>01_ACCUEIL  SAISON DES FRUITS ET LÉGUMES — base restructurée pour filtre métier et lecture mensuelle</t>
  </si>
  <si>
    <t>01_QR_METHODE  ÉQUILIBRER LES MENUS SUR 20 OU 28 REPAS — QUESTIONS / RÉPONSES</t>
  </si>
  <si>
    <t>01_Equilibre.Semaine  ÉQUILIBRER LES MENUS SUR 1 SEMAINE — OUTIL DIÉTÉTIQUE TERRAIN</t>
  </si>
  <si>
    <t>01_ATELIER_ACTIF   travailler un cas terrain à la fois : diagnostiquer, corriger, justifier</t>
  </si>
  <si>
    <t>01_CONVIVES   adapter le même menu selon le convive : texture, portion, sauce, présentation, dessert</t>
  </si>
  <si>
    <t>01_COULEURS   former le regard visuel et sensoriel : couleur, saison, texture, correction réaliste</t>
  </si>
  <si>
    <t>01_PLAT_PRINCIPAL  analyser le plat principal avant de construire le menu : famille, risque, garniture, sauce/jus, convive, justification</t>
  </si>
  <si>
    <t>01_VEGETARIENS  construire de vrais menus végétariens : base nourrissante, goût, couleur, satiété</t>
  </si>
  <si>
    <t>01_DESSERTS  utiliser l’entrée et le dessert comme correcteurs du menu, pas comme cases décoratives</t>
  </si>
  <si>
    <t>01_FINAL_2  évaluation finale : diagnostiquer, corriger, adapter, contrôler et justifier</t>
  </si>
  <si>
    <t>01_Questions_Réponses.1</t>
  </si>
  <si>
    <t>02_COMPOSER_UN_MENU  Construire un menu du midi lisible, équilibré et productible avec la méthode PLATS-CF.</t>
  </si>
  <si>
    <t>02_GRILLE_20_REPAS_SCOLAIRE  CONTRÔLE SUR 20 REPAS SUCCESSIFS  SCOLAIRE   EXEMPLE NON VALIDÉ</t>
  </si>
  <si>
    <t>02_MODELE_20_REPAS_SCOLAIRE  GRILLE À REMPLIR    MODÈLE A DUPLIQUER</t>
  </si>
  <si>
    <t>02_SAISONS  Produit_normalisé  Couleur_produit  Disponibilité  Saisons</t>
  </si>
  <si>
    <t>02_VUE_MOIS  Produit  Usage  Disponibilité</t>
  </si>
  <si>
    <t>02_GRILLE_28_REPAS_EHPAD  GRILLE À REMPLIR — EHPAD / PERSONNES ÂGÉES : 28 DÉJEUNERS + 28 DÎNERS   EXEMPLE NON VALIDÉ</t>
  </si>
  <si>
    <t xml:space="preserve">02_Base de données   Produits   Saisons  Couleur visuelle </t>
  </si>
  <si>
    <t>02_Identité.FR-EN-ES.   IDENTIFICATION  DES "GRIILES" DE MENUS  en Français  Anglais  Espagnol</t>
  </si>
  <si>
    <t>02_Contrôles  4 Modèles de contrôles, et 4 exemples à vous de choisir le modèle qui vous convient et supprimez les autres</t>
  </si>
  <si>
    <t>02_Guide.pratique.Belge  un menu durable</t>
  </si>
  <si>
    <t>DÉTECTION DES ALLERGÈNES POUR CARTES DE RESTAURANT</t>
  </si>
  <si>
    <t>ID</t>
  </si>
  <si>
    <t>Famille allergène</t>
  </si>
  <si>
    <t>Terme métier / ingrédient</t>
  </si>
  <si>
    <t>Terme normalisé</t>
  </si>
  <si>
    <t>Métiers concernés</t>
  </si>
  <si>
    <t>Source URL</t>
  </si>
  <si>
    <t>R0001</t>
  </si>
  <si>
    <t>Céréales contenant du gluten</t>
  </si>
  <si>
    <t>ALERTE</t>
  </si>
  <si>
    <t>ale</t>
  </si>
  <si>
    <t>Tous métiers</t>
  </si>
  <si>
    <t>Céréale contenant du gluten ou préparation courante.</t>
  </si>
  <si>
    <t>https://eur-lex.europa.eu/legal-content/FR/TXT/?uri=CELEX:32011R1169</t>
  </si>
  <si>
    <t>2011</t>
  </si>
  <si>
    <t>Formules individuelles scindées : recherches par blocs de 100 termes ; exclusions neutralisées avant détection.</t>
  </si>
  <si>
    <t>R0002</t>
  </si>
  <si>
    <t>amidon de blé</t>
  </si>
  <si>
    <t>amidon de ble</t>
  </si>
  <si>
    <t>Fin du document cellule &gt;End of the “cell” document &gt;Fin del documento “celda” &gt;</t>
  </si>
  <si>
    <t>R0003</t>
  </si>
  <si>
    <t>avoine</t>
  </si>
  <si>
    <t>* = allergène détecté certain  |  ? = composition / allergène à vérifier  |  AFFICHAGE CARTE : un seul statut, jamais * ?</t>
  </si>
  <si>
    <t>Le mot « farine » tout seul est  trop imprécis. je préfère le classer ? à vérifier, sauf si la fiche recette désigne clairement une farine contenant du gluten.</t>
  </si>
  <si>
    <t>R0004</t>
  </si>
  <si>
    <t>baguette</t>
  </si>
  <si>
    <t>ALLERGÈNES CERTAINS Allergènes détectés (à coller)</t>
  </si>
  <si>
    <t>Crustacés</t>
  </si>
  <si>
    <t>Poissons</t>
  </si>
  <si>
    <t>Arachides</t>
  </si>
  <si>
    <t>Soja</t>
  </si>
  <si>
    <t>Lait</t>
  </si>
  <si>
    <t>Fruits à coque</t>
  </si>
  <si>
    <t>Céleri</t>
  </si>
  <si>
    <t>Moutarde</t>
  </si>
  <si>
    <t>Sésame</t>
  </si>
  <si>
    <t>Sulfites</t>
  </si>
  <si>
    <t>Lupin</t>
  </si>
  <si>
    <t>Mollusques</t>
  </si>
  <si>
    <t>Texte source</t>
  </si>
  <si>
    <t>Nettoyage caractères</t>
  </si>
  <si>
    <t>Accents 1</t>
  </si>
  <si>
    <t>Accents 2</t>
  </si>
  <si>
    <t>Ponctuation 1</t>
  </si>
  <si>
    <t>Ponctuation 2</t>
  </si>
  <si>
    <t>Texte normalisé</t>
  </si>
  <si>
    <t>Céréales c ALER 1</t>
  </si>
  <si>
    <t>Céréales c ALER 2</t>
  </si>
  <si>
    <t>Céréales c EXCL 1</t>
  </si>
  <si>
    <t>Céréales c SUSP 1</t>
  </si>
  <si>
    <t>Crustacés ALER 1</t>
  </si>
  <si>
    <t>Crustacés ALER 2</t>
  </si>
  <si>
    <t>Œufs ALER 1</t>
  </si>
  <si>
    <t>Œufs SUSP 1</t>
  </si>
  <si>
    <t>Œufs EXCL 1</t>
  </si>
  <si>
    <t>Poissons ALER 1</t>
  </si>
  <si>
    <t>Poissons ALER 2</t>
  </si>
  <si>
    <t>Poissons ALER 3</t>
  </si>
  <si>
    <t>Poissons ALER 4</t>
  </si>
  <si>
    <t>Poissons ALER 5</t>
  </si>
  <si>
    <t>Poissons ALER 6</t>
  </si>
  <si>
    <t>Poissons ALER 7</t>
  </si>
  <si>
    <t>Poissons ALER 8</t>
  </si>
  <si>
    <t>Poissons ALER 9</t>
  </si>
  <si>
    <t>Poissons ALER 10</t>
  </si>
  <si>
    <t>Poissons EXCL 1</t>
  </si>
  <si>
    <t>Poissons SUSP 1</t>
  </si>
  <si>
    <t>Arachides ALER 1</t>
  </si>
  <si>
    <t>Soja ALER 1</t>
  </si>
  <si>
    <t>Soja EXCL 1</t>
  </si>
  <si>
    <t>Soja SUSP 1</t>
  </si>
  <si>
    <t>Lait ALER 1</t>
  </si>
  <si>
    <t>Lait ALER 2</t>
  </si>
  <si>
    <t>Lait ALER 3</t>
  </si>
  <si>
    <t>Lait EXCL 1</t>
  </si>
  <si>
    <t>Lait SUSP 1</t>
  </si>
  <si>
    <t>Lait EXCL SUSP</t>
  </si>
  <si>
    <t>Fruits à c ALER 1</t>
  </si>
  <si>
    <t>Fruits à c EXCL 1</t>
  </si>
  <si>
    <t>Fruits à c SUSP 1</t>
  </si>
  <si>
    <t>Céleri ALER 1</t>
  </si>
  <si>
    <t>Céleri SUSP 1</t>
  </si>
  <si>
    <t>Moutarde ALER 1</t>
  </si>
  <si>
    <t>Moutarde SUSP 1</t>
  </si>
  <si>
    <t>Sésame ALER 1</t>
  </si>
  <si>
    <t>Sésame SUSP 1</t>
  </si>
  <si>
    <t>Sulfites ALER 1</t>
  </si>
  <si>
    <t>Sulfites SUSP 1</t>
  </si>
  <si>
    <t>Lupin ALER 1</t>
  </si>
  <si>
    <t>Lupin SUSP 1</t>
  </si>
  <si>
    <t>Mollusques ALER 1</t>
  </si>
  <si>
    <t>Mollusques ALER 2</t>
  </si>
  <si>
    <t>Mollusques ALER 3</t>
  </si>
  <si>
    <t>Mollusques EXCL 1</t>
  </si>
  <si>
    <t>Mollusques SUSP 1</t>
  </si>
  <si>
    <t>R0005</t>
  </si>
  <si>
    <t>barley</t>
  </si>
  <si>
    <t>Cuisine/Bar/Charcuterie/Glacier/Traiteur</t>
  </si>
  <si>
    <t>Synonyme métier, terme de carte ou dénomination courante.</t>
  </si>
  <si>
    <t>2026</t>
  </si>
  <si>
    <t>Ail haché</t>
  </si>
  <si>
    <t>R0006</t>
  </si>
  <si>
    <t>bière</t>
  </si>
  <si>
    <t>biere</t>
  </si>
  <si>
    <t>Ail hachée surgelé</t>
  </si>
  <si>
    <t>R0007</t>
  </si>
  <si>
    <t>bière blanche</t>
  </si>
  <si>
    <t>biere blanche</t>
  </si>
  <si>
    <t>Aubergines</t>
  </si>
  <si>
    <t>R0008</t>
  </si>
  <si>
    <t>bière blonde</t>
  </si>
  <si>
    <t>biere blonde</t>
  </si>
  <si>
    <t>Beurre</t>
  </si>
  <si>
    <t>R0009</t>
  </si>
  <si>
    <t>bière brune</t>
  </si>
  <si>
    <t>biere brune</t>
  </si>
  <si>
    <t>Bouillon de volaille</t>
  </si>
  <si>
    <t>R0010</t>
  </si>
  <si>
    <t>biscotte</t>
  </si>
  <si>
    <t>Bulbes de fenouil</t>
  </si>
  <si>
    <t>R0011</t>
  </si>
  <si>
    <t>biscottes</t>
  </si>
  <si>
    <t>Carottes</t>
  </si>
  <si>
    <t>R0012</t>
  </si>
  <si>
    <t>Chorizo</t>
  </si>
  <si>
    <t>R0013</t>
  </si>
  <si>
    <t>biscuits</t>
  </si>
  <si>
    <t>Choux-fleurs</t>
  </si>
  <si>
    <t>R0014</t>
  </si>
  <si>
    <t>blé</t>
  </si>
  <si>
    <t>ble</t>
  </si>
  <si>
    <t>Citrons</t>
  </si>
  <si>
    <t>R0015</t>
  </si>
  <si>
    <t>Cive (botte)</t>
  </si>
  <si>
    <t>R0016</t>
  </si>
  <si>
    <t>bread</t>
  </si>
  <si>
    <t>Clous de girofle</t>
  </si>
  <si>
    <t>R0017</t>
  </si>
  <si>
    <t>breadcrumbs</t>
  </si>
  <si>
    <t xml:space="preserve">Cocktail de fruits de mer surgelés crus </t>
  </si>
  <si>
    <t>R0018</t>
  </si>
  <si>
    <t>bretzel</t>
  </si>
  <si>
    <t>Courgettes</t>
  </si>
  <si>
    <t>R0019</t>
  </si>
  <si>
    <t>bretzels</t>
  </si>
  <si>
    <t xml:space="preserve">Crème fraîche </t>
  </si>
  <si>
    <t>R0020</t>
  </si>
  <si>
    <t>brick</t>
  </si>
  <si>
    <t>Crème fraîche double</t>
  </si>
  <si>
    <t>R0021</t>
  </si>
  <si>
    <t>brioche</t>
  </si>
  <si>
    <t xml:space="preserve">Crevettes décortiquées </t>
  </si>
  <si>
    <t>R0022</t>
  </si>
  <si>
    <t>bulgur</t>
  </si>
  <si>
    <t>Cuisses de poulet</t>
  </si>
  <si>
    <t>R0023</t>
  </si>
  <si>
    <t>cake</t>
  </si>
  <si>
    <t>Dos de colin</t>
  </si>
  <si>
    <t>R0024</t>
  </si>
  <si>
    <t>cakes</t>
  </si>
  <si>
    <t>Echalotes fraîches ou émincées surgelées</t>
  </si>
  <si>
    <t>R0025</t>
  </si>
  <si>
    <t>chapelure</t>
  </si>
  <si>
    <t xml:space="preserve">Farine </t>
  </si>
  <si>
    <t>R0026</t>
  </si>
  <si>
    <t>choux pâtissier</t>
  </si>
  <si>
    <t>choux patissier</t>
  </si>
  <si>
    <t>Filets de morue dessalés</t>
  </si>
  <si>
    <t>R0027</t>
  </si>
  <si>
    <t>cookie</t>
  </si>
  <si>
    <t>Fond blanc de veau</t>
  </si>
  <si>
    <t>R0028</t>
  </si>
  <si>
    <t>cookies</t>
  </si>
  <si>
    <t xml:space="preserve">Fumet de crustacés </t>
  </si>
  <si>
    <t>R0029</t>
  </si>
  <si>
    <t xml:space="preserve">Glace de poisson </t>
  </si>
  <si>
    <t>R0030</t>
  </si>
  <si>
    <t>cracker</t>
  </si>
  <si>
    <t>Haricots plats d’Espagne surgelés</t>
  </si>
  <si>
    <t>R0031</t>
  </si>
  <si>
    <t>crackers</t>
  </si>
  <si>
    <t>Herbes de Provence</t>
  </si>
  <si>
    <t>R0032</t>
  </si>
  <si>
    <t>crêpe</t>
  </si>
  <si>
    <t>crepe</t>
  </si>
  <si>
    <t>Huile</t>
  </si>
  <si>
    <t>R0033</t>
  </si>
  <si>
    <t>crêpes</t>
  </si>
  <si>
    <t>crepes</t>
  </si>
  <si>
    <t>Huile d’olive</t>
  </si>
  <si>
    <t>R0034</t>
  </si>
  <si>
    <t>croissant</t>
  </si>
  <si>
    <t>Jaune d’œuf pasteurisé</t>
  </si>
  <si>
    <t>R0035</t>
  </si>
  <si>
    <t>croûton</t>
  </si>
  <si>
    <t>crouton</t>
  </si>
  <si>
    <t>Jus de citron (Pulco)</t>
  </si>
  <si>
    <t>R0036</t>
  </si>
  <si>
    <t>croûtons</t>
  </si>
  <si>
    <t>croutons</t>
  </si>
  <si>
    <t>R0037</t>
  </si>
  <si>
    <t>crumble</t>
  </si>
  <si>
    <t>Laurier ou bois d’Inde</t>
  </si>
  <si>
    <t>R0038</t>
  </si>
  <si>
    <t>éclair</t>
  </si>
  <si>
    <t>Margarine</t>
  </si>
  <si>
    <t>R0039</t>
  </si>
  <si>
    <t>éclairs</t>
  </si>
  <si>
    <t>eclairs</t>
  </si>
  <si>
    <t>Morue (filets dessalés)</t>
  </si>
  <si>
    <t>R0040</t>
  </si>
  <si>
    <t>engrain</t>
  </si>
  <si>
    <t>Moules «pleine eau»</t>
  </si>
  <si>
    <t>R0041</t>
  </si>
  <si>
    <t>épeautre</t>
  </si>
  <si>
    <t>epeautre</t>
  </si>
  <si>
    <t>Muscade</t>
  </si>
  <si>
    <t>R0042</t>
  </si>
  <si>
    <t>extrait de malt</t>
  </si>
  <si>
    <t>R0043</t>
  </si>
  <si>
    <t>farine de blé dur</t>
  </si>
  <si>
    <t>farine de ble dur</t>
  </si>
  <si>
    <t>Blé dur : céréale contenant du gluten.</t>
  </si>
  <si>
    <t>Oignons émincés surgelés</t>
  </si>
  <si>
    <t>R0044</t>
  </si>
  <si>
    <t>farine bise</t>
  </si>
  <si>
    <t>Persil plat</t>
  </si>
  <si>
    <t>R0045</t>
  </si>
  <si>
    <t>farine blanche</t>
  </si>
  <si>
    <t>Petits pois surgelés</t>
  </si>
  <si>
    <t>R0046</t>
  </si>
  <si>
    <t>farine complète</t>
  </si>
  <si>
    <t>farine complete</t>
  </si>
  <si>
    <t>Piment (man jack)</t>
  </si>
  <si>
    <t>R0047</t>
  </si>
  <si>
    <t>farine d avoine</t>
  </si>
  <si>
    <t>Poivre blanc moulu</t>
  </si>
  <si>
    <t>R0048</t>
  </si>
  <si>
    <t>farine d épeautre</t>
  </si>
  <si>
    <t>farine d epeautre</t>
  </si>
  <si>
    <t>Poivre de Cayenne</t>
  </si>
  <si>
    <t>R0049</t>
  </si>
  <si>
    <t>farine d orge</t>
  </si>
  <si>
    <t>Poivrons en lanières surgelés</t>
  </si>
  <si>
    <t>R0050</t>
  </si>
  <si>
    <t>farine de blé</t>
  </si>
  <si>
    <t>farine de ble</t>
  </si>
  <si>
    <t>Pommes de terre BF 15</t>
  </si>
  <si>
    <t>R0051</t>
  </si>
  <si>
    <t>farine de froment</t>
  </si>
  <si>
    <t>Pommes de terre sautées en rondelles précuites surgelées</t>
  </si>
  <si>
    <t>R0052</t>
  </si>
  <si>
    <t>farine de kamut</t>
  </si>
  <si>
    <t>Purée de pomme de terre</t>
  </si>
  <si>
    <t>R0053</t>
  </si>
  <si>
    <t>farine de khorasan</t>
  </si>
  <si>
    <t>Spigol, rizdor, etc</t>
  </si>
  <si>
    <t>R0054</t>
  </si>
  <si>
    <t>farine de seigle</t>
  </si>
  <si>
    <t>Tomates fraîches ou en cubes surgelés</t>
  </si>
  <si>
    <t>R0055</t>
  </si>
  <si>
    <t>farine de triticale</t>
  </si>
  <si>
    <t xml:space="preserve">Vin blanc </t>
  </si>
  <si>
    <t>R0056</t>
  </si>
  <si>
    <t>farine intégrale</t>
  </si>
  <si>
    <t>farine integrale</t>
  </si>
  <si>
    <t>R0057</t>
  </si>
  <si>
    <t>feuille de brick</t>
  </si>
  <si>
    <t>R0058</t>
  </si>
  <si>
    <t>ficelle</t>
  </si>
  <si>
    <t>R0059</t>
  </si>
  <si>
    <t>financier</t>
  </si>
  <si>
    <t>R0060</t>
  </si>
  <si>
    <t>financiers</t>
  </si>
  <si>
    <t>R0061</t>
  </si>
  <si>
    <t>froment</t>
  </si>
  <si>
    <t>R0062</t>
  </si>
  <si>
    <t>gaufre</t>
  </si>
  <si>
    <t>R0063</t>
  </si>
  <si>
    <t>gaufres</t>
  </si>
  <si>
    <t>R0064</t>
  </si>
  <si>
    <t>génoise</t>
  </si>
  <si>
    <t>genoise</t>
  </si>
  <si>
    <t>R0065</t>
  </si>
  <si>
    <t>germe de blé</t>
  </si>
  <si>
    <t>germe de ble</t>
  </si>
  <si>
    <t>R0066</t>
  </si>
  <si>
    <t>gluten</t>
  </si>
  <si>
    <t>R0067</t>
  </si>
  <si>
    <t>gluten de blé</t>
  </si>
  <si>
    <t>gluten de ble</t>
  </si>
  <si>
    <t>R0068</t>
  </si>
  <si>
    <t>gnocchi de blé</t>
  </si>
  <si>
    <t>gnocchi de ble</t>
  </si>
  <si>
    <t>R0069</t>
  </si>
  <si>
    <t>kamut</t>
  </si>
  <si>
    <t>R0070</t>
  </si>
  <si>
    <t>khorasan</t>
  </si>
  <si>
    <t>1. Saisir l’intitulé réel du plat, de la boisson ou du produit en colonne B.</t>
  </si>
  <si>
    <t>R0071</t>
  </si>
  <si>
    <t>lager</t>
  </si>
  <si>
    <t>2. La colonne C ajoute * pour un allergène certain et ? lorsque la composition doit être contrôlée.</t>
  </si>
  <si>
    <t>R0072</t>
  </si>
  <si>
    <t>lasagne</t>
  </si>
  <si>
    <t>2. La colonne C ajoute * pour un allergène certain, ? pour un contrôle, et * ? lorsque les deux situations sont présentes.</t>
  </si>
  <si>
    <t>R0073</t>
  </si>
  <si>
    <t>macaroni</t>
  </si>
  <si>
    <t>4. Chaque formule de recherche porte sur 100 termes maximum ; les résultats sont additionnés dans une cellule séparée.</t>
  </si>
  <si>
    <t>R0074</t>
  </si>
  <si>
    <t>madeleine</t>
  </si>
  <si>
    <t>4. Les expressions d’exclusion sont retirées du texte avant la recherche : elles ne peuvent plus annuler un allergène sans rapport.</t>
  </si>
  <si>
    <t>R0075</t>
  </si>
  <si>
    <t>madeleines</t>
  </si>
  <si>
    <t>5. La base se trouve à droite sur la même feuille. Les règles certaines, les contrôles et les exclusions sont séparés.</t>
  </si>
  <si>
    <t>R0076</t>
  </si>
  <si>
    <t>malt</t>
  </si>
  <si>
    <t>R0077</t>
  </si>
  <si>
    <t>malt d orge</t>
  </si>
  <si>
    <t>R0078</t>
  </si>
  <si>
    <t>maltodextrine de blé</t>
  </si>
  <si>
    <t>zzzxq_exception_maltodextrine_ble_qxzzz</t>
  </si>
  <si>
    <t>Exception réglementaire : la maltodextrine à base de blé ne doit pas déclencher automatiquement le gluten.</t>
  </si>
  <si>
    <t>https://eur-lex.europa.eu/eli/reg/2011/1169/oj?locale=fr</t>
  </si>
  <si>
    <t>CAS DE CONTRÔLE MÉTIER</t>
  </si>
  <si>
    <t>R0079</t>
  </si>
  <si>
    <t>mille feuille</t>
  </si>
  <si>
    <t>CAS</t>
  </si>
  <si>
    <t>TEXTE À SAISIR</t>
  </si>
  <si>
    <t>RÉSULTAT ATTENDU</t>
  </si>
  <si>
    <t>MÉTIER / RISQUE</t>
  </si>
  <si>
    <t>R0080</t>
  </si>
  <si>
    <t>millefeuille</t>
  </si>
  <si>
    <t>Risotto au parmesan</t>
  </si>
  <si>
    <t>Lait — *</t>
  </si>
  <si>
    <t>Cuisine / fromager</t>
  </si>
  <si>
    <t>R0081</t>
  </si>
  <si>
    <t>nouille</t>
  </si>
  <si>
    <t>Burger, emmenthal râpé</t>
  </si>
  <si>
    <t>Orthographe usuelle</t>
  </si>
  <si>
    <t>R0082</t>
  </si>
  <si>
    <t>nouilles</t>
  </si>
  <si>
    <t>Gratin au gruyère</t>
  </si>
  <si>
    <t>Traiteur</t>
  </si>
  <si>
    <t>R0083</t>
  </si>
  <si>
    <t>oat</t>
  </si>
  <si>
    <t>Pecorino romano</t>
  </si>
  <si>
    <t>Fromager / cuisine italienne</t>
  </si>
  <si>
    <t>R0084</t>
  </si>
  <si>
    <t>oats</t>
  </si>
  <si>
    <t>Glace au mascarpone</t>
  </si>
  <si>
    <t>Glacier</t>
  </si>
  <si>
    <t>R0085</t>
  </si>
  <si>
    <t>orge</t>
  </si>
  <si>
    <t>Moule à cake en silicone</t>
  </si>
  <si>
    <t>Aucun mollusque</t>
  </si>
  <si>
    <t>Faux positif pâtisserie</t>
  </si>
  <si>
    <t>R0086</t>
  </si>
  <si>
    <t>pain</t>
  </si>
  <si>
    <t>Crème de coco</t>
  </si>
  <si>
    <t>Aucun lait</t>
  </si>
  <si>
    <t>Faux positif cuisine / bar</t>
  </si>
  <si>
    <t>R0087</t>
  </si>
  <si>
    <t>pain aux céréales</t>
  </si>
  <si>
    <t>pain aux cereales</t>
  </si>
  <si>
    <t>Bar à cocktails</t>
  </si>
  <si>
    <t>Aucun poisson</t>
  </si>
  <si>
    <t>Faux positif bar</t>
  </si>
  <si>
    <t>R0088</t>
  </si>
  <si>
    <t>pain complet</t>
  </si>
  <si>
    <t>Noix de Saint-Jacques poêlées</t>
  </si>
  <si>
    <t>Mollusques — *</t>
  </si>
  <si>
    <t>Faux positif fruits à coque</t>
  </si>
  <si>
    <t>R0089</t>
  </si>
  <si>
    <t>pain d épices</t>
  </si>
  <si>
    <t>pain d epices</t>
  </si>
  <si>
    <t>Lait d’amande</t>
  </si>
  <si>
    <t>Fruits à coque — * ; aucun lait</t>
  </si>
  <si>
    <t>Boisson végétale</t>
  </si>
  <si>
    <t>R0090</t>
  </si>
  <si>
    <t>pain de mie</t>
  </si>
  <si>
    <t>R0091</t>
  </si>
  <si>
    <t>pain de seigle</t>
  </si>
  <si>
    <t>R0092</t>
  </si>
  <si>
    <t>pain pita</t>
  </si>
  <si>
    <t>ARCHITECTURE ET CONTRÔLES</t>
  </si>
  <si>
    <t>R0093</t>
  </si>
  <si>
    <t>panaché</t>
  </si>
  <si>
    <t>panache</t>
  </si>
  <si>
    <t>MODE D’EMPLOI — LECTURE DES ALLERGÈNES</t>
  </si>
  <si>
    <t>R0094</t>
  </si>
  <si>
    <t>panko</t>
  </si>
  <si>
    <t>Zone de saisie</t>
  </si>
  <si>
    <t>B7:B66 : saisir la dénomination réelle du produit ou de l’ingrédient utilisé.</t>
  </si>
  <si>
    <t>R0095</t>
  </si>
  <si>
    <t>panure</t>
  </si>
  <si>
    <t>Résultat carte</t>
  </si>
  <si>
    <t>C7:C66 : le nom est repris avec un seul statut final : * ou ?.</t>
  </si>
  <si>
    <t>R0096</t>
  </si>
  <si>
    <t>pasta</t>
  </si>
  <si>
    <t>Allergènes certains</t>
  </si>
  <si>
    <t>Les colonnes de détection E:R marquent X lorsqu’un allergène est identifié comme certain.</t>
  </si>
  <si>
    <t>R0097</t>
  </si>
  <si>
    <t>pâte à choux</t>
  </si>
  <si>
    <t>pate a choux</t>
  </si>
  <si>
    <t>La colonne S liste les familles qui restent à contrôler sur l’étiquette ou la fiche technique.</t>
  </si>
  <si>
    <t>R0098</t>
  </si>
  <si>
    <t>pâte à pizza</t>
  </si>
  <si>
    <t>pate a pizza</t>
  </si>
  <si>
    <t>Règle des symboles</t>
  </si>
  <si>
    <t>* = allergène certain. ? = composition ou présence à vérifier. Un produit ne doit jamais afficher « * ? ».</t>
  </si>
  <si>
    <t>R0099</t>
  </si>
  <si>
    <t>pâte alimentaire</t>
  </si>
  <si>
    <t>pate alimentaire</t>
  </si>
  <si>
    <t>Principe de décision</t>
  </si>
  <si>
    <t>S’il existe au moins un allergène certain, l’affichage final est *. S’il n’y a aucun allergène certain mais qu’un doute subsiste, l’affichage est ?.</t>
  </si>
  <si>
    <t>R0100</t>
  </si>
  <si>
    <t>pâte brisée</t>
  </si>
  <si>
    <t>pate brisee</t>
  </si>
  <si>
    <t>R0101</t>
  </si>
  <si>
    <t>pâte feuilletée</t>
  </si>
  <si>
    <t>pate feuilletee</t>
  </si>
  <si>
    <t>POURQUOI PEUT-IL Y AVOIR DE L’ŒUF OU DU LAIT DANS LE VIN ?</t>
  </si>
  <si>
    <t>R0102</t>
  </si>
  <si>
    <t>pâte filo</t>
  </si>
  <si>
    <t>pate filo</t>
  </si>
  <si>
    <t>Ce n’est pas un ingrédient de recette</t>
  </si>
  <si>
    <t>Tous les vins ne contiennent pas d’œuf ou de lait. Ces substances peuvent être utilisées comme auxiliaires technologiques pendant certains traitements œnologiques.</t>
  </si>
  <si>
    <t>R0103</t>
  </si>
  <si>
    <t>pâte fraîche</t>
  </si>
  <si>
    <t>pate fraiche</t>
  </si>
  <si>
    <t>L’albumine ou le blanc d’œuf peuvent servir au collage/à la clarification. Le lysozyme, dérivé de l’œuf, peut également être utilisé dans certains traitements œnologiques.</t>
  </si>
  <si>
    <t>R0104</t>
  </si>
  <si>
    <t>pâte sablée</t>
  </si>
  <si>
    <t>pate sablee</t>
  </si>
  <si>
    <t>La caséine, les caséinates ou d’autres protéines du lait peuvent être utilisés comme agents de collage pour clarifier le vin ou corriger certains défauts.</t>
  </si>
  <si>
    <t>R0105</t>
  </si>
  <si>
    <t>pâtes alimentaires</t>
  </si>
  <si>
    <t>pates alimentaires</t>
  </si>
  <si>
    <t>Après le traitement</t>
  </si>
  <si>
    <t>Ces auxiliaires sont normalement éliminés autant que possible. Leur emploi ne signifie donc pas automatiquement que le vin fini contient encore de l’œuf ou du lait.</t>
  </si>
  <si>
    <t>R0106</t>
  </si>
  <si>
    <t>petit épeautre</t>
  </si>
  <si>
    <t>petit epeautre</t>
  </si>
  <si>
    <t>Obligation d’étiquetage</t>
  </si>
  <si>
    <t>Si des substances provenant de l’œuf ou du lait restent détectables dans le vin fini, leur présence doit être indiquée sur l’étiquette.</t>
  </si>
  <si>
    <t>R0107</t>
  </si>
  <si>
    <t>pita</t>
  </si>
  <si>
    <t>Les sulfites doivent être déclarés lorsqu’ils dépassent 10 mg/L, exprimés en SO₂.</t>
  </si>
  <si>
    <t>R0108</t>
  </si>
  <si>
    <t>Conséquence dans ce document</t>
  </si>
  <si>
    <t>R0109</t>
  </si>
  <si>
    <t>porter</t>
  </si>
  <si>
    <t>Vin utilisé en cuisine</t>
  </si>
  <si>
    <t>La cuisson ne remplace pas le contrôle de l’étiquette : la déclaration des allergènes se fonde sur la composition du produit mis en œuvre.</t>
  </si>
  <si>
    <t>R0110</t>
  </si>
  <si>
    <t>pretzel</t>
  </si>
  <si>
    <t>SOURCES OFFICIELLES</t>
  </si>
  <si>
    <t>R0152</t>
  </si>
  <si>
    <t>EXCL</t>
  </si>
  <si>
    <t>cake tin</t>
  </si>
  <si>
    <t>Exclusion métier destinée à éviter un faux positif.</t>
  </si>
  <si>
    <t>DGCCRF — Étiquetage des vins</t>
  </si>
  <si>
    <t>https://www.economie.gouv.fr/dgccrf/les-fiches-pratiques/etiquetage-des-vins-savoir-lire-les-etiquettes</t>
  </si>
  <si>
    <t>R0153</t>
  </si>
  <si>
    <t>eau de vie</t>
  </si>
  <si>
    <t>Évite un faux positif ou correspond à une exception réglementaire.</t>
  </si>
  <si>
    <t>DGCCRF — Guide produits vitivinicoles</t>
  </si>
  <si>
    <t>https://www.economie.gouv.fr/files/files/directions_services/dgccrf/media-document/guide-dgccrf-regles-etiquetage-vitivinicoles-professionnels.pdf</t>
  </si>
  <si>
    <t>R0154</t>
  </si>
  <si>
    <t>farine d amande</t>
  </si>
  <si>
    <t>Règlement (UE) n°1169/2011 — Annexe II</t>
  </si>
  <si>
    <t>R0155</t>
  </si>
  <si>
    <t>farine de châtaigne</t>
  </si>
  <si>
    <t>farine de chataigne</t>
  </si>
  <si>
    <t>R0111</t>
  </si>
  <si>
    <t>pretzels</t>
  </si>
  <si>
    <t>EXEMPLES DE LECTURE</t>
  </si>
  <si>
    <t>R0112</t>
  </si>
  <si>
    <t>profiterole</t>
  </si>
  <si>
    <t>Lait certain → Beurre *.</t>
  </si>
  <si>
    <t>R0113</t>
  </si>
  <si>
    <t>profiteroles</t>
  </si>
  <si>
    <t>Farine</t>
  </si>
  <si>
    <t>Gluten certain dans la règle actuelle du moteur → Farine *.</t>
  </si>
  <si>
    <t>R0114</t>
  </si>
  <si>
    <t>protéine de blé</t>
  </si>
  <si>
    <t>proteine de ble</t>
  </si>
  <si>
    <t>TOMATE ET MOZARELLA AU BASILIC</t>
  </si>
  <si>
    <t>La mozzarella contient du lait → produit *.</t>
  </si>
  <si>
    <t>R0115</t>
  </si>
  <si>
    <t>protéines de blé</t>
  </si>
  <si>
    <t>proteines de ble</t>
  </si>
  <si>
    <t>Céleri-branche</t>
  </si>
  <si>
    <t>Céleri certain → Céleri-branche *.</t>
  </si>
  <si>
    <t>R0116</t>
  </si>
  <si>
    <t>quatre quarts</t>
  </si>
  <si>
    <t>Fond brun de veau lié</t>
  </si>
  <si>
    <t>R0117</t>
  </si>
  <si>
    <t>Composition variable selon la marque : elle peut notamment contenir du lait ou du soja → ? tant que l’étiquette n’est pas contrôlée.</t>
  </si>
  <si>
    <t>R0118</t>
  </si>
  <si>
    <t>ravioli</t>
  </si>
  <si>
    <t>Vinaigre de vin</t>
  </si>
  <si>
    <t>R0119</t>
  </si>
  <si>
    <t>raviolis</t>
  </si>
  <si>
    <t>R0120</t>
  </si>
  <si>
    <t>rye</t>
  </si>
  <si>
    <t>R0121</t>
  </si>
  <si>
    <t>seigle</t>
  </si>
  <si>
    <t>1.</t>
  </si>
  <si>
    <t>R0122</t>
  </si>
  <si>
    <t>seitan</t>
  </si>
  <si>
    <t>2.</t>
  </si>
  <si>
    <t>R0123</t>
  </si>
  <si>
    <t>3.</t>
  </si>
  <si>
    <t>R0124</t>
  </si>
  <si>
    <t>semoule de blé</t>
  </si>
  <si>
    <t>semoule de ble</t>
  </si>
  <si>
    <t>4.</t>
  </si>
  <si>
    <t>R0125</t>
  </si>
  <si>
    <t>semoule de couscous</t>
  </si>
  <si>
    <t>5.</t>
  </si>
  <si>
    <t>R0126</t>
  </si>
  <si>
    <t>semoule fine</t>
  </si>
  <si>
    <t>6.</t>
  </si>
  <si>
    <t>R0127</t>
  </si>
  <si>
    <t>sirop de malt</t>
  </si>
  <si>
    <t>7.</t>
  </si>
  <si>
    <t>R0128</t>
  </si>
  <si>
    <t>son de blé</t>
  </si>
  <si>
    <t>son de ble</t>
  </si>
  <si>
    <t>R0129</t>
  </si>
  <si>
    <t>spaghetti</t>
  </si>
  <si>
    <t>R0130</t>
  </si>
  <si>
    <t>spelt</t>
  </si>
  <si>
    <t>R0131</t>
  </si>
  <si>
    <t>stout</t>
  </si>
  <si>
    <t>Graines de sésame</t>
  </si>
  <si>
    <t>R0132</t>
  </si>
  <si>
    <t>tagliatelle</t>
  </si>
  <si>
    <t>R0133</t>
  </si>
  <si>
    <t>tarte salée</t>
  </si>
  <si>
    <t>tarte salee</t>
  </si>
  <si>
    <t>R0134</t>
  </si>
  <si>
    <t>tartelette</t>
  </si>
  <si>
    <t>R0135</t>
  </si>
  <si>
    <t>tartelettes</t>
  </si>
  <si>
    <t>R0136</t>
  </si>
  <si>
    <t>tempura</t>
  </si>
  <si>
    <t>R0137</t>
  </si>
  <si>
    <t>tortellini</t>
  </si>
  <si>
    <t>R0138</t>
  </si>
  <si>
    <t>tortilla de blé</t>
  </si>
  <si>
    <t>tortilla de ble</t>
  </si>
  <si>
    <t>R0139</t>
  </si>
  <si>
    <t>tourte</t>
  </si>
  <si>
    <t>R0140</t>
  </si>
  <si>
    <t>triticale</t>
  </si>
  <si>
    <t>R0141</t>
  </si>
  <si>
    <t>vermicelle</t>
  </si>
  <si>
    <t>R0142</t>
  </si>
  <si>
    <t>viennoiserie</t>
  </si>
  <si>
    <t>R0156</t>
  </si>
  <si>
    <t>farine de coco</t>
  </si>
  <si>
    <t>R0144</t>
  </si>
  <si>
    <t>wheat flour</t>
  </si>
  <si>
    <t>R0145</t>
  </si>
  <si>
    <t>wrap</t>
  </si>
  <si>
    <t>R0146</t>
  </si>
  <si>
    <t>wraps</t>
  </si>
  <si>
    <t>R0147</t>
  </si>
  <si>
    <t>bière sans gluten</t>
  </si>
  <si>
    <t>biere sans gluten</t>
  </si>
  <si>
    <t>R0148</t>
  </si>
  <si>
    <t>biscuit sans gluten</t>
  </si>
  <si>
    <t>R0149</t>
  </si>
  <si>
    <t>bread tin</t>
  </si>
  <si>
    <t>R0150</t>
  </si>
  <si>
    <t>cake mold</t>
  </si>
  <si>
    <t>R0157</t>
  </si>
  <si>
    <t>farine de lentille</t>
  </si>
  <si>
    <t>R0158</t>
  </si>
  <si>
    <t>farine de lupin</t>
  </si>
  <si>
    <t>R0159</t>
  </si>
  <si>
    <t>farine de maïs</t>
  </si>
  <si>
    <t>farine de mais</t>
  </si>
  <si>
    <t>R0160</t>
  </si>
  <si>
    <t>farine de manioc</t>
  </si>
  <si>
    <t>R0161</t>
  </si>
  <si>
    <t>farine de pois chiche</t>
  </si>
  <si>
    <t>R0162</t>
  </si>
  <si>
    <t>farine de quinoa</t>
  </si>
  <si>
    <t>R0163</t>
  </si>
  <si>
    <t>farine de riz</t>
  </si>
  <si>
    <t>R0164</t>
  </si>
  <si>
    <t>farine de sarrasin</t>
  </si>
  <si>
    <t>R0165</t>
  </si>
  <si>
    <t>farine de tapioca</t>
  </si>
  <si>
    <t>R0166</t>
  </si>
  <si>
    <t>gin</t>
  </si>
  <si>
    <t>R0167</t>
  </si>
  <si>
    <t>gluten free</t>
  </si>
  <si>
    <t>R0168</t>
  </si>
  <si>
    <t>loaf tin</t>
  </si>
  <si>
    <t>R0169</t>
  </si>
  <si>
    <t>moule à brioche</t>
  </si>
  <si>
    <t>moule a brioche</t>
  </si>
  <si>
    <t>R0170</t>
  </si>
  <si>
    <t>moule à cake</t>
  </si>
  <si>
    <t>moule a cake</t>
  </si>
  <si>
    <t>R0171</t>
  </si>
  <si>
    <t>moule à gâteau</t>
  </si>
  <si>
    <t>moule a gateau</t>
  </si>
  <si>
    <t>R0172</t>
  </si>
  <si>
    <t>moule à kouglof</t>
  </si>
  <si>
    <t>moule a kouglof</t>
  </si>
  <si>
    <t>R0173</t>
  </si>
  <si>
    <t>moule à madeleine</t>
  </si>
  <si>
    <t>moule a madeleine</t>
  </si>
  <si>
    <t>R0174</t>
  </si>
  <si>
    <t>moule à pain</t>
  </si>
  <si>
    <t>moule a pain</t>
  </si>
  <si>
    <t>R0175</t>
  </si>
  <si>
    <t>moule à tarte</t>
  </si>
  <si>
    <t>moule a tarte</t>
  </si>
  <si>
    <t>R0176</t>
  </si>
  <si>
    <t>pain sans gluten</t>
  </si>
  <si>
    <t>R0177</t>
  </si>
  <si>
    <t>pastry mold</t>
  </si>
  <si>
    <t>R0178</t>
  </si>
  <si>
    <t>pastry mould</t>
  </si>
  <si>
    <t>R0179</t>
  </si>
  <si>
    <t>pâtisserie sans gluten</t>
  </si>
  <si>
    <t>patisserie sans gluten</t>
  </si>
  <si>
    <t>R0180</t>
  </si>
  <si>
    <t>rhum</t>
  </si>
  <si>
    <t>R0181</t>
  </si>
  <si>
    <t>sans gluten</t>
  </si>
  <si>
    <t>R0182</t>
  </si>
  <si>
    <t>vodka</t>
  </si>
  <si>
    <t>R0183</t>
  </si>
  <si>
    <t>whiskey</t>
  </si>
  <si>
    <t>R0184</t>
  </si>
  <si>
    <t>whisky</t>
  </si>
  <si>
    <t>R0185</t>
  </si>
  <si>
    <t>SUSPICION</t>
  </si>
  <si>
    <t>boudin blanc</t>
  </si>
  <si>
    <t>Composition variable : vérifier la fiche technique.</t>
  </si>
  <si>
    <t>R0186</t>
  </si>
  <si>
    <t>bouillon cube</t>
  </si>
  <si>
    <t>R0187</t>
  </si>
  <si>
    <t>caesar dressing</t>
  </si>
  <si>
    <t>Composition ou recette variable : vérifier la fiche technique.</t>
  </si>
  <si>
    <t>R0188</t>
  </si>
  <si>
    <t>caesar salad</t>
  </si>
  <si>
    <t>R0189</t>
  </si>
  <si>
    <t>R0190</t>
  </si>
  <si>
    <t>cordon bleu</t>
  </si>
  <si>
    <t>R0191</t>
  </si>
  <si>
    <t>fond blanc</t>
  </si>
  <si>
    <t>R0192</t>
  </si>
  <si>
    <t>fond brun</t>
  </si>
  <si>
    <t>R0193</t>
  </si>
  <si>
    <t>glace industrielle</t>
  </si>
  <si>
    <t>R0194</t>
  </si>
  <si>
    <t>hoisin</t>
  </si>
  <si>
    <t>R0195</t>
  </si>
  <si>
    <t>quenelle</t>
  </si>
  <si>
    <t>R0196</t>
  </si>
  <si>
    <t>salade césar</t>
  </si>
  <si>
    <t>salade cesar</t>
  </si>
  <si>
    <t>R0197</t>
  </si>
  <si>
    <t>sauce anglaise</t>
  </si>
  <si>
    <t>R0198</t>
  </si>
  <si>
    <t>sauce industrielle</t>
  </si>
  <si>
    <t>R0199</t>
  </si>
  <si>
    <t>sauce soja</t>
  </si>
  <si>
    <t>R0200</t>
  </si>
  <si>
    <t>sauce worcestershire</t>
  </si>
  <si>
    <t>R0201</t>
  </si>
  <si>
    <t>R0202</t>
  </si>
  <si>
    <t>saucisson</t>
  </si>
  <si>
    <t>R0203</t>
  </si>
  <si>
    <t>shoyu</t>
  </si>
  <si>
    <t>R0204</t>
  </si>
  <si>
    <t>sorbet industriel</t>
  </si>
  <si>
    <t>R0205</t>
  </si>
  <si>
    <t>surimi</t>
  </si>
  <si>
    <t>R0206</t>
  </si>
  <si>
    <t>teriyaki</t>
  </si>
  <si>
    <t>R0207</t>
  </si>
  <si>
    <t>araignee de mer</t>
  </si>
  <si>
    <t>Cuisine/Traiteur</t>
  </si>
  <si>
    <t>Dénomination commerciale officielle ou usuelle.</t>
  </si>
  <si>
    <t>https://www.economie.gouv.fr/dgccrf/les-fiches-pratiques/denominations-commerciales-des-produits-de-la-peche-et-de-laquaculture</t>
  </si>
  <si>
    <t>2024-2026</t>
  </si>
  <si>
    <t>R0208</t>
  </si>
  <si>
    <t>araignées de mer</t>
  </si>
  <si>
    <t>araignees de mer</t>
  </si>
  <si>
    <t>Crustacé ou dérivé explicite.</t>
  </si>
  <si>
    <t>R0209</t>
  </si>
  <si>
    <t>bisque de crustacés</t>
  </si>
  <si>
    <t>bisque de crustaces</t>
  </si>
  <si>
    <t>R0210</t>
  </si>
  <si>
    <t>bisque de homard</t>
  </si>
  <si>
    <t>R0211</t>
  </si>
  <si>
    <t>canada sa chair peut etre vendue comme</t>
  </si>
  <si>
    <t>R0212</t>
  </si>
  <si>
    <t>caramote</t>
  </si>
  <si>
    <t>R0213</t>
  </si>
  <si>
    <t>chevrette</t>
  </si>
  <si>
    <t>R0214</t>
  </si>
  <si>
    <t>cigale</t>
  </si>
  <si>
    <t>R0215</t>
  </si>
  <si>
    <t>cigale d afrique du sud</t>
  </si>
  <si>
    <t>R0216</t>
  </si>
  <si>
    <t>cigale de mer</t>
  </si>
  <si>
    <t>R0217</t>
  </si>
  <si>
    <t>cigale du bresil</t>
  </si>
  <si>
    <t>R0218</t>
  </si>
  <si>
    <t>cigale japonaise</t>
  </si>
  <si>
    <t>R0219</t>
  </si>
  <si>
    <t>cigale raquette</t>
  </si>
  <si>
    <t>R0220</t>
  </si>
  <si>
    <t>cigale rouge</t>
  </si>
  <si>
    <t>R0221</t>
  </si>
  <si>
    <t>cigales de mer</t>
  </si>
  <si>
    <t>R0222</t>
  </si>
  <si>
    <t>crab</t>
  </si>
  <si>
    <t>R0223</t>
  </si>
  <si>
    <t>crabe</t>
  </si>
  <si>
    <t>R0224</t>
  </si>
  <si>
    <t>crabe bleu</t>
  </si>
  <si>
    <t>R0225</t>
  </si>
  <si>
    <t>crabe de mangrove</t>
  </si>
  <si>
    <t>R0226</t>
  </si>
  <si>
    <t>crabe de paletuviers</t>
  </si>
  <si>
    <t>R0227</t>
  </si>
  <si>
    <t>crabe des neiges de l antarctique</t>
  </si>
  <si>
    <t>R0228</t>
  </si>
  <si>
    <t>crabe des sables</t>
  </si>
  <si>
    <t>R0229</t>
  </si>
  <si>
    <t>crabe gazami</t>
  </si>
  <si>
    <t>R0230</t>
  </si>
  <si>
    <t>crabe nageur</t>
  </si>
  <si>
    <t>R0231</t>
  </si>
  <si>
    <t>crabe royal</t>
  </si>
  <si>
    <t>R0232</t>
  </si>
  <si>
    <t>crabe royal brun</t>
  </si>
  <si>
    <t>R0233</t>
  </si>
  <si>
    <t>crabe royal de l antarctique</t>
  </si>
  <si>
    <t>R0234</t>
  </si>
  <si>
    <t>crabe royal du kamtchatka</t>
  </si>
  <si>
    <t>R0235</t>
  </si>
  <si>
    <t>crabe vert</t>
  </si>
  <si>
    <t>R0236</t>
  </si>
  <si>
    <t>crabes</t>
  </si>
  <si>
    <t>R0237</t>
  </si>
  <si>
    <t>crabs</t>
  </si>
  <si>
    <t>R0238</t>
  </si>
  <si>
    <t>crayfish</t>
  </si>
  <si>
    <t>R0239</t>
  </si>
  <si>
    <t>crevette</t>
  </si>
  <si>
    <t>R0240</t>
  </si>
  <si>
    <t>crevette blanche</t>
  </si>
  <si>
    <t>R0241</t>
  </si>
  <si>
    <t>crevette bleu</t>
  </si>
  <si>
    <t>R0242</t>
  </si>
  <si>
    <t>crevette bouquet</t>
  </si>
  <si>
    <t>R0243</t>
  </si>
  <si>
    <t>crevette chamois</t>
  </si>
  <si>
    <t>R0244</t>
  </si>
  <si>
    <t>crevette couteau</t>
  </si>
  <si>
    <t>R0245</t>
  </si>
  <si>
    <t>crevette cristal</t>
  </si>
  <si>
    <t>R0246</t>
  </si>
  <si>
    <t>crevette de guinee</t>
  </si>
  <si>
    <t>R0247</t>
  </si>
  <si>
    <t>crevette des canaux</t>
  </si>
  <si>
    <t>R0248</t>
  </si>
  <si>
    <t>crevette esope</t>
  </si>
  <si>
    <t>R0249</t>
  </si>
  <si>
    <t>crevette grise</t>
  </si>
  <si>
    <t>R0250</t>
  </si>
  <si>
    <t>crevette kidi</t>
  </si>
  <si>
    <t>R0251</t>
  </si>
  <si>
    <t>crevette kuruma</t>
  </si>
  <si>
    <t>R0252</t>
  </si>
  <si>
    <t>crevette nordique</t>
  </si>
  <si>
    <t>R0253</t>
  </si>
  <si>
    <t>crevette oceanique</t>
  </si>
  <si>
    <t>R0254</t>
  </si>
  <si>
    <t>crevette rouge</t>
  </si>
  <si>
    <t>R0255</t>
  </si>
  <si>
    <t>crevette rouge d arabie</t>
  </si>
  <si>
    <t>R0256</t>
  </si>
  <si>
    <t>crevette rouge de l atlantique</t>
  </si>
  <si>
    <t>R0257</t>
  </si>
  <si>
    <t>crevette tachetee</t>
  </si>
  <si>
    <t>R0258</t>
  </si>
  <si>
    <t>crevette tropicale</t>
  </si>
  <si>
    <t>R0259</t>
  </si>
  <si>
    <t>crevette tropicale d eau douce</t>
  </si>
  <si>
    <t>R0260</t>
  </si>
  <si>
    <t>crevettes</t>
  </si>
  <si>
    <t>R0261</t>
  </si>
  <si>
    <t>ecrevisse</t>
  </si>
  <si>
    <t>R0262</t>
  </si>
  <si>
    <t>ecrevisse a pattes greles</t>
  </si>
  <si>
    <t>R0263</t>
  </si>
  <si>
    <t>ecrevisse a pattes rouges</t>
  </si>
  <si>
    <t>R0264</t>
  </si>
  <si>
    <t>ecrevisse australienne</t>
  </si>
  <si>
    <t>R0265</t>
  </si>
  <si>
    <t>ecrevisse de californie</t>
  </si>
  <si>
    <t>R0266</t>
  </si>
  <si>
    <t>ecrevisse du bresil</t>
  </si>
  <si>
    <t>R0267</t>
  </si>
  <si>
    <t>ecrevisse signal</t>
  </si>
  <si>
    <t>R0268</t>
  </si>
  <si>
    <t>écrevisses</t>
  </si>
  <si>
    <t>ecrevisses</t>
  </si>
  <si>
    <t>R0269</t>
  </si>
  <si>
    <t>etrille</t>
  </si>
  <si>
    <t>R0270</t>
  </si>
  <si>
    <t>étrilles</t>
  </si>
  <si>
    <t>etrilles</t>
  </si>
  <si>
    <t>R0271</t>
  </si>
  <si>
    <t>fumet de crustacés</t>
  </si>
  <si>
    <t>fumet de crustaces</t>
  </si>
  <si>
    <t>R0272</t>
  </si>
  <si>
    <t>galathee</t>
  </si>
  <si>
    <t>R0273</t>
  </si>
  <si>
    <t>galathee bleue</t>
  </si>
  <si>
    <t>R0274</t>
  </si>
  <si>
    <t>galathee pelagique</t>
  </si>
  <si>
    <t>R0275</t>
  </si>
  <si>
    <t>galathee rouge</t>
  </si>
  <si>
    <t>R0276</t>
  </si>
  <si>
    <t>gamba</t>
  </si>
  <si>
    <t>R0277</t>
  </si>
  <si>
    <t>gambas</t>
  </si>
  <si>
    <t>R0278</t>
  </si>
  <si>
    <t>grande crevette rouge</t>
  </si>
  <si>
    <t>R0279</t>
  </si>
  <si>
    <t>homard</t>
  </si>
  <si>
    <t>R0280</t>
  </si>
  <si>
    <t>homard americain</t>
  </si>
  <si>
    <t>R0281</t>
  </si>
  <si>
    <t>homard canadien</t>
  </si>
  <si>
    <t>R0282</t>
  </si>
  <si>
    <t>homard europeen</t>
  </si>
  <si>
    <t>R0283</t>
  </si>
  <si>
    <t>homards</t>
  </si>
  <si>
    <t>R0284</t>
  </si>
  <si>
    <t>hyas coarctatus</t>
  </si>
  <si>
    <t>R0285</t>
  </si>
  <si>
    <t>jasus paulensis</t>
  </si>
  <si>
    <t>R0286</t>
  </si>
  <si>
    <t>jus de crustacés</t>
  </si>
  <si>
    <t>jus de crustaces</t>
  </si>
  <si>
    <t>R0287</t>
  </si>
  <si>
    <t>langouste</t>
  </si>
  <si>
    <t>R0288</t>
  </si>
  <si>
    <t>langouste bariolee</t>
  </si>
  <si>
    <t>R0289</t>
  </si>
  <si>
    <t>langouste blanche</t>
  </si>
  <si>
    <t>R0290</t>
  </si>
  <si>
    <t>langouste caraibe</t>
  </si>
  <si>
    <t>R0291</t>
  </si>
  <si>
    <t>langouste chilienne</t>
  </si>
  <si>
    <t>R0292</t>
  </si>
  <si>
    <t>langouste d australie</t>
  </si>
  <si>
    <t>R0293</t>
  </si>
  <si>
    <t>langouste de natal</t>
  </si>
  <si>
    <t>R0294</t>
  </si>
  <si>
    <t>langouste de tristan</t>
  </si>
  <si>
    <t>R0295</t>
  </si>
  <si>
    <t>langouste de vase</t>
  </si>
  <si>
    <t>R0296</t>
  </si>
  <si>
    <t>langouste diablotin</t>
  </si>
  <si>
    <t>R0297</t>
  </si>
  <si>
    <t>langouste du cap vert</t>
  </si>
  <si>
    <t>R0298</t>
  </si>
  <si>
    <t>langouste du mexique</t>
  </si>
  <si>
    <t>R0299</t>
  </si>
  <si>
    <t>langouste du sud</t>
  </si>
  <si>
    <t>R0300</t>
  </si>
  <si>
    <t>langouste festonnee</t>
  </si>
  <si>
    <t>R0301</t>
  </si>
  <si>
    <t>langouste fouet</t>
  </si>
  <si>
    <t>R0302</t>
  </si>
  <si>
    <t>langouste fouet arabe</t>
  </si>
  <si>
    <t>R0303</t>
  </si>
  <si>
    <t>langouste fouet bande</t>
  </si>
  <si>
    <t>R0304</t>
  </si>
  <si>
    <t>langouste fourchette</t>
  </si>
  <si>
    <t>R0305</t>
  </si>
  <si>
    <t>langouste indienne</t>
  </si>
  <si>
    <t>R0306</t>
  </si>
  <si>
    <t>langouste ornee</t>
  </si>
  <si>
    <t>R0307</t>
  </si>
  <si>
    <t>langouste rose</t>
  </si>
  <si>
    <t>R0308</t>
  </si>
  <si>
    <t>langouste rouge</t>
  </si>
  <si>
    <t>R0309</t>
  </si>
  <si>
    <t>langouste rouge d australie</t>
  </si>
  <si>
    <t>R0310</t>
  </si>
  <si>
    <t>langouste rouge du cap</t>
  </si>
  <si>
    <t>R0311</t>
  </si>
  <si>
    <t>langouste rouge du chili</t>
  </si>
  <si>
    <t>R0312</t>
  </si>
  <si>
    <t>langouste royale</t>
  </si>
  <si>
    <t>R0313</t>
  </si>
  <si>
    <t>langouste tropicale</t>
  </si>
  <si>
    <t>R0314</t>
  </si>
  <si>
    <t>langouste verte</t>
  </si>
  <si>
    <t>R0315</t>
  </si>
  <si>
    <t>langoustes</t>
  </si>
  <si>
    <t>R0316</t>
  </si>
  <si>
    <t>langoustine</t>
  </si>
  <si>
    <t>R0317</t>
  </si>
  <si>
    <t>langoustine andamane</t>
  </si>
  <si>
    <t>R0318</t>
  </si>
  <si>
    <t>langoustine d uruguay</t>
  </si>
  <si>
    <t>R0319</t>
  </si>
  <si>
    <t>langoustine de nouvelle zelande</t>
  </si>
  <si>
    <t>R0320</t>
  </si>
  <si>
    <t>langoustines</t>
  </si>
  <si>
    <t>R0321</t>
  </si>
  <si>
    <t>lobster</t>
  </si>
  <si>
    <t>R0322</t>
  </si>
  <si>
    <t>lobsters</t>
  </si>
  <si>
    <t>R0323</t>
  </si>
  <si>
    <t>mante de mer</t>
  </si>
  <si>
    <t>R0324</t>
  </si>
  <si>
    <t>mantis</t>
  </si>
  <si>
    <t>R0325</t>
  </si>
  <si>
    <t>munida</t>
  </si>
  <si>
    <t>R0326</t>
  </si>
  <si>
    <t>pâte de crevette</t>
  </si>
  <si>
    <t>pate de crevette</t>
  </si>
  <si>
    <t>R0327</t>
  </si>
  <si>
    <t>petite cigale</t>
  </si>
  <si>
    <t>R0328</t>
  </si>
  <si>
    <t>pouce pied</t>
  </si>
  <si>
    <t>R0329</t>
  </si>
  <si>
    <t>poudre de crevette</t>
  </si>
  <si>
    <t>R0330</t>
  </si>
  <si>
    <t>prawn</t>
  </si>
  <si>
    <t>R0331</t>
  </si>
  <si>
    <t>prawns</t>
  </si>
  <si>
    <t>R0332</t>
  </si>
  <si>
    <t>sauce de crustacés</t>
  </si>
  <si>
    <t>sauce de crustaces</t>
  </si>
  <si>
    <t>R0333</t>
  </si>
  <si>
    <t>scampi</t>
  </si>
  <si>
    <t>R0334</t>
  </si>
  <si>
    <t>scampis</t>
  </si>
  <si>
    <t>R0335</t>
  </si>
  <si>
    <t>shrimp</t>
  </si>
  <si>
    <t>R0336</t>
  </si>
  <si>
    <t>shrimp paste</t>
  </si>
  <si>
    <t>R0337</t>
  </si>
  <si>
    <t>shrimps</t>
  </si>
  <si>
    <t>R0338</t>
  </si>
  <si>
    <t>squille</t>
  </si>
  <si>
    <t>R0339</t>
  </si>
  <si>
    <t>tourteau</t>
  </si>
  <si>
    <t>R0340</t>
  </si>
  <si>
    <t>tourteau jaune</t>
  </si>
  <si>
    <t>R0341</t>
  </si>
  <si>
    <t>tourteaux</t>
  </si>
  <si>
    <t>R0342</t>
  </si>
  <si>
    <t>aïoli</t>
  </si>
  <si>
    <t>aioli</t>
  </si>
  <si>
    <t>Œuf, dérivé ou préparation classique.</t>
  </si>
  <si>
    <t>R0343</t>
  </si>
  <si>
    <t>albumine</t>
  </si>
  <si>
    <t>R0344</t>
  </si>
  <si>
    <t>béarnaise</t>
  </si>
  <si>
    <t>bearnaise</t>
  </si>
  <si>
    <t>R0345</t>
  </si>
  <si>
    <t>biscuit cuillère</t>
  </si>
  <si>
    <t>biscuit cuillere</t>
  </si>
  <si>
    <t>R0346</t>
  </si>
  <si>
    <t>blanc d œuf</t>
  </si>
  <si>
    <t>blanc d oeuf</t>
  </si>
  <si>
    <t>R0347</t>
  </si>
  <si>
    <t>blancs d œufs</t>
  </si>
  <si>
    <t>blancs d oeufs</t>
  </si>
  <si>
    <t>R0348</t>
  </si>
  <si>
    <t>boudoir</t>
  </si>
  <si>
    <t>R0349</t>
  </si>
  <si>
    <t>boudoirs</t>
  </si>
  <si>
    <t>R0350</t>
  </si>
  <si>
    <t>carbonara</t>
  </si>
  <si>
    <t>R0351</t>
  </si>
  <si>
    <t>crème anglaise</t>
  </si>
  <si>
    <t>creme anglaise</t>
  </si>
  <si>
    <t>R0352</t>
  </si>
  <si>
    <t>crème brûlée</t>
  </si>
  <si>
    <t>creme brulee</t>
  </si>
  <si>
    <t>R0353</t>
  </si>
  <si>
    <t>crème caramel</t>
  </si>
  <si>
    <t>creme caramel</t>
  </si>
  <si>
    <t>R0354</t>
  </si>
  <si>
    <t>crème catalane</t>
  </si>
  <si>
    <t>creme catalane</t>
  </si>
  <si>
    <t>R0355</t>
  </si>
  <si>
    <t>crème pâtissière</t>
  </si>
  <si>
    <t>creme patissiere</t>
  </si>
  <si>
    <t>R0356</t>
  </si>
  <si>
    <t>dorure à l œuf</t>
  </si>
  <si>
    <t>dorure a l oeuf</t>
  </si>
  <si>
    <t>R0357</t>
  </si>
  <si>
    <t>E1105</t>
  </si>
  <si>
    <t>e1105</t>
  </si>
  <si>
    <t>R0358</t>
  </si>
  <si>
    <t>egg</t>
  </si>
  <si>
    <t>R0359</t>
  </si>
  <si>
    <t>egg white</t>
  </si>
  <si>
    <t>R0360</t>
  </si>
  <si>
    <t>egg whites</t>
  </si>
  <si>
    <t>R0361</t>
  </si>
  <si>
    <t>egg yolk</t>
  </si>
  <si>
    <t>R0362</t>
  </si>
  <si>
    <t>egg yolks</t>
  </si>
  <si>
    <t>R0363</t>
  </si>
  <si>
    <t>eggs</t>
  </si>
  <si>
    <t>R0364</t>
  </si>
  <si>
    <t>R0365</t>
  </si>
  <si>
    <t>R0366</t>
  </si>
  <si>
    <t>hollandaise</t>
  </si>
  <si>
    <t>R0367</t>
  </si>
  <si>
    <t>île flottante</t>
  </si>
  <si>
    <t>R0368</t>
  </si>
  <si>
    <t>jaune d œuf</t>
  </si>
  <si>
    <t>jaune d oeuf</t>
  </si>
  <si>
    <t>R0369</t>
  </si>
  <si>
    <t>jaunes d œufs</t>
  </si>
  <si>
    <t>jaunes d oeufs</t>
  </si>
  <si>
    <t>R0370</t>
  </si>
  <si>
    <t>lécithine d œuf</t>
  </si>
  <si>
    <t>lecithine d oeuf</t>
  </si>
  <si>
    <t>R0371</t>
  </si>
  <si>
    <t>lysozyme</t>
  </si>
  <si>
    <t>R0372</t>
  </si>
  <si>
    <t>mayo</t>
  </si>
  <si>
    <t>R0373</t>
  </si>
  <si>
    <t>R0374</t>
  </si>
  <si>
    <t>meringue</t>
  </si>
  <si>
    <t>R0375</t>
  </si>
  <si>
    <t>meringues</t>
  </si>
  <si>
    <t>R0376</t>
  </si>
  <si>
    <t>œuf</t>
  </si>
  <si>
    <t>R0377</t>
  </si>
  <si>
    <t>œuf dur</t>
  </si>
  <si>
    <t>oeuf dur</t>
  </si>
  <si>
    <t>R0378</t>
  </si>
  <si>
    <t>œuf en poudre</t>
  </si>
  <si>
    <t>oeuf en poudre</t>
  </si>
  <si>
    <t>R0379</t>
  </si>
  <si>
    <t>œuf mollet</t>
  </si>
  <si>
    <t>oeuf mollet</t>
  </si>
  <si>
    <t>R0380</t>
  </si>
  <si>
    <t>œuf poché</t>
  </si>
  <si>
    <t>oeuf poche</t>
  </si>
  <si>
    <t>R0381</t>
  </si>
  <si>
    <t>œufs</t>
  </si>
  <si>
    <t>R0382</t>
  </si>
  <si>
    <t>œufs brouillés</t>
  </si>
  <si>
    <t>oeufs brouilles</t>
  </si>
  <si>
    <t>R0383</t>
  </si>
  <si>
    <t>R0384</t>
  </si>
  <si>
    <t>ovalbumine</t>
  </si>
  <si>
    <t>R0385</t>
  </si>
  <si>
    <t>ovomucine</t>
  </si>
  <si>
    <t>R0386</t>
  </si>
  <si>
    <t>ovomucoïde</t>
  </si>
  <si>
    <t>ovomucoide</t>
  </si>
  <si>
    <t>R0387</t>
  </si>
  <si>
    <t>ovoproduit</t>
  </si>
  <si>
    <t>R0388</t>
  </si>
  <si>
    <t>ovoproduits</t>
  </si>
  <si>
    <t>R0389</t>
  </si>
  <si>
    <t>pâte à bombe</t>
  </si>
  <si>
    <t>pate a bombe</t>
  </si>
  <si>
    <t>R0390</t>
  </si>
  <si>
    <t>R0391</t>
  </si>
  <si>
    <t>poudre d œuf</t>
  </si>
  <si>
    <t>poudre d oeuf</t>
  </si>
  <si>
    <t>R0392</t>
  </si>
  <si>
    <t>R0393</t>
  </si>
  <si>
    <t>sabayon</t>
  </si>
  <si>
    <t>R0394</t>
  </si>
  <si>
    <t>sauce cocktail</t>
  </si>
  <si>
    <t>R0395</t>
  </si>
  <si>
    <t>sauce gribiche</t>
  </si>
  <si>
    <t>R0396</t>
  </si>
  <si>
    <t>sauce rémoulade</t>
  </si>
  <si>
    <t>sauce remoulade</t>
  </si>
  <si>
    <t>R0397</t>
  </si>
  <si>
    <t>sauce tartare</t>
  </si>
  <si>
    <t>R0398</t>
  </si>
  <si>
    <t>soufflé</t>
  </si>
  <si>
    <t>souffle</t>
  </si>
  <si>
    <t>R0399</t>
  </si>
  <si>
    <t>tiramisu</t>
  </si>
  <si>
    <t>R0400</t>
  </si>
  <si>
    <t>amaretto sour</t>
  </si>
  <si>
    <t>Recette variable.</t>
  </si>
  <si>
    <t>R0401</t>
  </si>
  <si>
    <t>beignet</t>
  </si>
  <si>
    <t>R0402</t>
  </si>
  <si>
    <t>R0403</t>
  </si>
  <si>
    <t>R0404</t>
  </si>
  <si>
    <t>burger</t>
  </si>
  <si>
    <t>R0405</t>
  </si>
  <si>
    <t>R0406</t>
  </si>
  <si>
    <t>R0407</t>
  </si>
  <si>
    <t>cocktail sour</t>
  </si>
  <si>
    <t>R0408</t>
  </si>
  <si>
    <t>R0409</t>
  </si>
  <si>
    <t>crème glacée</t>
  </si>
  <si>
    <t>creme glacee</t>
  </si>
  <si>
    <t>R0410</t>
  </si>
  <si>
    <t>farce fine</t>
  </si>
  <si>
    <t>R0411</t>
  </si>
  <si>
    <t>R0412</t>
  </si>
  <si>
    <t>R0413</t>
  </si>
  <si>
    <t>mousseline</t>
  </si>
  <si>
    <t>R0414</t>
  </si>
  <si>
    <t>nouilles fraîches</t>
  </si>
  <si>
    <t>nouilles fraiches</t>
  </si>
  <si>
    <t>R0415</t>
  </si>
  <si>
    <t>pain brioché</t>
  </si>
  <si>
    <t>pain brioche</t>
  </si>
  <si>
    <t>R0416</t>
  </si>
  <si>
    <t>R0417</t>
  </si>
  <si>
    <t>pâté</t>
  </si>
  <si>
    <t>R0418</t>
  </si>
  <si>
    <t>pâtes fraîches</t>
  </si>
  <si>
    <t>pates fraiches</t>
  </si>
  <si>
    <t>R0419</t>
  </si>
  <si>
    <t>pisco sour</t>
  </si>
  <si>
    <t>R0420</t>
  </si>
  <si>
    <t>R0421</t>
  </si>
  <si>
    <t>ramen</t>
  </si>
  <si>
    <t>R0422</t>
  </si>
  <si>
    <t>R0423</t>
  </si>
  <si>
    <t>sorbet</t>
  </si>
  <si>
    <t>R0424</t>
  </si>
  <si>
    <t>R0425</t>
  </si>
  <si>
    <t>terrine</t>
  </si>
  <si>
    <t>R0426</t>
  </si>
  <si>
    <t>R0427</t>
  </si>
  <si>
    <t>whisky sour</t>
  </si>
  <si>
    <t>R0428</t>
  </si>
  <si>
    <t>SUSP_EXCL</t>
  </si>
  <si>
    <t>avec glace</t>
  </si>
  <si>
    <t>Exclusion limitée aux détections de composition variable.</t>
  </si>
  <si>
    <t>R0429</t>
  </si>
  <si>
    <t>avec glaçons</t>
  </si>
  <si>
    <t>avec glacons</t>
  </si>
  <si>
    <t>R0430</t>
  </si>
  <si>
    <t>glace pilée</t>
  </si>
  <si>
    <t>glace pilee</t>
  </si>
  <si>
    <t>R0431</t>
  </si>
  <si>
    <t>glaçons</t>
  </si>
  <si>
    <t>glacons</t>
  </si>
  <si>
    <t>R0432</t>
  </si>
  <si>
    <t>R0433</t>
  </si>
  <si>
    <t>R0434</t>
  </si>
  <si>
    <t>R0435</t>
  </si>
  <si>
    <t>on the rocks</t>
  </si>
  <si>
    <t>R0436</t>
  </si>
  <si>
    <t>sur glace</t>
  </si>
  <si>
    <t>R0437</t>
  </si>
  <si>
    <t>abadeche</t>
  </si>
  <si>
    <t>https://www.economie.gouv.fr/files/files/directions_services/dgccrf/consommation/Produits-de-la-mer/poissons-mars-2026.pdf</t>
  </si>
  <si>
    <t>mars 2026</t>
  </si>
  <si>
    <t>R0438</t>
  </si>
  <si>
    <t>abadeche barbiche</t>
  </si>
  <si>
    <t>R0439</t>
  </si>
  <si>
    <t>abadeche du cap</t>
  </si>
  <si>
    <t>R0440</t>
  </si>
  <si>
    <t>abadeche lingue</t>
  </si>
  <si>
    <t>R0441</t>
  </si>
  <si>
    <t>abadeche rose</t>
  </si>
  <si>
    <t>R0442</t>
  </si>
  <si>
    <t>abadeche royale du cap</t>
  </si>
  <si>
    <t>R0443</t>
  </si>
  <si>
    <t>able de hecket</t>
  </si>
  <si>
    <t>R0444</t>
  </si>
  <si>
    <t>ablette</t>
  </si>
  <si>
    <t>R0445</t>
  </si>
  <si>
    <t>achigan a grande bouche</t>
  </si>
  <si>
    <t>R0446</t>
  </si>
  <si>
    <t>acoupa aiguille</t>
  </si>
  <si>
    <t>R0447</t>
  </si>
  <si>
    <t>acoupa blanc</t>
  </si>
  <si>
    <t>R0448</t>
  </si>
  <si>
    <t>acoupa cambacu</t>
  </si>
  <si>
    <t>R0449</t>
  </si>
  <si>
    <t>acoupa canal</t>
  </si>
  <si>
    <t>R0450</t>
  </si>
  <si>
    <t>acoupa celeste</t>
  </si>
  <si>
    <t>R0451</t>
  </si>
  <si>
    <t>acoupa chasseur</t>
  </si>
  <si>
    <t>R0452</t>
  </si>
  <si>
    <t>acoupa dore</t>
  </si>
  <si>
    <t>R0453</t>
  </si>
  <si>
    <t>acoupa pintade</t>
  </si>
  <si>
    <t>R0454</t>
  </si>
  <si>
    <t>acoupa raye</t>
  </si>
  <si>
    <t>R0455</t>
  </si>
  <si>
    <t>acoupa riviere</t>
  </si>
  <si>
    <t>R0456</t>
  </si>
  <si>
    <t>acoupa royal</t>
  </si>
  <si>
    <t>R0457</t>
  </si>
  <si>
    <t>acoupa tident</t>
  </si>
  <si>
    <t>R0458</t>
  </si>
  <si>
    <t>acoupa toeroe</t>
  </si>
  <si>
    <t>R0459</t>
  </si>
  <si>
    <t>aigle de mer</t>
  </si>
  <si>
    <t>R0460</t>
  </si>
  <si>
    <t>aigle de mer commun</t>
  </si>
  <si>
    <t>R0461</t>
  </si>
  <si>
    <t>aiguillat commun</t>
  </si>
  <si>
    <t>R0462</t>
  </si>
  <si>
    <t>aiguillat coq</t>
  </si>
  <si>
    <t>R0463</t>
  </si>
  <si>
    <t>aiguillat galludo</t>
  </si>
  <si>
    <t>R0464</t>
  </si>
  <si>
    <t>aiguillette d amerique orphie</t>
  </si>
  <si>
    <t>R0465</t>
  </si>
  <si>
    <t>aileron argente</t>
  </si>
  <si>
    <t>R0466</t>
  </si>
  <si>
    <t>aileron chinois</t>
  </si>
  <si>
    <t>R0467</t>
  </si>
  <si>
    <t>alose</t>
  </si>
  <si>
    <t>R0468</t>
  </si>
  <si>
    <t>alose d ete</t>
  </si>
  <si>
    <t>R0469</t>
  </si>
  <si>
    <t>alose de la mer noire</t>
  </si>
  <si>
    <t>R0470</t>
  </si>
  <si>
    <t>alose du pont euxin</t>
  </si>
  <si>
    <t>R0471</t>
  </si>
  <si>
    <t>alose ecaille fluviale</t>
  </si>
  <si>
    <t>R0472</t>
  </si>
  <si>
    <t>alose feinte</t>
  </si>
  <si>
    <t>R0473</t>
  </si>
  <si>
    <t>alose gaspareau</t>
  </si>
  <si>
    <t>R0474</t>
  </si>
  <si>
    <t>alose matte</t>
  </si>
  <si>
    <t>R0475</t>
  </si>
  <si>
    <t>alose savoureuse</t>
  </si>
  <si>
    <t>R0476</t>
  </si>
  <si>
    <t>alose vraie</t>
  </si>
  <si>
    <t>R0477</t>
  </si>
  <si>
    <t>anchoïade</t>
  </si>
  <si>
    <t>anchoiade</t>
  </si>
  <si>
    <t>Poisson ou dérivé explicite.</t>
  </si>
  <si>
    <t>R0478</t>
  </si>
  <si>
    <t>anchois</t>
  </si>
  <si>
    <t>R0479</t>
  </si>
  <si>
    <t>anchois bombra</t>
  </si>
  <si>
    <t>R0480</t>
  </si>
  <si>
    <t>anchois commun</t>
  </si>
  <si>
    <t>R0481</t>
  </si>
  <si>
    <t>anchois d argentine</t>
  </si>
  <si>
    <t>R0482</t>
  </si>
  <si>
    <t>anchois du cap</t>
  </si>
  <si>
    <t>R0483</t>
  </si>
  <si>
    <t>anchois du perou</t>
  </si>
  <si>
    <t>R0484</t>
  </si>
  <si>
    <t>anchois indien</t>
  </si>
  <si>
    <t>R0485</t>
  </si>
  <si>
    <t>anchovies</t>
  </si>
  <si>
    <t>R0486</t>
  </si>
  <si>
    <t>anchovy</t>
  </si>
  <si>
    <t>R0487</t>
  </si>
  <si>
    <t>ange de mer</t>
  </si>
  <si>
    <t>R0488</t>
  </si>
  <si>
    <t>ange de mer commun</t>
  </si>
  <si>
    <t>R0489</t>
  </si>
  <si>
    <t>anguille</t>
  </si>
  <si>
    <t>R0490</t>
  </si>
  <si>
    <t>anguille d amerique</t>
  </si>
  <si>
    <t>R0491</t>
  </si>
  <si>
    <t>anguille d australie</t>
  </si>
  <si>
    <t>R0492</t>
  </si>
  <si>
    <t>anguille d europe</t>
  </si>
  <si>
    <t>R0493</t>
  </si>
  <si>
    <t>anguille de nouvelle zelande</t>
  </si>
  <si>
    <t>R0494</t>
  </si>
  <si>
    <t>anguille du japon</t>
  </si>
  <si>
    <t>R0495</t>
  </si>
  <si>
    <t>antimora bleu</t>
  </si>
  <si>
    <t>R0496</t>
  </si>
  <si>
    <t>atherine peruvienne</t>
  </si>
  <si>
    <t>R0497</t>
  </si>
  <si>
    <t>badeche rouge</t>
  </si>
  <si>
    <t>R0498</t>
  </si>
  <si>
    <t>bagre laulao</t>
  </si>
  <si>
    <t>R0499</t>
  </si>
  <si>
    <t>bagre paysan</t>
  </si>
  <si>
    <t>R0500</t>
  </si>
  <si>
    <t>bagre vaillant</t>
  </si>
  <si>
    <t>R0501</t>
  </si>
  <si>
    <t>balai de l atlantique</t>
  </si>
  <si>
    <t>R0502</t>
  </si>
  <si>
    <t>balaou de l atlantique</t>
  </si>
  <si>
    <t>R0503</t>
  </si>
  <si>
    <t>balaou du japon</t>
  </si>
  <si>
    <t>R0504</t>
  </si>
  <si>
    <t>bar</t>
  </si>
  <si>
    <t>R0505</t>
  </si>
  <si>
    <t>bar blanc d amerique</t>
  </si>
  <si>
    <t>R0506</t>
  </si>
  <si>
    <t>bar commun</t>
  </si>
  <si>
    <t>R0507</t>
  </si>
  <si>
    <t>bar d amerique</t>
  </si>
  <si>
    <t>R0508</t>
  </si>
  <si>
    <t>bar du pacifique</t>
  </si>
  <si>
    <t>R0509</t>
  </si>
  <si>
    <t>bar tachete</t>
  </si>
  <si>
    <t>R0510</t>
  </si>
  <si>
    <t>barbeau</t>
  </si>
  <si>
    <t>R0511</t>
  </si>
  <si>
    <t>barbure mamali</t>
  </si>
  <si>
    <t>R0512</t>
  </si>
  <si>
    <t>barracuda</t>
  </si>
  <si>
    <t>R0513</t>
  </si>
  <si>
    <t>barracuda a bandes dorees</t>
  </si>
  <si>
    <t>R0514</t>
  </si>
  <si>
    <t>barracuda argente</t>
  </si>
  <si>
    <t>R0515</t>
  </si>
  <si>
    <t>barracuda dents de scie</t>
  </si>
  <si>
    <t>R0516</t>
  </si>
  <si>
    <t>barracuda guachanche</t>
  </si>
  <si>
    <t>R0517</t>
  </si>
  <si>
    <t>barracuda guineen</t>
  </si>
  <si>
    <t>R0518</t>
  </si>
  <si>
    <t>barracuda jello</t>
  </si>
  <si>
    <t>R0519</t>
  </si>
  <si>
    <t>baudroie</t>
  </si>
  <si>
    <t>R0520</t>
  </si>
  <si>
    <t>baudroie africaine</t>
  </si>
  <si>
    <t>R0521</t>
  </si>
  <si>
    <t>baudroie commune</t>
  </si>
  <si>
    <t>R0522</t>
  </si>
  <si>
    <t>baudroie d amerique</t>
  </si>
  <si>
    <t>R0523</t>
  </si>
  <si>
    <t>baudroie diable</t>
  </si>
  <si>
    <t>R0524</t>
  </si>
  <si>
    <t>baudroie du japon</t>
  </si>
  <si>
    <t>R0525</t>
  </si>
  <si>
    <t>baudroie pecheuse</t>
  </si>
  <si>
    <t>R0526</t>
  </si>
  <si>
    <t>baudroie rousse</t>
  </si>
  <si>
    <t>R0527</t>
  </si>
  <si>
    <t>beauclaire miroir</t>
  </si>
  <si>
    <t>R0528</t>
  </si>
  <si>
    <t>beauclaire pintade</t>
  </si>
  <si>
    <t>R0529</t>
  </si>
  <si>
    <t>beauclaire soleil</t>
  </si>
  <si>
    <t>R0530</t>
  </si>
  <si>
    <t>becune argentee</t>
  </si>
  <si>
    <t>R0531</t>
  </si>
  <si>
    <t>becune europeenne</t>
  </si>
  <si>
    <t>R0532</t>
  </si>
  <si>
    <t>becune guachanche</t>
  </si>
  <si>
    <t>R0533</t>
  </si>
  <si>
    <t>becune guineenne</t>
  </si>
  <si>
    <t>R0534</t>
  </si>
  <si>
    <t>becune jello</t>
  </si>
  <si>
    <t>R0535</t>
  </si>
  <si>
    <t>bereche du pacifique</t>
  </si>
  <si>
    <t>R0536</t>
  </si>
  <si>
    <t>beryx australien</t>
  </si>
  <si>
    <t>R0537</t>
  </si>
  <si>
    <t>beryx commun</t>
  </si>
  <si>
    <t>R0538</t>
  </si>
  <si>
    <t>beryx long</t>
  </si>
  <si>
    <t>R0539</t>
  </si>
  <si>
    <t>bonite</t>
  </si>
  <si>
    <t>R0540</t>
  </si>
  <si>
    <t>bonite a dos raye</t>
  </si>
  <si>
    <t>R0541</t>
  </si>
  <si>
    <t>bonite a ventre raye</t>
  </si>
  <si>
    <t>R0542</t>
  </si>
  <si>
    <t>bonite de l ocean indien</t>
  </si>
  <si>
    <t>R0543</t>
  </si>
  <si>
    <t>bonite du pacifique oriental</t>
  </si>
  <si>
    <t>R0544</t>
  </si>
  <si>
    <t>bottarga</t>
  </si>
  <si>
    <t>R0545</t>
  </si>
  <si>
    <t>bouillabaisse</t>
  </si>
  <si>
    <t>R0546</t>
  </si>
  <si>
    <t>bourride</t>
  </si>
  <si>
    <t>R0547</t>
  </si>
  <si>
    <t>bourrugue de crique</t>
  </si>
  <si>
    <t>R0548</t>
  </si>
  <si>
    <t>bourrugue du golfe</t>
  </si>
  <si>
    <t>R0549</t>
  </si>
  <si>
    <t>bourrugue renard</t>
  </si>
  <si>
    <t>R0550</t>
  </si>
  <si>
    <t>bourse lisse</t>
  </si>
  <si>
    <t>R0551</t>
  </si>
  <si>
    <t>bourse loulou</t>
  </si>
  <si>
    <t>R0552</t>
  </si>
  <si>
    <t>boutargue</t>
  </si>
  <si>
    <t>R0553</t>
  </si>
  <si>
    <t>R0554</t>
  </si>
  <si>
    <t>breme bordeliere</t>
  </si>
  <si>
    <t>R0555</t>
  </si>
  <si>
    <t>breme noire</t>
  </si>
  <si>
    <t>R0556</t>
  </si>
  <si>
    <t>brochet</t>
  </si>
  <si>
    <t>R0557</t>
  </si>
  <si>
    <t>brotule barbee</t>
  </si>
  <si>
    <t>R0558</t>
  </si>
  <si>
    <t>brotule rosee</t>
  </si>
  <si>
    <t>R0559</t>
  </si>
  <si>
    <t>cabillaud</t>
  </si>
  <si>
    <t>R0560</t>
  </si>
  <si>
    <t>cabot austral</t>
  </si>
  <si>
    <t>R0561</t>
  </si>
  <si>
    <t>caesio a croissant</t>
  </si>
  <si>
    <t>R0562</t>
  </si>
  <si>
    <t>caesio a ventre rouge</t>
  </si>
  <si>
    <t>R0563</t>
  </si>
  <si>
    <t>cagna rayee</t>
  </si>
  <si>
    <t>R0564</t>
  </si>
  <si>
    <t>capelan atlantique</t>
  </si>
  <si>
    <t>R0565</t>
  </si>
  <si>
    <t>capelan de mediterranee</t>
  </si>
  <si>
    <t>R0566</t>
  </si>
  <si>
    <t>capitaine tatoue</t>
  </si>
  <si>
    <t>R0567</t>
  </si>
  <si>
    <t>capucette de l atlantique</t>
  </si>
  <si>
    <t>R0568</t>
  </si>
  <si>
    <t>capucin jaune</t>
  </si>
  <si>
    <t>R0569</t>
  </si>
  <si>
    <t>carangue</t>
  </si>
  <si>
    <t>R0570</t>
  </si>
  <si>
    <t>carangue arc en ciel</t>
  </si>
  <si>
    <t>R0571</t>
  </si>
  <si>
    <t>carangue balo</t>
  </si>
  <si>
    <t>R0572</t>
  </si>
  <si>
    <t>carangue coubali</t>
  </si>
  <si>
    <t>R0573</t>
  </si>
  <si>
    <t>carangue crevalle</t>
  </si>
  <si>
    <t>R0574</t>
  </si>
  <si>
    <t>carangue dentee</t>
  </si>
  <si>
    <t>R0575</t>
  </si>
  <si>
    <t>carangue grosse tete</t>
  </si>
  <si>
    <t>R0576</t>
  </si>
  <si>
    <t>carangue moyole</t>
  </si>
  <si>
    <t>R0577</t>
  </si>
  <si>
    <t>carangue pailletee</t>
  </si>
  <si>
    <t>R0578</t>
  </si>
  <si>
    <t>carangue vorace</t>
  </si>
  <si>
    <t>R0579</t>
  </si>
  <si>
    <t>cardeau argentin</t>
  </si>
  <si>
    <t>R0580</t>
  </si>
  <si>
    <t>cardeau d ete</t>
  </si>
  <si>
    <t>R0581</t>
  </si>
  <si>
    <t>cardeau hirame</t>
  </si>
  <si>
    <t>R0582</t>
  </si>
  <si>
    <t>cardine</t>
  </si>
  <si>
    <t>R0583</t>
  </si>
  <si>
    <t>cardine a quatre taches</t>
  </si>
  <si>
    <t>R0584</t>
  </si>
  <si>
    <t>cardine de californie</t>
  </si>
  <si>
    <t>R0585</t>
  </si>
  <si>
    <t>cardine du canada</t>
  </si>
  <si>
    <t>R0586</t>
  </si>
  <si>
    <t>cardine du pacifique</t>
  </si>
  <si>
    <t>R0587</t>
  </si>
  <si>
    <t>cardine franche</t>
  </si>
  <si>
    <t>R0588</t>
  </si>
  <si>
    <t>cardine tropicale</t>
  </si>
  <si>
    <t>R0589</t>
  </si>
  <si>
    <t>carpe</t>
  </si>
  <si>
    <t>R0590</t>
  </si>
  <si>
    <t>carrelet</t>
  </si>
  <si>
    <t>R0591</t>
  </si>
  <si>
    <t>castagnole</t>
  </si>
  <si>
    <t>R0592</t>
  </si>
  <si>
    <t>castagnoline noire</t>
  </si>
  <si>
    <t>R0593</t>
  </si>
  <si>
    <t>castanette d argentine</t>
  </si>
  <si>
    <t>R0594</t>
  </si>
  <si>
    <t>caviar</t>
  </si>
  <si>
    <t>R0595</t>
  </si>
  <si>
    <t>cepole commune</t>
  </si>
  <si>
    <t>R0596</t>
  </si>
  <si>
    <t>cernier commun</t>
  </si>
  <si>
    <t>R0597</t>
  </si>
  <si>
    <t>cernier de nouvelle zelande</t>
  </si>
  <si>
    <t>R0598</t>
  </si>
  <si>
    <t>chabot de mer</t>
  </si>
  <si>
    <t>R0599</t>
  </si>
  <si>
    <t>charbonnier</t>
  </si>
  <si>
    <t>R0600</t>
  </si>
  <si>
    <t>chardin du pacifique</t>
  </si>
  <si>
    <t>R0601</t>
  </si>
  <si>
    <t>chardin fil</t>
  </si>
  <si>
    <t>R0602</t>
  </si>
  <si>
    <t>chimere commune</t>
  </si>
  <si>
    <t>R0603</t>
  </si>
  <si>
    <t>chinchard</t>
  </si>
  <si>
    <t>R0604</t>
  </si>
  <si>
    <t>chinchard a queue jaune</t>
  </si>
  <si>
    <t>R0605</t>
  </si>
  <si>
    <t>chinchard commun</t>
  </si>
  <si>
    <t>R0606</t>
  </si>
  <si>
    <t>chinchard cunene</t>
  </si>
  <si>
    <t>R0607</t>
  </si>
  <si>
    <t>chinchard du cap</t>
  </si>
  <si>
    <t>R0608</t>
  </si>
  <si>
    <t>chinchard du large</t>
  </si>
  <si>
    <t>R0609</t>
  </si>
  <si>
    <t>chinchard frappeur</t>
  </si>
  <si>
    <t>R0610</t>
  </si>
  <si>
    <t>clupeonelle de la mer noire et caspienne</t>
  </si>
  <si>
    <t>R0611</t>
  </si>
  <si>
    <t>cod</t>
  </si>
  <si>
    <t>R0612</t>
  </si>
  <si>
    <t>cohana doree</t>
  </si>
  <si>
    <t>R0613</t>
  </si>
  <si>
    <t>cohana tolu</t>
  </si>
  <si>
    <t>R0614</t>
  </si>
  <si>
    <t>colas a bandes dorees</t>
  </si>
  <si>
    <t>R0615</t>
  </si>
  <si>
    <t>colas bagnard</t>
  </si>
  <si>
    <t>R0616</t>
  </si>
  <si>
    <t>colas fil</t>
  </si>
  <si>
    <t>R0617</t>
  </si>
  <si>
    <t>colin austral</t>
  </si>
  <si>
    <t>R0618</t>
  </si>
  <si>
    <t>colin d alaska</t>
  </si>
  <si>
    <t>R0619</t>
  </si>
  <si>
    <t>colin des kerguelen</t>
  </si>
  <si>
    <t>R0620</t>
  </si>
  <si>
    <t>colin</t>
  </si>
  <si>
    <t>Dénomination usuelle générique de poisson. Détecte notamment dos de colin, filet de colin et colin surgelé.</t>
  </si>
  <si>
    <t>R0621</t>
  </si>
  <si>
    <t>comete de russel</t>
  </si>
  <si>
    <t>R0622</t>
  </si>
  <si>
    <t>comete ronde</t>
  </si>
  <si>
    <t>R0623</t>
  </si>
  <si>
    <t>compere tachete</t>
  </si>
  <si>
    <t>R0624</t>
  </si>
  <si>
    <t>congre</t>
  </si>
  <si>
    <t>R0625</t>
  </si>
  <si>
    <t>congre argentin</t>
  </si>
  <si>
    <t>R0626</t>
  </si>
  <si>
    <t>congre commun</t>
  </si>
  <si>
    <t>R0627</t>
  </si>
  <si>
    <t>corb commun</t>
  </si>
  <si>
    <t>R0628</t>
  </si>
  <si>
    <t>cordonnier bossu</t>
  </si>
  <si>
    <t>R0629</t>
  </si>
  <si>
    <t>coregone</t>
  </si>
  <si>
    <t>R0630</t>
  </si>
  <si>
    <t>coregone blanc</t>
  </si>
  <si>
    <t>R0631</t>
  </si>
  <si>
    <t>coregone cisco</t>
  </si>
  <si>
    <t>R0632</t>
  </si>
  <si>
    <t>coregone du lac</t>
  </si>
  <si>
    <t>R0633</t>
  </si>
  <si>
    <t>coregone lavaret</t>
  </si>
  <si>
    <t>R0634</t>
  </si>
  <si>
    <t>coregone pallae</t>
  </si>
  <si>
    <t>R0635</t>
  </si>
  <si>
    <t>coregone pollan</t>
  </si>
  <si>
    <t>R0636</t>
  </si>
  <si>
    <t>coryphene</t>
  </si>
  <si>
    <t>R0637</t>
  </si>
  <si>
    <t>courbine barbiche</t>
  </si>
  <si>
    <t>R0638</t>
  </si>
  <si>
    <t>courbine barbichette</t>
  </si>
  <si>
    <t>R0639</t>
  </si>
  <si>
    <t>courbine bobo</t>
  </si>
  <si>
    <t>R0640</t>
  </si>
  <si>
    <t>courbine chasseur</t>
  </si>
  <si>
    <t>R0641</t>
  </si>
  <si>
    <t>courbine du senegal</t>
  </si>
  <si>
    <t>R0642</t>
  </si>
  <si>
    <t>courbine gabo</t>
  </si>
  <si>
    <t>R0643</t>
  </si>
  <si>
    <t>courbine grise</t>
  </si>
  <si>
    <t>R0644</t>
  </si>
  <si>
    <t>courbine indienne</t>
  </si>
  <si>
    <t>R0645</t>
  </si>
  <si>
    <t>courbine jaune</t>
  </si>
  <si>
    <t>R0646</t>
  </si>
  <si>
    <t>courbine nanka</t>
  </si>
  <si>
    <t>R0647</t>
  </si>
  <si>
    <t>courbine pintade</t>
  </si>
  <si>
    <t>R0648</t>
  </si>
  <si>
    <t>courbine soldat</t>
  </si>
  <si>
    <t>R0649</t>
  </si>
  <si>
    <t>courbine tachetee</t>
  </si>
  <si>
    <t>R0650</t>
  </si>
  <si>
    <t>courbine ti yeux</t>
  </si>
  <si>
    <t>R0651</t>
  </si>
  <si>
    <t>crapaud goulu</t>
  </si>
  <si>
    <t>R0652</t>
  </si>
  <si>
    <t>crapaud guyanais</t>
  </si>
  <si>
    <t>R0653</t>
  </si>
  <si>
    <t>croissant queue blanche</t>
  </si>
  <si>
    <t>R0654</t>
  </si>
  <si>
    <t>croissant queue jaune</t>
  </si>
  <si>
    <t>R0655</t>
  </si>
  <si>
    <t>crossie blanc</t>
  </si>
  <si>
    <t>R0656</t>
  </si>
  <si>
    <t>crossie chucumite</t>
  </si>
  <si>
    <t>R0657</t>
  </si>
  <si>
    <t>crossie constantin</t>
  </si>
  <si>
    <t>R0658</t>
  </si>
  <si>
    <t>crossie epee</t>
  </si>
  <si>
    <t>R0659</t>
  </si>
  <si>
    <t>crossie mexicain</t>
  </si>
  <si>
    <t>R0660</t>
  </si>
  <si>
    <t>croupia grande mer</t>
  </si>
  <si>
    <t>R0661</t>
  </si>
  <si>
    <t>croupia roche</t>
  </si>
  <si>
    <t>R0662</t>
  </si>
  <si>
    <t>cyprin dore</t>
  </si>
  <si>
    <t>R0663</t>
  </si>
  <si>
    <t>daurade</t>
  </si>
  <si>
    <t>R0664</t>
  </si>
  <si>
    <t>demi bec</t>
  </si>
  <si>
    <t>R0665</t>
  </si>
  <si>
    <t>demi bec du bresil</t>
  </si>
  <si>
    <t>R0666</t>
  </si>
  <si>
    <t>demi bec du japon</t>
  </si>
  <si>
    <t>R0667</t>
  </si>
  <si>
    <t>demi bec du pacifique</t>
  </si>
  <si>
    <t>R0668</t>
  </si>
  <si>
    <t>dente a gros yeux</t>
  </si>
  <si>
    <t>R0669</t>
  </si>
  <si>
    <t>dente a points bleu</t>
  </si>
  <si>
    <t>R0670</t>
  </si>
  <si>
    <t>dente a tache rouge</t>
  </si>
  <si>
    <t>R0671</t>
  </si>
  <si>
    <t>dente angolais</t>
  </si>
  <si>
    <t>R0672</t>
  </si>
  <si>
    <t>dente commun</t>
  </si>
  <si>
    <t>R0673</t>
  </si>
  <si>
    <t>dente congolais</t>
  </si>
  <si>
    <t>R0674</t>
  </si>
  <si>
    <t>dente de l ocean indien</t>
  </si>
  <si>
    <t>R0675</t>
  </si>
  <si>
    <t>dente des canaries</t>
  </si>
  <si>
    <t>R0676</t>
  </si>
  <si>
    <t>dente du maroc</t>
  </si>
  <si>
    <t>R0677</t>
  </si>
  <si>
    <t>dente rose</t>
  </si>
  <si>
    <t>R0678</t>
  </si>
  <si>
    <t>diagramme a barres blanches</t>
  </si>
  <si>
    <t>R0679</t>
  </si>
  <si>
    <t>diagramme bagnard</t>
  </si>
  <si>
    <t>R0680</t>
  </si>
  <si>
    <t>diagramme burro</t>
  </si>
  <si>
    <t>R0681</t>
  </si>
  <si>
    <t>diagramme citron</t>
  </si>
  <si>
    <t>R0682</t>
  </si>
  <si>
    <t>diagramme voilier</t>
  </si>
  <si>
    <t>R0683</t>
  </si>
  <si>
    <t>disque portugais</t>
  </si>
  <si>
    <t>R0684</t>
  </si>
  <si>
    <t>donzelle a nageoire noire</t>
  </si>
  <si>
    <t>R0685</t>
  </si>
  <si>
    <t>dorade</t>
  </si>
  <si>
    <t>R0686</t>
  </si>
  <si>
    <t>dorade argentee</t>
  </si>
  <si>
    <t>R0687</t>
  </si>
  <si>
    <t>dorade coryphene</t>
  </si>
  <si>
    <t>R0688</t>
  </si>
  <si>
    <t>dorade du pacifique</t>
  </si>
  <si>
    <t>R0689</t>
  </si>
  <si>
    <t>dorade grise</t>
  </si>
  <si>
    <t>R0690</t>
  </si>
  <si>
    <t>dorade marbre</t>
  </si>
  <si>
    <t>R0691</t>
  </si>
  <si>
    <t>dorade rose</t>
  </si>
  <si>
    <t>R0692</t>
  </si>
  <si>
    <t>dorade rouge</t>
  </si>
  <si>
    <t>R0693</t>
  </si>
  <si>
    <t>dorade royale</t>
  </si>
  <si>
    <t>R0694</t>
  </si>
  <si>
    <t>dorade sebaste</t>
  </si>
  <si>
    <t>R0695</t>
  </si>
  <si>
    <t>dore austral</t>
  </si>
  <si>
    <t>R0696</t>
  </si>
  <si>
    <t>dore epineux</t>
  </si>
  <si>
    <t>R0697</t>
  </si>
  <si>
    <t>dore jaune</t>
  </si>
  <si>
    <t>R0698</t>
  </si>
  <si>
    <t>dore noir</t>
  </si>
  <si>
    <t>R0699</t>
  </si>
  <si>
    <t>dore tachete</t>
  </si>
  <si>
    <t>R0700</t>
  </si>
  <si>
    <t>dore verruqueux</t>
  </si>
  <si>
    <t>R0701</t>
  </si>
  <si>
    <t>dragonnet lyre</t>
  </si>
  <si>
    <t>R0702</t>
  </si>
  <si>
    <t>eglefin</t>
  </si>
  <si>
    <t>R0703</t>
  </si>
  <si>
    <t>emissole blanche</t>
  </si>
  <si>
    <t>R0704</t>
  </si>
  <si>
    <t>emissole douce</t>
  </si>
  <si>
    <t>R0705</t>
  </si>
  <si>
    <t>emissole gatuso</t>
  </si>
  <si>
    <t>R0706</t>
  </si>
  <si>
    <t>emissole lisse</t>
  </si>
  <si>
    <t>R0707</t>
  </si>
  <si>
    <t>emissole tachetee</t>
  </si>
  <si>
    <t>R0708</t>
  </si>
  <si>
    <t>emissole ti yeux</t>
  </si>
  <si>
    <t>R0709</t>
  </si>
  <si>
    <t>empereur</t>
  </si>
  <si>
    <t>R0710</t>
  </si>
  <si>
    <t>empereur de mediterranee</t>
  </si>
  <si>
    <t>R0711</t>
  </si>
  <si>
    <t>en eau de mer</t>
  </si>
  <si>
    <t>R0712</t>
  </si>
  <si>
    <t>eperlan d amerique</t>
  </si>
  <si>
    <t>R0713</t>
  </si>
  <si>
    <t>eperlan d europe</t>
  </si>
  <si>
    <t>R0714</t>
  </si>
  <si>
    <t>escolier blanc</t>
  </si>
  <si>
    <t>R0715</t>
  </si>
  <si>
    <t>escolier noir</t>
  </si>
  <si>
    <t>R0716</t>
  </si>
  <si>
    <t>espadon</t>
  </si>
  <si>
    <t>R0717</t>
  </si>
  <si>
    <t>esturgeon a museau court</t>
  </si>
  <si>
    <t>R0718</t>
  </si>
  <si>
    <t>esturgeon beluga</t>
  </si>
  <si>
    <t>R0719</t>
  </si>
  <si>
    <t>esturgeon blanc</t>
  </si>
  <si>
    <t>R0720</t>
  </si>
  <si>
    <t>esturgeon d europe occidentale</t>
  </si>
  <si>
    <t>R0721</t>
  </si>
  <si>
    <t>esturgeon du danube</t>
  </si>
  <si>
    <t>R0722</t>
  </si>
  <si>
    <t>esturgeon etoile</t>
  </si>
  <si>
    <t>R0723</t>
  </si>
  <si>
    <t>esturgeon jaune d amerique</t>
  </si>
  <si>
    <t>R0724</t>
  </si>
  <si>
    <t>esturgeon noir d amerique</t>
  </si>
  <si>
    <t>R0725</t>
  </si>
  <si>
    <t>esturgeon perse</t>
  </si>
  <si>
    <t>R0726</t>
  </si>
  <si>
    <t>esturgeon siberien</t>
  </si>
  <si>
    <t>R0727</t>
  </si>
  <si>
    <t>esturgeon sterlet</t>
  </si>
  <si>
    <t>R0728</t>
  </si>
  <si>
    <t>ethmalose d afrique</t>
  </si>
  <si>
    <t>R0729</t>
  </si>
  <si>
    <t>fanfre noir d amerique</t>
  </si>
  <si>
    <t>R0730</t>
  </si>
  <si>
    <t>farine de poisson</t>
  </si>
  <si>
    <t>R0731</t>
  </si>
  <si>
    <t>fausse limande</t>
  </si>
  <si>
    <t>R0732</t>
  </si>
  <si>
    <t>fausse limande du pacifique</t>
  </si>
  <si>
    <t>R0733</t>
  </si>
  <si>
    <t>fausse limande sombre</t>
  </si>
  <si>
    <t>R0734</t>
  </si>
  <si>
    <t>faux saint pierre</t>
  </si>
  <si>
    <t>R0735</t>
  </si>
  <si>
    <t>fera du canada</t>
  </si>
  <si>
    <t>R0736</t>
  </si>
  <si>
    <t>filet de poisson</t>
  </si>
  <si>
    <t>R0737</t>
  </si>
  <si>
    <t>fish</t>
  </si>
  <si>
    <t>R0738</t>
  </si>
  <si>
    <t>fish sauce</t>
  </si>
  <si>
    <t>R0739</t>
  </si>
  <si>
    <t>flet commun</t>
  </si>
  <si>
    <t>R0740</t>
  </si>
  <si>
    <t>fletan</t>
  </si>
  <si>
    <t>R0741</t>
  </si>
  <si>
    <t>fletan de l atlantique</t>
  </si>
  <si>
    <t>R0742</t>
  </si>
  <si>
    <t>fletan du groenland</t>
  </si>
  <si>
    <t>R0743</t>
  </si>
  <si>
    <t>fletan du pacifique</t>
  </si>
  <si>
    <t>R0744</t>
  </si>
  <si>
    <t>fletan noir</t>
  </si>
  <si>
    <t>R0745</t>
  </si>
  <si>
    <t>fletan noir commun</t>
  </si>
  <si>
    <t>R0746</t>
  </si>
  <si>
    <t>fond de poisson</t>
  </si>
  <si>
    <t>R0747</t>
  </si>
  <si>
    <t>forgeron aile</t>
  </si>
  <si>
    <t>R0748</t>
  </si>
  <si>
    <t>forgeron ponctue</t>
  </si>
  <si>
    <t>R0749</t>
  </si>
  <si>
    <t>fouget barbet barberin</t>
  </si>
  <si>
    <t>R0750</t>
  </si>
  <si>
    <t>fumet de poisson</t>
  </si>
  <si>
    <t>R0751</t>
  </si>
  <si>
    <t>fusilier a bande large</t>
  </si>
  <si>
    <t>R0752</t>
  </si>
  <si>
    <t>fusilier a bandes variees</t>
  </si>
  <si>
    <t>R0753</t>
  </si>
  <si>
    <t>fusilier a deux bandes</t>
  </si>
  <si>
    <t>R0754</t>
  </si>
  <si>
    <t>fusilier a dos jaune</t>
  </si>
  <si>
    <t>R0755</t>
  </si>
  <si>
    <t>fusilier a dos jaune et bleu</t>
  </si>
  <si>
    <t>R0756</t>
  </si>
  <si>
    <t>fusilier a trois bandes</t>
  </si>
  <si>
    <t>R0757</t>
  </si>
  <si>
    <t>fusilier a une bande</t>
  </si>
  <si>
    <t>R0758</t>
  </si>
  <si>
    <t>fusilier banane</t>
  </si>
  <si>
    <t>R0759</t>
  </si>
  <si>
    <t>fusilier capricorne</t>
  </si>
  <si>
    <t>R0760</t>
  </si>
  <si>
    <t>fusilier de randall</t>
  </si>
  <si>
    <t>R0761</t>
  </si>
  <si>
    <t>fusilier de suez</t>
  </si>
  <si>
    <t>R0762</t>
  </si>
  <si>
    <t>fusilier strie</t>
  </si>
  <si>
    <t>R0763</t>
  </si>
  <si>
    <t>gardon</t>
  </si>
  <si>
    <t>R0764</t>
  </si>
  <si>
    <t>garum</t>
  </si>
  <si>
    <t>R0765</t>
  </si>
  <si>
    <t>gélatine de poisson</t>
  </si>
  <si>
    <t>gelatine de poisson</t>
  </si>
  <si>
    <t>R0766</t>
  </si>
  <si>
    <t>gelée de poisson</t>
  </si>
  <si>
    <t>gelee de poisson</t>
  </si>
  <si>
    <t>R0767</t>
  </si>
  <si>
    <t>goret mule</t>
  </si>
  <si>
    <t>R0768</t>
  </si>
  <si>
    <t>gorette catire</t>
  </si>
  <si>
    <t>R0769</t>
  </si>
  <si>
    <t>gorette jaune</t>
  </si>
  <si>
    <t>R0770</t>
  </si>
  <si>
    <t>goujon</t>
  </si>
  <si>
    <t>R0771</t>
  </si>
  <si>
    <t>grand requin marteau</t>
  </si>
  <si>
    <t>R0772</t>
  </si>
  <si>
    <t>grand tambour</t>
  </si>
  <si>
    <t>R0773</t>
  </si>
  <si>
    <t>grande allache</t>
  </si>
  <si>
    <t>R0774</t>
  </si>
  <si>
    <t>grande argentine</t>
  </si>
  <si>
    <t>R0775</t>
  </si>
  <si>
    <t>grande catagnole</t>
  </si>
  <si>
    <t>R0776</t>
  </si>
  <si>
    <t>grande gueule</t>
  </si>
  <si>
    <t>R0777</t>
  </si>
  <si>
    <t>grande moride</t>
  </si>
  <si>
    <t>R0778</t>
  </si>
  <si>
    <t>grande raie</t>
  </si>
  <si>
    <t>R0779</t>
  </si>
  <si>
    <t>grande roussette</t>
  </si>
  <si>
    <t>R0780</t>
  </si>
  <si>
    <t>grande verrue tigre</t>
  </si>
  <si>
    <t>R0781</t>
  </si>
  <si>
    <t>grande vive</t>
  </si>
  <si>
    <t>R0782</t>
  </si>
  <si>
    <t>grenadier</t>
  </si>
  <si>
    <t>R0783</t>
  </si>
  <si>
    <t>grenadier antarctique</t>
  </si>
  <si>
    <t>R0784</t>
  </si>
  <si>
    <t>grenadier bleu</t>
  </si>
  <si>
    <t>R0785</t>
  </si>
  <si>
    <t>grenadier de roche</t>
  </si>
  <si>
    <t>R0786</t>
  </si>
  <si>
    <t>grenadier fouet</t>
  </si>
  <si>
    <t>R0787</t>
  </si>
  <si>
    <t>grenadier geant</t>
  </si>
  <si>
    <t>R0788</t>
  </si>
  <si>
    <t>grenadier gros yeux des kerguelen</t>
  </si>
  <si>
    <t>R0789</t>
  </si>
  <si>
    <t>grondeur coq</t>
  </si>
  <si>
    <t>R0790</t>
  </si>
  <si>
    <t>grondeur nez de cochon</t>
  </si>
  <si>
    <t>R0791</t>
  </si>
  <si>
    <t>grondeur perroquet</t>
  </si>
  <si>
    <t>R0792</t>
  </si>
  <si>
    <t>grondeur sompat</t>
  </si>
  <si>
    <t>R0793</t>
  </si>
  <si>
    <t>grondin</t>
  </si>
  <si>
    <t>R0794</t>
  </si>
  <si>
    <t>grondin a aile bleue</t>
  </si>
  <si>
    <t>R0795</t>
  </si>
  <si>
    <t>grondin camard</t>
  </si>
  <si>
    <t>R0796</t>
  </si>
  <si>
    <t>grondin d amerique</t>
  </si>
  <si>
    <t>R0797</t>
  </si>
  <si>
    <t>grondin du cap</t>
  </si>
  <si>
    <t>R0798</t>
  </si>
  <si>
    <t>grondin gris</t>
  </si>
  <si>
    <t>R0799</t>
  </si>
  <si>
    <t>grondin lyre</t>
  </si>
  <si>
    <t>R0800</t>
  </si>
  <si>
    <t>grondin morrude</t>
  </si>
  <si>
    <t>R0801</t>
  </si>
  <si>
    <t>grondin perlon</t>
  </si>
  <si>
    <t>R0802</t>
  </si>
  <si>
    <t>grondin rouge</t>
  </si>
  <si>
    <t>R0803</t>
  </si>
  <si>
    <t>gros yeux</t>
  </si>
  <si>
    <t>R0804</t>
  </si>
  <si>
    <t>guinee machete</t>
  </si>
  <si>
    <t>R0805</t>
  </si>
  <si>
    <t>guite de patagonie</t>
  </si>
  <si>
    <t>R0806</t>
  </si>
  <si>
    <t>haddock</t>
  </si>
  <si>
    <t>R0807</t>
  </si>
  <si>
    <t>hake</t>
  </si>
  <si>
    <t>R0808</t>
  </si>
  <si>
    <t>halibut</t>
  </si>
  <si>
    <t>R0809</t>
  </si>
  <si>
    <t>hareng</t>
  </si>
  <si>
    <t>R0810</t>
  </si>
  <si>
    <t>hareng commun</t>
  </si>
  <si>
    <t>R0811</t>
  </si>
  <si>
    <t>hareng du pacifique</t>
  </si>
  <si>
    <t>R0812</t>
  </si>
  <si>
    <t>hemirhombe du senegal</t>
  </si>
  <si>
    <t>R0813</t>
  </si>
  <si>
    <t>hoki d argentine</t>
  </si>
  <si>
    <t>R0814</t>
  </si>
  <si>
    <t>hoki de nouvelle zelande</t>
  </si>
  <si>
    <t>R0815</t>
  </si>
  <si>
    <t>hoki de patagonie</t>
  </si>
  <si>
    <t>R0816</t>
  </si>
  <si>
    <t>hoplostete rouge</t>
  </si>
  <si>
    <t>R0817</t>
  </si>
  <si>
    <t>huile de poisson</t>
  </si>
  <si>
    <t>R0818</t>
  </si>
  <si>
    <t>julienne</t>
  </si>
  <si>
    <t>R0819</t>
  </si>
  <si>
    <t>julienne espagnole</t>
  </si>
  <si>
    <t>R0820</t>
  </si>
  <si>
    <t>juliennette de patagonie</t>
  </si>
  <si>
    <t>R0821</t>
  </si>
  <si>
    <t>labre capitaine</t>
  </si>
  <si>
    <t>R0822</t>
  </si>
  <si>
    <t>labre coquette</t>
  </si>
  <si>
    <t>R0823</t>
  </si>
  <si>
    <t>lamproie arctique</t>
  </si>
  <si>
    <t>R0824</t>
  </si>
  <si>
    <t>lamproie de riviere</t>
  </si>
  <si>
    <t>R0825</t>
  </si>
  <si>
    <t>lamproie marine</t>
  </si>
  <si>
    <t>R0826</t>
  </si>
  <si>
    <t>lancon cicerele</t>
  </si>
  <si>
    <t>R0827</t>
  </si>
  <si>
    <t>lancon commun</t>
  </si>
  <si>
    <t>R0828</t>
  </si>
  <si>
    <t>lancon d amerique</t>
  </si>
  <si>
    <t>R0829</t>
  </si>
  <si>
    <t>lancon du pacifique</t>
  </si>
  <si>
    <t>R0830</t>
  </si>
  <si>
    <t>lancon equille</t>
  </si>
  <si>
    <t>R0831</t>
  </si>
  <si>
    <t>legine antarctique</t>
  </si>
  <si>
    <t>R0832</t>
  </si>
  <si>
    <t>legine australe</t>
  </si>
  <si>
    <t>R0833</t>
  </si>
  <si>
    <t>liche de l atlantique</t>
  </si>
  <si>
    <t>R0834</t>
  </si>
  <si>
    <t>liche lirio</t>
  </si>
  <si>
    <t>R0835</t>
  </si>
  <si>
    <t>lieu</t>
  </si>
  <si>
    <t>R0836</t>
  </si>
  <si>
    <t>lieu de l alaska</t>
  </si>
  <si>
    <t>R0837</t>
  </si>
  <si>
    <t>lieu jaune</t>
  </si>
  <si>
    <t>R0838</t>
  </si>
  <si>
    <t>lieu noir</t>
  </si>
  <si>
    <t>R0839</t>
  </si>
  <si>
    <t>limande a queue jaune</t>
  </si>
  <si>
    <t>R0840</t>
  </si>
  <si>
    <t>limande commune</t>
  </si>
  <si>
    <t>R0841</t>
  </si>
  <si>
    <t>limande du japon</t>
  </si>
  <si>
    <t>R0842</t>
  </si>
  <si>
    <t>limande du nord</t>
  </si>
  <si>
    <t>R0843</t>
  </si>
  <si>
    <t>limande jaune</t>
  </si>
  <si>
    <t>R0844</t>
  </si>
  <si>
    <t>limande plie rouge</t>
  </si>
  <si>
    <t>R0845</t>
  </si>
  <si>
    <t>limande sole</t>
  </si>
  <si>
    <t>R0846</t>
  </si>
  <si>
    <t>limande sole commune</t>
  </si>
  <si>
    <t>R0847</t>
  </si>
  <si>
    <t>limande sole de nouvelle zelande</t>
  </si>
  <si>
    <t>R0848</t>
  </si>
  <si>
    <t>limande sole du pacifique</t>
  </si>
  <si>
    <t>R0849</t>
  </si>
  <si>
    <t>lingue</t>
  </si>
  <si>
    <t>R0850</t>
  </si>
  <si>
    <t>lingue bleue</t>
  </si>
  <si>
    <t>R0851</t>
  </si>
  <si>
    <t>lingue espagnole</t>
  </si>
  <si>
    <t>R0852</t>
  </si>
  <si>
    <t>lingue franche</t>
  </si>
  <si>
    <t>R0853</t>
  </si>
  <si>
    <t>lippu tricroupia</t>
  </si>
  <si>
    <t>R0854</t>
  </si>
  <si>
    <t>loche de riviere</t>
  </si>
  <si>
    <t>R0855</t>
  </si>
  <si>
    <t>loche franche</t>
  </si>
  <si>
    <t>R0856</t>
  </si>
  <si>
    <t>lompe</t>
  </si>
  <si>
    <t>R0857</t>
  </si>
  <si>
    <t>loquette d amerique</t>
  </si>
  <si>
    <t>R0858</t>
  </si>
  <si>
    <t>loquette d europe</t>
  </si>
  <si>
    <t>R0859</t>
  </si>
  <si>
    <t>lote de riviere</t>
  </si>
  <si>
    <t>R0860</t>
  </si>
  <si>
    <t>lotte</t>
  </si>
  <si>
    <t>R0861</t>
  </si>
  <si>
    <t>lotte africaine</t>
  </si>
  <si>
    <t>R0862</t>
  </si>
  <si>
    <t>lotte de chine</t>
  </si>
  <si>
    <t>R0863</t>
  </si>
  <si>
    <t>lotte du cap</t>
  </si>
  <si>
    <t>R0864</t>
  </si>
  <si>
    <t>lotte pecheuse</t>
  </si>
  <si>
    <t>R0865</t>
  </si>
  <si>
    <t>loup</t>
  </si>
  <si>
    <t>R0866</t>
  </si>
  <si>
    <t>loup de l atlantique</t>
  </si>
  <si>
    <t>R0867</t>
  </si>
  <si>
    <t>loup de mer</t>
  </si>
  <si>
    <t>R0868</t>
  </si>
  <si>
    <t>loup denticule</t>
  </si>
  <si>
    <t>R0869</t>
  </si>
  <si>
    <t>loup tachete</t>
  </si>
  <si>
    <t>R0870</t>
  </si>
  <si>
    <t>machoiran blanc</t>
  </si>
  <si>
    <t>R0871</t>
  </si>
  <si>
    <t>machoiran jaune</t>
  </si>
  <si>
    <t>R0872</t>
  </si>
  <si>
    <t>machoiron banderille</t>
  </si>
  <si>
    <t>R0873</t>
  </si>
  <si>
    <t>machoiron bressou</t>
  </si>
  <si>
    <t>R0874</t>
  </si>
  <si>
    <t>machoiron coco</t>
  </si>
  <si>
    <t>R0875</t>
  </si>
  <si>
    <t>machoiron couma</t>
  </si>
  <si>
    <t>R0876</t>
  </si>
  <si>
    <t>machoiron crucifix</t>
  </si>
  <si>
    <t>R0877</t>
  </si>
  <si>
    <t>machoiron d amerique</t>
  </si>
  <si>
    <t>R0878</t>
  </si>
  <si>
    <t>machoiron de gambie</t>
  </si>
  <si>
    <t>R0879</t>
  </si>
  <si>
    <t>machoiron grave de l ocean indien</t>
  </si>
  <si>
    <t>R0880</t>
  </si>
  <si>
    <t>machoiron gronde</t>
  </si>
  <si>
    <t>R0881</t>
  </si>
  <si>
    <t>machoiron indien</t>
  </si>
  <si>
    <t>R0882</t>
  </si>
  <si>
    <t>machoiron jaune</t>
  </si>
  <si>
    <t>R0883</t>
  </si>
  <si>
    <t>machoiron mamango</t>
  </si>
  <si>
    <t>R0884</t>
  </si>
  <si>
    <t>machoiron passany</t>
  </si>
  <si>
    <t>R0885</t>
  </si>
  <si>
    <t>machoiron pemecou</t>
  </si>
  <si>
    <t>R0886</t>
  </si>
  <si>
    <t>machoiron petite gueule</t>
  </si>
  <si>
    <t>R0887</t>
  </si>
  <si>
    <t>machoiron tachete du pacifique n o</t>
  </si>
  <si>
    <t>R0888</t>
  </si>
  <si>
    <t>mackerel</t>
  </si>
  <si>
    <t>R0889</t>
  </si>
  <si>
    <t>mahi mahi</t>
  </si>
  <si>
    <t>R0890</t>
  </si>
  <si>
    <t>maigre</t>
  </si>
  <si>
    <t>R0891</t>
  </si>
  <si>
    <t>maigre argente</t>
  </si>
  <si>
    <t>R0892</t>
  </si>
  <si>
    <t>maigre commun</t>
  </si>
  <si>
    <t>R0893</t>
  </si>
  <si>
    <t>maigre du sud</t>
  </si>
  <si>
    <t>R0894</t>
  </si>
  <si>
    <t>makaire a longue pectorale</t>
  </si>
  <si>
    <t>R0895</t>
  </si>
  <si>
    <t>makaire blanc</t>
  </si>
  <si>
    <t>R0896</t>
  </si>
  <si>
    <t>makaire bleu</t>
  </si>
  <si>
    <t>R0897</t>
  </si>
  <si>
    <t>makaire de la mediterranee</t>
  </si>
  <si>
    <t>R0898</t>
  </si>
  <si>
    <t>makaire du japon</t>
  </si>
  <si>
    <t>R0899</t>
  </si>
  <si>
    <t>makaire noir</t>
  </si>
  <si>
    <t>R0900</t>
  </si>
  <si>
    <t>maquereau</t>
  </si>
  <si>
    <t>R0901</t>
  </si>
  <si>
    <t>maquereau blanc</t>
  </si>
  <si>
    <t>R0902</t>
  </si>
  <si>
    <t>maquereau commun</t>
  </si>
  <si>
    <t>R0903</t>
  </si>
  <si>
    <t>maquereau espagnol</t>
  </si>
  <si>
    <t>R0904</t>
  </si>
  <si>
    <t>maquereau indo pacifique</t>
  </si>
  <si>
    <t>R0905</t>
  </si>
  <si>
    <t>marbre commun</t>
  </si>
  <si>
    <t>R0906</t>
  </si>
  <si>
    <t>marbre d afrique</t>
  </si>
  <si>
    <t>R0907</t>
  </si>
  <si>
    <t>marignan coq</t>
  </si>
  <si>
    <t>R0908</t>
  </si>
  <si>
    <t>marignan mombin</t>
  </si>
  <si>
    <t>R0909</t>
  </si>
  <si>
    <t>marlin</t>
  </si>
  <si>
    <t>R0910</t>
  </si>
  <si>
    <t>marlin a rostre court</t>
  </si>
  <si>
    <t>R0911</t>
  </si>
  <si>
    <t>marlin epee</t>
  </si>
  <si>
    <t>R0912</t>
  </si>
  <si>
    <t>marlin raye</t>
  </si>
  <si>
    <t>R0913</t>
  </si>
  <si>
    <t>masca laboureur</t>
  </si>
  <si>
    <t>R0914</t>
  </si>
  <si>
    <t>matelote</t>
  </si>
  <si>
    <t>R0915</t>
  </si>
  <si>
    <t>matiote noir</t>
  </si>
  <si>
    <t>R0916</t>
  </si>
  <si>
    <t>menhaden d argentine</t>
  </si>
  <si>
    <t>R0917</t>
  </si>
  <si>
    <t>menhaden du bresil</t>
  </si>
  <si>
    <t>R0918</t>
  </si>
  <si>
    <t>menhaden du pacifique</t>
  </si>
  <si>
    <t>R0919</t>
  </si>
  <si>
    <t>menhaden ecailleux</t>
  </si>
  <si>
    <t>R0920</t>
  </si>
  <si>
    <t>menhaden tyran</t>
  </si>
  <si>
    <t>R0921</t>
  </si>
  <si>
    <t>merlan</t>
  </si>
  <si>
    <t>R0922</t>
  </si>
  <si>
    <t>merlan austral</t>
  </si>
  <si>
    <t>R0923</t>
  </si>
  <si>
    <t>merlan bleu</t>
  </si>
  <si>
    <t>R0924</t>
  </si>
  <si>
    <t>merlan bleu austral</t>
  </si>
  <si>
    <t>R0925</t>
  </si>
  <si>
    <t>merlan bleu du nord</t>
  </si>
  <si>
    <t>R0926</t>
  </si>
  <si>
    <t>merlu</t>
  </si>
  <si>
    <t>R0927</t>
  </si>
  <si>
    <t>merlu argente</t>
  </si>
  <si>
    <t>R0928</t>
  </si>
  <si>
    <t>merlu argentin</t>
  </si>
  <si>
    <t>R0929</t>
  </si>
  <si>
    <t>merlu austral</t>
  </si>
  <si>
    <t>R0930</t>
  </si>
  <si>
    <t>merlu blanc</t>
  </si>
  <si>
    <t>R0931</t>
  </si>
  <si>
    <t>merlu blanc du cap</t>
  </si>
  <si>
    <t>R0932</t>
  </si>
  <si>
    <t>merlu d afrique tropicale</t>
  </si>
  <si>
    <t>R0933</t>
  </si>
  <si>
    <t>merlu du chili</t>
  </si>
  <si>
    <t>R0934</t>
  </si>
  <si>
    <t>merlu du large</t>
  </si>
  <si>
    <t>R0935</t>
  </si>
  <si>
    <t>merlu du pacifique</t>
  </si>
  <si>
    <t>R0936</t>
  </si>
  <si>
    <t>merlu du perou</t>
  </si>
  <si>
    <t>R0937</t>
  </si>
  <si>
    <t>merlu du senegal</t>
  </si>
  <si>
    <t>R0938</t>
  </si>
  <si>
    <t>merluche bresilien</t>
  </si>
  <si>
    <t>R0939</t>
  </si>
  <si>
    <t>merou</t>
  </si>
  <si>
    <t>R0940</t>
  </si>
  <si>
    <t>merou a points bleus</t>
  </si>
  <si>
    <t>R0941</t>
  </si>
  <si>
    <t>merou a taches orange</t>
  </si>
  <si>
    <t>R0942</t>
  </si>
  <si>
    <t>merou aile zebree</t>
  </si>
  <si>
    <t>R0943</t>
  </si>
  <si>
    <t>merou badeche</t>
  </si>
  <si>
    <t>R0944</t>
  </si>
  <si>
    <t>merou blanc</t>
  </si>
  <si>
    <t>R0945</t>
  </si>
  <si>
    <t>merou comete</t>
  </si>
  <si>
    <t>R0946</t>
  </si>
  <si>
    <t>merou couronne</t>
  </si>
  <si>
    <t>R0947</t>
  </si>
  <si>
    <t>merou de goree</t>
  </si>
  <si>
    <t>R0948</t>
  </si>
  <si>
    <t>merou echarpe</t>
  </si>
  <si>
    <t>R0949</t>
  </si>
  <si>
    <t>merou epineux</t>
  </si>
  <si>
    <t>R0950</t>
  </si>
  <si>
    <t>merou faraud</t>
  </si>
  <si>
    <t>R0951</t>
  </si>
  <si>
    <t>merou geant</t>
  </si>
  <si>
    <t>R0952</t>
  </si>
  <si>
    <t>merou grandes ecailles</t>
  </si>
  <si>
    <t>R0953</t>
  </si>
  <si>
    <t>merou gris</t>
  </si>
  <si>
    <t>R0954</t>
  </si>
  <si>
    <t>merou hamour</t>
  </si>
  <si>
    <t>R0955</t>
  </si>
  <si>
    <t>merou lanceole</t>
  </si>
  <si>
    <t>R0956</t>
  </si>
  <si>
    <t>merou longues dents</t>
  </si>
  <si>
    <t>R0957</t>
  </si>
  <si>
    <t>merou longues epines</t>
  </si>
  <si>
    <t>R0958</t>
  </si>
  <si>
    <t>merou loutre</t>
  </si>
  <si>
    <t>R0959</t>
  </si>
  <si>
    <t>merou malabar</t>
  </si>
  <si>
    <t>R0960</t>
  </si>
  <si>
    <t>merou mouchete</t>
  </si>
  <si>
    <t>R0961</t>
  </si>
  <si>
    <t>merou noir</t>
  </si>
  <si>
    <t>R0962</t>
  </si>
  <si>
    <t>merou ondule</t>
  </si>
  <si>
    <t>R0963</t>
  </si>
  <si>
    <t>merou oriflamme</t>
  </si>
  <si>
    <t>R0964</t>
  </si>
  <si>
    <t>merou oualioula</t>
  </si>
  <si>
    <t>R0965</t>
  </si>
  <si>
    <t>merou pintade</t>
  </si>
  <si>
    <t>R0966</t>
  </si>
  <si>
    <t>merou pointille</t>
  </si>
  <si>
    <t>R0967</t>
  </si>
  <si>
    <t>merou polonais</t>
  </si>
  <si>
    <t>R0968</t>
  </si>
  <si>
    <t>merou raye</t>
  </si>
  <si>
    <t>R0969</t>
  </si>
  <si>
    <t>merou rouge</t>
  </si>
  <si>
    <t>R0970</t>
  </si>
  <si>
    <t>merou selle</t>
  </si>
  <si>
    <t>R0971</t>
  </si>
  <si>
    <t>merou tachete</t>
  </si>
  <si>
    <t>R0972</t>
  </si>
  <si>
    <t>merou varsovie</t>
  </si>
  <si>
    <t>R0973</t>
  </si>
  <si>
    <t>monkfish</t>
  </si>
  <si>
    <t>R0974</t>
  </si>
  <si>
    <t>moride rouge</t>
  </si>
  <si>
    <t>R0975</t>
  </si>
  <si>
    <t>moride tetard</t>
  </si>
  <si>
    <t>R0976</t>
  </si>
  <si>
    <t>morue</t>
  </si>
  <si>
    <t>R0977</t>
  </si>
  <si>
    <t>morue boreale</t>
  </si>
  <si>
    <t>R0978</t>
  </si>
  <si>
    <t>morue du groenland</t>
  </si>
  <si>
    <t>R0979</t>
  </si>
  <si>
    <t>mostelle de fond</t>
  </si>
  <si>
    <t>R0980</t>
  </si>
  <si>
    <t>mostelle de roche</t>
  </si>
  <si>
    <t>R0981</t>
  </si>
  <si>
    <t>mourine javanaise</t>
  </si>
  <si>
    <t>R0982</t>
  </si>
  <si>
    <t>mulet</t>
  </si>
  <si>
    <t>R0983</t>
  </si>
  <si>
    <t>mulet blanc</t>
  </si>
  <si>
    <t>R0984</t>
  </si>
  <si>
    <t>mulet cabot</t>
  </si>
  <si>
    <t>R0985</t>
  </si>
  <si>
    <t>mulet d afrique</t>
  </si>
  <si>
    <t>R0986</t>
  </si>
  <si>
    <t>mulet dore</t>
  </si>
  <si>
    <t>R0987</t>
  </si>
  <si>
    <t>mulet gris</t>
  </si>
  <si>
    <t>R0988</t>
  </si>
  <si>
    <t>mulet labeon</t>
  </si>
  <si>
    <t>R0989</t>
  </si>
  <si>
    <t>mulet lebranche</t>
  </si>
  <si>
    <t>R0990</t>
  </si>
  <si>
    <t>mulet lippu</t>
  </si>
  <si>
    <t>R0991</t>
  </si>
  <si>
    <t>mulet lobo</t>
  </si>
  <si>
    <t>R0992</t>
  </si>
  <si>
    <t>mulet parassi</t>
  </si>
  <si>
    <t>R0993</t>
  </si>
  <si>
    <t>mulet porc</t>
  </si>
  <si>
    <t>R0994</t>
  </si>
  <si>
    <t>mulet sauteur</t>
  </si>
  <si>
    <t>R0995</t>
  </si>
  <si>
    <t>musso pacifique</t>
  </si>
  <si>
    <t>R0996</t>
  </si>
  <si>
    <t>nam pla</t>
  </si>
  <si>
    <t>R0997</t>
  </si>
  <si>
    <t>notothenia gris</t>
  </si>
  <si>
    <t>R0998</t>
  </si>
  <si>
    <t>notothenia magellanique</t>
  </si>
  <si>
    <t>R0999</t>
  </si>
  <si>
    <t>notothenia marbre</t>
  </si>
  <si>
    <t>R1000</t>
  </si>
  <si>
    <t>notothenia noir</t>
  </si>
  <si>
    <t>R1001</t>
  </si>
  <si>
    <t>notothenia queue longue</t>
  </si>
  <si>
    <t>R1002</t>
  </si>
  <si>
    <t>nuoc mam</t>
  </si>
  <si>
    <t>R1003</t>
  </si>
  <si>
    <t>œufs de lump</t>
  </si>
  <si>
    <t>oeufs de lump</t>
  </si>
  <si>
    <t>R1004</t>
  </si>
  <si>
    <t>œufs de poisson</t>
  </si>
  <si>
    <t>oeufs de poisson</t>
  </si>
  <si>
    <t>R1005</t>
  </si>
  <si>
    <t>œufs de saumon</t>
  </si>
  <si>
    <t>oeufs de saumon</t>
  </si>
  <si>
    <t>R1006</t>
  </si>
  <si>
    <t>œufs de truite</t>
  </si>
  <si>
    <t>oeufs de truite</t>
  </si>
  <si>
    <t>R1007</t>
  </si>
  <si>
    <t>omble chevalier</t>
  </si>
  <si>
    <t>R1008</t>
  </si>
  <si>
    <t>omble d amerique</t>
  </si>
  <si>
    <t>R1009</t>
  </si>
  <si>
    <t>ombrine</t>
  </si>
  <si>
    <t>R1010</t>
  </si>
  <si>
    <t>ombrine a nageoire jaune</t>
  </si>
  <si>
    <t>R1011</t>
  </si>
  <si>
    <t>ombrine argentine</t>
  </si>
  <si>
    <t>R1012</t>
  </si>
  <si>
    <t>ombrine bronze</t>
  </si>
  <si>
    <t>R1013</t>
  </si>
  <si>
    <t>ombrine cotiere</t>
  </si>
  <si>
    <t>R1014</t>
  </si>
  <si>
    <t>ombrine fusca</t>
  </si>
  <si>
    <t>R1015</t>
  </si>
  <si>
    <t>ombrine ocellee</t>
  </si>
  <si>
    <t>R1016</t>
  </si>
  <si>
    <t>orphie commune</t>
  </si>
  <si>
    <t>R1017</t>
  </si>
  <si>
    <t>otolithe du senegal</t>
  </si>
  <si>
    <t>R1018</t>
  </si>
  <si>
    <t>pageot a tache rouge</t>
  </si>
  <si>
    <t>R1019</t>
  </si>
  <si>
    <t>pageot acarne</t>
  </si>
  <si>
    <t>R1020</t>
  </si>
  <si>
    <t>pageot d arabie</t>
  </si>
  <si>
    <t>R1021</t>
  </si>
  <si>
    <t>pageot de la mer d oman</t>
  </si>
  <si>
    <t>R1022</t>
  </si>
  <si>
    <t>pageot mommun</t>
  </si>
  <si>
    <t>R1023</t>
  </si>
  <si>
    <t>pageot rose</t>
  </si>
  <si>
    <t>R1024</t>
  </si>
  <si>
    <t>pagre a points bleu</t>
  </si>
  <si>
    <t>R1025</t>
  </si>
  <si>
    <t>pagre a points bleus</t>
  </si>
  <si>
    <t>R1026</t>
  </si>
  <si>
    <t>pagre commun</t>
  </si>
  <si>
    <t>R1027</t>
  </si>
  <si>
    <t>pagre des tropiques</t>
  </si>
  <si>
    <t>R1028</t>
  </si>
  <si>
    <t>pagre du japon</t>
  </si>
  <si>
    <t>R1029</t>
  </si>
  <si>
    <t>pagre raye</t>
  </si>
  <si>
    <t>R1030</t>
  </si>
  <si>
    <t>pastenague americaine</t>
  </si>
  <si>
    <t>R1031</t>
  </si>
  <si>
    <t>pastenague becune</t>
  </si>
  <si>
    <t>R1032</t>
  </si>
  <si>
    <t>pastenague commune</t>
  </si>
  <si>
    <t>R1033</t>
  </si>
  <si>
    <t>pastenague de tortonese</t>
  </si>
  <si>
    <t>R1034</t>
  </si>
  <si>
    <t>pastenague epieneuse</t>
  </si>
  <si>
    <t>R1035</t>
  </si>
  <si>
    <t>pastenague long nez</t>
  </si>
  <si>
    <t>R1036</t>
  </si>
  <si>
    <t>peau bleue</t>
  </si>
  <si>
    <t>R1037</t>
  </si>
  <si>
    <t>peche cavale</t>
  </si>
  <si>
    <t>R1038</t>
  </si>
  <si>
    <t>peliau chanos</t>
  </si>
  <si>
    <t>R1039</t>
  </si>
  <si>
    <t>perche</t>
  </si>
  <si>
    <t>R1040</t>
  </si>
  <si>
    <t>perche d amerique</t>
  </si>
  <si>
    <t>R1041</t>
  </si>
  <si>
    <t>perche de mer argentee</t>
  </si>
  <si>
    <t>R1042</t>
  </si>
  <si>
    <t>perche du nil</t>
  </si>
  <si>
    <t>R1043</t>
  </si>
  <si>
    <t>perche europeenne</t>
  </si>
  <si>
    <t>R1044</t>
  </si>
  <si>
    <t>perroquet du golfe</t>
  </si>
  <si>
    <t>R1045</t>
  </si>
  <si>
    <t>petit picot</t>
  </si>
  <si>
    <t>R1046</t>
  </si>
  <si>
    <t>petit sebaste</t>
  </si>
  <si>
    <t>R1047</t>
  </si>
  <si>
    <t>petit sigan</t>
  </si>
  <si>
    <t>R1048</t>
  </si>
  <si>
    <t>petit tacaud</t>
  </si>
  <si>
    <t>R1049</t>
  </si>
  <si>
    <t>petite argentine</t>
  </si>
  <si>
    <t>R1050</t>
  </si>
  <si>
    <t>petite gueule</t>
  </si>
  <si>
    <t>R1051</t>
  </si>
  <si>
    <t>petite roussette</t>
  </si>
  <si>
    <t>R1052</t>
  </si>
  <si>
    <t>petite vive</t>
  </si>
  <si>
    <t>R1053</t>
  </si>
  <si>
    <t>phycis blanc</t>
  </si>
  <si>
    <t>R1054</t>
  </si>
  <si>
    <t>phycis bresilien</t>
  </si>
  <si>
    <t>R1055</t>
  </si>
  <si>
    <t>phycis de fond</t>
  </si>
  <si>
    <t>R1056</t>
  </si>
  <si>
    <t>phycis de roche</t>
  </si>
  <si>
    <t>R1057</t>
  </si>
  <si>
    <t>phycis ecureuil</t>
  </si>
  <si>
    <t>R1058</t>
  </si>
  <si>
    <t>picarel de l atlantique du sud est</t>
  </si>
  <si>
    <t>R1059</t>
  </si>
  <si>
    <t>picot taches blanches</t>
  </si>
  <si>
    <t>R1060</t>
  </si>
  <si>
    <t>pinge namorade</t>
  </si>
  <si>
    <t>R1061</t>
  </si>
  <si>
    <t>platete bresilien</t>
  </si>
  <si>
    <t>R1062</t>
  </si>
  <si>
    <t>platycephale indien</t>
  </si>
  <si>
    <t>R1063</t>
  </si>
  <si>
    <t>plie</t>
  </si>
  <si>
    <t>R1064</t>
  </si>
  <si>
    <t>plie a grande bouche</t>
  </si>
  <si>
    <t>R1065</t>
  </si>
  <si>
    <t>plie canadienne</t>
  </si>
  <si>
    <t>R1066</t>
  </si>
  <si>
    <t>plie commune</t>
  </si>
  <si>
    <t>R1067</t>
  </si>
  <si>
    <t>plie cynoglosse</t>
  </si>
  <si>
    <t>R1068</t>
  </si>
  <si>
    <t>plie de l alaska</t>
  </si>
  <si>
    <t>R1069</t>
  </si>
  <si>
    <t>plie de nouvelle zelande</t>
  </si>
  <si>
    <t>R1070</t>
  </si>
  <si>
    <t>plie de nouvelle zelange</t>
  </si>
  <si>
    <t>R1071</t>
  </si>
  <si>
    <t>plie du pacifique nord</t>
  </si>
  <si>
    <t>R1072</t>
  </si>
  <si>
    <t>plie grise</t>
  </si>
  <si>
    <t>R1073</t>
  </si>
  <si>
    <t>pocheteau de norvege</t>
  </si>
  <si>
    <t>R1074</t>
  </si>
  <si>
    <t>pocheteau gris</t>
  </si>
  <si>
    <t>R1075</t>
  </si>
  <si>
    <t>pocheteau intermediaire</t>
  </si>
  <si>
    <t>R1076</t>
  </si>
  <si>
    <t>pocheteau noir</t>
  </si>
  <si>
    <t>R1077</t>
  </si>
  <si>
    <t>R1078</t>
  </si>
  <si>
    <t>poisson chat</t>
  </si>
  <si>
    <t>R1079</t>
  </si>
  <si>
    <t>poisson chat hybride</t>
  </si>
  <si>
    <t>R1080</t>
  </si>
  <si>
    <t>poisson des glaces</t>
  </si>
  <si>
    <t>R1081</t>
  </si>
  <si>
    <t>poisson nez bleu</t>
  </si>
  <si>
    <t>R1082</t>
  </si>
  <si>
    <t>poisson perroquet</t>
  </si>
  <si>
    <t>R1083</t>
  </si>
  <si>
    <t>poisson rouge</t>
  </si>
  <si>
    <t>R1084</t>
  </si>
  <si>
    <t>poisson rubis</t>
  </si>
  <si>
    <t>R1085</t>
  </si>
  <si>
    <t>poisson sabre commun</t>
  </si>
  <si>
    <t>R1086</t>
  </si>
  <si>
    <t>poisson saptule</t>
  </si>
  <si>
    <t>R1087</t>
  </si>
  <si>
    <t>poisson volant</t>
  </si>
  <si>
    <t>R1088</t>
  </si>
  <si>
    <t>poissons</t>
  </si>
  <si>
    <t>R1089</t>
  </si>
  <si>
    <t>pompaneau lune</t>
  </si>
  <si>
    <t>R1090</t>
  </si>
  <si>
    <t>pompaneau sole</t>
  </si>
  <si>
    <t>R1091</t>
  </si>
  <si>
    <t>poulamon atlantique</t>
  </si>
  <si>
    <t>R1092</t>
  </si>
  <si>
    <t>poutargue</t>
  </si>
  <si>
    <t>R1093</t>
  </si>
  <si>
    <t>protéine de poisson</t>
  </si>
  <si>
    <t>proteine de poisson</t>
  </si>
  <si>
    <t>R1094</t>
  </si>
  <si>
    <t>quenelle de poisson</t>
  </si>
  <si>
    <t>R1095</t>
  </si>
  <si>
    <t>raie</t>
  </si>
  <si>
    <t>R1096</t>
  </si>
  <si>
    <t>raie a queue epineuse</t>
  </si>
  <si>
    <t>R1097</t>
  </si>
  <si>
    <t>raie americaine</t>
  </si>
  <si>
    <t>R1098</t>
  </si>
  <si>
    <t>raie arctique</t>
  </si>
  <si>
    <t>R1099</t>
  </si>
  <si>
    <t>raie bathyale</t>
  </si>
  <si>
    <t>R1100</t>
  </si>
  <si>
    <t>raie blanche</t>
  </si>
  <si>
    <t>R1101</t>
  </si>
  <si>
    <t>raie bouclee</t>
  </si>
  <si>
    <t>R1102</t>
  </si>
  <si>
    <t>raie brunette</t>
  </si>
  <si>
    <t>R1103</t>
  </si>
  <si>
    <t>raie chardon</t>
  </si>
  <si>
    <t>R1104</t>
  </si>
  <si>
    <t>raie circulaire</t>
  </si>
  <si>
    <t>R1105</t>
  </si>
  <si>
    <t>raie d eaton</t>
  </si>
  <si>
    <t>R1106</t>
  </si>
  <si>
    <t>raie de kukujev</t>
  </si>
  <si>
    <t>R1107</t>
  </si>
  <si>
    <t>raie de nouvelle zelande</t>
  </si>
  <si>
    <t>R1108</t>
  </si>
  <si>
    <t>raie douce</t>
  </si>
  <si>
    <t>R1109</t>
  </si>
  <si>
    <t>raie etoilee</t>
  </si>
  <si>
    <t>R1110</t>
  </si>
  <si>
    <t>raie fleurie</t>
  </si>
  <si>
    <t>R1111</t>
  </si>
  <si>
    <t>raie herisson</t>
  </si>
  <si>
    <t>R1112</t>
  </si>
  <si>
    <t>raie lisse</t>
  </si>
  <si>
    <t>R1113</t>
  </si>
  <si>
    <t>raie melee</t>
  </si>
  <si>
    <t>R1114</t>
  </si>
  <si>
    <t>raie miroir</t>
  </si>
  <si>
    <t>R1115</t>
  </si>
  <si>
    <t>raie papillon</t>
  </si>
  <si>
    <t>R1116</t>
  </si>
  <si>
    <t>raie papillon glabre</t>
  </si>
  <si>
    <t>R1117</t>
  </si>
  <si>
    <t>raie pastenague</t>
  </si>
  <si>
    <t>R1118</t>
  </si>
  <si>
    <t>raie profonde</t>
  </si>
  <si>
    <t>R1119</t>
  </si>
  <si>
    <t>raie radiee</t>
  </si>
  <si>
    <t>R1120</t>
  </si>
  <si>
    <t>raie rape</t>
  </si>
  <si>
    <t>R1121</t>
  </si>
  <si>
    <t>raie ronde</t>
  </si>
  <si>
    <t>R1122</t>
  </si>
  <si>
    <t>raie rugueuse</t>
  </si>
  <si>
    <t>R1123</t>
  </si>
  <si>
    <t>raie souple</t>
  </si>
  <si>
    <t>R1124</t>
  </si>
  <si>
    <t>raie tachetee</t>
  </si>
  <si>
    <t>R1125</t>
  </si>
  <si>
    <t>raie voile</t>
  </si>
  <si>
    <t>R1126</t>
  </si>
  <si>
    <t>rascasse a nageoires tachetees</t>
  </si>
  <si>
    <t>R1127</t>
  </si>
  <si>
    <t>rascasse australe</t>
  </si>
  <si>
    <t>R1128</t>
  </si>
  <si>
    <t>rascasse blanche</t>
  </si>
  <si>
    <t>R1129</t>
  </si>
  <si>
    <t>rascasse bresilienne</t>
  </si>
  <si>
    <t>R1130</t>
  </si>
  <si>
    <t>rascasse brune</t>
  </si>
  <si>
    <t>R1131</t>
  </si>
  <si>
    <t>rascasse de profondeur</t>
  </si>
  <si>
    <t>R1132</t>
  </si>
  <si>
    <t>rascasse du large</t>
  </si>
  <si>
    <t>R1133</t>
  </si>
  <si>
    <t>rascasse longue</t>
  </si>
  <si>
    <t>R1134</t>
  </si>
  <si>
    <t>rascasse rouge</t>
  </si>
  <si>
    <t>R1135</t>
  </si>
  <si>
    <t>requin</t>
  </si>
  <si>
    <t>R1136</t>
  </si>
  <si>
    <t>requin a museau pointu requin</t>
  </si>
  <si>
    <t>R1137</t>
  </si>
  <si>
    <t>requin bleu</t>
  </si>
  <si>
    <t>R1138</t>
  </si>
  <si>
    <t>requin borde</t>
  </si>
  <si>
    <t>R1139</t>
  </si>
  <si>
    <t>requin commun</t>
  </si>
  <si>
    <t>R1140</t>
  </si>
  <si>
    <t>requin ha</t>
  </si>
  <si>
    <t>R1141</t>
  </si>
  <si>
    <t>requin marteau</t>
  </si>
  <si>
    <t>R1142</t>
  </si>
  <si>
    <t>requin marteau a petits yeux</t>
  </si>
  <si>
    <t>R1143</t>
  </si>
  <si>
    <t>requin marteau commun</t>
  </si>
  <si>
    <t>R1144</t>
  </si>
  <si>
    <t>requin marteau halicorne</t>
  </si>
  <si>
    <t>R1145</t>
  </si>
  <si>
    <t>requin marteau tiburo</t>
  </si>
  <si>
    <t>R1146</t>
  </si>
  <si>
    <t>requin nez noir</t>
  </si>
  <si>
    <t>R1147</t>
  </si>
  <si>
    <t>requin peau bleue</t>
  </si>
  <si>
    <t>R1148</t>
  </si>
  <si>
    <t>requin pelerin</t>
  </si>
  <si>
    <t>R1149</t>
  </si>
  <si>
    <t>requin taureau</t>
  </si>
  <si>
    <t>R1150</t>
  </si>
  <si>
    <t>requin tiqueue</t>
  </si>
  <si>
    <t>R1151</t>
  </si>
  <si>
    <t>rillettes de poisson</t>
  </si>
  <si>
    <t>R1152</t>
  </si>
  <si>
    <t>rondeau mouton</t>
  </si>
  <si>
    <t>R1153</t>
  </si>
  <si>
    <t>rouffe antarctique</t>
  </si>
  <si>
    <t>R1154</t>
  </si>
  <si>
    <t>rouffe imperial</t>
  </si>
  <si>
    <t>R1155</t>
  </si>
  <si>
    <t>rouffe raye</t>
  </si>
  <si>
    <t>R1156</t>
  </si>
  <si>
    <t>rouget</t>
  </si>
  <si>
    <t>R1157</t>
  </si>
  <si>
    <t>rouget barbet</t>
  </si>
  <si>
    <t>R1158</t>
  </si>
  <si>
    <t>rouget barbet de roche</t>
  </si>
  <si>
    <t>R1159</t>
  </si>
  <si>
    <t>rouget barbet de thailande</t>
  </si>
  <si>
    <t>R1160</t>
  </si>
  <si>
    <t>rouget barbet de vase</t>
  </si>
  <si>
    <t>R1161</t>
  </si>
  <si>
    <t>rouget barbet dore</t>
  </si>
  <si>
    <t>R1162</t>
  </si>
  <si>
    <t>rouget barbet du senegal</t>
  </si>
  <si>
    <t>R1163</t>
  </si>
  <si>
    <t>rouget barbet du vietnam</t>
  </si>
  <si>
    <t>R1164</t>
  </si>
  <si>
    <t>rouget barbet indien</t>
  </si>
  <si>
    <t>R1165</t>
  </si>
  <si>
    <t>rouget barbet tachete</t>
  </si>
  <si>
    <t>R1166</t>
  </si>
  <si>
    <t>rouget souris</t>
  </si>
  <si>
    <t>R1167</t>
  </si>
  <si>
    <t>rouget souris bande or</t>
  </si>
  <si>
    <t>R1168</t>
  </si>
  <si>
    <t>roussette</t>
  </si>
  <si>
    <t>R1169</t>
  </si>
  <si>
    <t>sabre</t>
  </si>
  <si>
    <t>R1170</t>
  </si>
  <si>
    <t>sabre argente</t>
  </si>
  <si>
    <t>R1171</t>
  </si>
  <si>
    <t>sabre noir</t>
  </si>
  <si>
    <t>R1172</t>
  </si>
  <si>
    <t>saint paul</t>
  </si>
  <si>
    <t>R1173</t>
  </si>
  <si>
    <t>saint pierre</t>
  </si>
  <si>
    <t>R1174</t>
  </si>
  <si>
    <t>saint pierre du cap</t>
  </si>
  <si>
    <t>R1175</t>
  </si>
  <si>
    <t>salmon</t>
  </si>
  <si>
    <t>R1176</t>
  </si>
  <si>
    <t>sandre</t>
  </si>
  <si>
    <t>R1177</t>
  </si>
  <si>
    <t>sanglier de mer</t>
  </si>
  <si>
    <t>R1178</t>
  </si>
  <si>
    <t>sar a grosses levres</t>
  </si>
  <si>
    <t>R1179</t>
  </si>
  <si>
    <t>sar a museau pointu</t>
  </si>
  <si>
    <t>R1180</t>
  </si>
  <si>
    <t>sar a tete noire</t>
  </si>
  <si>
    <t>R1181</t>
  </si>
  <si>
    <t>sar a tete noire du cap vert</t>
  </si>
  <si>
    <t>R1182</t>
  </si>
  <si>
    <t>sar commun</t>
  </si>
  <si>
    <t>R1183</t>
  </si>
  <si>
    <t>sardine</t>
  </si>
  <si>
    <t>R1184</t>
  </si>
  <si>
    <t>sardine commune</t>
  </si>
  <si>
    <t>R1185</t>
  </si>
  <si>
    <t>sardinelle indonesienne</t>
  </si>
  <si>
    <t>R1186</t>
  </si>
  <si>
    <t>sardines</t>
  </si>
  <si>
    <t>R1187</t>
  </si>
  <si>
    <t>sardinops d afrique du sud</t>
  </si>
  <si>
    <t>R1188</t>
  </si>
  <si>
    <t>sardinops de californie</t>
  </si>
  <si>
    <t>R1189</t>
  </si>
  <si>
    <t>sardinops du chili</t>
  </si>
  <si>
    <t>R1190</t>
  </si>
  <si>
    <t>sardinops du japon</t>
  </si>
  <si>
    <t>R1191</t>
  </si>
  <si>
    <t>sargue de l atlangique s e</t>
  </si>
  <si>
    <t>R1192</t>
  </si>
  <si>
    <t>sargue doree</t>
  </si>
  <si>
    <t>R1193</t>
  </si>
  <si>
    <t>sauce de poisson</t>
  </si>
  <si>
    <t>R1194</t>
  </si>
  <si>
    <t>sauce poisson</t>
  </si>
  <si>
    <t>R1195</t>
  </si>
  <si>
    <t>R1196</t>
  </si>
  <si>
    <t>saumon argente du pacifique</t>
  </si>
  <si>
    <t>R1197</t>
  </si>
  <si>
    <t>saumon atlantique</t>
  </si>
  <si>
    <t>R1198</t>
  </si>
  <si>
    <t>saumon de fontaine</t>
  </si>
  <si>
    <t>R1199</t>
  </si>
  <si>
    <t>saumon japonais du pacifique</t>
  </si>
  <si>
    <t>R1200</t>
  </si>
  <si>
    <t>saumon keta du pacifique</t>
  </si>
  <si>
    <t>R1201</t>
  </si>
  <si>
    <t>saumon rose du pacifique</t>
  </si>
  <si>
    <t>R1202</t>
  </si>
  <si>
    <t>saumon rouge du pacifique</t>
  </si>
  <si>
    <t>R1203</t>
  </si>
  <si>
    <t>saumon royal du pacifique</t>
  </si>
  <si>
    <t>R1204</t>
  </si>
  <si>
    <t>saumonette</t>
  </si>
  <si>
    <t>R1205</t>
  </si>
  <si>
    <t>sauteur talang</t>
  </si>
  <si>
    <t>R1206</t>
  </si>
  <si>
    <t>sea bass</t>
  </si>
  <si>
    <t>R1207</t>
  </si>
  <si>
    <t>sea bream</t>
  </si>
  <si>
    <t>R1208</t>
  </si>
  <si>
    <t>seabass</t>
  </si>
  <si>
    <t>R1209</t>
  </si>
  <si>
    <t>seabream</t>
  </si>
  <si>
    <t>R1210</t>
  </si>
  <si>
    <t>sebaste</t>
  </si>
  <si>
    <t>R1211</t>
  </si>
  <si>
    <t>sebaste a queue jaune</t>
  </si>
  <si>
    <t>R1212</t>
  </si>
  <si>
    <t>sebaste chevre</t>
  </si>
  <si>
    <t>R1213</t>
  </si>
  <si>
    <t>sebaste du canada</t>
  </si>
  <si>
    <t>R1214</t>
  </si>
  <si>
    <t>sebaste du cap</t>
  </si>
  <si>
    <t>R1215</t>
  </si>
  <si>
    <t>sebaste du pacifique</t>
  </si>
  <si>
    <t>R1216</t>
  </si>
  <si>
    <t>sebaste rocote</t>
  </si>
  <si>
    <t>R1217</t>
  </si>
  <si>
    <t>sebaste rose</t>
  </si>
  <si>
    <t>R1218</t>
  </si>
  <si>
    <t>selar coulisou</t>
  </si>
  <si>
    <t>R1219</t>
  </si>
  <si>
    <t>seriole chicard</t>
  </si>
  <si>
    <t>R1220</t>
  </si>
  <si>
    <t>seriole couronnee</t>
  </si>
  <si>
    <t>R1221</t>
  </si>
  <si>
    <t>seriole de guinee</t>
  </si>
  <si>
    <t>R1222</t>
  </si>
  <si>
    <t>seriole du japon</t>
  </si>
  <si>
    <t>R1223</t>
  </si>
  <si>
    <t>seriole japonaise</t>
  </si>
  <si>
    <t>R1224</t>
  </si>
  <si>
    <t>seriole lalandi</t>
  </si>
  <si>
    <t>R1225</t>
  </si>
  <si>
    <t>seriole limon</t>
  </si>
  <si>
    <t>R1226</t>
  </si>
  <si>
    <t>seriolelle argentine</t>
  </si>
  <si>
    <t>R1227</t>
  </si>
  <si>
    <t>seriolelle hyperoglyphe</t>
  </si>
  <si>
    <t>R1228</t>
  </si>
  <si>
    <t>serran cabrillon</t>
  </si>
  <si>
    <t>R1229</t>
  </si>
  <si>
    <t>serran chevre</t>
  </si>
  <si>
    <t>R1230</t>
  </si>
  <si>
    <t>serran ecriture</t>
  </si>
  <si>
    <t>R1231</t>
  </si>
  <si>
    <t>shadine ronde</t>
  </si>
  <si>
    <t>R1232</t>
  </si>
  <si>
    <t>sigan cordonnier</t>
  </si>
  <si>
    <t>R1233</t>
  </si>
  <si>
    <t>sigan pintade</t>
  </si>
  <si>
    <t>R1234</t>
  </si>
  <si>
    <t>siki</t>
  </si>
  <si>
    <t>R1235</t>
  </si>
  <si>
    <t>silure</t>
  </si>
  <si>
    <t>R1236</t>
  </si>
  <si>
    <t>silure glane</t>
  </si>
  <si>
    <t>R1237</t>
  </si>
  <si>
    <t>silure tigre</t>
  </si>
  <si>
    <t>R1238</t>
  </si>
  <si>
    <t>sole</t>
  </si>
  <si>
    <t>R1239</t>
  </si>
  <si>
    <t>sole australe occidentale</t>
  </si>
  <si>
    <t>R1240</t>
  </si>
  <si>
    <t>sole australe orientale</t>
  </si>
  <si>
    <t>R1241</t>
  </si>
  <si>
    <t>sole blonde</t>
  </si>
  <si>
    <t>R1242</t>
  </si>
  <si>
    <t>sole commune</t>
  </si>
  <si>
    <t>R1243</t>
  </si>
  <si>
    <t>sole d afrique du sud</t>
  </si>
  <si>
    <t>R1244</t>
  </si>
  <si>
    <t>sole d orient</t>
  </si>
  <si>
    <t>R1245</t>
  </si>
  <si>
    <t>sole de guinee</t>
  </si>
  <si>
    <t>R1246</t>
  </si>
  <si>
    <t>sole de roche</t>
  </si>
  <si>
    <t>R1247</t>
  </si>
  <si>
    <t>sole du senegal</t>
  </si>
  <si>
    <t>R1248</t>
  </si>
  <si>
    <t>sole elancee</t>
  </si>
  <si>
    <t>R1249</t>
  </si>
  <si>
    <t>sole langue</t>
  </si>
  <si>
    <t>R1250</t>
  </si>
  <si>
    <t>sole perdrix</t>
  </si>
  <si>
    <t>R1251</t>
  </si>
  <si>
    <t>sole pole</t>
  </si>
  <si>
    <t>R1252</t>
  </si>
  <si>
    <t>sole ruardon commune</t>
  </si>
  <si>
    <t>R1253</t>
  </si>
  <si>
    <t>sole ruardon d orient</t>
  </si>
  <si>
    <t>R1254</t>
  </si>
  <si>
    <t>sole ruardon du golfe</t>
  </si>
  <si>
    <t>R1255</t>
  </si>
  <si>
    <t>sole sombre</t>
  </si>
  <si>
    <t>R1256</t>
  </si>
  <si>
    <t>sole tropicale</t>
  </si>
  <si>
    <t>R1257</t>
  </si>
  <si>
    <t>sonneur commun</t>
  </si>
  <si>
    <t>R1258</t>
  </si>
  <si>
    <t>sonneur du chili</t>
  </si>
  <si>
    <t>R1259</t>
  </si>
  <si>
    <t>soupe de poisson</t>
  </si>
  <si>
    <t>R1260</t>
  </si>
  <si>
    <t>sparaillon africain</t>
  </si>
  <si>
    <t>R1261</t>
  </si>
  <si>
    <t>sparaillon commun</t>
  </si>
  <si>
    <t>R1262</t>
  </si>
  <si>
    <t>spare de l ocean indien</t>
  </si>
  <si>
    <t>R1263</t>
  </si>
  <si>
    <t>spare panga</t>
  </si>
  <si>
    <t>R1264</t>
  </si>
  <si>
    <t>spare royal</t>
  </si>
  <si>
    <t>R1265</t>
  </si>
  <si>
    <t>spatule d amerique</t>
  </si>
  <si>
    <t>R1266</t>
  </si>
  <si>
    <t>sprat</t>
  </si>
  <si>
    <t>R1267</t>
  </si>
  <si>
    <t>sprat des iles faulklands</t>
  </si>
  <si>
    <t>R1268</t>
  </si>
  <si>
    <t>squale chagrin commun</t>
  </si>
  <si>
    <t>R1269</t>
  </si>
  <si>
    <t>squale liche</t>
  </si>
  <si>
    <t>R1270</t>
  </si>
  <si>
    <t>stromatee a fossettes</t>
  </si>
  <si>
    <t>R1271</t>
  </si>
  <si>
    <t>R1272</t>
  </si>
  <si>
    <t>swordfish</t>
  </si>
  <si>
    <t>R1273</t>
  </si>
  <si>
    <t>tacaud</t>
  </si>
  <si>
    <t>R1274</t>
  </si>
  <si>
    <t>tacaud commun</t>
  </si>
  <si>
    <t>R1275</t>
  </si>
  <si>
    <t>tacaud norvegien</t>
  </si>
  <si>
    <t>R1276</t>
  </si>
  <si>
    <t>tambour bresilien</t>
  </si>
  <si>
    <t>R1277</t>
  </si>
  <si>
    <t>tambour croca</t>
  </si>
  <si>
    <t>R1278</t>
  </si>
  <si>
    <t>tambour raye</t>
  </si>
  <si>
    <t>R1279</t>
  </si>
  <si>
    <t>tambour rouge</t>
  </si>
  <si>
    <t>R1280</t>
  </si>
  <si>
    <t>tanche</t>
  </si>
  <si>
    <t>R1281</t>
  </si>
  <si>
    <t>tarama</t>
  </si>
  <si>
    <t>R1282</t>
  </si>
  <si>
    <t>taramasalata</t>
  </si>
  <si>
    <t>R1283</t>
  </si>
  <si>
    <t>tarpon argente</t>
  </si>
  <si>
    <t>R1284</t>
  </si>
  <si>
    <t>terrine de poisson</t>
  </si>
  <si>
    <t>R1285</t>
  </si>
  <si>
    <t>thazard barre</t>
  </si>
  <si>
    <t>R1286</t>
  </si>
  <si>
    <t>thazard batard</t>
  </si>
  <si>
    <t>R1287</t>
  </si>
  <si>
    <t>thazard blanc</t>
  </si>
  <si>
    <t>R1288</t>
  </si>
  <si>
    <t>thazard cirrus</t>
  </si>
  <si>
    <t>R1289</t>
  </si>
  <si>
    <t>thazard franc</t>
  </si>
  <si>
    <t>R1290</t>
  </si>
  <si>
    <t>thazard ponctue</t>
  </si>
  <si>
    <t>R1291</t>
  </si>
  <si>
    <t>thazard raye</t>
  </si>
  <si>
    <t>R1292</t>
  </si>
  <si>
    <t>thazard serra</t>
  </si>
  <si>
    <t>R1293</t>
  </si>
  <si>
    <t>thon a nageoires noires</t>
  </si>
  <si>
    <t>R1294</t>
  </si>
  <si>
    <t>thon albacore</t>
  </si>
  <si>
    <t>R1295</t>
  </si>
  <si>
    <t>thon blanc</t>
  </si>
  <si>
    <t>R1296</t>
  </si>
  <si>
    <t>thon germon</t>
  </si>
  <si>
    <t>R1297</t>
  </si>
  <si>
    <t>thon listao</t>
  </si>
  <si>
    <t>R1298</t>
  </si>
  <si>
    <t>thon mignon</t>
  </si>
  <si>
    <t>R1299</t>
  </si>
  <si>
    <t>thon obese</t>
  </si>
  <si>
    <t>R1300</t>
  </si>
  <si>
    <t>thon patudo</t>
  </si>
  <si>
    <t>R1301</t>
  </si>
  <si>
    <t>thon rouge</t>
  </si>
  <si>
    <t>R1302</t>
  </si>
  <si>
    <t>thon rouge du sud</t>
  </si>
  <si>
    <t>R1303</t>
  </si>
  <si>
    <t>thonine commune</t>
  </si>
  <si>
    <t>R1304</t>
  </si>
  <si>
    <t>thonine orientale</t>
  </si>
  <si>
    <t>R1305</t>
  </si>
  <si>
    <t>tilapia</t>
  </si>
  <si>
    <t>R1306</t>
  </si>
  <si>
    <t>tilapia bleu</t>
  </si>
  <si>
    <t>R1307</t>
  </si>
  <si>
    <t>tilapia du mozambique</t>
  </si>
  <si>
    <t>R1308</t>
  </si>
  <si>
    <t>tilapia du nil</t>
  </si>
  <si>
    <t>R1309</t>
  </si>
  <si>
    <t>tile chameau</t>
  </si>
  <si>
    <t>R1310</t>
  </si>
  <si>
    <t>tile zebre</t>
  </si>
  <si>
    <t>R1311</t>
  </si>
  <si>
    <t>torche tigre</t>
  </si>
  <si>
    <t>R1312</t>
  </si>
  <si>
    <t>torpille marbree</t>
  </si>
  <si>
    <t>R1313</t>
  </si>
  <si>
    <t>trout</t>
  </si>
  <si>
    <t>R1314</t>
  </si>
  <si>
    <t>truite</t>
  </si>
  <si>
    <t>R1315</t>
  </si>
  <si>
    <t>truite arc en ciel</t>
  </si>
  <si>
    <t>R1316</t>
  </si>
  <si>
    <t>tuna</t>
  </si>
  <si>
    <t>R1317</t>
  </si>
  <si>
    <t>turbot</t>
  </si>
  <si>
    <t>R1318</t>
  </si>
  <si>
    <t>turbot mouchete</t>
  </si>
  <si>
    <t>R1319</t>
  </si>
  <si>
    <t>turbot tropical</t>
  </si>
  <si>
    <t>R1320</t>
  </si>
  <si>
    <t>uranoscope de l atlantique</t>
  </si>
  <si>
    <t>R1321</t>
  </si>
  <si>
    <t>uranoscope de nouvelle zelande</t>
  </si>
  <si>
    <t>R1322</t>
  </si>
  <si>
    <t>varlet de l ocean indien</t>
  </si>
  <si>
    <t>R1323</t>
  </si>
  <si>
    <t>veau de mer</t>
  </si>
  <si>
    <t>R1324</t>
  </si>
  <si>
    <t>verrue bronzee</t>
  </si>
  <si>
    <t>R1325</t>
  </si>
  <si>
    <t>vieille aile noire</t>
  </si>
  <si>
    <t>R1326</t>
  </si>
  <si>
    <t>vieille ananas</t>
  </si>
  <si>
    <t>R1327</t>
  </si>
  <si>
    <t>vieille commune</t>
  </si>
  <si>
    <t>R1328</t>
  </si>
  <si>
    <t>vieille de corail</t>
  </si>
  <si>
    <t>R1329</t>
  </si>
  <si>
    <t>vieille roga</t>
  </si>
  <si>
    <t>R1330</t>
  </si>
  <si>
    <t>vivaneau</t>
  </si>
  <si>
    <t>R1331</t>
  </si>
  <si>
    <t>vivaneau a lignes jaunes</t>
  </si>
  <si>
    <t>R1332</t>
  </si>
  <si>
    <t>vivaneau a queue jaune</t>
  </si>
  <si>
    <t>R1333</t>
  </si>
  <si>
    <t>vivaneau africain rouge</t>
  </si>
  <si>
    <t>R1334</t>
  </si>
  <si>
    <t>vivaneau argente</t>
  </si>
  <si>
    <t>R1335</t>
  </si>
  <si>
    <t>vivaneau blanc</t>
  </si>
  <si>
    <t>R1336</t>
  </si>
  <si>
    <t>vivaneau bourgeois</t>
  </si>
  <si>
    <t>R1337</t>
  </si>
  <si>
    <t>vivaneau campeche</t>
  </si>
  <si>
    <t>R1338</t>
  </si>
  <si>
    <t>vivaneau cramoisi</t>
  </si>
  <si>
    <t>R1339</t>
  </si>
  <si>
    <t>vivaneau de goree</t>
  </si>
  <si>
    <t>R1340</t>
  </si>
  <si>
    <t>vivaneau de mangrove</t>
  </si>
  <si>
    <t>R1341</t>
  </si>
  <si>
    <t>vivaneau du bengale</t>
  </si>
  <si>
    <t>R1342</t>
  </si>
  <si>
    <t>vivaneau gazou</t>
  </si>
  <si>
    <t>R1343</t>
  </si>
  <si>
    <t>vivaneau gibelot</t>
  </si>
  <si>
    <t>R1344</t>
  </si>
  <si>
    <t>vivaneau gros yeux</t>
  </si>
  <si>
    <t>R1345</t>
  </si>
  <si>
    <t>vivaneau hublot</t>
  </si>
  <si>
    <t>R1346</t>
  </si>
  <si>
    <t>vivaneau job</t>
  </si>
  <si>
    <t>R1347</t>
  </si>
  <si>
    <t>vivaneau malabar</t>
  </si>
  <si>
    <t>R1348</t>
  </si>
  <si>
    <t>vivaneau maori</t>
  </si>
  <si>
    <t>R1349</t>
  </si>
  <si>
    <t>vivaneau pagaie</t>
  </si>
  <si>
    <t>R1350</t>
  </si>
  <si>
    <t>vivaneau plat</t>
  </si>
  <si>
    <t>R1351</t>
  </si>
  <si>
    <t>vivaneau queue jaune</t>
  </si>
  <si>
    <t>R1352</t>
  </si>
  <si>
    <t>vivaneau queue noire</t>
  </si>
  <si>
    <t>R1353</t>
  </si>
  <si>
    <t>vivaneau rouge</t>
  </si>
  <si>
    <t>R1354</t>
  </si>
  <si>
    <t>vivaneau rouille</t>
  </si>
  <si>
    <t>R1355</t>
  </si>
  <si>
    <t>vivaneau rubis</t>
  </si>
  <si>
    <t>R1356</t>
  </si>
  <si>
    <t>vivaneau tetu</t>
  </si>
  <si>
    <t>R1357</t>
  </si>
  <si>
    <t>vivaneau ti yeux</t>
  </si>
  <si>
    <t>R1358</t>
  </si>
  <si>
    <t>vivaneau tidents</t>
  </si>
  <si>
    <t>R1359</t>
  </si>
  <si>
    <t>vivanneau brun d afrique</t>
  </si>
  <si>
    <t>R1360</t>
  </si>
  <si>
    <t>vivanneau chien rouge</t>
  </si>
  <si>
    <t>R1361</t>
  </si>
  <si>
    <t>vivanneau dore</t>
  </si>
  <si>
    <t>R1362</t>
  </si>
  <si>
    <t>vive</t>
  </si>
  <si>
    <t>R1363</t>
  </si>
  <si>
    <t>voilier de l atlantique</t>
  </si>
  <si>
    <t>R1364</t>
  </si>
  <si>
    <t>wahoo</t>
  </si>
  <si>
    <t>R1365</t>
  </si>
  <si>
    <t>bar à cocktail</t>
  </si>
  <si>
    <t>bar a cocktail</t>
  </si>
  <si>
    <t>R1366</t>
  </si>
  <si>
    <t>bar à cocktails</t>
  </si>
  <si>
    <t>bar a cocktails</t>
  </si>
  <si>
    <t>R1367</t>
  </si>
  <si>
    <t>bar à vin</t>
  </si>
  <si>
    <t>bar a vin</t>
  </si>
  <si>
    <t>R1368</t>
  </si>
  <si>
    <t>bar à vins</t>
  </si>
  <si>
    <t>bar a vins</t>
  </si>
  <si>
    <t>R1369</t>
  </si>
  <si>
    <t>bar hôtel</t>
  </si>
  <si>
    <t>bar hotel</t>
  </si>
  <si>
    <t>R1370</t>
  </si>
  <si>
    <t>bar lounge</t>
  </si>
  <si>
    <t>R1371</t>
  </si>
  <si>
    <t>bar restaurant</t>
  </si>
  <si>
    <t>R1372</t>
  </si>
  <si>
    <t>cocktail bar</t>
  </si>
  <si>
    <t>R1373</t>
  </si>
  <si>
    <t>wine bar</t>
  </si>
  <si>
    <t>R1374</t>
  </si>
  <si>
    <t>bonite séchée</t>
  </si>
  <si>
    <t>bonite sechee</t>
  </si>
  <si>
    <t>Composition variable.</t>
  </si>
  <si>
    <t>R1375</t>
  </si>
  <si>
    <t>bouillon asiatique</t>
  </si>
  <si>
    <t>R1376</t>
  </si>
  <si>
    <t>caesar</t>
  </si>
  <si>
    <t>R1377</t>
  </si>
  <si>
    <t>césar</t>
  </si>
  <si>
    <t>cesar</t>
  </si>
  <si>
    <t>R1378</t>
  </si>
  <si>
    <t>dashi</t>
  </si>
  <si>
    <t>R1379</t>
  </si>
  <si>
    <t>katsuobushi</t>
  </si>
  <si>
    <t>R1380</t>
  </si>
  <si>
    <t>kimchi</t>
  </si>
  <si>
    <t>R1381</t>
  </si>
  <si>
    <t>R1382</t>
  </si>
  <si>
    <t>sauce huître</t>
  </si>
  <si>
    <t>sauce huitre</t>
  </si>
  <si>
    <t>R1383</t>
  </si>
  <si>
    <t>R1384</t>
  </si>
  <si>
    <t>tapenade</t>
  </si>
  <si>
    <t>R1385</t>
  </si>
  <si>
    <t>arachide</t>
  </si>
  <si>
    <t>Arachide ou dérivé.</t>
  </si>
  <si>
    <t>R1386</t>
  </si>
  <si>
    <t>arachides</t>
  </si>
  <si>
    <t>R1387</t>
  </si>
  <si>
    <t>beurre d arachide</t>
  </si>
  <si>
    <t>R1388</t>
  </si>
  <si>
    <t>beurre de cacahuète</t>
  </si>
  <si>
    <t>beurre de cacahuete</t>
  </si>
  <si>
    <t>R1389</t>
  </si>
  <si>
    <t>cacahuète</t>
  </si>
  <si>
    <t>cacahuete</t>
  </si>
  <si>
    <t>R1390</t>
  </si>
  <si>
    <t>cacahuètes</t>
  </si>
  <si>
    <t>cacahuetes</t>
  </si>
  <si>
    <t>R1391</t>
  </si>
  <si>
    <t>farine d arachide</t>
  </si>
  <si>
    <t>R1392</t>
  </si>
  <si>
    <t>groundnut</t>
  </si>
  <si>
    <t>R1393</t>
  </si>
  <si>
    <t>groundnut oil</t>
  </si>
  <si>
    <t>R1394</t>
  </si>
  <si>
    <t>groundnuts</t>
  </si>
  <si>
    <t>R1395</t>
  </si>
  <si>
    <t>huile d arachide</t>
  </si>
  <si>
    <t>R1396</t>
  </si>
  <si>
    <t>pâte d arachide</t>
  </si>
  <si>
    <t>pate d arachide</t>
  </si>
  <si>
    <t>R1397</t>
  </si>
  <si>
    <t>peanut</t>
  </si>
  <si>
    <t>R1398</t>
  </si>
  <si>
    <t>peanut butter</t>
  </si>
  <si>
    <t>R1399</t>
  </si>
  <si>
    <t>peanuts</t>
  </si>
  <si>
    <t>R1400</t>
  </si>
  <si>
    <t>praliné cacahuète</t>
  </si>
  <si>
    <t>praline cacahuete</t>
  </si>
  <si>
    <t>R1401</t>
  </si>
  <si>
    <t>protéine d arachide</t>
  </si>
  <si>
    <t>proteine d arachide</t>
  </si>
  <si>
    <t>R1402</t>
  </si>
  <si>
    <t>satay</t>
  </si>
  <si>
    <t>R1403</t>
  </si>
  <si>
    <t>saté</t>
  </si>
  <si>
    <t>sate</t>
  </si>
  <si>
    <t>R1404</t>
  </si>
  <si>
    <t>sauce cacahuète</t>
  </si>
  <si>
    <t>sauce cacahuete</t>
  </si>
  <si>
    <t>R1405</t>
  </si>
  <si>
    <t>sauce satay</t>
  </si>
  <si>
    <t>R1406</t>
  </si>
  <si>
    <t>boisson au soja</t>
  </si>
  <si>
    <t>Soja ou dérivé explicite.</t>
  </si>
  <si>
    <t>R1407</t>
  </si>
  <si>
    <t>concentré de soja</t>
  </si>
  <si>
    <t>concentre de soja</t>
  </si>
  <si>
    <t>R1408</t>
  </si>
  <si>
    <t>crème de soja</t>
  </si>
  <si>
    <t>creme de soja</t>
  </si>
  <si>
    <t>R1409</t>
  </si>
  <si>
    <t>dessert soja</t>
  </si>
  <si>
    <t>R1410</t>
  </si>
  <si>
    <t>E322 soja</t>
  </si>
  <si>
    <t>e322 soja</t>
  </si>
  <si>
    <t>R1411</t>
  </si>
  <si>
    <t>edamame</t>
  </si>
  <si>
    <t>R1412</t>
  </si>
  <si>
    <t>farine de soja</t>
  </si>
  <si>
    <t>R1413</t>
  </si>
  <si>
    <t>fève de soja</t>
  </si>
  <si>
    <t>feve de soja</t>
  </si>
  <si>
    <t>R1414</t>
  </si>
  <si>
    <t>fèves de soja</t>
  </si>
  <si>
    <t>feves de soja</t>
  </si>
  <si>
    <t>R1415</t>
  </si>
  <si>
    <t>graisse de soja</t>
  </si>
  <si>
    <t>R1416</t>
  </si>
  <si>
    <t>huile de soja</t>
  </si>
  <si>
    <t>R1417</t>
  </si>
  <si>
    <t>isolat de soja</t>
  </si>
  <si>
    <t>R1418</t>
  </si>
  <si>
    <t>lait de soja</t>
  </si>
  <si>
    <t>R1419</t>
  </si>
  <si>
    <t>lécithine de soja</t>
  </si>
  <si>
    <t>lecithine de soja</t>
  </si>
  <si>
    <t>R1420</t>
  </si>
  <si>
    <t>miso</t>
  </si>
  <si>
    <t>R1421</t>
  </si>
  <si>
    <t>natto</t>
  </si>
  <si>
    <t>R1422</t>
  </si>
  <si>
    <t>okara</t>
  </si>
  <si>
    <t>R1423</t>
  </si>
  <si>
    <t>protéine de soja</t>
  </si>
  <si>
    <t>proteine de soja</t>
  </si>
  <si>
    <t>R1424</t>
  </si>
  <si>
    <t>protéine végétale texturée</t>
  </si>
  <si>
    <t>proteine vegetale texturee</t>
  </si>
  <si>
    <t>R1425</t>
  </si>
  <si>
    <t>protéines de soja</t>
  </si>
  <si>
    <t>proteines de soja</t>
  </si>
  <si>
    <t>R1426</t>
  </si>
  <si>
    <t>PVT soja</t>
  </si>
  <si>
    <t>pvt soja</t>
  </si>
  <si>
    <t>R1427</t>
  </si>
  <si>
    <t>R1428</t>
  </si>
  <si>
    <t>R1429</t>
  </si>
  <si>
    <t>soja</t>
  </si>
  <si>
    <t>R1430</t>
  </si>
  <si>
    <t>soy</t>
  </si>
  <si>
    <t>R1431</t>
  </si>
  <si>
    <t>soy milk</t>
  </si>
  <si>
    <t>R1432</t>
  </si>
  <si>
    <t>soy sauce</t>
  </si>
  <si>
    <t>R1433</t>
  </si>
  <si>
    <t>soya</t>
  </si>
  <si>
    <t>R1434</t>
  </si>
  <si>
    <t>soya sauce</t>
  </si>
  <si>
    <t>R1435</t>
  </si>
  <si>
    <t>soybean</t>
  </si>
  <si>
    <t>R1436</t>
  </si>
  <si>
    <t>soybeans</t>
  </si>
  <si>
    <t>R1437</t>
  </si>
  <si>
    <t>tamari</t>
  </si>
  <si>
    <t>R1438</t>
  </si>
  <si>
    <t>tempeh</t>
  </si>
  <si>
    <t>R1439</t>
  </si>
  <si>
    <t>toffu</t>
  </si>
  <si>
    <t>R1440</t>
  </si>
  <si>
    <t>tofu</t>
  </si>
  <si>
    <t>R1441</t>
  </si>
  <si>
    <t>TVP soja</t>
  </si>
  <si>
    <t>tvp soja</t>
  </si>
  <si>
    <t>R1442</t>
  </si>
  <si>
    <t>yaourt soja</t>
  </si>
  <si>
    <t>R1443</t>
  </si>
  <si>
    <t>yuba</t>
  </si>
  <si>
    <t>R1444</t>
  </si>
  <si>
    <t>graisse de soja entièrement raffinée</t>
  </si>
  <si>
    <t>graisse de soja entierement raffinee</t>
  </si>
  <si>
    <t>Exception réglementaire.</t>
  </si>
  <si>
    <t>R1445</t>
  </si>
  <si>
    <t>huile de soja entièrement raffinée</t>
  </si>
  <si>
    <t>huile de soja entierement raffinee</t>
  </si>
  <si>
    <t>R1446</t>
  </si>
  <si>
    <t>charcuterie industrielle</t>
  </si>
  <si>
    <t>R1447</t>
  </si>
  <si>
    <t>R1448</t>
  </si>
  <si>
    <t>couverture</t>
  </si>
  <si>
    <t>R1449</t>
  </si>
  <si>
    <t>R1450</t>
  </si>
  <si>
    <t>lécithine</t>
  </si>
  <si>
    <t>lecithine</t>
  </si>
  <si>
    <t>R1451</t>
  </si>
  <si>
    <t>margarine</t>
  </si>
  <si>
    <t>R1452</t>
  </si>
  <si>
    <t>protéine végétale</t>
  </si>
  <si>
    <t>proteine vegetale</t>
  </si>
  <si>
    <t>R1453</t>
  </si>
  <si>
    <t>sauce asiatique</t>
  </si>
  <si>
    <t>R1454</t>
  </si>
  <si>
    <t>sauce hoisin</t>
  </si>
  <si>
    <t>R1455</t>
  </si>
  <si>
    <t>sauce teriyaki</t>
  </si>
  <si>
    <t>R1456</t>
  </si>
  <si>
    <t>sauce yakitori</t>
  </si>
  <si>
    <t>R1457</t>
  </si>
  <si>
    <t>abondance</t>
  </si>
  <si>
    <t>Cuisine, pâtisserie, glacier, bar, charcuterie, traiteur, fromager</t>
  </si>
  <si>
    <t>Terme laitier ou fromage contenant l’allergène lait.</t>
  </si>
  <si>
    <t>2026-07</t>
  </si>
  <si>
    <t>R1458</t>
  </si>
  <si>
    <t>akkawi</t>
  </si>
  <si>
    <t>R1459</t>
  </si>
  <si>
    <t>american cheese</t>
  </si>
  <si>
    <t>R1460</t>
  </si>
  <si>
    <t>appenzeller</t>
  </si>
  <si>
    <t>R1461</t>
  </si>
  <si>
    <t>asiago</t>
  </si>
  <si>
    <t>R1462</t>
  </si>
  <si>
    <t>assiette de fromages</t>
  </si>
  <si>
    <t>R1463</t>
  </si>
  <si>
    <t>babeurre</t>
  </si>
  <si>
    <t>Lait, protéine laitière ou produit laitier.</t>
  </si>
  <si>
    <t>R1464</t>
  </si>
  <si>
    <t>babybel</t>
  </si>
  <si>
    <t>R1465</t>
  </si>
  <si>
    <t>baileys</t>
  </si>
  <si>
    <t>R1466</t>
  </si>
  <si>
    <t>banon</t>
  </si>
  <si>
    <t>R1467</t>
  </si>
  <si>
    <t>beaufort</t>
  </si>
  <si>
    <t>R1468</t>
  </si>
  <si>
    <t>bel paese</t>
  </si>
  <si>
    <t>R1469</t>
  </si>
  <si>
    <t>beurre</t>
  </si>
  <si>
    <t>R1470</t>
  </si>
  <si>
    <t>beurre blanc</t>
  </si>
  <si>
    <t>R1471</t>
  </si>
  <si>
    <t>beurre clarifié</t>
  </si>
  <si>
    <t>beurre clarifie</t>
  </si>
  <si>
    <t>R1472</t>
  </si>
  <si>
    <t>beurre demi sel</t>
  </si>
  <si>
    <t>R1473</t>
  </si>
  <si>
    <t>beurre doux</t>
  </si>
  <si>
    <t>R1474</t>
  </si>
  <si>
    <t>beurre laitier</t>
  </si>
  <si>
    <t>R1475</t>
  </si>
  <si>
    <t>beurre maître d'hôtel</t>
  </si>
  <si>
    <t>beurre maitre d hotel</t>
  </si>
  <si>
    <t>R1476</t>
  </si>
  <si>
    <t>beurre noisette</t>
  </si>
  <si>
    <t>R1477</t>
  </si>
  <si>
    <t>beurre salé</t>
  </si>
  <si>
    <t>beurre sale</t>
  </si>
  <si>
    <t>R1478</t>
  </si>
  <si>
    <t>bleu</t>
  </si>
  <si>
    <t>R1479</t>
  </si>
  <si>
    <t>bleu d auvergne</t>
  </si>
  <si>
    <t>R1480</t>
  </si>
  <si>
    <t>bleu de gex</t>
  </si>
  <si>
    <t>R1481</t>
  </si>
  <si>
    <t>bleu des causses</t>
  </si>
  <si>
    <t>R1482</t>
  </si>
  <si>
    <t>bleu du vercors sassenage</t>
  </si>
  <si>
    <t>R1483</t>
  </si>
  <si>
    <t>boursin</t>
  </si>
  <si>
    <t>R1484</t>
  </si>
  <si>
    <t>brie</t>
  </si>
  <si>
    <t>R1485</t>
  </si>
  <si>
    <t>brie de meaux</t>
  </si>
  <si>
    <t>R1486</t>
  </si>
  <si>
    <t>brie de melun</t>
  </si>
  <si>
    <t>R1487</t>
  </si>
  <si>
    <t>brillat-savarin</t>
  </si>
  <si>
    <t>brillat savarin</t>
  </si>
  <si>
    <t>R1488</t>
  </si>
  <si>
    <t>brocciu</t>
  </si>
  <si>
    <t>R1489</t>
  </si>
  <si>
    <t>brousse</t>
  </si>
  <si>
    <t>R1490</t>
  </si>
  <si>
    <t>brown butter</t>
  </si>
  <si>
    <t>R1491</t>
  </si>
  <si>
    <t>bryndza</t>
  </si>
  <si>
    <t>R1492</t>
  </si>
  <si>
    <t>bûche de chèvre</t>
  </si>
  <si>
    <t>buche de chevre</t>
  </si>
  <si>
    <t>R1493</t>
  </si>
  <si>
    <t>burrata</t>
  </si>
  <si>
    <t>R1494</t>
  </si>
  <si>
    <t>butter</t>
  </si>
  <si>
    <t>R1495</t>
  </si>
  <si>
    <t>buttermilk</t>
  </si>
  <si>
    <t>R1496</t>
  </si>
  <si>
    <t>cabécou</t>
  </si>
  <si>
    <t>cabecou</t>
  </si>
  <si>
    <t>R1497</t>
  </si>
  <si>
    <t>cabrales</t>
  </si>
  <si>
    <t>R1498</t>
  </si>
  <si>
    <t>caciocavallo</t>
  </si>
  <si>
    <t>R1499</t>
  </si>
  <si>
    <t>caerphilly</t>
  </si>
  <si>
    <t>R1500</t>
  </si>
  <si>
    <t>café au lait</t>
  </si>
  <si>
    <t>cafe au lait</t>
  </si>
  <si>
    <t>R1501</t>
  </si>
  <si>
    <t>café latte</t>
  </si>
  <si>
    <t>cafe latte</t>
  </si>
  <si>
    <t>R1502</t>
  </si>
  <si>
    <t>camembert</t>
  </si>
  <si>
    <t>R1503</t>
  </si>
  <si>
    <t>camembert de normandie</t>
  </si>
  <si>
    <t>R1504</t>
  </si>
  <si>
    <t>cancoillotte</t>
  </si>
  <si>
    <t>R1505</t>
  </si>
  <si>
    <t>cantal</t>
  </si>
  <si>
    <t>R1506</t>
  </si>
  <si>
    <t>cappuccino au lait</t>
  </si>
  <si>
    <t>R1507</t>
  </si>
  <si>
    <t>caprice des dieux</t>
  </si>
  <si>
    <t>R1508</t>
  </si>
  <si>
    <t>caramel au beurre</t>
  </si>
  <si>
    <t>R1509</t>
  </si>
  <si>
    <t>caramel au beurre salé</t>
  </si>
  <si>
    <t>caramel au beurre sale</t>
  </si>
  <si>
    <t>R1510</t>
  </si>
  <si>
    <t>caramel beurre salé</t>
  </si>
  <si>
    <t>caramel beurre sale</t>
  </si>
  <si>
    <t>R1511</t>
  </si>
  <si>
    <t>carré frais</t>
  </si>
  <si>
    <t>carre frais</t>
  </si>
  <si>
    <t>R1512</t>
  </si>
  <si>
    <t>casein</t>
  </si>
  <si>
    <t>R1513</t>
  </si>
  <si>
    <t>caséinate</t>
  </si>
  <si>
    <t>caseinate</t>
  </si>
  <si>
    <t>R1514</t>
  </si>
  <si>
    <t>caséinate de calcium</t>
  </si>
  <si>
    <t>caseinate de calcium</t>
  </si>
  <si>
    <t>R1515</t>
  </si>
  <si>
    <t>caséinate de sodium</t>
  </si>
  <si>
    <t>caseinate de sodium</t>
  </si>
  <si>
    <t>R1516</t>
  </si>
  <si>
    <t>caséinates</t>
  </si>
  <si>
    <t>caseinates</t>
  </si>
  <si>
    <t>R1517</t>
  </si>
  <si>
    <t>caséine</t>
  </si>
  <si>
    <t>caseine</t>
  </si>
  <si>
    <t>R1518</t>
  </si>
  <si>
    <t>chabichou du poitou</t>
  </si>
  <si>
    <t>R1519</t>
  </si>
  <si>
    <t>chantilly</t>
  </si>
  <si>
    <t>R1520</t>
  </si>
  <si>
    <t>chaource</t>
  </si>
  <si>
    <t>R1521</t>
  </si>
  <si>
    <t>charolais</t>
  </si>
  <si>
    <t>R1522</t>
  </si>
  <si>
    <t>cheddar</t>
  </si>
  <si>
    <t>R1523</t>
  </si>
  <si>
    <t>cheese</t>
  </si>
  <si>
    <t>R1524</t>
  </si>
  <si>
    <t>cheshire</t>
  </si>
  <si>
    <t>R1525</t>
  </si>
  <si>
    <t>chèvre</t>
  </si>
  <si>
    <t>chevre</t>
  </si>
  <si>
    <t>R1526</t>
  </si>
  <si>
    <t>chèvre frais</t>
  </si>
  <si>
    <t>chevre frais</t>
  </si>
  <si>
    <t>R1527</t>
  </si>
  <si>
    <t>chhena</t>
  </si>
  <si>
    <t>R1528</t>
  </si>
  <si>
    <t>chocolat au lait</t>
  </si>
  <si>
    <t>R1529</t>
  </si>
  <si>
    <t>chocolat blanc</t>
  </si>
  <si>
    <t>R1530</t>
  </si>
  <si>
    <t>clotted cream</t>
  </si>
  <si>
    <t>R1531</t>
  </si>
  <si>
    <t>colby</t>
  </si>
  <si>
    <t>R1532</t>
  </si>
  <si>
    <t>comté</t>
  </si>
  <si>
    <t>comte</t>
  </si>
  <si>
    <t>R1533</t>
  </si>
  <si>
    <t>confiture de lait</t>
  </si>
  <si>
    <t>R1534</t>
  </si>
  <si>
    <t>cottage cheese</t>
  </si>
  <si>
    <t>R1535</t>
  </si>
  <si>
    <t>coulommiers</t>
  </si>
  <si>
    <t>R1536</t>
  </si>
  <si>
    <t>cream</t>
  </si>
  <si>
    <t>R1537</t>
  </si>
  <si>
    <t>cream cheese</t>
  </si>
  <si>
    <t>R1538</t>
  </si>
  <si>
    <t>cream liqueur</t>
  </si>
  <si>
    <t>R1539</t>
  </si>
  <si>
    <t>crème</t>
  </si>
  <si>
    <t>R1540</t>
  </si>
  <si>
    <t>crème aigre</t>
  </si>
  <si>
    <t>creme aigre</t>
  </si>
  <si>
    <t>R1541</t>
  </si>
  <si>
    <t>crème chantilly</t>
  </si>
  <si>
    <t>creme chantilly</t>
  </si>
  <si>
    <t>R1542</t>
  </si>
  <si>
    <t>crème de whisky</t>
  </si>
  <si>
    <t>creme de whisky</t>
  </si>
  <si>
    <t>R1543</t>
  </si>
  <si>
    <t>crème double</t>
  </si>
  <si>
    <t>creme double</t>
  </si>
  <si>
    <t>R1544</t>
  </si>
  <si>
    <t>crème entière</t>
  </si>
  <si>
    <t>creme entiere</t>
  </si>
  <si>
    <t>R1545</t>
  </si>
  <si>
    <t>crème épaisse</t>
  </si>
  <si>
    <t>creme epaisse</t>
  </si>
  <si>
    <t>R1546</t>
  </si>
  <si>
    <t>crème fleurette</t>
  </si>
  <si>
    <t>creme fleurette</t>
  </si>
  <si>
    <t>R1547</t>
  </si>
  <si>
    <t>crème fraîche</t>
  </si>
  <si>
    <t>creme fraiche</t>
  </si>
  <si>
    <t>R1548</t>
  </si>
  <si>
    <t>R1549</t>
  </si>
  <si>
    <t>crème liquide</t>
  </si>
  <si>
    <t>creme liquide</t>
  </si>
  <si>
    <t>R1550</t>
  </si>
  <si>
    <t>crescenza</t>
  </si>
  <si>
    <t>R1551</t>
  </si>
  <si>
    <t>crottin</t>
  </si>
  <si>
    <t>R1552</t>
  </si>
  <si>
    <t>crottin de chavignol</t>
  </si>
  <si>
    <t>R1553</t>
  </si>
  <si>
    <t>double cream</t>
  </si>
  <si>
    <t>R1554</t>
  </si>
  <si>
    <t>double gloucester</t>
  </si>
  <si>
    <t>R1555</t>
  </si>
  <si>
    <t>dulce de leche</t>
  </si>
  <si>
    <t>R1556</t>
  </si>
  <si>
    <t>edam</t>
  </si>
  <si>
    <t>R1557</t>
  </si>
  <si>
    <t>emmental</t>
  </si>
  <si>
    <t>R1558</t>
  </si>
  <si>
    <t>emmental râpé</t>
  </si>
  <si>
    <t>emmental rape</t>
  </si>
  <si>
    <t>R1559</t>
  </si>
  <si>
    <t>emmenthal</t>
  </si>
  <si>
    <t>R1560</t>
  </si>
  <si>
    <t>emmenthal râpé</t>
  </si>
  <si>
    <t>emmenthal rape</t>
  </si>
  <si>
    <t>R1561</t>
  </si>
  <si>
    <t>époisses</t>
  </si>
  <si>
    <t>epoisses</t>
  </si>
  <si>
    <t>R1562</t>
  </si>
  <si>
    <t>extrait sec laitier</t>
  </si>
  <si>
    <t>R1563</t>
  </si>
  <si>
    <t>faisselle</t>
  </si>
  <si>
    <t>R1564</t>
  </si>
  <si>
    <t>feta</t>
  </si>
  <si>
    <t>R1565</t>
  </si>
  <si>
    <t>flat white</t>
  </si>
  <si>
    <t>R1566</t>
  </si>
  <si>
    <t>fontina</t>
  </si>
  <si>
    <t>R1567</t>
  </si>
  <si>
    <t>fourme</t>
  </si>
  <si>
    <t>R1568</t>
  </si>
  <si>
    <t>fourme d'ambert</t>
  </si>
  <si>
    <t>fourme d ambert</t>
  </si>
  <si>
    <t>R1569</t>
  </si>
  <si>
    <t>fourme de montbrison</t>
  </si>
  <si>
    <t>R1570</t>
  </si>
  <si>
    <t>R1571</t>
  </si>
  <si>
    <t>fromage à tartiner</t>
  </si>
  <si>
    <t>fromage a tartiner</t>
  </si>
  <si>
    <t>R1572</t>
  </si>
  <si>
    <t>fromage battu</t>
  </si>
  <si>
    <t>R1573</t>
  </si>
  <si>
    <t>R1574</t>
  </si>
  <si>
    <t>fromage de brebis</t>
  </si>
  <si>
    <t>R1575</t>
  </si>
  <si>
    <t>fromage de chèvre</t>
  </si>
  <si>
    <t>fromage de chevre</t>
  </si>
  <si>
    <t>R1576</t>
  </si>
  <si>
    <t>fromage de vache</t>
  </si>
  <si>
    <t>R1577</t>
  </si>
  <si>
    <t>fromage fondu</t>
  </si>
  <si>
    <t>R1578</t>
  </si>
  <si>
    <t>fromage frais</t>
  </si>
  <si>
    <t>R1579</t>
  </si>
  <si>
    <t>fromage râpé</t>
  </si>
  <si>
    <t>fromage rape</t>
  </si>
  <si>
    <t>R1580</t>
  </si>
  <si>
    <t>fromages</t>
  </si>
  <si>
    <t>R1581</t>
  </si>
  <si>
    <t>frozen yogurt</t>
  </si>
  <si>
    <t>R1582</t>
  </si>
  <si>
    <t>ganache</t>
  </si>
  <si>
    <t>R1583</t>
  </si>
  <si>
    <t>gaperon</t>
  </si>
  <si>
    <t>R1584</t>
  </si>
  <si>
    <t>gelato</t>
  </si>
  <si>
    <t>R1585</t>
  </si>
  <si>
    <t>ghee</t>
  </si>
  <si>
    <t>R1586</t>
  </si>
  <si>
    <t>glace au lait</t>
  </si>
  <si>
    <t>R1587</t>
  </si>
  <si>
    <t>gorgonzola</t>
  </si>
  <si>
    <t>R1588</t>
  </si>
  <si>
    <t>gouda</t>
  </si>
  <si>
    <t>R1589</t>
  </si>
  <si>
    <t>grana padano</t>
  </si>
  <si>
    <t>R1590</t>
  </si>
  <si>
    <t>graviera</t>
  </si>
  <si>
    <t>R1591</t>
  </si>
  <si>
    <t>gruyère</t>
  </si>
  <si>
    <t>gruyere</t>
  </si>
  <si>
    <t>R1592</t>
  </si>
  <si>
    <t>gruyère râpé</t>
  </si>
  <si>
    <t>gruyere rape</t>
  </si>
  <si>
    <t>R1593</t>
  </si>
  <si>
    <t>halloumi</t>
  </si>
  <si>
    <t>R1594</t>
  </si>
  <si>
    <t>heavy cream</t>
  </si>
  <si>
    <t>R1595</t>
  </si>
  <si>
    <t>ice cream</t>
  </si>
  <si>
    <t>R1596</t>
  </si>
  <si>
    <t>idiazabal</t>
  </si>
  <si>
    <t>R1597</t>
  </si>
  <si>
    <t>irish cream</t>
  </si>
  <si>
    <t>R1598</t>
  </si>
  <si>
    <t>kashkaval</t>
  </si>
  <si>
    <t>R1599</t>
  </si>
  <si>
    <t>kasseri</t>
  </si>
  <si>
    <t>R1600</t>
  </si>
  <si>
    <t>kefalotyri</t>
  </si>
  <si>
    <t>R1601</t>
  </si>
  <si>
    <t>kéfir</t>
  </si>
  <si>
    <t>kefir</t>
  </si>
  <si>
    <t>R1602</t>
  </si>
  <si>
    <t>kiri</t>
  </si>
  <si>
    <t>R1603</t>
  </si>
  <si>
    <t>la vache qui rit</t>
  </si>
  <si>
    <t>R1604</t>
  </si>
  <si>
    <t>labneh</t>
  </si>
  <si>
    <t>R1605</t>
  </si>
  <si>
    <t>lactalbumine</t>
  </si>
  <si>
    <t>R1606</t>
  </si>
  <si>
    <t>lactoglobuline</t>
  </si>
  <si>
    <t>R1607</t>
  </si>
  <si>
    <t>lactose</t>
  </si>
  <si>
    <t>R1608</t>
  </si>
  <si>
    <t>lactose monohydraté</t>
  </si>
  <si>
    <t>lactose monohydrate</t>
  </si>
  <si>
    <t>R1609</t>
  </si>
  <si>
    <t>lactosérum</t>
  </si>
  <si>
    <t>lactoserum</t>
  </si>
  <si>
    <t>R1610</t>
  </si>
  <si>
    <t>laguiole</t>
  </si>
  <si>
    <t>R1611</t>
  </si>
  <si>
    <t>lait</t>
  </si>
  <si>
    <t>R1612</t>
  </si>
  <si>
    <t>lait concentré</t>
  </si>
  <si>
    <t>lait concentre</t>
  </si>
  <si>
    <t>R1613</t>
  </si>
  <si>
    <t>lait concentré sucré</t>
  </si>
  <si>
    <t>lait concentre sucre</t>
  </si>
  <si>
    <t>R1614</t>
  </si>
  <si>
    <t>lait cru</t>
  </si>
  <si>
    <t>R1615</t>
  </si>
  <si>
    <t>lait de brebis</t>
  </si>
  <si>
    <t>R1616</t>
  </si>
  <si>
    <t>lait de bufflonne</t>
  </si>
  <si>
    <t>R1617</t>
  </si>
  <si>
    <t>lait de chèvre</t>
  </si>
  <si>
    <t>lait de chevre</t>
  </si>
  <si>
    <t>R1618</t>
  </si>
  <si>
    <t>lait de vache</t>
  </si>
  <si>
    <t>R1619</t>
  </si>
  <si>
    <t>lait demi écrémé</t>
  </si>
  <si>
    <t>lait demi ecreme</t>
  </si>
  <si>
    <t>R1620</t>
  </si>
  <si>
    <t>lait écrémé</t>
  </si>
  <si>
    <t>lait ecreme</t>
  </si>
  <si>
    <t>R1621</t>
  </si>
  <si>
    <t>lait en poudre</t>
  </si>
  <si>
    <t>R1622</t>
  </si>
  <si>
    <t>lait entier</t>
  </si>
  <si>
    <t>R1623</t>
  </si>
  <si>
    <t>lait évaporé</t>
  </si>
  <si>
    <t>lait evapore</t>
  </si>
  <si>
    <t>R1624</t>
  </si>
  <si>
    <t>lait fermenté</t>
  </si>
  <si>
    <t>lait fermente</t>
  </si>
  <si>
    <t>R1625</t>
  </si>
  <si>
    <t>lait frappé</t>
  </si>
  <si>
    <t>lait frappe</t>
  </si>
  <si>
    <t>R1626</t>
  </si>
  <si>
    <t>lait microfiltré</t>
  </si>
  <si>
    <t>lait microfiltre</t>
  </si>
  <si>
    <t>R1627</t>
  </si>
  <si>
    <t>lait pasteurisé</t>
  </si>
  <si>
    <t>lait pasteurise</t>
  </si>
  <si>
    <t>R1628</t>
  </si>
  <si>
    <t>lait ribot</t>
  </si>
  <si>
    <t>R1629</t>
  </si>
  <si>
    <t>lait UHT</t>
  </si>
  <si>
    <t>lait uht</t>
  </si>
  <si>
    <t>R1630</t>
  </si>
  <si>
    <t>langres</t>
  </si>
  <si>
    <t>R1631</t>
  </si>
  <si>
    <t>latte macchiato</t>
  </si>
  <si>
    <t>R1632</t>
  </si>
  <si>
    <t>lben</t>
  </si>
  <si>
    <t>R1633</t>
  </si>
  <si>
    <t>leben</t>
  </si>
  <si>
    <t>R1634</t>
  </si>
  <si>
    <t>livarot</t>
  </si>
  <si>
    <t>R1635</t>
  </si>
  <si>
    <t>maasdam</t>
  </si>
  <si>
    <t>R1636</t>
  </si>
  <si>
    <t>mahón</t>
  </si>
  <si>
    <t>mahon</t>
  </si>
  <si>
    <t>R1637</t>
  </si>
  <si>
    <t>manchego</t>
  </si>
  <si>
    <t>R1638</t>
  </si>
  <si>
    <t>manouri</t>
  </si>
  <si>
    <t>R1639</t>
  </si>
  <si>
    <t>maroilles</t>
  </si>
  <si>
    <t>R1640</t>
  </si>
  <si>
    <t>mascarpone</t>
  </si>
  <si>
    <t>R1641</t>
  </si>
  <si>
    <t>matière grasse laitière</t>
  </si>
  <si>
    <t>matiere grasse laitiere</t>
  </si>
  <si>
    <t>R1642</t>
  </si>
  <si>
    <t>milk</t>
  </si>
  <si>
    <t>R1643</t>
  </si>
  <si>
    <t>milkshake</t>
  </si>
  <si>
    <t>R1644</t>
  </si>
  <si>
    <t>mimolette</t>
  </si>
  <si>
    <t>R1645</t>
  </si>
  <si>
    <t>mont d'or</t>
  </si>
  <si>
    <t>mont d or</t>
  </si>
  <si>
    <t>R1646</t>
  </si>
  <si>
    <t>monterey jack</t>
  </si>
  <si>
    <t>R1647</t>
  </si>
  <si>
    <t>morbier</t>
  </si>
  <si>
    <t>R1648</t>
  </si>
  <si>
    <t>mozzarella</t>
  </si>
  <si>
    <t>R1649</t>
  </si>
  <si>
    <t>mozzarella di bufala</t>
  </si>
  <si>
    <t>R1650</t>
  </si>
  <si>
    <t>munster</t>
  </si>
  <si>
    <t>R1651</t>
  </si>
  <si>
    <t>nabulsi</t>
  </si>
  <si>
    <t>R1652</t>
  </si>
  <si>
    <t>neufchâtel</t>
  </si>
  <si>
    <t>neufchatel</t>
  </si>
  <si>
    <t>R1653</t>
  </si>
  <si>
    <t>ossau-iraty</t>
  </si>
  <si>
    <t>ossau iraty</t>
  </si>
  <si>
    <t>R1654</t>
  </si>
  <si>
    <t>paneer</t>
  </si>
  <si>
    <t>R1655</t>
  </si>
  <si>
    <t>parmesan</t>
  </si>
  <si>
    <t>R1656</t>
  </si>
  <si>
    <t>parmesan râpé</t>
  </si>
  <si>
    <t>parmesan rape</t>
  </si>
  <si>
    <t>R1657</t>
  </si>
  <si>
    <t>parmigiano</t>
  </si>
  <si>
    <t>R1658</t>
  </si>
  <si>
    <t>parmigiano reggiano</t>
  </si>
  <si>
    <t>R1659</t>
  </si>
  <si>
    <t>pâte molle</t>
  </si>
  <si>
    <t>pate molle</t>
  </si>
  <si>
    <t>R1660</t>
  </si>
  <si>
    <t>pâte persillée</t>
  </si>
  <si>
    <t>pate persillee</t>
  </si>
  <si>
    <t>R1661</t>
  </si>
  <si>
    <t>pâte pressée</t>
  </si>
  <si>
    <t>pate pressee</t>
  </si>
  <si>
    <t>R1662</t>
  </si>
  <si>
    <t>pecorino</t>
  </si>
  <si>
    <t>R1663</t>
  </si>
  <si>
    <t>pecorino romano</t>
  </si>
  <si>
    <t>R1664</t>
  </si>
  <si>
    <t>pélardon</t>
  </si>
  <si>
    <t>pelardon</t>
  </si>
  <si>
    <t>R1665</t>
  </si>
  <si>
    <t>pepper jack</t>
  </si>
  <si>
    <t>R1666</t>
  </si>
  <si>
    <t>perméat de lait</t>
  </si>
  <si>
    <t>permeat de lait</t>
  </si>
  <si>
    <t>R1667</t>
  </si>
  <si>
    <t>petit lait</t>
  </si>
  <si>
    <t>R1668</t>
  </si>
  <si>
    <t>petit suisse</t>
  </si>
  <si>
    <t>R1669</t>
  </si>
  <si>
    <t>philadelphia</t>
  </si>
  <si>
    <t>R1670</t>
  </si>
  <si>
    <t>picodon</t>
  </si>
  <si>
    <t>R1671</t>
  </si>
  <si>
    <t>plateau de fromages</t>
  </si>
  <si>
    <t>R1672</t>
  </si>
  <si>
    <t>pont l évêque</t>
  </si>
  <si>
    <t>pont l eveque</t>
  </si>
  <si>
    <t>R1673</t>
  </si>
  <si>
    <t>port-salut</t>
  </si>
  <si>
    <t>port salut</t>
  </si>
  <si>
    <t>R1674</t>
  </si>
  <si>
    <t>poudre de lactosérum</t>
  </si>
  <si>
    <t>poudre de lactoserum</t>
  </si>
  <si>
    <t>R1675</t>
  </si>
  <si>
    <t>poudre de lait</t>
  </si>
  <si>
    <t>R1676</t>
  </si>
  <si>
    <t>poudre de lait écrémé</t>
  </si>
  <si>
    <t>poudre de lait ecreme</t>
  </si>
  <si>
    <t>R1677</t>
  </si>
  <si>
    <t>protéine de lait</t>
  </si>
  <si>
    <t>proteine de lait</t>
  </si>
  <si>
    <t>R1678</t>
  </si>
  <si>
    <t>protéine laitière</t>
  </si>
  <si>
    <t>proteine laitiere</t>
  </si>
  <si>
    <t>R1679</t>
  </si>
  <si>
    <t>protéines de lactosérum</t>
  </si>
  <si>
    <t>proteines de lactoserum</t>
  </si>
  <si>
    <t>R1680</t>
  </si>
  <si>
    <t>protéines de lait</t>
  </si>
  <si>
    <t>proteines de lait</t>
  </si>
  <si>
    <t>R1681</t>
  </si>
  <si>
    <t>provolone</t>
  </si>
  <si>
    <t>R1682</t>
  </si>
  <si>
    <t>quark</t>
  </si>
  <si>
    <t>R1683</t>
  </si>
  <si>
    <t>queso blanco</t>
  </si>
  <si>
    <t>R1684</t>
  </si>
  <si>
    <t>queso fresco</t>
  </si>
  <si>
    <t>R1685</t>
  </si>
  <si>
    <t>raclette</t>
  </si>
  <si>
    <t>R1686</t>
  </si>
  <si>
    <t>reblochon</t>
  </si>
  <si>
    <t>R1687</t>
  </si>
  <si>
    <t>red leicester</t>
  </si>
  <si>
    <t>R1688</t>
  </si>
  <si>
    <t>ricotta</t>
  </si>
  <si>
    <t>R1689</t>
  </si>
  <si>
    <t>rigotte de condrieu</t>
  </si>
  <si>
    <t>R1690</t>
  </si>
  <si>
    <t>rocamadour</t>
  </si>
  <si>
    <t>R1691</t>
  </si>
  <si>
    <t>roquefort</t>
  </si>
  <si>
    <t>R1692</t>
  </si>
  <si>
    <t>saint-félicien</t>
  </si>
  <si>
    <t>saint felicien</t>
  </si>
  <si>
    <t>R1693</t>
  </si>
  <si>
    <t>saint-marcellin</t>
  </si>
  <si>
    <t>saint marcellin</t>
  </si>
  <si>
    <t>R1694</t>
  </si>
  <si>
    <t>saint môret</t>
  </si>
  <si>
    <t>saint moret</t>
  </si>
  <si>
    <t>R1695</t>
  </si>
  <si>
    <t>saint nectaire</t>
  </si>
  <si>
    <t>R1696</t>
  </si>
  <si>
    <t>sainte-maure de touraine</t>
  </si>
  <si>
    <t>sainte maure de touraine</t>
  </si>
  <si>
    <t>R1697</t>
  </si>
  <si>
    <t>salers</t>
  </si>
  <si>
    <t>R1698</t>
  </si>
  <si>
    <t>sauce à la crème</t>
  </si>
  <si>
    <t>sauce a la creme</t>
  </si>
  <si>
    <t>R1699</t>
  </si>
  <si>
    <t>sauce au beurre</t>
  </si>
  <si>
    <t>R1700</t>
  </si>
  <si>
    <t>sauce au fromage</t>
  </si>
  <si>
    <t>R1701</t>
  </si>
  <si>
    <t>sauce fromagère</t>
  </si>
  <si>
    <t>sauce fromagere</t>
  </si>
  <si>
    <t>R1702</t>
  </si>
  <si>
    <t>sbrinz</t>
  </si>
  <si>
    <t>R1703</t>
  </si>
  <si>
    <t>scamorza</t>
  </si>
  <si>
    <t>R1704</t>
  </si>
  <si>
    <t>sélection de fromages</t>
  </si>
  <si>
    <t>selection de fromages</t>
  </si>
  <si>
    <t>R1705</t>
  </si>
  <si>
    <t>selles-sur-cher</t>
  </si>
  <si>
    <t>selles sur cher</t>
  </si>
  <si>
    <t>R1706</t>
  </si>
  <si>
    <t>serra da estrela</t>
  </si>
  <si>
    <t>R1707</t>
  </si>
  <si>
    <t>skyr</t>
  </si>
  <si>
    <t>R1708</t>
  </si>
  <si>
    <t>smoothie lacté</t>
  </si>
  <si>
    <t>smoothie lacte</t>
  </si>
  <si>
    <t>R1709</t>
  </si>
  <si>
    <t>solides du lait</t>
  </si>
  <si>
    <t>R1710</t>
  </si>
  <si>
    <t>soumaintrain</t>
  </si>
  <si>
    <t>R1711</t>
  </si>
  <si>
    <t>sour cream</t>
  </si>
  <si>
    <t>R1712</t>
  </si>
  <si>
    <t>stilton</t>
  </si>
  <si>
    <t>R1713</t>
  </si>
  <si>
    <t>stracchino</t>
  </si>
  <si>
    <t>R1714</t>
  </si>
  <si>
    <t>stracciatella</t>
  </si>
  <si>
    <t>R1715</t>
  </si>
  <si>
    <t>sulguni</t>
  </si>
  <si>
    <t>R1716</t>
  </si>
  <si>
    <t>taleggio</t>
  </si>
  <si>
    <t>R1717</t>
  </si>
  <si>
    <t>tartare fromage</t>
  </si>
  <si>
    <t>R1718</t>
  </si>
  <si>
    <t>tête de moine</t>
  </si>
  <si>
    <t>tete de moine</t>
  </si>
  <si>
    <t>R1719</t>
  </si>
  <si>
    <t>tetilla</t>
  </si>
  <si>
    <t>R1720</t>
  </si>
  <si>
    <t>tome</t>
  </si>
  <si>
    <t>R1721</t>
  </si>
  <si>
    <t>tome des bauges</t>
  </si>
  <si>
    <t>R1722</t>
  </si>
  <si>
    <t>tomme</t>
  </si>
  <si>
    <t>R1723</t>
  </si>
  <si>
    <t>tomme de savoie</t>
  </si>
  <si>
    <t>R1724</t>
  </si>
  <si>
    <t>vache qui rit</t>
  </si>
  <si>
    <t>R1725</t>
  </si>
  <si>
    <t>vacherin fribourgeois</t>
  </si>
  <si>
    <t>R1726</t>
  </si>
  <si>
    <t>vacherin mont d'or</t>
  </si>
  <si>
    <t>vacherin mont d or</t>
  </si>
  <si>
    <t>R1727</t>
  </si>
  <si>
    <t>valençay</t>
  </si>
  <si>
    <t>valencay</t>
  </si>
  <si>
    <t>R1728</t>
  </si>
  <si>
    <t>vieux pané</t>
  </si>
  <si>
    <t>vieux pane</t>
  </si>
  <si>
    <t>R1729</t>
  </si>
  <si>
    <t>wensleydale</t>
  </si>
  <si>
    <t>R1730</t>
  </si>
  <si>
    <t>whey</t>
  </si>
  <si>
    <t>R1731</t>
  </si>
  <si>
    <t>whey protein</t>
  </si>
  <si>
    <t>R1732</t>
  </si>
  <si>
    <t>whipping cream</t>
  </si>
  <si>
    <t>R1733</t>
  </si>
  <si>
    <t>R1734</t>
  </si>
  <si>
    <t>yaourt glacé</t>
  </si>
  <si>
    <t>yaourt glace</t>
  </si>
  <si>
    <t>R1735</t>
  </si>
  <si>
    <t>yaourt grec</t>
  </si>
  <si>
    <t>R1736</t>
  </si>
  <si>
    <t>yoghourt</t>
  </si>
  <si>
    <t>R1737</t>
  </si>
  <si>
    <t>yoghurt</t>
  </si>
  <si>
    <t>R1738</t>
  </si>
  <si>
    <t>yogourt</t>
  </si>
  <si>
    <t>R1739</t>
  </si>
  <si>
    <t>yogourt grec</t>
  </si>
  <si>
    <t>R1740</t>
  </si>
  <si>
    <t>yogurt</t>
  </si>
  <si>
    <t>R1741</t>
  </si>
  <si>
    <t>almond butter</t>
  </si>
  <si>
    <t>R1742</t>
  </si>
  <si>
    <t>almond milk</t>
  </si>
  <si>
    <t>R1743</t>
  </si>
  <si>
    <t>alternative végétale au fromage</t>
  </si>
  <si>
    <t>alternative vegetale au fromage</t>
  </si>
  <si>
    <t>Expression végétale ou non laitière neutralisant un faux positif.</t>
  </si>
  <si>
    <t>R1744</t>
  </si>
  <si>
    <t>beurre d amande</t>
  </si>
  <si>
    <t>Évite un faux positif.</t>
  </si>
  <si>
    <t>R1745</t>
  </si>
  <si>
    <t>R1746</t>
  </si>
  <si>
    <t>R1747</t>
  </si>
  <si>
    <t>beurre de cacao</t>
  </si>
  <si>
    <t>R1748</t>
  </si>
  <si>
    <t>beurre de cajou</t>
  </si>
  <si>
    <t>R1749</t>
  </si>
  <si>
    <t>beurre de coco</t>
  </si>
  <si>
    <t>R1750</t>
  </si>
  <si>
    <t>beurre de karité</t>
  </si>
  <si>
    <t>beurre de karite</t>
  </si>
  <si>
    <t>R1751</t>
  </si>
  <si>
    <t>beurre de noisette</t>
  </si>
  <si>
    <t>R1752</t>
  </si>
  <si>
    <t>boisson végétale</t>
  </si>
  <si>
    <t>boisson vegetale</t>
  </si>
  <si>
    <t>R1753</t>
  </si>
  <si>
    <t>cashew butter</t>
  </si>
  <si>
    <t>R1754</t>
  </si>
  <si>
    <t>cashew milk</t>
  </si>
  <si>
    <t>R1755</t>
  </si>
  <si>
    <t>cheddar vegan</t>
  </si>
  <si>
    <t>R1756</t>
  </si>
  <si>
    <t>cocoa butter</t>
  </si>
  <si>
    <t>R1757</t>
  </si>
  <si>
    <t>coconut cream</t>
  </si>
  <si>
    <t>R1758</t>
  </si>
  <si>
    <t>coconut milk</t>
  </si>
  <si>
    <t>R1759</t>
  </si>
  <si>
    <t>crème d'amande</t>
  </si>
  <si>
    <t>creme d amande</t>
  </si>
  <si>
    <t>R1760</t>
  </si>
  <si>
    <t>crème d'avoine</t>
  </si>
  <si>
    <t>creme d avoine</t>
  </si>
  <si>
    <t>R1761</t>
  </si>
  <si>
    <t>crème de cacao</t>
  </si>
  <si>
    <t>creme de cacao</t>
  </si>
  <si>
    <t>R1762</t>
  </si>
  <si>
    <t>crème de cajou</t>
  </si>
  <si>
    <t>creme de cajou</t>
  </si>
  <si>
    <t>R1763</t>
  </si>
  <si>
    <t>crème de cassis</t>
  </si>
  <si>
    <t>creme de cassis</t>
  </si>
  <si>
    <t>R1764</t>
  </si>
  <si>
    <t>crème de coco</t>
  </si>
  <si>
    <t>creme de coco</t>
  </si>
  <si>
    <t>R1765</t>
  </si>
  <si>
    <t>crème de marrons</t>
  </si>
  <si>
    <t>creme de marrons</t>
  </si>
  <si>
    <t>R1766</t>
  </si>
  <si>
    <t>crème de menthe</t>
  </si>
  <si>
    <t>creme de menthe</t>
  </si>
  <si>
    <t>R1767</t>
  </si>
  <si>
    <t>crème de riz</t>
  </si>
  <si>
    <t>creme de riz</t>
  </si>
  <si>
    <t>R1768</t>
  </si>
  <si>
    <t>Cuisine/Glacier/Bar</t>
  </si>
  <si>
    <t>Boisson ou crème végétale : ne doit pas déclencher l’allergène lait.</t>
  </si>
  <si>
    <t>R1769</t>
  </si>
  <si>
    <t>crème végétale</t>
  </si>
  <si>
    <t>creme vegetale</t>
  </si>
  <si>
    <t>R1770</t>
  </si>
  <si>
    <t>fauxmage</t>
  </si>
  <si>
    <t>R1771</t>
  </si>
  <si>
    <t>fromage de tête</t>
  </si>
  <si>
    <t>fromage de tete</t>
  </si>
  <si>
    <t>R1772</t>
  </si>
  <si>
    <t>fromage vegan</t>
  </si>
  <si>
    <t>R1773</t>
  </si>
  <si>
    <t>fromage végétal</t>
  </si>
  <si>
    <t>fromage vegetal</t>
  </si>
  <si>
    <t>R1774</t>
  </si>
  <si>
    <t>lait d amande</t>
  </si>
  <si>
    <t>R1775</t>
  </si>
  <si>
    <t>lait d avoine</t>
  </si>
  <si>
    <t>R1776</t>
  </si>
  <si>
    <t>lait de cajou</t>
  </si>
  <si>
    <t>R1777</t>
  </si>
  <si>
    <t>lait de chanvre</t>
  </si>
  <si>
    <t>R1778</t>
  </si>
  <si>
    <t>lait de coco</t>
  </si>
  <si>
    <t>R1779</t>
  </si>
  <si>
    <t>lait de noisette</t>
  </si>
  <si>
    <t>R1780</t>
  </si>
  <si>
    <t>lait de quinoa</t>
  </si>
  <si>
    <t>R1781</t>
  </si>
  <si>
    <t>lait de riz</t>
  </si>
  <si>
    <t>R1782</t>
  </si>
  <si>
    <t>R1783</t>
  </si>
  <si>
    <t>lait végétal</t>
  </si>
  <si>
    <t>lait vegetal</t>
  </si>
  <si>
    <t>R1784</t>
  </si>
  <si>
    <t>mozzarella végétale</t>
  </si>
  <si>
    <t>mozzarella vegetale</t>
  </si>
  <si>
    <t>R1785</t>
  </si>
  <si>
    <t>oat milk</t>
  </si>
  <si>
    <t>R1786</t>
  </si>
  <si>
    <t>parmesan vegan</t>
  </si>
  <si>
    <t>R1787</t>
  </si>
  <si>
    <t>parmesan végétal</t>
  </si>
  <si>
    <t>parmesan vegetal</t>
  </si>
  <si>
    <t>R1788</t>
  </si>
  <si>
    <t>R1789</t>
  </si>
  <si>
    <t>rice milk</t>
  </si>
  <si>
    <t>R1790</t>
  </si>
  <si>
    <t>R1791</t>
  </si>
  <si>
    <t>alfredo</t>
  </si>
  <si>
    <t>Produit composé généralement laitier : contrôler recette et fiche fournisseur.</t>
  </si>
  <si>
    <t>R1792</t>
  </si>
  <si>
    <t>aligot</t>
  </si>
  <si>
    <t>R1793</t>
  </si>
  <si>
    <t>R1794</t>
  </si>
  <si>
    <t>bavarois</t>
  </si>
  <si>
    <t>R1795</t>
  </si>
  <si>
    <t>béchamel</t>
  </si>
  <si>
    <t>R1796</t>
  </si>
  <si>
    <t>R1797</t>
  </si>
  <si>
    <t>R1798</t>
  </si>
  <si>
    <t>R1799</t>
  </si>
  <si>
    <t>R1800</t>
  </si>
  <si>
    <t>R1801</t>
  </si>
  <si>
    <t>R1802</t>
  </si>
  <si>
    <t>cheesecake</t>
  </si>
  <si>
    <t>R1803</t>
  </si>
  <si>
    <t>chocolat chaud</t>
  </si>
  <si>
    <t>R1804</t>
  </si>
  <si>
    <t>clafoutis</t>
  </si>
  <si>
    <t>R1805</t>
  </si>
  <si>
    <t>cocktail crémeux</t>
  </si>
  <si>
    <t>cocktail cremeux</t>
  </si>
  <si>
    <t>R1806</t>
  </si>
  <si>
    <t>R1807</t>
  </si>
  <si>
    <t>R1808</t>
  </si>
  <si>
    <t>R1809</t>
  </si>
  <si>
    <t>R1810</t>
  </si>
  <si>
    <t>R1811</t>
  </si>
  <si>
    <t>crème dessert</t>
  </si>
  <si>
    <t>R1812</t>
  </si>
  <si>
    <t>crème diplomate</t>
  </si>
  <si>
    <t>creme diplomate</t>
  </si>
  <si>
    <t>R1813</t>
  </si>
  <si>
    <t>crème mousseline</t>
  </si>
  <si>
    <t>creme mousseline</t>
  </si>
  <si>
    <t>R1814</t>
  </si>
  <si>
    <t>R1815</t>
  </si>
  <si>
    <t>R1816</t>
  </si>
  <si>
    <t>croque-monsieur</t>
  </si>
  <si>
    <t>croque monsieur</t>
  </si>
  <si>
    <t>R1817</t>
  </si>
  <si>
    <t>croziflette</t>
  </si>
  <si>
    <t>R1818</t>
  </si>
  <si>
    <t>entremets</t>
  </si>
  <si>
    <t>R1819</t>
  </si>
  <si>
    <t>espresso martini crémeux</t>
  </si>
  <si>
    <t>espresso martini cremeux</t>
  </si>
  <si>
    <t>R1820</t>
  </si>
  <si>
    <t>far breton</t>
  </si>
  <si>
    <t>R1821</t>
  </si>
  <si>
    <t>R1822</t>
  </si>
  <si>
    <t>flan pâtissier</t>
  </si>
  <si>
    <t>flan patissier</t>
  </si>
  <si>
    <t>R1823</t>
  </si>
  <si>
    <t>fondue au fromage</t>
  </si>
  <si>
    <t>R1824</t>
  </si>
  <si>
    <t>fondue savoyarde</t>
  </si>
  <si>
    <t>R1825</t>
  </si>
  <si>
    <t>R1826</t>
  </si>
  <si>
    <t>R1827</t>
  </si>
  <si>
    <t>glace artisanale</t>
  </si>
  <si>
    <t>R1828</t>
  </si>
  <si>
    <t>glace italienne</t>
  </si>
  <si>
    <t>R1829</t>
  </si>
  <si>
    <t>R1830</t>
  </si>
  <si>
    <t>gratin dauphinois</t>
  </si>
  <si>
    <t>R1831</t>
  </si>
  <si>
    <t>gratin de pommes de terre</t>
  </si>
  <si>
    <t>R1832</t>
  </si>
  <si>
    <t>irish coffee</t>
  </si>
  <si>
    <t>R1833</t>
  </si>
  <si>
    <t>liqueur à la crème</t>
  </si>
  <si>
    <t>liqueur a la creme</t>
  </si>
  <si>
    <t>R1834</t>
  </si>
  <si>
    <t>R1835</t>
  </si>
  <si>
    <t>R1836</t>
  </si>
  <si>
    <t>mousse au chocolat</t>
  </si>
  <si>
    <t>R1837</t>
  </si>
  <si>
    <t>mousseline de poisson</t>
  </si>
  <si>
    <t>R1838</t>
  </si>
  <si>
    <t>pain au lait</t>
  </si>
  <si>
    <t>R1839</t>
  </si>
  <si>
    <t>panna cotta</t>
  </si>
  <si>
    <t>R1840</t>
  </si>
  <si>
    <t>pâté en croûte</t>
  </si>
  <si>
    <t>pate en croute</t>
  </si>
  <si>
    <t>R1841</t>
  </si>
  <si>
    <t>pesto</t>
  </si>
  <si>
    <t>R1842</t>
  </si>
  <si>
    <t>piña colada</t>
  </si>
  <si>
    <t>pina colada</t>
  </si>
  <si>
    <t>R1843</t>
  </si>
  <si>
    <t>pommes dauphine</t>
  </si>
  <si>
    <t>R1844</t>
  </si>
  <si>
    <t>pommes duchesse</t>
  </si>
  <si>
    <t>R1845</t>
  </si>
  <si>
    <t>R1846</t>
  </si>
  <si>
    <t>purée instantanée</t>
  </si>
  <si>
    <t>puree instantanee</t>
  </si>
  <si>
    <t>R1847</t>
  </si>
  <si>
    <t>purée maison</t>
  </si>
  <si>
    <t>puree maison</t>
  </si>
  <si>
    <t>R1848</t>
  </si>
  <si>
    <t>R1849</t>
  </si>
  <si>
    <t>R1850</t>
  </si>
  <si>
    <t>raclette savoyarde</t>
  </si>
  <si>
    <t>R1851</t>
  </si>
  <si>
    <t>risotto crémeux</t>
  </si>
  <si>
    <t>risotto cremeux</t>
  </si>
  <si>
    <t>R1852</t>
  </si>
  <si>
    <t>R1853</t>
  </si>
  <si>
    <t>R1854</t>
  </si>
  <si>
    <t>sauce blanche</t>
  </si>
  <si>
    <t>R1855</t>
  </si>
  <si>
    <t>sauce mornay</t>
  </si>
  <si>
    <t>R1856</t>
  </si>
  <si>
    <t>sauce pesto</t>
  </si>
  <si>
    <t>R1857</t>
  </si>
  <si>
    <t>sauce suprême</t>
  </si>
  <si>
    <t>sauce supreme</t>
  </si>
  <si>
    <t>R1858</t>
  </si>
  <si>
    <t>R1859</t>
  </si>
  <si>
    <t>semoule au lait</t>
  </si>
  <si>
    <t>R1860</t>
  </si>
  <si>
    <t>smoothie</t>
  </si>
  <si>
    <t>R1861</t>
  </si>
  <si>
    <t>soft serve</t>
  </si>
  <si>
    <t>R1862</t>
  </si>
  <si>
    <t>R1863</t>
  </si>
  <si>
    <t>sundae</t>
  </si>
  <si>
    <t>R1864</t>
  </si>
  <si>
    <t>R1865</t>
  </si>
  <si>
    <t>R1866</t>
  </si>
  <si>
    <t>R1867</t>
  </si>
  <si>
    <t>truffade</t>
  </si>
  <si>
    <t>R1868</t>
  </si>
  <si>
    <t>velouté</t>
  </si>
  <si>
    <t>R1869</t>
  </si>
  <si>
    <t>R1870</t>
  </si>
  <si>
    <t>white russian</t>
  </si>
  <si>
    <t>R1871</t>
  </si>
  <si>
    <t>R1872</t>
  </si>
  <si>
    <t>R1873</t>
  </si>
  <si>
    <t>R1874</t>
  </si>
  <si>
    <t>R1875</t>
  </si>
  <si>
    <t>R1876</t>
  </si>
  <si>
    <t>R1877</t>
  </si>
  <si>
    <t>R1878</t>
  </si>
  <si>
    <t>R1879</t>
  </si>
  <si>
    <t>R1880</t>
  </si>
  <si>
    <t>almond</t>
  </si>
  <si>
    <t>R1881</t>
  </si>
  <si>
    <t>almonds</t>
  </si>
  <si>
    <t>R1882</t>
  </si>
  <si>
    <t>amande</t>
  </si>
  <si>
    <t>Fruit à coque réglementaire ou dérivé.</t>
  </si>
  <si>
    <t>R1883</t>
  </si>
  <si>
    <t>amandes</t>
  </si>
  <si>
    <t>R1884</t>
  </si>
  <si>
    <t>baklava</t>
  </si>
  <si>
    <t>R1885</t>
  </si>
  <si>
    <t>baklawa</t>
  </si>
  <si>
    <t>R1886</t>
  </si>
  <si>
    <t>brazil nut</t>
  </si>
  <si>
    <t>R1887</t>
  </si>
  <si>
    <t>brazil nuts</t>
  </si>
  <si>
    <t>R1888</t>
  </si>
  <si>
    <t>cajou</t>
  </si>
  <si>
    <t>R1889</t>
  </si>
  <si>
    <t>cajous</t>
  </si>
  <si>
    <t>R1890</t>
  </si>
  <si>
    <t>cashew</t>
  </si>
  <si>
    <t>R1891</t>
  </si>
  <si>
    <t>cashews</t>
  </si>
  <si>
    <t>R1892</t>
  </si>
  <si>
    <t>cerneau de noix</t>
  </si>
  <si>
    <t>R1893</t>
  </si>
  <si>
    <t>cerneaux de noix</t>
  </si>
  <si>
    <t>R1894</t>
  </si>
  <si>
    <t>R1895</t>
  </si>
  <si>
    <t>farine de noisette</t>
  </si>
  <si>
    <t>R1896</t>
  </si>
  <si>
    <t>frangipane</t>
  </si>
  <si>
    <t>R1897</t>
  </si>
  <si>
    <t>gianduja</t>
  </si>
  <si>
    <t>R1898</t>
  </si>
  <si>
    <t>hazelnut</t>
  </si>
  <si>
    <t>R1899</t>
  </si>
  <si>
    <t>hazelnuts</t>
  </si>
  <si>
    <t>R1900</t>
  </si>
  <si>
    <t>huile de noix</t>
  </si>
  <si>
    <t>R1901</t>
  </si>
  <si>
    <t>huile de pistache</t>
  </si>
  <si>
    <t>R1902</t>
  </si>
  <si>
    <t>R1903</t>
  </si>
  <si>
    <t>R1904</t>
  </si>
  <si>
    <t>macadamia</t>
  </si>
  <si>
    <t>R1905</t>
  </si>
  <si>
    <t>macadamia nut</t>
  </si>
  <si>
    <t>R1906</t>
  </si>
  <si>
    <t>macadamia nuts</t>
  </si>
  <si>
    <t>R1907</t>
  </si>
  <si>
    <t>marzipan</t>
  </si>
  <si>
    <t>R1908</t>
  </si>
  <si>
    <t>massepain</t>
  </si>
  <si>
    <t>R1909</t>
  </si>
  <si>
    <t>noisette</t>
  </si>
  <si>
    <t>R1910</t>
  </si>
  <si>
    <t>noisettes</t>
  </si>
  <si>
    <t>R1911</t>
  </si>
  <si>
    <t>noix</t>
  </si>
  <si>
    <t>R1912</t>
  </si>
  <si>
    <t>noix de cajou</t>
  </si>
  <si>
    <t>R1913</t>
  </si>
  <si>
    <t>noix de macadamia</t>
  </si>
  <si>
    <t>R1914</t>
  </si>
  <si>
    <t>noix de pécan</t>
  </si>
  <si>
    <t>noix de pecan</t>
  </si>
  <si>
    <t>R1915</t>
  </si>
  <si>
    <t>noix du brésil</t>
  </si>
  <si>
    <t>noix du bresil</t>
  </si>
  <si>
    <t>R1916</t>
  </si>
  <si>
    <t>noix du queensland</t>
  </si>
  <si>
    <t>R1917</t>
  </si>
  <si>
    <t>nougat</t>
  </si>
  <si>
    <t>R1918</t>
  </si>
  <si>
    <t>nougatine</t>
  </si>
  <si>
    <t>R1919</t>
  </si>
  <si>
    <t>pacane</t>
  </si>
  <si>
    <t>R1920</t>
  </si>
  <si>
    <t>pâte d amande</t>
  </si>
  <si>
    <t>pate d amande</t>
  </si>
  <si>
    <t>R1921</t>
  </si>
  <si>
    <t>pâte de pistache</t>
  </si>
  <si>
    <t>pate de pistache</t>
  </si>
  <si>
    <t>R1922</t>
  </si>
  <si>
    <t>pécan</t>
  </si>
  <si>
    <t>pecan</t>
  </si>
  <si>
    <t>R1923</t>
  </si>
  <si>
    <t>pecans</t>
  </si>
  <si>
    <t>R1924</t>
  </si>
  <si>
    <t>pistache</t>
  </si>
  <si>
    <t>R1925</t>
  </si>
  <si>
    <t>pistaches</t>
  </si>
  <si>
    <t>R1926</t>
  </si>
  <si>
    <t>pistachio</t>
  </si>
  <si>
    <t>R1927</t>
  </si>
  <si>
    <t>pistachios</t>
  </si>
  <si>
    <t>R1928</t>
  </si>
  <si>
    <t>poudre d amande</t>
  </si>
  <si>
    <t>R1929</t>
  </si>
  <si>
    <t>poudre de noisette</t>
  </si>
  <si>
    <t>R1930</t>
  </si>
  <si>
    <t>poudre de pistache</t>
  </si>
  <si>
    <t>R1931</t>
  </si>
  <si>
    <t>pralin</t>
  </si>
  <si>
    <t>R1932</t>
  </si>
  <si>
    <t>praliné</t>
  </si>
  <si>
    <t>praline</t>
  </si>
  <si>
    <t>R1933</t>
  </si>
  <si>
    <t>purée d amande</t>
  </si>
  <si>
    <t>puree d amande</t>
  </si>
  <si>
    <t>R1934</t>
  </si>
  <si>
    <t>purée de cajou</t>
  </si>
  <si>
    <t>puree de cajou</t>
  </si>
  <si>
    <t>R1935</t>
  </si>
  <si>
    <t>purée de noisette</t>
  </si>
  <si>
    <t>puree de noisette</t>
  </si>
  <si>
    <t>R1936</t>
  </si>
  <si>
    <t>walnut</t>
  </si>
  <si>
    <t>R1937</t>
  </si>
  <si>
    <t>walnuts</t>
  </si>
  <si>
    <t>R1938</t>
  </si>
  <si>
    <t>amande de mer</t>
  </si>
  <si>
    <t>R1939</t>
  </si>
  <si>
    <t>amandes de mer</t>
  </si>
  <si>
    <t>R1940</t>
  </si>
  <si>
    <t>châtaigne</t>
  </si>
  <si>
    <t>chataigne</t>
  </si>
  <si>
    <t>R1941</t>
  </si>
  <si>
    <t>châtaignes</t>
  </si>
  <si>
    <t>chataignes</t>
  </si>
  <si>
    <t>R1942</t>
  </si>
  <si>
    <t>R1943</t>
  </si>
  <si>
    <t>eau de coco</t>
  </si>
  <si>
    <t>R1944</t>
  </si>
  <si>
    <t>graine de pin</t>
  </si>
  <si>
    <t>R1945</t>
  </si>
  <si>
    <t>huile de coco</t>
  </si>
  <si>
    <t>R1946</t>
  </si>
  <si>
    <t>R1947</t>
  </si>
  <si>
    <t>R1948</t>
  </si>
  <si>
    <t>marrons</t>
  </si>
  <si>
    <t>R1949</t>
  </si>
  <si>
    <t>muscade</t>
  </si>
  <si>
    <t>R1950</t>
  </si>
  <si>
    <t>noix de bœuf</t>
  </si>
  <si>
    <t>noix de boeuf</t>
  </si>
  <si>
    <t>R1951</t>
  </si>
  <si>
    <t>noix de coco</t>
  </si>
  <si>
    <t>R1952</t>
  </si>
  <si>
    <t>noix de joue</t>
  </si>
  <si>
    <t>R1953</t>
  </si>
  <si>
    <t>noix de kola</t>
  </si>
  <si>
    <t>R1954</t>
  </si>
  <si>
    <t>noix de muscade</t>
  </si>
  <si>
    <t>R1955</t>
  </si>
  <si>
    <t>noix de saint jacques</t>
  </si>
  <si>
    <t>R1956</t>
  </si>
  <si>
    <t>noix de st jacques</t>
  </si>
  <si>
    <t>R1957</t>
  </si>
  <si>
    <t>noix de veau</t>
  </si>
  <si>
    <t>R1958</t>
  </si>
  <si>
    <t>pignon</t>
  </si>
  <si>
    <t>R1959</t>
  </si>
  <si>
    <t>pignon de pin</t>
  </si>
  <si>
    <t>R1960</t>
  </si>
  <si>
    <t>pignons</t>
  </si>
  <si>
    <t>R1961</t>
  </si>
  <si>
    <t>amaretto</t>
  </si>
  <si>
    <t>R1962</t>
  </si>
  <si>
    <t>chocolat fourré</t>
  </si>
  <si>
    <t>chocolat fourre</t>
  </si>
  <si>
    <t>R1963</t>
  </si>
  <si>
    <t>falernum</t>
  </si>
  <si>
    <t>R1964</t>
  </si>
  <si>
    <t>R1965</t>
  </si>
  <si>
    <t>R1966</t>
  </si>
  <si>
    <t>frangelico</t>
  </si>
  <si>
    <t>R1967</t>
  </si>
  <si>
    <t>glace pralinée</t>
  </si>
  <si>
    <t>glace pralinee</t>
  </si>
  <si>
    <t>R1968</t>
  </si>
  <si>
    <t>granola</t>
  </si>
  <si>
    <t>R1969</t>
  </si>
  <si>
    <t>macaron</t>
  </si>
  <si>
    <t>R1970</t>
  </si>
  <si>
    <t>macarons</t>
  </si>
  <si>
    <t>R1971</t>
  </si>
  <si>
    <t>muesli</t>
  </si>
  <si>
    <t>R1972</t>
  </si>
  <si>
    <t>nocino</t>
  </si>
  <si>
    <t>R1973</t>
  </si>
  <si>
    <t>nougat glacé</t>
  </si>
  <si>
    <t>nougat glace</t>
  </si>
  <si>
    <t>R1974</t>
  </si>
  <si>
    <t>orgeat</t>
  </si>
  <si>
    <t>R1975</t>
  </si>
  <si>
    <t>R1976</t>
  </si>
  <si>
    <t>pistou</t>
  </si>
  <si>
    <t>R1977</t>
  </si>
  <si>
    <t>praliné feuilleté</t>
  </si>
  <si>
    <t>praline feuillete</t>
  </si>
  <si>
    <t>R1978</t>
  </si>
  <si>
    <t>céleri</t>
  </si>
  <si>
    <t>celeri</t>
  </si>
  <si>
    <t>Céleri ou dérivé.</t>
  </si>
  <si>
    <t>R1979</t>
  </si>
  <si>
    <t>céleri branche</t>
  </si>
  <si>
    <t>celeri branche</t>
  </si>
  <si>
    <t>R1980</t>
  </si>
  <si>
    <t>céleri rave</t>
  </si>
  <si>
    <t>celeri rave</t>
  </si>
  <si>
    <t>R1981</t>
  </si>
  <si>
    <t>celeriac</t>
  </si>
  <si>
    <t>R1982</t>
  </si>
  <si>
    <t>celery</t>
  </si>
  <si>
    <t>R1983</t>
  </si>
  <si>
    <t>extrait de céleri</t>
  </si>
  <si>
    <t>extrait de celeri</t>
  </si>
  <si>
    <t>R1984</t>
  </si>
  <si>
    <t>feuille de céleri</t>
  </si>
  <si>
    <t>feuille de celeri</t>
  </si>
  <si>
    <t>R1985</t>
  </si>
  <si>
    <t>feuilles de céleri</t>
  </si>
  <si>
    <t>feuilles de celeri</t>
  </si>
  <si>
    <t>R1986</t>
  </si>
  <si>
    <t>graine de céleri</t>
  </si>
  <si>
    <t>graine de celeri</t>
  </si>
  <si>
    <t>R1987</t>
  </si>
  <si>
    <t>graines de céleri</t>
  </si>
  <si>
    <t>graines de celeri</t>
  </si>
  <si>
    <t>R1988</t>
  </si>
  <si>
    <t>huile essentielle de céleri</t>
  </si>
  <si>
    <t>huile essentielle de celeri</t>
  </si>
  <si>
    <t>R1989</t>
  </si>
  <si>
    <t>jus de céleri</t>
  </si>
  <si>
    <t>jus de celeri</t>
  </si>
  <si>
    <t>R1990</t>
  </si>
  <si>
    <t>poudre de céleri</t>
  </si>
  <si>
    <t>poudre de celeri</t>
  </si>
  <si>
    <t>R1991</t>
  </si>
  <si>
    <t>sel de céleri</t>
  </si>
  <si>
    <t>sel de celeri</t>
  </si>
  <si>
    <t>R1992</t>
  </si>
  <si>
    <t>R1993</t>
  </si>
  <si>
    <t>bouillon de légumes</t>
  </si>
  <si>
    <t>bouillon de legumes</t>
  </si>
  <si>
    <t>R1994</t>
  </si>
  <si>
    <t>R1995</t>
  </si>
  <si>
    <t>court bouillon</t>
  </si>
  <si>
    <t>R1996</t>
  </si>
  <si>
    <t>R1997</t>
  </si>
  <si>
    <t>R1998</t>
  </si>
  <si>
    <t>fond de veau</t>
  </si>
  <si>
    <t>R1999</t>
  </si>
  <si>
    <t>jus de légumes</t>
  </si>
  <si>
    <t>jus de legumes</t>
  </si>
  <si>
    <t>R2000</t>
  </si>
  <si>
    <t>mirepoix</t>
  </si>
  <si>
    <t>R2001</t>
  </si>
  <si>
    <t>R2002</t>
  </si>
  <si>
    <t>potage industriel</t>
  </si>
  <si>
    <t>R2003</t>
  </si>
  <si>
    <t>R2004</t>
  </si>
  <si>
    <t>sel aromatisé</t>
  </si>
  <si>
    <t>sel aromatise</t>
  </si>
  <si>
    <t>R2005</t>
  </si>
  <si>
    <t>soupe industrielle</t>
  </si>
  <si>
    <t>R2006</t>
  </si>
  <si>
    <t>R2007</t>
  </si>
  <si>
    <t>extrait de moutarde</t>
  </si>
  <si>
    <t>Moutarde ou dérivé.</t>
  </si>
  <si>
    <t>R2008</t>
  </si>
  <si>
    <t>farine de moutarde</t>
  </si>
  <si>
    <t>R2009</t>
  </si>
  <si>
    <t>graine de moutarde</t>
  </si>
  <si>
    <t>R2010</t>
  </si>
  <si>
    <t>graines de moutarde</t>
  </si>
  <si>
    <t>R2011</t>
  </si>
  <si>
    <t>huile de moutarde</t>
  </si>
  <si>
    <t>R2012</t>
  </si>
  <si>
    <t>mayonnaise moutardée</t>
  </si>
  <si>
    <t>mayonnaise moutardee</t>
  </si>
  <si>
    <t>R2013</t>
  </si>
  <si>
    <t>R2014</t>
  </si>
  <si>
    <t>moutarde à l ancienne</t>
  </si>
  <si>
    <t>moutarde a l ancienne</t>
  </si>
  <si>
    <t>R2015</t>
  </si>
  <si>
    <t>moutarde de dijon</t>
  </si>
  <si>
    <t>R2016</t>
  </si>
  <si>
    <t>moutarde en grains</t>
  </si>
  <si>
    <t>R2017</t>
  </si>
  <si>
    <t>moutarde en poudre</t>
  </si>
  <si>
    <t>R2018</t>
  </si>
  <si>
    <t>moutardes</t>
  </si>
  <si>
    <t>R2019</t>
  </si>
  <si>
    <t>mustard</t>
  </si>
  <si>
    <t>R2020</t>
  </si>
  <si>
    <t>mustard seed</t>
  </si>
  <si>
    <t>R2021</t>
  </si>
  <si>
    <t>mustard seeds</t>
  </si>
  <si>
    <t>R2022</t>
  </si>
  <si>
    <t>sauce moutarde</t>
  </si>
  <si>
    <t>R2023</t>
  </si>
  <si>
    <t>savora</t>
  </si>
  <si>
    <t>R2024</t>
  </si>
  <si>
    <t>vinaigrette moutardée</t>
  </si>
  <si>
    <t>vinaigrette moutardee</t>
  </si>
  <si>
    <t>R2025</t>
  </si>
  <si>
    <t>R2026</t>
  </si>
  <si>
    <t>cornichons aigres doux</t>
  </si>
  <si>
    <t>R2027</t>
  </si>
  <si>
    <t>marinade</t>
  </si>
  <si>
    <t>R2028</t>
  </si>
  <si>
    <t>R2029</t>
  </si>
  <si>
    <t>R2030</t>
  </si>
  <si>
    <t>pickles</t>
  </si>
  <si>
    <t>R2031</t>
  </si>
  <si>
    <t>sauce barbecue</t>
  </si>
  <si>
    <t>R2032</t>
  </si>
  <si>
    <t>sauce burger</t>
  </si>
  <si>
    <t>R2033</t>
  </si>
  <si>
    <t>R2034</t>
  </si>
  <si>
    <t>R2035</t>
  </si>
  <si>
    <t>R2036</t>
  </si>
  <si>
    <t>R2037</t>
  </si>
  <si>
    <t>R2038</t>
  </si>
  <si>
    <t>R2039</t>
  </si>
  <si>
    <t>vinaigrette</t>
  </si>
  <si>
    <t>R2040</t>
  </si>
  <si>
    <t>gomashio</t>
  </si>
  <si>
    <t>Sésame ou dérivé.</t>
  </si>
  <si>
    <t>R2041</t>
  </si>
  <si>
    <t>gomasio</t>
  </si>
  <si>
    <t>R2042</t>
  </si>
  <si>
    <t>graine de sésame</t>
  </si>
  <si>
    <t>graine de sesame</t>
  </si>
  <si>
    <t>R2043</t>
  </si>
  <si>
    <t>graines de sésame</t>
  </si>
  <si>
    <t>graines de sesame</t>
  </si>
  <si>
    <t>R2044</t>
  </si>
  <si>
    <t>halva</t>
  </si>
  <si>
    <t>R2045</t>
  </si>
  <si>
    <t>halvah</t>
  </si>
  <si>
    <t>R2046</t>
  </si>
  <si>
    <t>huile de sésame</t>
  </si>
  <si>
    <t>huile de sesame</t>
  </si>
  <si>
    <t>R2047</t>
  </si>
  <si>
    <t>nougat de sésame</t>
  </si>
  <si>
    <t>nougat de sesame</t>
  </si>
  <si>
    <t>R2048</t>
  </si>
  <si>
    <t>pâte de sésame</t>
  </si>
  <si>
    <t>pate de sesame</t>
  </si>
  <si>
    <t>R2049</t>
  </si>
  <si>
    <t>purée de sésame</t>
  </si>
  <si>
    <t>puree de sesame</t>
  </si>
  <si>
    <t>R2050</t>
  </si>
  <si>
    <t>sésame</t>
  </si>
  <si>
    <t>sesame</t>
  </si>
  <si>
    <t>R2051</t>
  </si>
  <si>
    <t>sésame blanc</t>
  </si>
  <si>
    <t>sesame blanc</t>
  </si>
  <si>
    <t>R2052</t>
  </si>
  <si>
    <t>sésame noir</t>
  </si>
  <si>
    <t>sesame noir</t>
  </si>
  <si>
    <t>R2053</t>
  </si>
  <si>
    <t>sesame oil</t>
  </si>
  <si>
    <t>R2054</t>
  </si>
  <si>
    <t>sesame seed</t>
  </si>
  <si>
    <t>R2055</t>
  </si>
  <si>
    <t>sesame seeds</t>
  </si>
  <si>
    <t>R2056</t>
  </si>
  <si>
    <t>tahin</t>
  </si>
  <si>
    <t>R2057</t>
  </si>
  <si>
    <t>tahina</t>
  </si>
  <si>
    <t>R2058</t>
  </si>
  <si>
    <t>tahini</t>
  </si>
  <si>
    <t>R2059</t>
  </si>
  <si>
    <t>barre céréalière</t>
  </si>
  <si>
    <t>barre cerealiere</t>
  </si>
  <si>
    <t>R2060</t>
  </si>
  <si>
    <t>bun</t>
  </si>
  <si>
    <t>R2061</t>
  </si>
  <si>
    <t>buns</t>
  </si>
  <si>
    <t>R2062</t>
  </si>
  <si>
    <t>R2063</t>
  </si>
  <si>
    <t>falafel</t>
  </si>
  <si>
    <t>R2064</t>
  </si>
  <si>
    <t>R2065</t>
  </si>
  <si>
    <t>houmous</t>
  </si>
  <si>
    <t>R2066</t>
  </si>
  <si>
    <t>hummus</t>
  </si>
  <si>
    <t>R2067</t>
  </si>
  <si>
    <t>R2068</t>
  </si>
  <si>
    <t>pain burger</t>
  </si>
  <si>
    <t>R2069</t>
  </si>
  <si>
    <t>pain libanais</t>
  </si>
  <si>
    <t>R2070</t>
  </si>
  <si>
    <t>pain oriental</t>
  </si>
  <si>
    <t>R2071</t>
  </si>
  <si>
    <t>R2072</t>
  </si>
  <si>
    <t>za atar</t>
  </si>
  <si>
    <t>R2073</t>
  </si>
  <si>
    <t>zaatar</t>
  </si>
  <si>
    <t>R2074</t>
  </si>
  <si>
    <t>acide sulfureux</t>
  </si>
  <si>
    <t>Sulfites explicitement déclarés.</t>
  </si>
  <si>
    <t>R2075</t>
  </si>
  <si>
    <t>anhydride sulfureux</t>
  </si>
  <si>
    <t>R2076</t>
  </si>
  <si>
    <t>bisulfite</t>
  </si>
  <si>
    <t>R2077</t>
  </si>
  <si>
    <t>dioxyde de soufre</t>
  </si>
  <si>
    <t>R2078</t>
  </si>
  <si>
    <t>E220</t>
  </si>
  <si>
    <t>e220</t>
  </si>
  <si>
    <t>R2079</t>
  </si>
  <si>
    <t>E221</t>
  </si>
  <si>
    <t>e221</t>
  </si>
  <si>
    <t>R2080</t>
  </si>
  <si>
    <t>E222</t>
  </si>
  <si>
    <t>e222</t>
  </si>
  <si>
    <t>R2081</t>
  </si>
  <si>
    <t>E223</t>
  </si>
  <si>
    <t>e223</t>
  </si>
  <si>
    <t>R2082</t>
  </si>
  <si>
    <t>E224</t>
  </si>
  <si>
    <t>e224</t>
  </si>
  <si>
    <t>R2083</t>
  </si>
  <si>
    <t>E225</t>
  </si>
  <si>
    <t>e225</t>
  </si>
  <si>
    <t>R2084</t>
  </si>
  <si>
    <t>E226</t>
  </si>
  <si>
    <t>e226</t>
  </si>
  <si>
    <t>R2085</t>
  </si>
  <si>
    <t>E227</t>
  </si>
  <si>
    <t>e227</t>
  </si>
  <si>
    <t>R2086</t>
  </si>
  <si>
    <t>E228</t>
  </si>
  <si>
    <t>e228</t>
  </si>
  <si>
    <t>R2087</t>
  </si>
  <si>
    <t>hydrogénosulfite</t>
  </si>
  <si>
    <t>hydrogenosulfite</t>
  </si>
  <si>
    <t>R2088</t>
  </si>
  <si>
    <t>métabisulfite</t>
  </si>
  <si>
    <t>metabisulfite</t>
  </si>
  <si>
    <t>R2089</t>
  </si>
  <si>
    <t>sulfite</t>
  </si>
  <si>
    <t>R2090</t>
  </si>
  <si>
    <t>sulfites</t>
  </si>
  <si>
    <t>R2091</t>
  </si>
  <si>
    <t>sulfur dioxide</t>
  </si>
  <si>
    <t>R2092</t>
  </si>
  <si>
    <t>sulphite</t>
  </si>
  <si>
    <t>R2093</t>
  </si>
  <si>
    <t>sulphites</t>
  </si>
  <si>
    <t>R2094</t>
  </si>
  <si>
    <t>sulphur dioxide</t>
  </si>
  <si>
    <t>R2095</t>
  </si>
  <si>
    <t>abricots secs</t>
  </si>
  <si>
    <t>Présence et seuil variables.</t>
  </si>
  <si>
    <t>R2096</t>
  </si>
  <si>
    <t>R2097</t>
  </si>
  <si>
    <t>cava</t>
  </si>
  <si>
    <t>R2098</t>
  </si>
  <si>
    <t>cerises confites</t>
  </si>
  <si>
    <t>R2099</t>
  </si>
  <si>
    <t>champagne</t>
  </si>
  <si>
    <t>R2100</t>
  </si>
  <si>
    <t>cidre</t>
  </si>
  <si>
    <t>R2101</t>
  </si>
  <si>
    <t>cocktail au vin</t>
  </si>
  <si>
    <t>R2102</t>
  </si>
  <si>
    <t>cocktail premix</t>
  </si>
  <si>
    <t>R2103</t>
  </si>
  <si>
    <t>crémant</t>
  </si>
  <si>
    <t>cremant</t>
  </si>
  <si>
    <t>R2104</t>
  </si>
  <si>
    <t>crevettes traitées</t>
  </si>
  <si>
    <t>crevettes traitees</t>
  </si>
  <si>
    <t>R2105</t>
  </si>
  <si>
    <t>figues sèches</t>
  </si>
  <si>
    <t>figues seches</t>
  </si>
  <si>
    <t>R2106</t>
  </si>
  <si>
    <t>fruits confits</t>
  </si>
  <si>
    <t>R2107</t>
  </si>
  <si>
    <t>fruits secs</t>
  </si>
  <si>
    <t>R2108</t>
  </si>
  <si>
    <t>jus de citron en bouteille</t>
  </si>
  <si>
    <t>R2109</t>
  </si>
  <si>
    <t>jus de lime en bouteille</t>
  </si>
  <si>
    <t>R2110</t>
  </si>
  <si>
    <t>kir</t>
  </si>
  <si>
    <t>R2111</t>
  </si>
  <si>
    <t>kir royal</t>
  </si>
  <si>
    <t>R2112</t>
  </si>
  <si>
    <t>madère</t>
  </si>
  <si>
    <t>madere</t>
  </si>
  <si>
    <t>R2113</t>
  </si>
  <si>
    <t>poiré</t>
  </si>
  <si>
    <t>zzzxq_poire_boisson_qxzzz</t>
  </si>
  <si>
    <t>Le mot « poiré » est contrôlé avec son accent dans une formule dédiée afin de ne pas confondre avec « poire ».</t>
  </si>
  <si>
    <t>R2114</t>
  </si>
  <si>
    <t>pommes de terre déshydratées</t>
  </si>
  <si>
    <t>pommes de terre deshydratees</t>
  </si>
  <si>
    <t>R2115</t>
  </si>
  <si>
    <t>porto</t>
  </si>
  <si>
    <t>R2116</t>
  </si>
  <si>
    <t>préparation cocktail</t>
  </si>
  <si>
    <t>preparation cocktail</t>
  </si>
  <si>
    <t>R2117</t>
  </si>
  <si>
    <t>prosecco</t>
  </si>
  <si>
    <t>R2118</t>
  </si>
  <si>
    <t>pruneaux</t>
  </si>
  <si>
    <t>R2119</t>
  </si>
  <si>
    <t>purée déshydratée</t>
  </si>
  <si>
    <t>puree deshydratee</t>
  </si>
  <si>
    <t>R2120</t>
  </si>
  <si>
    <t>raisins secs</t>
  </si>
  <si>
    <t>R2121</t>
  </si>
  <si>
    <t>sangria</t>
  </si>
  <si>
    <t>R2122</t>
  </si>
  <si>
    <t>sherry</t>
  </si>
  <si>
    <t>R2123</t>
  </si>
  <si>
    <t>sirop industriel</t>
  </si>
  <si>
    <t>R2124</t>
  </si>
  <si>
    <t>spritz</t>
  </si>
  <si>
    <t>R2125</t>
  </si>
  <si>
    <t>vermouth</t>
  </si>
  <si>
    <t>R2126</t>
  </si>
  <si>
    <t>vin</t>
  </si>
  <si>
    <t>R2127</t>
  </si>
  <si>
    <t>vin blanc</t>
  </si>
  <si>
    <t>R2128</t>
  </si>
  <si>
    <t>vin rosé</t>
  </si>
  <si>
    <t>vin rose</t>
  </si>
  <si>
    <t>R2129</t>
  </si>
  <si>
    <t>vin rouge</t>
  </si>
  <si>
    <t>R2130</t>
  </si>
  <si>
    <t>vinaigre balsamique</t>
  </si>
  <si>
    <t>R2131</t>
  </si>
  <si>
    <t>vinaigre de cidre</t>
  </si>
  <si>
    <t>R2132</t>
  </si>
  <si>
    <t>vinaigre de vin</t>
  </si>
  <si>
    <t>Classé en allergène certain dans ce moteur pour le vinaigre de vin.</t>
  </si>
  <si>
    <t>R2133</t>
  </si>
  <si>
    <t>wine cocktail</t>
  </si>
  <si>
    <t>R2134</t>
  </si>
  <si>
    <t>xérès</t>
  </si>
  <si>
    <t>xeres</t>
  </si>
  <si>
    <t>R2135</t>
  </si>
  <si>
    <t>Lupin ou dérivé.</t>
  </si>
  <si>
    <t>R2136</t>
  </si>
  <si>
    <t>graine de lupin</t>
  </si>
  <si>
    <t>R2137</t>
  </si>
  <si>
    <t>graines de lupin</t>
  </si>
  <si>
    <t>R2138</t>
  </si>
  <si>
    <t>isolat de lupin</t>
  </si>
  <si>
    <t>R2139</t>
  </si>
  <si>
    <t>lupin</t>
  </si>
  <si>
    <t>R2140</t>
  </si>
  <si>
    <t>lupin doux</t>
  </si>
  <si>
    <t>R2141</t>
  </si>
  <si>
    <t>lupine</t>
  </si>
  <si>
    <t>R2142</t>
  </si>
  <si>
    <t>lupine flour</t>
  </si>
  <si>
    <t>R2143</t>
  </si>
  <si>
    <t>lupins</t>
  </si>
  <si>
    <t>R2144</t>
  </si>
  <si>
    <t>protéine de lupin</t>
  </si>
  <si>
    <t>proteine de lupin</t>
  </si>
  <si>
    <t>R2145</t>
  </si>
  <si>
    <t>protéines de lupin</t>
  </si>
  <si>
    <t>proteines de lupin</t>
  </si>
  <si>
    <t>R2146</t>
  </si>
  <si>
    <t>semoule de lupin</t>
  </si>
  <si>
    <t>R2147</t>
  </si>
  <si>
    <t>son de lupin</t>
  </si>
  <si>
    <t>R2148</t>
  </si>
  <si>
    <t>Ingrédient possible dans certaines formulations.</t>
  </si>
  <si>
    <t>R2149</t>
  </si>
  <si>
    <t>R2150</t>
  </si>
  <si>
    <t>R2151</t>
  </si>
  <si>
    <t>préparation boulangère sans gluten</t>
  </si>
  <si>
    <t>preparation boulangere sans gluten</t>
  </si>
  <si>
    <t>R2152</t>
  </si>
  <si>
    <t>R2153</t>
  </si>
  <si>
    <t>substitut d œuf</t>
  </si>
  <si>
    <t>substitut d oeuf</t>
  </si>
  <si>
    <t>R2154</t>
  </si>
  <si>
    <t>acmee</t>
  </si>
  <si>
    <t>2025-2026</t>
  </si>
  <si>
    <t>R2155</t>
  </si>
  <si>
    <t>amande de l atlantique</t>
  </si>
  <si>
    <t>R2156</t>
  </si>
  <si>
    <t>amande de mediterrannee</t>
  </si>
  <si>
    <t>R2157</t>
  </si>
  <si>
    <t>R2158</t>
  </si>
  <si>
    <t>amande du pacifique</t>
  </si>
  <si>
    <t>R2159</t>
  </si>
  <si>
    <t>Terme métier explicite ajouté après test.</t>
  </si>
  <si>
    <t>R2160</t>
  </si>
  <si>
    <t>anomie</t>
  </si>
  <si>
    <t>R2161</t>
  </si>
  <si>
    <t>arapede</t>
  </si>
  <si>
    <t>R2162</t>
  </si>
  <si>
    <t>arapede du pacifique</t>
  </si>
  <si>
    <t>R2163</t>
  </si>
  <si>
    <t>arche</t>
  </si>
  <si>
    <t>R2164</t>
  </si>
  <si>
    <t>avicule</t>
  </si>
  <si>
    <t>R2165</t>
  </si>
  <si>
    <t>berlingot de mer</t>
  </si>
  <si>
    <t>R2166</t>
  </si>
  <si>
    <t>bernique</t>
  </si>
  <si>
    <t>R2167</t>
  </si>
  <si>
    <t>bigorneau</t>
  </si>
  <si>
    <t>R2168</t>
  </si>
  <si>
    <t>bigorneaux</t>
  </si>
  <si>
    <t>Mollusque ou dérivé explicite.</t>
  </si>
  <si>
    <t>R2169</t>
  </si>
  <si>
    <t>bucarde</t>
  </si>
  <si>
    <t>R2170</t>
  </si>
  <si>
    <t>buccin</t>
  </si>
  <si>
    <t>R2171</t>
  </si>
  <si>
    <t>buccins</t>
  </si>
  <si>
    <t>R2172</t>
  </si>
  <si>
    <t>bullie</t>
  </si>
  <si>
    <t>R2173</t>
  </si>
  <si>
    <t>bulot</t>
  </si>
  <si>
    <t>R2174</t>
  </si>
  <si>
    <t>bulots</t>
  </si>
  <si>
    <t>R2175</t>
  </si>
  <si>
    <t>busycon</t>
  </si>
  <si>
    <t>R2176</t>
  </si>
  <si>
    <t>calamar</t>
  </si>
  <si>
    <t>R2177</t>
  </si>
  <si>
    <t>calamars</t>
  </si>
  <si>
    <t>R2178</t>
  </si>
  <si>
    <t>calmar</t>
  </si>
  <si>
    <t>R2179</t>
  </si>
  <si>
    <t>calmar baril</t>
  </si>
  <si>
    <t>R2180</t>
  </si>
  <si>
    <t>calmar de patagonie</t>
  </si>
  <si>
    <t>R2181</t>
  </si>
  <si>
    <t>calmar du cap</t>
  </si>
  <si>
    <t>R2182</t>
  </si>
  <si>
    <t>calmar epee</t>
  </si>
  <si>
    <t>R2183</t>
  </si>
  <si>
    <t>calmar geant</t>
  </si>
  <si>
    <t>R2184</t>
  </si>
  <si>
    <t>calmar indien</t>
  </si>
  <si>
    <t>R2185</t>
  </si>
  <si>
    <t>calmar japonais</t>
  </si>
  <si>
    <t>R2186</t>
  </si>
  <si>
    <t>calmar mignon</t>
  </si>
  <si>
    <t>R2187</t>
  </si>
  <si>
    <t>calmar mitre</t>
  </si>
  <si>
    <t>R2188</t>
  </si>
  <si>
    <t>calmar opale</t>
  </si>
  <si>
    <t>R2189</t>
  </si>
  <si>
    <t>calmar siboga</t>
  </si>
  <si>
    <t>R2190</t>
  </si>
  <si>
    <t>calmars</t>
  </si>
  <si>
    <t>R2191</t>
  </si>
  <si>
    <t>cardite</t>
  </si>
  <si>
    <t>R2192</t>
  </si>
  <si>
    <t>casque</t>
  </si>
  <si>
    <t>R2193</t>
  </si>
  <si>
    <t>casseron</t>
  </si>
  <si>
    <t>R2194</t>
  </si>
  <si>
    <t>ceratisole gousse</t>
  </si>
  <si>
    <t>R2195</t>
  </si>
  <si>
    <t>chanque</t>
  </si>
  <si>
    <t>R2196</t>
  </si>
  <si>
    <t>clam</t>
  </si>
  <si>
    <t>R2197</t>
  </si>
  <si>
    <t>clam d islande</t>
  </si>
  <si>
    <t>R2198</t>
  </si>
  <si>
    <t>clams</t>
  </si>
  <si>
    <t>R2199</t>
  </si>
  <si>
    <t>clausinelle</t>
  </si>
  <si>
    <t>R2200</t>
  </si>
  <si>
    <t>clovisse</t>
  </si>
  <si>
    <t>R2201</t>
  </si>
  <si>
    <t>conque</t>
  </si>
  <si>
    <t>R2202</t>
  </si>
  <si>
    <t>coque</t>
  </si>
  <si>
    <t>R2203</t>
  </si>
  <si>
    <t>coque du groenland</t>
  </si>
  <si>
    <t>R2204</t>
  </si>
  <si>
    <t>coque epineuse</t>
  </si>
  <si>
    <t>R2205</t>
  </si>
  <si>
    <t>coques</t>
  </si>
  <si>
    <t>R2206</t>
  </si>
  <si>
    <t>coquillage</t>
  </si>
  <si>
    <t>R2207</t>
  </si>
  <si>
    <t>R2208</t>
  </si>
  <si>
    <t>coquille saint jacques</t>
  </si>
  <si>
    <t>R2209</t>
  </si>
  <si>
    <t>coquilles saint jacques</t>
  </si>
  <si>
    <t>R2210</t>
  </si>
  <si>
    <t>corbicule</t>
  </si>
  <si>
    <t>R2211</t>
  </si>
  <si>
    <t>couteau</t>
  </si>
  <si>
    <t>R2212</t>
  </si>
  <si>
    <t>couteaux</t>
  </si>
  <si>
    <t>R2213</t>
  </si>
  <si>
    <t>crepidule</t>
  </si>
  <si>
    <t>R2214</t>
  </si>
  <si>
    <t>cuttlefish</t>
  </si>
  <si>
    <t>R2215</t>
  </si>
  <si>
    <t>cyprine</t>
  </si>
  <si>
    <t>R2216</t>
  </si>
  <si>
    <t>cyrene</t>
  </si>
  <si>
    <t>R2217</t>
  </si>
  <si>
    <t>cytheree</t>
  </si>
  <si>
    <t>R2218</t>
  </si>
  <si>
    <t>darine</t>
  </si>
  <si>
    <t>R2219</t>
  </si>
  <si>
    <t>datte de mer</t>
  </si>
  <si>
    <t>R2220</t>
  </si>
  <si>
    <t>donace</t>
  </si>
  <si>
    <t>R2221</t>
  </si>
  <si>
    <t>dosinie</t>
  </si>
  <si>
    <t>R2222</t>
  </si>
  <si>
    <t>egerie</t>
  </si>
  <si>
    <t>R2223</t>
  </si>
  <si>
    <t>encornet</t>
  </si>
  <si>
    <t>R2224</t>
  </si>
  <si>
    <t>encornet bande violette</t>
  </si>
  <si>
    <t>R2225</t>
  </si>
  <si>
    <t>encornet de boston</t>
  </si>
  <si>
    <t>R2226</t>
  </si>
  <si>
    <t>encornet de californie</t>
  </si>
  <si>
    <t>R2227</t>
  </si>
  <si>
    <t>encornet de chine</t>
  </si>
  <si>
    <t>R2228</t>
  </si>
  <si>
    <t>encornet de nouvelle zelande</t>
  </si>
  <si>
    <t>R2229</t>
  </si>
  <si>
    <t>encornet geant</t>
  </si>
  <si>
    <t>R2230</t>
  </si>
  <si>
    <t>encornet rouge</t>
  </si>
  <si>
    <t>R2231</t>
  </si>
  <si>
    <t>encornet rouge argentin</t>
  </si>
  <si>
    <t>R2232</t>
  </si>
  <si>
    <t>encornet rouge nordique</t>
  </si>
  <si>
    <t>R2233</t>
  </si>
  <si>
    <t>encornet tonnelet</t>
  </si>
  <si>
    <t>R2234</t>
  </si>
  <si>
    <t>encornet veine</t>
  </si>
  <si>
    <t>R2235</t>
  </si>
  <si>
    <t>encornets</t>
  </si>
  <si>
    <t>R2236</t>
  </si>
  <si>
    <t>encre de seiche</t>
  </si>
  <si>
    <t>R2237</t>
  </si>
  <si>
    <t>escargot</t>
  </si>
  <si>
    <t>R2238</t>
  </si>
  <si>
    <t>escargots</t>
  </si>
  <si>
    <t>R2239</t>
  </si>
  <si>
    <t>extrait d huître</t>
  </si>
  <si>
    <t>extrait d huitre</t>
  </si>
  <si>
    <t>R2240</t>
  </si>
  <si>
    <t>fasciolaire</t>
  </si>
  <si>
    <t>R2241</t>
  </si>
  <si>
    <t>fissurelle</t>
  </si>
  <si>
    <t>R2242</t>
  </si>
  <si>
    <t>flion</t>
  </si>
  <si>
    <t>R2243</t>
  </si>
  <si>
    <t>fruits de mer</t>
  </si>
  <si>
    <t>R2244</t>
  </si>
  <si>
    <t>fumet de coquillages</t>
  </si>
  <si>
    <t>R2245</t>
  </si>
  <si>
    <t>gallinette</t>
  </si>
  <si>
    <t>R2246</t>
  </si>
  <si>
    <t>gofiche</t>
  </si>
  <si>
    <t>R2247</t>
  </si>
  <si>
    <t>goufique</t>
  </si>
  <si>
    <t>R2248</t>
  </si>
  <si>
    <t>gousse</t>
  </si>
  <si>
    <t>R2249</t>
  </si>
  <si>
    <t>haricot de mer</t>
  </si>
  <si>
    <t>R2250</t>
  </si>
  <si>
    <t>huître</t>
  </si>
  <si>
    <t>huitre</t>
  </si>
  <si>
    <t>R2251</t>
  </si>
  <si>
    <t>huitre capuchon</t>
  </si>
  <si>
    <t>R2252</t>
  </si>
  <si>
    <t>huitre creuse</t>
  </si>
  <si>
    <t>R2253</t>
  </si>
  <si>
    <t>huitre creuse de paletuviers</t>
  </si>
  <si>
    <t>R2254</t>
  </si>
  <si>
    <t>huitre creuse de virginie</t>
  </si>
  <si>
    <t>R2255</t>
  </si>
  <si>
    <t>huitre creuse du pacifique</t>
  </si>
  <si>
    <t>R2256</t>
  </si>
  <si>
    <t>huitre perliere</t>
  </si>
  <si>
    <t>R2257</t>
  </si>
  <si>
    <t>huitre plate</t>
  </si>
  <si>
    <t>R2258</t>
  </si>
  <si>
    <t>huitre plate d argentine</t>
  </si>
  <si>
    <t>R2259</t>
  </si>
  <si>
    <t>huitre plate de guinee</t>
  </si>
  <si>
    <t>R2260</t>
  </si>
  <si>
    <t>huitre plate des marees</t>
  </si>
  <si>
    <t>R2261</t>
  </si>
  <si>
    <t>huitre plate du pacifique</t>
  </si>
  <si>
    <t>R2262</t>
  </si>
  <si>
    <t>huîtres</t>
  </si>
  <si>
    <t>huitres</t>
  </si>
  <si>
    <t>R2263</t>
  </si>
  <si>
    <t>isocarde</t>
  </si>
  <si>
    <t>R2264</t>
  </si>
  <si>
    <t>jambonneau de mer</t>
  </si>
  <si>
    <t>R2265</t>
  </si>
  <si>
    <t>jus de coquillages</t>
  </si>
  <si>
    <t>R2266</t>
  </si>
  <si>
    <t>lambi</t>
  </si>
  <si>
    <t>R2267</t>
  </si>
  <si>
    <t>lavignon</t>
  </si>
  <si>
    <t>R2268</t>
  </si>
  <si>
    <t>littorine</t>
  </si>
  <si>
    <t>R2269</t>
  </si>
  <si>
    <t>lucine</t>
  </si>
  <si>
    <t>R2270</t>
  </si>
  <si>
    <t>lutraire</t>
  </si>
  <si>
    <t>R2271</t>
  </si>
  <si>
    <t>macome</t>
  </si>
  <si>
    <t>R2272</t>
  </si>
  <si>
    <t>mactre</t>
  </si>
  <si>
    <t>R2273</t>
  </si>
  <si>
    <t>mactre arctique</t>
  </si>
  <si>
    <t>R2274</t>
  </si>
  <si>
    <t>mactre de stimpson</t>
  </si>
  <si>
    <t>R2275</t>
  </si>
  <si>
    <t>marteau</t>
  </si>
  <si>
    <t>R2276</t>
  </si>
  <si>
    <t>melongene</t>
  </si>
  <si>
    <t>R2277</t>
  </si>
  <si>
    <t>mesodesme</t>
  </si>
  <si>
    <t>R2278</t>
  </si>
  <si>
    <t>modiole</t>
  </si>
  <si>
    <t>R2279</t>
  </si>
  <si>
    <t>mollusc</t>
  </si>
  <si>
    <t>R2280</t>
  </si>
  <si>
    <t>molluscs</t>
  </si>
  <si>
    <t>R2281</t>
  </si>
  <si>
    <t>mollusque</t>
  </si>
  <si>
    <t>R2282</t>
  </si>
  <si>
    <t>mollusques</t>
  </si>
  <si>
    <t>R2283</t>
  </si>
  <si>
    <t>montre</t>
  </si>
  <si>
    <t>R2284</t>
  </si>
  <si>
    <t>moule</t>
  </si>
  <si>
    <t>R2285</t>
  </si>
  <si>
    <t>moule africaine</t>
  </si>
  <si>
    <t>R2286</t>
  </si>
  <si>
    <t>moule cholga</t>
  </si>
  <si>
    <t>R2287</t>
  </si>
  <si>
    <t>moule choro</t>
  </si>
  <si>
    <t>R2288</t>
  </si>
  <si>
    <t>moule cotelee</t>
  </si>
  <si>
    <t>R2289</t>
  </si>
  <si>
    <t>moule de guyane</t>
  </si>
  <si>
    <t>R2290</t>
  </si>
  <si>
    <t>moule de la plata</t>
  </si>
  <si>
    <t>R2291</t>
  </si>
  <si>
    <t>moule du pacifique</t>
  </si>
  <si>
    <t>R2292</t>
  </si>
  <si>
    <t>moule melin</t>
  </si>
  <si>
    <t>R2293</t>
  </si>
  <si>
    <t>moule pourpre</t>
  </si>
  <si>
    <t>R2294</t>
  </si>
  <si>
    <t>R2295</t>
  </si>
  <si>
    <t>murex</t>
  </si>
  <si>
    <t>R2296</t>
  </si>
  <si>
    <t>mussel</t>
  </si>
  <si>
    <t>R2297</t>
  </si>
  <si>
    <t>mussels</t>
  </si>
  <si>
    <t>R2298</t>
  </si>
  <si>
    <t>mye</t>
  </si>
  <si>
    <t>R2299</t>
  </si>
  <si>
    <t>nasse</t>
  </si>
  <si>
    <t>R2300</t>
  </si>
  <si>
    <t>natice</t>
  </si>
  <si>
    <t>R2301</t>
  </si>
  <si>
    <t>nerite</t>
  </si>
  <si>
    <t>R2302</t>
  </si>
  <si>
    <t>noisette de mer</t>
  </si>
  <si>
    <t>R2303</t>
  </si>
  <si>
    <t>R2304</t>
  </si>
  <si>
    <t>R2305</t>
  </si>
  <si>
    <t>octopus</t>
  </si>
  <si>
    <t>R2306</t>
  </si>
  <si>
    <t>olive de mer</t>
  </si>
  <si>
    <t>R2307</t>
  </si>
  <si>
    <t>ormeau</t>
  </si>
  <si>
    <t>R2308</t>
  </si>
  <si>
    <t>ormeau d australie</t>
  </si>
  <si>
    <t>R2309</t>
  </si>
  <si>
    <t>ormeau de l ocean indien</t>
  </si>
  <si>
    <t>R2310</t>
  </si>
  <si>
    <t>ormeau du pacifique</t>
  </si>
  <si>
    <t>R2311</t>
  </si>
  <si>
    <t>ormeaux</t>
  </si>
  <si>
    <t>R2312</t>
  </si>
  <si>
    <t>ostreola conchaphila huitre plate du pacifique</t>
  </si>
  <si>
    <t>R2313</t>
  </si>
  <si>
    <t>ovarque</t>
  </si>
  <si>
    <t>R2314</t>
  </si>
  <si>
    <t>oyster</t>
  </si>
  <si>
    <t>R2315</t>
  </si>
  <si>
    <t>oysters</t>
  </si>
  <si>
    <t>R2316</t>
  </si>
  <si>
    <t>palourde</t>
  </si>
  <si>
    <t>R2317</t>
  </si>
  <si>
    <t>palourde bariolee</t>
  </si>
  <si>
    <t>R2318</t>
  </si>
  <si>
    <t>palourde de gay</t>
  </si>
  <si>
    <t>R2319</t>
  </si>
  <si>
    <t>palourde du pacifique</t>
  </si>
  <si>
    <t>R2320</t>
  </si>
  <si>
    <t>palourde japonaise</t>
  </si>
  <si>
    <t>R2321</t>
  </si>
  <si>
    <t>palourde pegon</t>
  </si>
  <si>
    <t>R2322</t>
  </si>
  <si>
    <t>palourde poulette</t>
  </si>
  <si>
    <t>R2323</t>
  </si>
  <si>
    <t>palourde rose</t>
  </si>
  <si>
    <t>R2324</t>
  </si>
  <si>
    <t>palourde rugueuse</t>
  </si>
  <si>
    <t>R2325</t>
  </si>
  <si>
    <t>palourdes</t>
  </si>
  <si>
    <t>R2326</t>
  </si>
  <si>
    <t>panopee</t>
  </si>
  <si>
    <t>R2327</t>
  </si>
  <si>
    <t>patelle</t>
  </si>
  <si>
    <t>R2328</t>
  </si>
  <si>
    <t>perna canaliculus</t>
  </si>
  <si>
    <t>R2329</t>
  </si>
  <si>
    <t>petit couteau</t>
  </si>
  <si>
    <t>R2330</t>
  </si>
  <si>
    <t>pétoncle</t>
  </si>
  <si>
    <t>petoncle</t>
  </si>
  <si>
    <t>R2331</t>
  </si>
  <si>
    <t>pétoncles</t>
  </si>
  <si>
    <t>petoncles</t>
  </si>
  <si>
    <t>R2332</t>
  </si>
  <si>
    <t>petricole</t>
  </si>
  <si>
    <t>R2333</t>
  </si>
  <si>
    <t>pholade</t>
  </si>
  <si>
    <t>R2334</t>
  </si>
  <si>
    <t>pieuvre</t>
  </si>
  <si>
    <t>R2335</t>
  </si>
  <si>
    <t>pieuvres</t>
  </si>
  <si>
    <t>R2336</t>
  </si>
  <si>
    <t>pintadine</t>
  </si>
  <si>
    <t>R2337</t>
  </si>
  <si>
    <t>pitar</t>
  </si>
  <si>
    <t>R2338</t>
  </si>
  <si>
    <t>poulpe</t>
  </si>
  <si>
    <t>R2339</t>
  </si>
  <si>
    <t>poulpe blanc</t>
  </si>
  <si>
    <t>R2340</t>
  </si>
  <si>
    <t>poulpe geant</t>
  </si>
  <si>
    <t>R2341</t>
  </si>
  <si>
    <t>poulpe mexicain</t>
  </si>
  <si>
    <t>R2342</t>
  </si>
  <si>
    <t>poulpe nain</t>
  </si>
  <si>
    <t>R2343</t>
  </si>
  <si>
    <t>poulpe quatre yeux</t>
  </si>
  <si>
    <t>R2344</t>
  </si>
  <si>
    <t>poulpes</t>
  </si>
  <si>
    <t>R2345</t>
  </si>
  <si>
    <t>pourpre</t>
  </si>
  <si>
    <t>R2346</t>
  </si>
  <si>
    <t>praire</t>
  </si>
  <si>
    <t>R2347</t>
  </si>
  <si>
    <t>praires</t>
  </si>
  <si>
    <t>R2348</t>
  </si>
  <si>
    <t>psammobie</t>
  </si>
  <si>
    <t>R2349</t>
  </si>
  <si>
    <t>pterocere</t>
  </si>
  <si>
    <t>R2350</t>
  </si>
  <si>
    <t>pycnodonte</t>
  </si>
  <si>
    <t>R2351</t>
  </si>
  <si>
    <t>rangie</t>
  </si>
  <si>
    <t>R2352</t>
  </si>
  <si>
    <t>rapane veine</t>
  </si>
  <si>
    <t>R2353</t>
  </si>
  <si>
    <t>risotto nero</t>
  </si>
  <si>
    <t>R2354</t>
  </si>
  <si>
    <t>rocher</t>
  </si>
  <si>
    <t>R2355</t>
  </si>
  <si>
    <t>saint jacques</t>
  </si>
  <si>
    <t>R2356</t>
  </si>
  <si>
    <t>sanguine de mer</t>
  </si>
  <si>
    <t>R2357</t>
  </si>
  <si>
    <t>sauce aux huîtres</t>
  </si>
  <si>
    <t>sauce aux huitres</t>
  </si>
  <si>
    <t>R2358</t>
  </si>
  <si>
    <t>sauce d huître</t>
  </si>
  <si>
    <t>sauce d huitre</t>
  </si>
  <si>
    <t>R2359</t>
  </si>
  <si>
    <t>saxidome</t>
  </si>
  <si>
    <t>R2360</t>
  </si>
  <si>
    <t>scallop</t>
  </si>
  <si>
    <t>R2361</t>
  </si>
  <si>
    <t>scallops</t>
  </si>
  <si>
    <t>R2362</t>
  </si>
  <si>
    <t>seiche</t>
  </si>
  <si>
    <t>R2363</t>
  </si>
  <si>
    <t>seiche aiguille</t>
  </si>
  <si>
    <t>R2364</t>
  </si>
  <si>
    <t>seiche hamecon</t>
  </si>
  <si>
    <t>R2365</t>
  </si>
  <si>
    <t>seiche petite main</t>
  </si>
  <si>
    <t>R2366</t>
  </si>
  <si>
    <t>seiche pharaon</t>
  </si>
  <si>
    <t>R2367</t>
  </si>
  <si>
    <t>seiche rosee</t>
  </si>
  <si>
    <t>R2368</t>
  </si>
  <si>
    <t>seiches</t>
  </si>
  <si>
    <t>R2369</t>
  </si>
  <si>
    <t>semele</t>
  </si>
  <si>
    <t>R2370</t>
  </si>
  <si>
    <t>silique</t>
  </si>
  <si>
    <t>R2371</t>
  </si>
  <si>
    <t>solecurte</t>
  </si>
  <si>
    <t>R2372</t>
  </si>
  <si>
    <t>spisule</t>
  </si>
  <si>
    <t>R2373</t>
  </si>
  <si>
    <t>spondyle</t>
  </si>
  <si>
    <t>R2374</t>
  </si>
  <si>
    <t>squid</t>
  </si>
  <si>
    <t>R2375</t>
  </si>
  <si>
    <t>striostrea prismatica huitre plate du pacifique</t>
  </si>
  <si>
    <t>R2376</t>
  </si>
  <si>
    <t>strombe</t>
  </si>
  <si>
    <t>R2377</t>
  </si>
  <si>
    <t>tagal</t>
  </si>
  <si>
    <t>R2378</t>
  </si>
  <si>
    <t>telline</t>
  </si>
  <si>
    <t>R2379</t>
  </si>
  <si>
    <t>tellines</t>
  </si>
  <si>
    <t>R2380</t>
  </si>
  <si>
    <t>tivel</t>
  </si>
  <si>
    <t>R2381</t>
  </si>
  <si>
    <t>tonnelet</t>
  </si>
  <si>
    <t>R2382</t>
  </si>
  <si>
    <t>toutout</t>
  </si>
  <si>
    <t>R2383</t>
  </si>
  <si>
    <t>triton</t>
  </si>
  <si>
    <t>R2384</t>
  </si>
  <si>
    <t>trophe</t>
  </si>
  <si>
    <t>R2385</t>
  </si>
  <si>
    <t>troque</t>
  </si>
  <si>
    <t>R2386</t>
  </si>
  <si>
    <t>turban</t>
  </si>
  <si>
    <t>R2387</t>
  </si>
  <si>
    <t>venus</t>
  </si>
  <si>
    <t>R2388</t>
  </si>
  <si>
    <t>venus du vietnam</t>
  </si>
  <si>
    <t>R2389</t>
  </si>
  <si>
    <t>venus gallinette</t>
  </si>
  <si>
    <t>R2390</t>
  </si>
  <si>
    <t>vernis</t>
  </si>
  <si>
    <t>R2391</t>
  </si>
  <si>
    <t>vernis pourpre</t>
  </si>
  <si>
    <t>R2392</t>
  </si>
  <si>
    <t>volute</t>
  </si>
  <si>
    <t>R2393</t>
  </si>
  <si>
    <t>volute marbree</t>
  </si>
  <si>
    <t>R2394</t>
  </si>
  <si>
    <t>whelk</t>
  </si>
  <si>
    <t>R2395</t>
  </si>
  <si>
    <t>whelks</t>
  </si>
  <si>
    <t>R2396</t>
  </si>
  <si>
    <t>yet</t>
  </si>
  <si>
    <t>R2397</t>
  </si>
  <si>
    <t>coque chocolat</t>
  </si>
  <si>
    <t>Évite un faux positif de matériel.</t>
  </si>
  <si>
    <t>R2398</t>
  </si>
  <si>
    <t>coque de bateau</t>
  </si>
  <si>
    <t>R2399</t>
  </si>
  <si>
    <t>coque de macaron</t>
  </si>
  <si>
    <t>R2400</t>
  </si>
  <si>
    <t>coque de meringue</t>
  </si>
  <si>
    <t>R2401</t>
  </si>
  <si>
    <t>couteau de cuisine</t>
  </si>
  <si>
    <t>R2402</t>
  </si>
  <si>
    <t>couteaux de cuisine</t>
  </si>
  <si>
    <t>R2403</t>
  </si>
  <si>
    <t>R2404</t>
  </si>
  <si>
    <t>R2405</t>
  </si>
  <si>
    <t>R2406</t>
  </si>
  <si>
    <t>R2407</t>
  </si>
  <si>
    <t>R2408</t>
  </si>
  <si>
    <t>R2409</t>
  </si>
  <si>
    <t>R2410</t>
  </si>
  <si>
    <t>moule inox</t>
  </si>
  <si>
    <t>R2411</t>
  </si>
  <si>
    <t>moule pâtisserie</t>
  </si>
  <si>
    <t>moule patisserie</t>
  </si>
  <si>
    <t>R2412</t>
  </si>
  <si>
    <t>moule silicone</t>
  </si>
  <si>
    <t>R2413</t>
  </si>
  <si>
    <t>R2414</t>
  </si>
  <si>
    <t>R2415</t>
  </si>
  <si>
    <t>fruits de mer surgelés</t>
  </si>
  <si>
    <t>fruits de mer surgeles</t>
  </si>
  <si>
    <t>R2416</t>
  </si>
  <si>
    <t>sauce huître végétarienne</t>
  </si>
  <si>
    <t>sauce huitre vegetarienne</t>
  </si>
  <si>
    <t>R2417</t>
  </si>
  <si>
    <t>R2418</t>
  </si>
  <si>
    <t>sucre semoule</t>
  </si>
  <si>
    <t>Exclusion ciblée : le sucre semoule n’est pas une céréale et ne contient pas de gluten par nature.</t>
  </si>
  <si>
    <t>R2419</t>
  </si>
  <si>
    <t>boulghour</t>
  </si>
  <si>
    <t>Cuisine/Traiteur/Restauration collective</t>
  </si>
  <si>
    <t>Variante orthographique courante du boulgour, produit à base de blé.</t>
  </si>
  <si>
    <t>R2420</t>
  </si>
  <si>
    <t>boulghour fin</t>
  </si>
  <si>
    <t>Dénomination commerciale courante d’un produit à base de blé.</t>
  </si>
  <si>
    <t>R2421</t>
  </si>
  <si>
    <t>bulghour</t>
  </si>
  <si>
    <t>Variante orthographique du boulgour, produit à base de blé.</t>
  </si>
  <si>
    <t>R2422</t>
  </si>
  <si>
    <t>Nom générique du poisson ; permet de détecter les préparations au thon.</t>
  </si>
  <si>
    <t>R2423</t>
  </si>
  <si>
    <t>thon au naturel</t>
  </si>
  <si>
    <t>Dénomination usuelle d’une conserve de poisson.</t>
  </si>
  <si>
    <t>R2424</t>
  </si>
  <si>
    <t>mozarella</t>
  </si>
  <si>
    <t>Cuisine/Traiteur/Pizzeria</t>
  </si>
  <si>
    <t>Variante orthographique fréquente de mozzarella.</t>
  </si>
  <si>
    <t>R2425</t>
  </si>
  <si>
    <t>tomate et mozarella au basilic</t>
  </si>
  <si>
    <t>Dénomination de plat contenant un fromage au lait.</t>
  </si>
  <si>
    <t>sirop de glucose à base de blé</t>
  </si>
  <si>
    <t>sirop de glucose a base de ble</t>
  </si>
  <si>
    <t>Exception réglementaire à la déclaration du gluten.</t>
  </si>
  <si>
    <t>sirops de glucose à base de blé</t>
  </si>
  <si>
    <t>sirops de glucose a base de ble</t>
  </si>
  <si>
    <t>Variante plurielle de l’exception réglementaire.</t>
  </si>
  <si>
    <t>sirop de glucose de blé</t>
  </si>
  <si>
    <t>sirop de glucose de ble</t>
  </si>
  <si>
    <t>Variante usuelle de l’exception réglementaire.</t>
  </si>
  <si>
    <t>sirops de glucose de blé</t>
  </si>
  <si>
    <t>sirops de glucose de ble</t>
  </si>
  <si>
    <t>dextrose de blé</t>
  </si>
  <si>
    <t>dextrose de ble</t>
  </si>
  <si>
    <t>Le dextrose est inclus dans l’exception des sirops de glucose à base de blé.</t>
  </si>
  <si>
    <t>maltodextrine de ble</t>
  </si>
  <si>
    <t>maltodextrines de blé</t>
  </si>
  <si>
    <t>maltodextrines de ble</t>
  </si>
  <si>
    <t>maltodextrine à base de blé</t>
  </si>
  <si>
    <t>maltodextrine a base de ble</t>
  </si>
  <si>
    <t>maltodextrines à base de blé</t>
  </si>
  <si>
    <t>maltodextrines a base de ble</t>
  </si>
  <si>
    <t>sirop de glucose à base d’orge</t>
  </si>
  <si>
    <t>sirop de glucose a base d orge</t>
  </si>
  <si>
    <t>sirops de glucose à base d’orge</t>
  </si>
  <si>
    <t>sirops de glucose a base d orge</t>
  </si>
  <si>
    <t>sirop de glucose d’orge</t>
  </si>
  <si>
    <t>sirop de glucose d orge</t>
  </si>
  <si>
    <t>sirops de glucose d’orge</t>
  </si>
  <si>
    <t>sirops de glucose d orge</t>
  </si>
  <si>
    <t>Exclusion du contrôle œuf/lait propre au vin.</t>
  </si>
  <si>
    <t>vinaigre au vin</t>
  </si>
  <si>
    <t>Contrôler l’étiquette : œuf, lait et sulfites peuvent être déclarés s’ils sont détectables.</t>
  </si>
  <si>
    <t>farine</t>
  </si>
  <si>
    <t>Terme générique : la céréale n’est pas précisée. Vérifier la nature de la farine avant de conclure à la présence de gluten.</t>
  </si>
  <si>
    <t>Vin : ? tant que l’étiquette n’est pas contrôlée (Œufs, Lait, Sulfites possibles). Voir lignes 103 à 116.</t>
  </si>
  <si>
    <t>INTITULÉ DU PLAT / BOISSON / PRODUIT  Texte saisi ou à coller dans cette colonne</t>
  </si>
  <si>
    <t>AFFICHAGE CARTE Texte à Copier / coller (collage spécial 1.2.3.Valeur)</t>
  </si>
  <si>
    <t>ALLERGÈNES À VÉRIFIER</t>
  </si>
  <si>
    <t>sucre glace</t>
  </si>
  <si>
    <t>dos de colin</t>
  </si>
  <si>
    <t xml:space="preserve"> Anhydride sulfureux et sulfites </t>
  </si>
  <si>
    <t xml:space="preserve">Lupin </t>
  </si>
  <si>
    <t>huile d'arachide</t>
  </si>
  <si>
    <t xml:space="preserve">Pour un libellé générique comme « vin rouge » ou « vin blanc », le ? signifie : vérifier la bouteille ou la fiche technique. </t>
  </si>
  <si>
    <t>Si l’étiquette indique « contient des sulfites », « œuf » ou « lait », l’allergène concerné devient certain (*) pour le produit réellement utilisé.</t>
  </si>
  <si>
    <t>Composition variable selon la recette ou le fabricant → ? tant que la fiche technique n’a pas confirmé les allergènes.</t>
  </si>
  <si>
    <t xml:space="preserve"> Après contrôle, les allergènes réellement présents doivent être considérés comme certains (*).</t>
  </si>
  <si>
    <t>Dans la base actuelle, il est classé * pour les sulfites. En pratique, ce statut doit correspondre au produit réellement utilisé :</t>
  </si>
  <si>
    <t xml:space="preserve"> si l’étiquette ou la fiche technique confirme les sulfites, * ; sinon la règle doit être réévaluée.</t>
  </si>
  <si>
    <t>LES 14 ALLERGÈNES — OÙ PEUT-ON LES TROUVER ?</t>
  </si>
  <si>
    <t>Objectif CFA</t>
  </si>
  <si>
    <t>Savoir reconnaître un allergène évident, repérer un produit à risque, vérifier l'information disponible, décider avant le service et conserver une traçabilité exploitable.</t>
  </si>
  <si>
    <t>Dans notre outil</t>
  </si>
  <si>
    <t>* = allergène identifié avec certitude pour le produit tel qu'il est décrit.</t>
  </si>
  <si>
    <t>? = la dénomination ou les informations disponibles ne permettent pas de conclure : contrôle obligatoire avant de considérer le produit comme compatible.</t>
  </si>
  <si>
    <t>Point essentiel</t>
  </si>
  <si>
    <t xml:space="preserve">Lire l'étiquette et la fiche technique est indispensable, mais ce n'est pas une garantie absolue. </t>
  </si>
  <si>
    <t>Il faut contrôler le produit réellement livré et servi, sa référence, son lot, sa version de fiche technique et toute modification de composition.</t>
  </si>
  <si>
    <t>ALLERGÈNE</t>
  </si>
  <si>
    <t>ON LE TROUVE ÉVIDEMMENT DANS…</t>
  </si>
  <si>
    <t>1. Céréales contenant du gluten</t>
  </si>
  <si>
    <t>Blé, seigle, orge, avoine, épeautre, kamut.</t>
  </si>
  <si>
    <t>2. Crustacés</t>
  </si>
  <si>
    <t>Crevette, crabe, homard, langouste, langoustine, écrevisse.</t>
  </si>
  <si>
    <t>3. Œufs</t>
  </si>
  <si>
    <t>Œuf entier, jaune d'œuf, blanc d'œuf.</t>
  </si>
  <si>
    <t>4. Poissons</t>
  </si>
  <si>
    <t>Saumon, thon, cabillaud, colin, merlu, sardine, anchois, sole, truite, etc.</t>
  </si>
  <si>
    <t>5. Arachides</t>
  </si>
  <si>
    <t>Cacahuètes, pâte et beurre d'arachide.</t>
  </si>
  <si>
    <t>6. Soja</t>
  </si>
  <si>
    <t>Graines de soja, tofu, tempeh.</t>
  </si>
  <si>
    <t>7. Lait</t>
  </si>
  <si>
    <t>Lait, crème, beurre, fromage, yaourt.</t>
  </si>
  <si>
    <t>8. Fruits à coque</t>
  </si>
  <si>
    <t>Amande, noisette, noix, noix de cajou, noix de pécan, noix du Brésil, pistache, noix de Macadamia.</t>
  </si>
  <si>
    <t>9. Céleri</t>
  </si>
  <si>
    <t>Céleri-branche, céleri-rave, graines de céleri.</t>
  </si>
  <si>
    <t>10. Moutarde</t>
  </si>
  <si>
    <t>Moutarde, graines de moutarde.</t>
  </si>
  <si>
    <t>11. Graines de sésame</t>
  </si>
  <si>
    <t>Sésame blanc, blond ou noir.</t>
  </si>
  <si>
    <t>12. Anhydride sulfureux et sulfites</t>
  </si>
  <si>
    <t>Produits portant la mention sulfites, dioxyde de soufre ou E220 à E228.</t>
  </si>
  <si>
    <t>13. Lupin</t>
  </si>
  <si>
    <t>Graines de lupin, farine de lupin.</t>
  </si>
  <si>
    <t>14. Mollusques</t>
  </si>
  <si>
    <t>Moule, huître, coquille Saint-Jacques, palourde, escargot, calmar, seiche, poulpe.</t>
  </si>
  <si>
    <t>IL PEUT AUSSI SE CACHER DANS…</t>
  </si>
  <si>
    <t>Farines, chapelure, pâtes, semoule, boulgour, couscous, biscuits, pâtisseries, panures, roux et certaines sauces liées.</t>
  </si>
  <si>
    <t>Fumets, bisques, sauces, soupes de poissons, préparations asiatiques et mélanges de fruits de mer.</t>
  </si>
  <si>
    <t>Mayonnaise, sauces émulsionnées, pâtisseries, biscuits, pâtes fraîches, panures, farces et certaines charcuteries.</t>
  </si>
  <si>
    <t>Fumet de poisson, sauce poisson, nuoc-mâm, anchois dans certaines sauces, condiments et préparations.</t>
  </si>
  <si>
    <t>Sauces exotiques, préparations asiatiques ou africaines, confiseries, pâtisseries, assaisonnements ou produits composés.</t>
  </si>
  <si>
    <t>Sauce soja, miso, protéines de soja, boissons végétales au soja, lécithine de soja et certains produits végétaux transformés.</t>
  </si>
  <si>
    <t>Lactose, lactosérum, caséine, poudre de lait, chocolat au lait, purées, sauces, pâtisseries et certaines margarines.</t>
  </si>
  <si>
    <t>Praliné, pâte d'amande, nougat, pesto, chocolats, pâtisseries et desserts.</t>
  </si>
  <si>
    <t>Fonds, bouillons, potages, sauces, jus, mélanges d'épices et certaines préparations industrielles.</t>
  </si>
  <si>
    <t>Mayonnaises, vinaigrettes, sauces, marinades, charcuteries et condiments.</t>
  </si>
  <si>
    <t>Tahini, pains spéciaux, houmous, sauces et préparations orientales ou asiatiques.</t>
  </si>
  <si>
    <t>Vin, certains vinaigres, fruits secs, fruits confits, certaines préparations de pommes de terre et autres produits transformés.</t>
  </si>
  <si>
    <t>Farines composées, certains pains, biscuits, pâtisseries et produits de boulangerie.</t>
  </si>
  <si>
    <t>Sauces, soupes, fumets et préparations de fruits de mer.</t>
  </si>
  <si>
    <t>EXEMPLES EN CUISINE</t>
  </si>
  <si>
    <t>Roux, béchamel, pâte à tarte, pain, croûtons, panures, certaines sauces liées.</t>
  </si>
  <si>
    <t>Bisque de homard, sauce américaine, crevettes sautées, fumet de crustacés.</t>
  </si>
  <si>
    <t>Mayonnaise, crème anglaise, génoise, quiche, pâte à choux, dorure.</t>
  </si>
  <si>
    <t>Dos de colin, brandade, soupe de poisson, sauce aux anchois, fumet.</t>
  </si>
  <si>
    <t>Sauce satay, cacahuètes grillées, beurre de cacahuète.</t>
  </si>
  <si>
    <t>Tofu, sauce soja, desserts au soja, certaines préparations végétales.</t>
  </si>
  <si>
    <t>Crème fraîche, beurre, béchamel, gratin, mozzarella, parmesan, crème glacée.</t>
  </si>
  <si>
    <t>Paris-Brest, frangipane, praliné, pesto contenant des fruits à coque.</t>
  </si>
  <si>
    <t>Céleri rémoulade, mirepoix, fond brun, bouillon, potage.</t>
  </si>
  <si>
    <t>Vinaigrette, sauce moutarde, mayonnaise contenant de la moutarde, marinade.</t>
  </si>
  <si>
    <t>Houmous au tahini, pain au sésame, sauce sésame.</t>
  </si>
  <si>
    <t>Vin, raisins secs, fruits confits : vérifier le produit réellement utilisé et sa documentation.</t>
  </si>
  <si>
    <t>Pain ou pâtisserie contenant de la farine de lupin.</t>
  </si>
  <si>
    <t>Moules marinières, encornets, seiche, poulpe, escargots, coquilles Saint-Jacques.</t>
  </si>
  <si>
    <t>ATTENTION AUX PRODUITS COMPOSÉS, AUX SUBSTITUTIONS ET AUX PAI</t>
  </si>
  <si>
    <t xml:space="preserve">Le nom d'un produit ne suffit pas toujours pour connaître son profil allergène. </t>
  </si>
  <si>
    <t>Une charcuterie, une sauce, un fond, une saumure, une marinade ou un produit industriel peut contenir un allergène qui n'est pas évident dans son nom.</t>
  </si>
  <si>
    <t>Limite de la fiche technique</t>
  </si>
  <si>
    <t xml:space="preserve">La fiche technique est une référence indispensable, mais elle peut être ancienne, mal associée au produit réellement livré, ne plus correspondre à une nouvelle formulation </t>
  </si>
  <si>
    <t>ou ne pas permettre à elle seule d'exclure une contamination croisée.</t>
  </si>
  <si>
    <t>CAS PROFESSIONNEL CFA — PAI : L'ALLERGÈNE N'ÉTAIT PAS VISIBLE</t>
  </si>
  <si>
    <t>Contexte</t>
  </si>
  <si>
    <t>Cuisine centrale municipale servant notamment des enfants et des résidents d'EHPAD. Un enfant dispose d'un PAI pour allergie alimentaire.</t>
  </si>
  <si>
    <t>Menu prévu</t>
  </si>
  <si>
    <t>Poisson et purée. Pour respecter le PAI, le menu de l'enfant est remplacé par jambon blanc et salade composée.</t>
  </si>
  <si>
    <t>Au moment du repas</t>
  </si>
  <si>
    <t>Réaction allergique grave : appel des secours, prise en charge hospitalière et diagnostic d'œdème de Quincke.</t>
  </si>
  <si>
    <t>Première réaction autour de l'incident</t>
  </si>
  <si>
    <t>Le changement de menu fait immédiatement suspecter un non-respect du PAI. Le menu, la recette et les ingrédients utilisés en cuisine sont contrôlés :</t>
  </si>
  <si>
    <t xml:space="preserve"> aucune arachide n'a été volontairement employée par l'équipe.</t>
  </si>
  <si>
    <t>Enquête</t>
  </si>
  <si>
    <t>Les services compétents et le laboratoire sont saisis. L'analyse met en évidence la présence d'arachide dans le produit de jambon utilisé, via sa saumure selon le résultat de l'enquête.</t>
  </si>
  <si>
    <t>Leçon essentielle</t>
  </si>
  <si>
    <t>L'absence d'arachide dans la recette de la cuisine et l'absence d'utilisation volontaire par l'équipe ne suffisaient pas à garantir l'absence d'arachide dans un produit industriel composé.</t>
  </si>
  <si>
    <t>Pourquoi ce cas est important</t>
  </si>
  <si>
    <t xml:space="preserve">Il montre qu'une substitution décidée pour protéger un convive peut introduire un risque différent. </t>
  </si>
  <si>
    <t>Le produit de remplacement doit donc être contrôlé comme un nouveau produit, même s'il paraît simple ou habituel.</t>
  </si>
  <si>
    <t>Conséquence professionnelle</t>
  </si>
  <si>
    <t xml:space="preserve">Un incident allergique entraîne immédiatement une enquête et peut mettre en cause l'organisation, les personnes et la réputation de l'établissement </t>
  </si>
  <si>
    <t>avant même que la cause réelle soit connue. Une traçabilité précise est donc indispensable.</t>
  </si>
  <si>
    <t>CE QUE L'APPRENANT DOIT RETENIR</t>
  </si>
  <si>
    <t>Un PAI ne se gère pas seulement avec une liste d'aliments interdits : chaque produit réellement servi doit être compatible avec le PAI.</t>
  </si>
  <si>
    <t>Un changement de menu = une nouvelle analyse du risque allergène. Ne jamais considérer le produit de remplacement comme automatiquement sûr.</t>
  </si>
  <si>
    <t>Le nom commercial n'est pas une preuve. « Jambon blanc », « fond brun », « margarine », « sauce », « dessert », etc. peuvent être des produits composés.</t>
  </si>
  <si>
    <t>Contrôler l'étiquette du produit réellement livré, puis la fiche technique correspondant à la bonne référence et, si possible, à la formulation en vigueur.</t>
  </si>
  <si>
    <t>Conserver les éléments de traçabilité : fournisseur, marque, référence, numéro de lot, date de livraison, emballage ou photo de l'étiquette et fiche technique utilisée.</t>
  </si>
  <si>
    <t xml:space="preserve">Si la composition est incertaine, contradictoire ou impossible à vérifier pour un convive allergique : ne pas improviser. </t>
  </si>
  <si>
    <t>Utiliser une solution de remplacement validée selon le protocole de l'établissement.</t>
  </si>
  <si>
    <t>La traçabilité protège d'abord le convive, mais elle permet aussi de reconstituer les faits et de déterminer l'origine réelle d'un incident.</t>
  </si>
  <si>
    <t>AVANT DE SERVIR UN REPAS DE REMPLACEMENT PAI</t>
  </si>
  <si>
    <t>1. Identifier</t>
  </si>
  <si>
    <t>Relire le PAI : allergène(s) concerné(s), consignes particulières, procédure prévue et conduite à tenir en urgence.</t>
  </si>
  <si>
    <t>2. Refaire le contrôle</t>
  </si>
  <si>
    <t>Considérer le produit de substitution comme une nouvelle matière première : vérifier tous ses ingrédients et allergènes.</t>
  </si>
  <si>
    <t>3. Contrôler le produit réel</t>
  </si>
  <si>
    <t>Ne pas se contenter d'une fiche générique. Vérifier la marque, la référence et l'étiquette du conditionnement réellement utilisé.</t>
  </si>
  <si>
    <t>4. Vérifier la documentation</t>
  </si>
  <si>
    <t>Comparer l'étiquette et la fiche technique. En cas d'écart, d'ancienne version ou de doute, arrêter la décision et demander confirmation.</t>
  </si>
  <si>
    <t>5. Tracer</t>
  </si>
  <si>
    <t>Conserver le lot, le fournisseur, la date, le document contrôlé et la personne ayant réalisé la vérification selon l'organisation de l'établissement.</t>
  </si>
  <si>
    <t>6. Décider</t>
  </si>
  <si>
    <t>Si la sécurité ne peut pas être établie, ne pas servir ce produit au convive concerné et appliquer la solution de remplacement prévue.</t>
  </si>
  <si>
    <t>EN CAS D'INCIDENT ALLERGIQUE</t>
  </si>
  <si>
    <t>Priorité absolue</t>
  </si>
  <si>
    <t>Appliquer immédiatement le protocole d'urgence prévu pour le convive et alerter les secours selon la situation. La recherche de responsabilité vient après la prise en charge.</t>
  </si>
  <si>
    <t>Préserver les preuves</t>
  </si>
  <si>
    <t>Mettre de côté l'emballage, le numéro de lot, le produit restant si le protocole le permet, le bon de livraison, la fiche technique,</t>
  </si>
  <si>
    <t xml:space="preserve"> le menu, la fiche de production et les enregistrements de traçabilité.</t>
  </si>
  <si>
    <t>Reconstituer les faits</t>
  </si>
  <si>
    <t>Noter l'heure, le produit servi, la quantité, les opérations réalisées, les personnes présentes et les informations transmises.</t>
  </si>
  <si>
    <t>Éviter les conclusions hâtives</t>
  </si>
  <si>
    <t>Ne pas attribuer immédiatement l'incident à une erreur de cuisine ou, inversement, au fournisseur. Les analyses et la traçabilité doivent établir les faits.</t>
  </si>
  <si>
    <t>PROTÉGER LE CONVIVE ET LE PROFESSIONNEL</t>
  </si>
  <si>
    <t>Sécurité</t>
  </si>
  <si>
    <t>La vigilance allergène doit couvrir toute la chaîne : achat, réception, stockage, production, substitution, service et traçabilité.</t>
  </si>
  <si>
    <t>Responsabilité</t>
  </si>
  <si>
    <t>Une information fournisseur incomplète ou un changement de composition peut placer la cuisine en difficulté même si la recette interne est correctement maîtrisée.</t>
  </si>
  <si>
    <t>Traçabilité</t>
  </si>
  <si>
    <t>Une fiche technique explique ce que le produit est censé contenir ; la traçabilité permet de démontrer quel produit et quel lot ont réellement été servis.</t>
  </si>
  <si>
    <t>Réputation professionnelle</t>
  </si>
  <si>
    <t xml:space="preserve">Un incident peut marquer durablement un établissement ou un professionnel. Des preuves factuelles, </t>
  </si>
  <si>
    <t>datées et conservées sont essentielles pour sortir du registre de l'accusation et revenir aux faits.</t>
  </si>
  <si>
    <t>EXEMPLES À INTERPRÉTER CORRECTEMENT</t>
  </si>
  <si>
    <t>Fond brun de veau ?</t>
  </si>
  <si>
    <t>Produit composé : vérifier notamment gluten, céleri et tout autre allergène déclaré par le fabricant.</t>
  </si>
  <si>
    <t>Farine ?</t>
  </si>
  <si>
    <t>Le mot « farine » seul ne précise pas la céréale. Farine de blé = gluten certain ; farine de riz ou de maïs ≠ gluten automatiquement.</t>
  </si>
  <si>
    <t>Vin ?</t>
  </si>
  <si>
    <t>Vérifier notamment les sulfites et les mentions allergènes réellement portées par le produit utilisé.</t>
  </si>
  <si>
    <t>Sucre glace</t>
  </si>
  <si>
    <t>Le mot « glace » ne signifie pas crème glacée : il ne doit pas déclencher automatiquement l'allergène lait.</t>
  </si>
  <si>
    <t>Raisins secs ? / Fruits confits ?</t>
  </si>
  <si>
    <t>Les sulfites peuvent être présents : vérifier l'étiquette et la fiche du produit réellement utilisé.</t>
  </si>
  <si>
    <t>Produit avec « ou »</t>
  </si>
  <si>
    <t>Exemple « beurre ou margarine » : le produit réellement utilisé doit être identifié avant de conclure sur les allergènes.</t>
  </si>
  <si>
    <t>RÉFLEXE PROFESSIONNEL</t>
  </si>
  <si>
    <t>Question 1</t>
  </si>
  <si>
    <t>L'allergène est-il évident dans le nom ? Exemple : beurre → lait ; crevettes → crustacés ; dos de colin → poisson. Si oui : *.</t>
  </si>
  <si>
    <t>Question 2</t>
  </si>
  <si>
    <t>Le produit est-il composé ou sa dénomination est-elle imprécise ? Exemple : farine, fond, margarine, vin, charcuterie industrielle. Si oui : vérifier avant de conclure.</t>
  </si>
  <si>
    <t>Question 3</t>
  </si>
  <si>
    <t>Ai-je contrôlé le produit réellement utilisé, et pas seulement une recette théorique ou une ancienne fiche technique ?</t>
  </si>
  <si>
    <t>Question 4</t>
  </si>
  <si>
    <t>Puis-je retrouver après le service la marque, la référence, le lot et le document qui ont servi à ma décision ?</t>
  </si>
  <si>
    <t>Question 5</t>
  </si>
  <si>
    <t>Pour un PAI, la substitution a-t-elle été vérifiée comme un nouveau risque avant d'être servie ?</t>
  </si>
  <si>
    <t>À RETENIR</t>
  </si>
  <si>
    <t>On ne devine jamais un allergène et on ne déclare jamais « absence garantie » sur la seule apparence d'un produit.</t>
  </si>
  <si>
    <t>*</t>
  </si>
  <si>
    <t>JE SAIS : l'allergène est présent dans le produit identifié.</t>
  </si>
  <si>
    <t>JE DOIS VÉRIFIER avant de conclure.</t>
  </si>
  <si>
    <t>Aucun symbole</t>
  </si>
  <si>
    <t>Le moteur n'a rien identifié avec les informations disponibles ; cela ne prouve pas l'absence absolue d'allergène dans un produit composé.</t>
  </si>
  <si>
    <t>Fiche technique</t>
  </si>
  <si>
    <t>Document de référence indispensable, à rapprocher du produit, de la référence et de la version réellement utilisés.</t>
  </si>
  <si>
    <t>Preuve du produit réellement reçu, utilisé et servi.</t>
  </si>
  <si>
    <t>PAI</t>
  </si>
  <si>
    <t>Toute substitution doit être considérée comme une nouvelle décision de sécurité alimentaire.</t>
  </si>
  <si>
    <t>MESSAGE CFA</t>
  </si>
  <si>
    <t>La sécurité allergène ne repose pas sur une seule personne ni sur un seul document.</t>
  </si>
  <si>
    <t xml:space="preserve"> Elle repose sur une chaîne de contrôles, une décision prudente et une traçabilité capable de démontrer les faits.</t>
  </si>
  <si>
    <t>Règle à retenir</t>
  </si>
  <si>
    <t>Raisins secs → ? Sulfites</t>
  </si>
  <si>
    <t>Pour raisins secs et fruits confits, dès que la fiche technique indique sulfites / E220 à E228 au-dessus du seuil réglementaire, le statut devient *.</t>
  </si>
  <si>
    <t>Fruits confits en cubes → ? Sulfites</t>
  </si>
  <si>
    <t>Sucre glace → aucun ? à cause du mot “glace”</t>
  </si>
  <si>
    <t>Sucre glace ? → faux positif du moteur. Le document ne possède aucune règle sucre glace. Il trouve simplement le mot glace, enregistré en Lait – SUSPICION</t>
  </si>
  <si>
    <t>Il comprend donc à tort sucre glace comme s’il s’agissait d’une glace alimentaire pouvant contenir du lait.</t>
  </si>
  <si>
    <t xml:space="preserve">Le défaut « sucre glace » montre surtout qu’il faut corriger le mot-clé générique glace : il est trop large. </t>
  </si>
  <si>
    <t>Il vaut mieux reconnaître crème glacée, glace artisanale, glace au lait, etc., ou neutraliser explicitement sucre glace.</t>
  </si>
  <si>
    <t>Ces changements ont été fait</t>
  </si>
  <si>
    <t>Exclusion contextuelle : ici « glace » qualifie le sucre et ne désigne pas une glace alimentaire. Neutraliser avant les recherches Œufs/Lait.</t>
  </si>
  <si>
    <t>2026-08</t>
  </si>
  <si>
    <t>Gluten</t>
  </si>
  <si>
    <t>*glu</t>
  </si>
  <si>
    <t>*ara</t>
  </si>
  <si>
    <t>*cel</t>
  </si>
  <si>
    <t>*lup</t>
  </si>
  <si>
    <t>Saisir uniquement les cellules fond blanc en colonne B.              Résultat colonne C   * = allergène certain ;                                   ? = composition à contrôler.</t>
  </si>
  <si>
    <t>*cru</t>
  </si>
  <si>
    <t>*soj</t>
  </si>
  <si>
    <t>*mou</t>
  </si>
  <si>
    <t>*mol</t>
  </si>
  <si>
    <t>*oeu</t>
  </si>
  <si>
    <t>*lai</t>
  </si>
  <si>
    <t>*ses</t>
  </si>
  <si>
    <t>Auteur : Joel Leboucher • Rochefort sur Mer | Version actualisée : 9 août 2026 | Document réalisé avec l'aide de ChatGPT</t>
  </si>
  <si>
    <t xml:space="preserve">*poi </t>
  </si>
  <si>
    <t>*noi</t>
  </si>
  <si>
    <t>*sul</t>
  </si>
  <si>
    <t>Mise à jour du 12 Juin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</si>
</sst>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 Maxi&quot;"/>
    <numFmt numFmtId="165" formatCode="0.0&quot; Repas&quot;"/>
    <numFmt numFmtId="166" formatCode="0.0"/>
    <numFmt numFmtId="167" formatCode="0&quot; Mini&quot;"/>
    <numFmt numFmtId="168" formatCode="0&quot; repas&quot;"/>
    <numFmt numFmtId="169" formatCode="0&quot; jours&quot;"/>
    <numFmt numFmtId="170" formatCode="0.0&quot; R.&quot;"/>
    <numFmt numFmtId="171" formatCode="0.0&quot; semaines&quot;"/>
    <numFmt numFmtId="172" formatCode="0.0%"/>
    <numFmt numFmtId="173" formatCode="0&quot; / 20&quot;"/>
    <numFmt numFmtId="174" formatCode="000"/>
    <numFmt numFmtId="175" formatCode="0.000&quot; Kg&quot;"/>
    <numFmt numFmtId="176" formatCode="0.0&quot; %&quot;"/>
    <numFmt numFmtId="177" formatCode="#,##0.00\ &quot;€&quot;"/>
    <numFmt numFmtId="178" formatCode="0.00\ &quot; cm³&quot;"/>
  </numFmts>
  <fonts count="270" x14ac:knownFonts="1">
    <font>
      <sz val="11"/>
      <name val="Carlito"/>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FFFFFF"/>
      <name val="Carlito"/>
      <family val="2"/>
    </font>
    <font>
      <b/>
      <sz val="16"/>
      <color rgb="FFFFFFFF"/>
      <name val="Calibri"/>
      <family val="2"/>
    </font>
    <font>
      <b/>
      <sz val="12"/>
      <color rgb="FF1F4E78"/>
      <name val="Calibri"/>
      <family val="2"/>
    </font>
    <font>
      <sz val="12"/>
      <name val="Calibri"/>
      <family val="2"/>
    </font>
    <font>
      <sz val="12"/>
      <color rgb="FF000000"/>
      <name val="Calibri"/>
      <family val="2"/>
    </font>
    <font>
      <b/>
      <sz val="12"/>
      <color rgb="FF000000"/>
      <name val="Calibri"/>
      <family val="2"/>
    </font>
    <font>
      <b/>
      <sz val="14"/>
      <color rgb="FF000000"/>
      <name val="Calibri"/>
      <family val="2"/>
    </font>
    <font>
      <b/>
      <sz val="14"/>
      <color rgb="FFC00000"/>
      <name val="Calibri"/>
      <family val="2"/>
    </font>
    <font>
      <b/>
      <sz val="14"/>
      <color rgb="FF1F4E78"/>
      <name val="Calibri"/>
      <family val="2"/>
    </font>
    <font>
      <b/>
      <sz val="16"/>
      <color rgb="FFC00000"/>
      <name val="Calibri"/>
      <family val="2"/>
    </font>
    <font>
      <b/>
      <sz val="14"/>
      <color theme="0"/>
      <name val="Calibri"/>
      <family val="2"/>
    </font>
    <font>
      <b/>
      <sz val="12"/>
      <color theme="0"/>
      <name val="Calibri"/>
      <family val="2"/>
    </font>
    <font>
      <b/>
      <sz val="14"/>
      <color rgb="FF0033CC"/>
      <name val="Calibri"/>
      <family val="2"/>
    </font>
    <font>
      <b/>
      <sz val="14"/>
      <name val="Calibri"/>
      <family val="2"/>
    </font>
    <font>
      <b/>
      <sz val="12"/>
      <color rgb="FFFFFFFF"/>
      <name val="Calibri"/>
      <family val="2"/>
    </font>
    <font>
      <b/>
      <sz val="12"/>
      <color rgb="FF9C0006"/>
      <name val="Calibri"/>
      <family val="2"/>
    </font>
    <font>
      <b/>
      <sz val="18"/>
      <color rgb="FFFFFFFF"/>
      <name val="Calibri"/>
      <family val="2"/>
    </font>
    <font>
      <sz val="12"/>
      <name val="Carlito"/>
      <family val="2"/>
    </font>
    <font>
      <b/>
      <sz val="16"/>
      <color rgb="FFFFFFFF"/>
      <name val="Carlito"/>
      <family val="2"/>
    </font>
    <font>
      <b/>
      <sz val="12"/>
      <color rgb="FFC00000"/>
      <name val="Calibri"/>
      <family val="2"/>
    </font>
    <font>
      <sz val="11"/>
      <color theme="1"/>
      <name val="Calibri"/>
      <family val="2"/>
    </font>
    <font>
      <sz val="11"/>
      <name val="Carlito"/>
      <family val="2"/>
    </font>
    <font>
      <b/>
      <sz val="14"/>
      <color rgb="FFFFFFFF"/>
      <name val="Calibri"/>
      <family val="2"/>
    </font>
    <font>
      <sz val="11"/>
      <name val="Calibri"/>
      <family val="2"/>
    </font>
    <font>
      <i/>
      <sz val="11"/>
      <name val="Calibri"/>
      <family val="2"/>
    </font>
    <font>
      <b/>
      <sz val="11"/>
      <color rgb="FFFFFFFF"/>
      <name val="Calibri"/>
      <family val="2"/>
    </font>
    <font>
      <b/>
      <sz val="12"/>
      <name val="Calibri"/>
      <family val="2"/>
    </font>
    <font>
      <i/>
      <sz val="14"/>
      <name val="Calibri"/>
      <family val="2"/>
    </font>
    <font>
      <sz val="14"/>
      <color rgb="FF000000"/>
      <name val="Calibri"/>
      <family val="2"/>
    </font>
    <font>
      <b/>
      <sz val="16"/>
      <color rgb="FF000000"/>
      <name val="Calibri"/>
      <family val="2"/>
    </font>
    <font>
      <b/>
      <sz val="16"/>
      <color theme="0"/>
      <name val="Calibri"/>
      <family val="2"/>
    </font>
    <font>
      <b/>
      <sz val="18"/>
      <color rgb="FFC00000"/>
      <name val="Calibri"/>
      <family val="2"/>
    </font>
    <font>
      <sz val="14"/>
      <name val="Carlito"/>
      <family val="2"/>
    </font>
    <font>
      <b/>
      <sz val="14"/>
      <name val="Carlito"/>
      <family val="2"/>
    </font>
    <font>
      <b/>
      <sz val="16"/>
      <color theme="1"/>
      <name val="Calibri"/>
      <family val="2"/>
    </font>
    <font>
      <b/>
      <sz val="12"/>
      <color rgb="FF0033CC"/>
      <name val="Calibri"/>
      <family val="2"/>
    </font>
    <font>
      <sz val="11"/>
      <color theme="0" tint="-0.249977111117893"/>
      <name val="Calibri"/>
      <family val="2"/>
    </font>
    <font>
      <sz val="11"/>
      <color theme="0" tint="-0.34998626667073579"/>
      <name val="Calibri"/>
      <family val="2"/>
    </font>
    <font>
      <sz val="11"/>
      <color rgb="FFD9D9D9"/>
      <name val="Calibri"/>
      <family val="2"/>
    </font>
    <font>
      <b/>
      <sz val="11"/>
      <name val="Carlito"/>
      <family val="2"/>
    </font>
    <font>
      <sz val="10"/>
      <name val="Arial"/>
      <family val="2"/>
    </font>
    <font>
      <sz val="12"/>
      <color theme="0"/>
      <name val="Calibri"/>
      <family val="2"/>
    </font>
    <font>
      <b/>
      <sz val="12"/>
      <color theme="9" tint="-0.249977111117893"/>
      <name val="Calibri"/>
      <family val="2"/>
    </font>
    <font>
      <sz val="12"/>
      <color rgb="FF0033CC"/>
      <name val="Calibri"/>
      <family val="2"/>
    </font>
    <font>
      <sz val="12"/>
      <color indexed="9"/>
      <name val="Calibri"/>
      <family val="2"/>
    </font>
    <font>
      <sz val="12"/>
      <color indexed="8"/>
      <name val="Calibri"/>
      <family val="2"/>
    </font>
    <font>
      <i/>
      <sz val="12"/>
      <name val="Calibri"/>
      <family val="2"/>
    </font>
    <font>
      <sz val="12"/>
      <color theme="1"/>
      <name val="Calibri"/>
      <family val="2"/>
    </font>
    <font>
      <sz val="9"/>
      <color theme="0"/>
      <name val="Calibri"/>
      <family val="2"/>
    </font>
    <font>
      <sz val="8"/>
      <color theme="0" tint="-0.14999847407452621"/>
      <name val="Calibri"/>
      <family val="2"/>
    </font>
    <font>
      <sz val="10"/>
      <name val="Calibri"/>
      <family val="2"/>
    </font>
    <font>
      <b/>
      <sz val="12"/>
      <color indexed="9"/>
      <name val="Calibri"/>
      <family val="2"/>
    </font>
    <font>
      <b/>
      <sz val="11"/>
      <name val="Calibri"/>
      <family val="2"/>
    </font>
    <font>
      <b/>
      <sz val="12"/>
      <color indexed="8"/>
      <name val="Calibri"/>
      <family val="2"/>
    </font>
    <font>
      <sz val="10"/>
      <color rgb="FFFF0000"/>
      <name val="Calibri"/>
      <family val="2"/>
    </font>
    <font>
      <b/>
      <sz val="11"/>
      <color rgb="FFFF0000"/>
      <name val="Calibri"/>
      <family val="2"/>
    </font>
    <font>
      <sz val="12"/>
      <color rgb="FF800000"/>
      <name val="Calibri"/>
      <family val="2"/>
    </font>
    <font>
      <sz val="12"/>
      <color indexed="17"/>
      <name val="Calibri"/>
      <family val="2"/>
    </font>
    <font>
      <b/>
      <sz val="12"/>
      <color indexed="10"/>
      <name val="Calibri"/>
      <family val="2"/>
    </font>
    <font>
      <b/>
      <sz val="11"/>
      <color rgb="FF548235"/>
      <name val="Calibri"/>
      <family val="2"/>
    </font>
    <font>
      <sz val="12"/>
      <color indexed="10"/>
      <name val="Calibri"/>
      <family val="2"/>
    </font>
    <font>
      <b/>
      <sz val="12"/>
      <color rgb="FF548235"/>
      <name val="Calibri"/>
      <family val="2"/>
    </font>
    <font>
      <sz val="10"/>
      <color theme="0"/>
      <name val="Calibri"/>
      <family val="2"/>
    </font>
    <font>
      <b/>
      <sz val="11"/>
      <color theme="0"/>
      <name val="Calibri"/>
      <family val="2"/>
    </font>
    <font>
      <b/>
      <sz val="12"/>
      <color rgb="FF008000"/>
      <name val="Calibri"/>
      <family val="2"/>
    </font>
    <font>
      <sz val="14"/>
      <name val="Calibri"/>
      <family val="2"/>
    </font>
    <font>
      <b/>
      <sz val="9"/>
      <name val="Calibri"/>
      <family val="2"/>
    </font>
    <font>
      <b/>
      <sz val="14"/>
      <color rgb="FF008000"/>
      <name val="Calibri"/>
      <family val="2"/>
    </font>
    <font>
      <b/>
      <sz val="14"/>
      <color indexed="9"/>
      <name val="Calibri"/>
      <family val="2"/>
    </font>
    <font>
      <b/>
      <sz val="18"/>
      <color theme="1"/>
      <name val="Calibri"/>
      <family val="2"/>
    </font>
    <font>
      <sz val="10"/>
      <color theme="1"/>
      <name val="Calibri"/>
      <family val="2"/>
    </font>
    <font>
      <b/>
      <sz val="10"/>
      <name val="Calibri"/>
      <family val="2"/>
    </font>
    <font>
      <sz val="10"/>
      <name val="MS Sans Serif"/>
    </font>
    <font>
      <b/>
      <sz val="12"/>
      <color rgb="FF0000FF"/>
      <name val="Calibri"/>
      <family val="2"/>
    </font>
    <font>
      <sz val="8"/>
      <color rgb="FF008000"/>
      <name val="Calibri"/>
      <family val="2"/>
    </font>
    <font>
      <b/>
      <sz val="10"/>
      <color rgb="FF008000"/>
      <name val="Calibri"/>
      <family val="2"/>
    </font>
    <font>
      <b/>
      <sz val="10"/>
      <color rgb="FF0000FF"/>
      <name val="Calibri"/>
      <family val="2"/>
    </font>
    <font>
      <b/>
      <sz val="10"/>
      <color rgb="FFFF0000"/>
      <name val="Calibri"/>
      <family val="2"/>
    </font>
    <font>
      <sz val="12"/>
      <color theme="10"/>
      <name val="Calibri"/>
      <family val="2"/>
    </font>
    <font>
      <b/>
      <sz val="14"/>
      <color theme="10"/>
      <name val="Calibri"/>
      <family val="2"/>
    </font>
    <font>
      <sz val="12"/>
      <color rgb="FF008000"/>
      <name val="Calibri"/>
      <family val="2"/>
    </font>
    <font>
      <b/>
      <sz val="10"/>
      <color rgb="FFC00000"/>
      <name val="Calibri"/>
      <family val="2"/>
    </font>
    <font>
      <sz val="12"/>
      <color rgb="FFFF6600"/>
      <name val="Calibri"/>
      <family val="2"/>
    </font>
    <font>
      <sz val="12"/>
      <color rgb="FFC00000"/>
      <name val="Calibri"/>
      <family val="2"/>
    </font>
    <font>
      <b/>
      <sz val="18"/>
      <name val="Calibri"/>
      <family val="2"/>
    </font>
    <font>
      <b/>
      <sz val="12"/>
      <color indexed="12"/>
      <name val="Calibri"/>
      <family val="2"/>
    </font>
    <font>
      <sz val="14"/>
      <color indexed="9"/>
      <name val="Calibri"/>
      <family val="2"/>
    </font>
    <font>
      <sz val="14"/>
      <color theme="0"/>
      <name val="Calibri"/>
      <family val="2"/>
    </font>
    <font>
      <b/>
      <sz val="14"/>
      <color rgb="FFFF0000"/>
      <name val="Calibri"/>
      <family val="2"/>
    </font>
    <font>
      <b/>
      <sz val="14"/>
      <color rgb="FF7030A0"/>
      <name val="Calibri"/>
      <family val="2"/>
    </font>
    <font>
      <b/>
      <sz val="14"/>
      <color indexed="12"/>
      <name val="Calibri"/>
      <family val="2"/>
    </font>
    <font>
      <sz val="16"/>
      <name val="Calibri"/>
      <family val="2"/>
    </font>
    <font>
      <b/>
      <sz val="12"/>
      <color theme="1"/>
      <name val="Calibri"/>
      <family val="2"/>
    </font>
    <font>
      <sz val="14"/>
      <color rgb="FF1A1A1A"/>
      <name val="Calibri"/>
      <family val="2"/>
    </font>
    <font>
      <sz val="14"/>
      <color rgb="FFC00000"/>
      <name val="Calibri"/>
      <family val="2"/>
    </font>
    <font>
      <sz val="14"/>
      <color rgb="FF008000"/>
      <name val="Calibri"/>
      <family val="2"/>
    </font>
    <font>
      <i/>
      <sz val="14"/>
      <color rgb="FF1A1A1A"/>
      <name val="Calibri"/>
      <family val="2"/>
    </font>
    <font>
      <sz val="14"/>
      <color rgb="FFFF0000"/>
      <name val="Calibri"/>
      <family val="2"/>
    </font>
    <font>
      <sz val="14"/>
      <color rgb="FF7030A0"/>
      <name val="Calibri"/>
      <family val="2"/>
    </font>
    <font>
      <sz val="14"/>
      <color rgb="FFFFFFFF"/>
      <name val="Calibri"/>
      <family val="2"/>
    </font>
    <font>
      <sz val="11"/>
      <color rgb="FF1A1A1A"/>
      <name val="Calibri"/>
      <family val="2"/>
    </font>
    <font>
      <sz val="10"/>
      <color rgb="FFC00000"/>
      <name val="Calibri"/>
      <family val="2"/>
    </font>
    <font>
      <sz val="16"/>
      <color rgb="FF1A1A1A"/>
      <name val="Calibri"/>
      <family val="2"/>
    </font>
    <font>
      <sz val="14"/>
      <color rgb="FFFF6600"/>
      <name val="Calibri"/>
      <family val="2"/>
    </font>
    <font>
      <b/>
      <sz val="8"/>
      <name val="Calibri"/>
      <family val="2"/>
    </font>
    <font>
      <b/>
      <sz val="8"/>
      <color rgb="FF0000FF"/>
      <name val="Calibri"/>
      <family val="2"/>
    </font>
    <font>
      <sz val="12"/>
      <color rgb="FF0000FF"/>
      <name val="Calibri"/>
      <family val="2"/>
    </font>
    <font>
      <sz val="11"/>
      <color rgb="FF0000FF"/>
      <name val="Calibri"/>
      <family val="2"/>
    </font>
    <font>
      <sz val="9"/>
      <name val="Calibri"/>
      <family val="2"/>
    </font>
    <font>
      <b/>
      <sz val="10"/>
      <color indexed="12"/>
      <name val="Calibri"/>
      <family val="2"/>
    </font>
    <font>
      <sz val="8"/>
      <color theme="1"/>
      <name val="Calibri"/>
      <family val="2"/>
    </font>
    <font>
      <sz val="14"/>
      <color theme="5" tint="-0.49992370372631001"/>
      <name val="Calibri"/>
      <family val="2"/>
    </font>
    <font>
      <sz val="12"/>
      <color rgb="FFFF0000"/>
      <name val="Calibri"/>
      <family val="2"/>
    </font>
    <font>
      <b/>
      <sz val="8"/>
      <color rgb="FFC00000"/>
      <name val="Calibri"/>
      <family val="2"/>
    </font>
    <font>
      <b/>
      <sz val="12"/>
      <color rgb="FFFF0000"/>
      <name val="Calibri"/>
      <family val="2"/>
    </font>
    <font>
      <sz val="11"/>
      <color rgb="FFFF0000"/>
      <name val="Calibri"/>
      <family val="2"/>
    </font>
    <font>
      <b/>
      <sz val="18"/>
      <color indexed="9"/>
      <name val="Calibri"/>
      <family val="2"/>
    </font>
    <font>
      <b/>
      <sz val="20"/>
      <name val="Calibri"/>
      <family val="2"/>
    </font>
    <font>
      <b/>
      <sz val="20"/>
      <color theme="1"/>
      <name val="Calibri"/>
      <family val="2"/>
    </font>
    <font>
      <b/>
      <sz val="9"/>
      <color theme="0"/>
      <name val="Calibri"/>
      <family val="2"/>
    </font>
    <font>
      <b/>
      <sz val="10"/>
      <color indexed="9"/>
      <name val="Calibri"/>
      <family val="2"/>
    </font>
    <font>
      <b/>
      <sz val="10"/>
      <color rgb="FF3366FF"/>
      <name val="Calibri"/>
      <family val="2"/>
    </font>
    <font>
      <b/>
      <sz val="12"/>
      <color rgb="FF3366FF"/>
      <name val="Calibri"/>
      <family val="2"/>
    </font>
    <font>
      <b/>
      <sz val="11"/>
      <color rgb="FFC00000"/>
      <name val="Calibri"/>
      <family val="2"/>
    </font>
    <font>
      <b/>
      <sz val="11"/>
      <color rgb="FF3366FF"/>
      <name val="Calibri"/>
      <family val="2"/>
    </font>
    <font>
      <b/>
      <sz val="14"/>
      <color rgb="FF3366FF"/>
      <name val="Calibri"/>
      <family val="2"/>
    </font>
    <font>
      <b/>
      <sz val="9"/>
      <color rgb="FFC00000"/>
      <name val="Calibri"/>
      <family val="2"/>
    </font>
    <font>
      <sz val="11"/>
      <color rgb="FF3366FF"/>
      <name val="Calibri"/>
      <family val="2"/>
    </font>
    <font>
      <b/>
      <sz val="12"/>
      <color theme="9" tint="-0.49986266670735802"/>
      <name val="Calibri"/>
      <family val="2"/>
    </font>
    <font>
      <b/>
      <sz val="11"/>
      <color theme="9" tint="-0.49986266670735802"/>
      <name val="Calibri"/>
      <family val="2"/>
    </font>
    <font>
      <i/>
      <sz val="8"/>
      <color theme="0" tint="-0.14999847407452621"/>
      <name val="Calibri"/>
      <family val="2"/>
    </font>
    <font>
      <i/>
      <sz val="10"/>
      <name val="Calibri"/>
      <family val="2"/>
    </font>
    <font>
      <b/>
      <sz val="12"/>
      <color theme="9" tint="-0.499984740745262"/>
      <name val="Calibri"/>
      <family val="2"/>
    </font>
    <font>
      <sz val="12"/>
      <color theme="9" tint="-0.499984740745262"/>
      <name val="Calibri"/>
      <family val="2"/>
    </font>
    <font>
      <b/>
      <sz val="11"/>
      <color theme="0"/>
      <name val="Calibri"/>
      <family val="2"/>
      <scheme val="minor"/>
    </font>
    <font>
      <sz val="11"/>
      <color theme="0"/>
      <name val="Calibri"/>
      <family val="2"/>
      <scheme val="minor"/>
    </font>
    <font>
      <b/>
      <sz val="12"/>
      <name val="Calibri"/>
      <family val="2"/>
      <scheme val="minor"/>
    </font>
    <font>
      <sz val="8"/>
      <color indexed="53"/>
      <name val="Arial"/>
      <family val="2"/>
    </font>
    <font>
      <sz val="8"/>
      <color indexed="61"/>
      <name val="Calibri"/>
      <family val="2"/>
      <scheme val="minor"/>
    </font>
    <font>
      <b/>
      <sz val="12"/>
      <color theme="0"/>
      <name val="Calibri"/>
      <family val="2"/>
      <scheme val="minor"/>
    </font>
    <font>
      <b/>
      <sz val="12"/>
      <color theme="9" tint="-0.499984740745262"/>
      <name val="Calibri"/>
      <family val="2"/>
      <scheme val="minor"/>
    </font>
    <font>
      <b/>
      <sz val="12"/>
      <color rgb="FFC00000"/>
      <name val="Calibri"/>
      <family val="2"/>
      <scheme val="minor"/>
    </font>
    <font>
      <b/>
      <sz val="12"/>
      <color theme="9" tint="-0.49995422223578601"/>
      <name val="Calibri"/>
      <family val="2"/>
    </font>
    <font>
      <b/>
      <sz val="11"/>
      <color rgb="FF000000"/>
      <name val="Calibri"/>
      <family val="2"/>
      <scheme val="minor"/>
    </font>
    <font>
      <sz val="8"/>
      <color theme="1"/>
      <name val="Calibri"/>
      <family val="2"/>
      <scheme val="minor"/>
    </font>
    <font>
      <sz val="8"/>
      <color theme="0"/>
      <name val="Calibri"/>
      <family val="2"/>
      <scheme val="minor"/>
    </font>
    <font>
      <sz val="9"/>
      <name val="Calibri"/>
      <family val="2"/>
      <scheme val="minor"/>
    </font>
    <font>
      <b/>
      <sz val="10"/>
      <name val="Calibri"/>
      <family val="2"/>
      <scheme val="minor"/>
    </font>
    <font>
      <b/>
      <sz val="11"/>
      <color rgb="FFFFFF00"/>
      <name val="Calibri"/>
      <family val="2"/>
      <scheme val="minor"/>
    </font>
    <font>
      <b/>
      <sz val="12"/>
      <color rgb="FFFFFF00"/>
      <name val="Calibri"/>
      <family val="2"/>
      <scheme val="minor"/>
    </font>
    <font>
      <sz val="12"/>
      <name val="Calibri"/>
      <family val="2"/>
      <scheme val="minor"/>
    </font>
    <font>
      <b/>
      <sz val="12"/>
      <color rgb="FF0070C0"/>
      <name val="Calibri"/>
      <family val="2"/>
      <scheme val="minor"/>
    </font>
    <font>
      <b/>
      <sz val="11"/>
      <color rgb="FF0070C0"/>
      <name val="Calibri"/>
      <family val="2"/>
      <scheme val="minor"/>
    </font>
    <font>
      <sz val="8"/>
      <color rgb="FFBFBFBF"/>
      <name val="Calibri"/>
      <family val="2"/>
      <scheme val="minor"/>
    </font>
    <font>
      <b/>
      <sz val="10"/>
      <color theme="0"/>
      <name val="Calibri"/>
      <family val="2"/>
      <scheme val="minor"/>
    </font>
    <font>
      <b/>
      <sz val="11"/>
      <name val="Calibri"/>
      <family val="2"/>
      <scheme val="minor"/>
    </font>
    <font>
      <b/>
      <sz val="12"/>
      <color rgb="FF0033CC"/>
      <name val="Calibri"/>
      <family val="2"/>
      <scheme val="minor"/>
    </font>
    <font>
      <sz val="10"/>
      <color theme="1"/>
      <name val="Calibri"/>
      <family val="2"/>
      <scheme val="minor"/>
    </font>
    <font>
      <sz val="11"/>
      <color rgb="FFBFBFBF"/>
      <name val="Calibri"/>
      <family val="2"/>
      <scheme val="minor"/>
    </font>
    <font>
      <b/>
      <sz val="18"/>
      <color rgb="FFC00000"/>
      <name val="Calibri"/>
      <family val="2"/>
      <scheme val="minor"/>
    </font>
    <font>
      <b/>
      <sz val="14"/>
      <color rgb="FF1F1F1F"/>
      <name val="Calibri"/>
      <family val="2"/>
    </font>
    <font>
      <b/>
      <sz val="11"/>
      <color rgb="FF000000"/>
      <name val="Calibri"/>
      <family val="2"/>
    </font>
    <font>
      <b/>
      <sz val="11"/>
      <color indexed="9"/>
      <name val="Calibri"/>
      <family val="2"/>
    </font>
    <font>
      <b/>
      <sz val="11"/>
      <color rgb="FF666666"/>
      <name val="Calibri"/>
      <family val="2"/>
    </font>
    <font>
      <b/>
      <i/>
      <sz val="11"/>
      <color rgb="FF404040"/>
      <name val="Calibri"/>
      <family val="2"/>
    </font>
    <font>
      <i/>
      <sz val="11"/>
      <color rgb="FF404040"/>
      <name val="Calibri"/>
      <family val="2"/>
    </font>
    <font>
      <b/>
      <sz val="14"/>
      <color theme="6" tint="-0.249977111117893"/>
      <name val="Calibri"/>
      <family val="2"/>
    </font>
    <font>
      <sz val="14"/>
      <name val="Calibri"/>
      <family val="2"/>
      <scheme val="minor"/>
    </font>
    <font>
      <b/>
      <sz val="18"/>
      <name val="Calibri"/>
      <family val="2"/>
      <scheme val="minor"/>
    </font>
    <font>
      <sz val="8"/>
      <name val="Arial"/>
      <family val="2"/>
    </font>
    <font>
      <b/>
      <sz val="14"/>
      <name val="Calibri"/>
      <family val="2"/>
      <scheme val="minor"/>
    </font>
    <font>
      <sz val="12"/>
      <color rgb="FFFFFFFF"/>
      <name val="Calibri"/>
      <family val="2"/>
    </font>
    <font>
      <b/>
      <sz val="14"/>
      <color rgb="FFFF0000"/>
      <name val="Carlito"/>
      <family val="2"/>
    </font>
    <font>
      <sz val="10"/>
      <color theme="0"/>
      <name val="Arial"/>
      <family val="2"/>
    </font>
    <font>
      <b/>
      <sz val="22"/>
      <color theme="0"/>
      <name val="Verdana"/>
      <family val="2"/>
    </font>
    <font>
      <b/>
      <sz val="18"/>
      <color theme="0"/>
      <name val="Arial"/>
      <family val="2"/>
    </font>
    <font>
      <sz val="22"/>
      <color theme="0"/>
      <name val="Verdana"/>
      <family val="2"/>
    </font>
    <font>
      <sz val="18"/>
      <color theme="0"/>
      <name val="Arial"/>
      <family val="2"/>
    </font>
    <font>
      <sz val="18"/>
      <color theme="0"/>
      <name val="Verdana"/>
      <family val="2"/>
    </font>
    <font>
      <sz val="14"/>
      <name val="Verdana"/>
      <family val="2"/>
    </font>
    <font>
      <sz val="11"/>
      <name val="Calibri"/>
      <family val="2"/>
      <scheme val="minor"/>
    </font>
    <font>
      <sz val="22"/>
      <name val="Verdana"/>
      <family val="2"/>
    </font>
    <font>
      <sz val="22"/>
      <color rgb="FF8ED973"/>
      <name val="Verdana"/>
      <family val="2"/>
    </font>
    <font>
      <sz val="18"/>
      <color rgb="FF8ED973"/>
      <name val="Verdana"/>
      <family val="2"/>
    </font>
    <font>
      <sz val="10"/>
      <color rgb="FF8ED973"/>
      <name val="Arial"/>
      <family val="2"/>
    </font>
    <font>
      <sz val="11"/>
      <color rgb="FF8ED973"/>
      <name val="Calibri"/>
      <family val="2"/>
      <scheme val="minor"/>
    </font>
    <font>
      <b/>
      <sz val="22"/>
      <name val="Arial"/>
      <family val="2"/>
    </font>
    <font>
      <sz val="22"/>
      <color theme="0" tint="-4.9989318521683403E-2"/>
      <name val="Arial"/>
      <family val="2"/>
    </font>
    <font>
      <sz val="10"/>
      <color theme="0" tint="-4.9989318521683403E-2"/>
      <name val="Arial"/>
      <family val="2"/>
    </font>
    <font>
      <sz val="22"/>
      <color theme="0" tint="-4.9989318521683403E-2"/>
      <name val="Calibri"/>
      <family val="2"/>
      <scheme val="minor"/>
    </font>
    <font>
      <sz val="11"/>
      <color theme="0" tint="-4.9989318521683403E-2"/>
      <name val="Calibri"/>
      <family val="2"/>
      <scheme val="minor"/>
    </font>
    <font>
      <sz val="22"/>
      <color theme="0" tint="-4.9989318521683403E-2"/>
      <name val="Rockwell"/>
      <family val="1"/>
    </font>
    <font>
      <sz val="22"/>
      <color theme="0" tint="-4.9989318521683403E-2"/>
      <name val="Verdana"/>
      <family val="2"/>
    </font>
    <font>
      <b/>
      <sz val="18"/>
      <color theme="0" tint="-4.9989318521683403E-2"/>
      <name val="Calibri"/>
      <family val="2"/>
    </font>
    <font>
      <b/>
      <sz val="18"/>
      <color theme="0" tint="-4.9989318521683403E-2"/>
      <name val="Arial"/>
      <family val="2"/>
    </font>
    <font>
      <b/>
      <sz val="22"/>
      <color theme="0" tint="-4.9989318521683403E-2"/>
      <name val="Calibri"/>
      <family val="2"/>
    </font>
    <font>
      <sz val="18"/>
      <color theme="0" tint="-4.9989318521683403E-2"/>
      <name val="Verdana"/>
      <family val="2"/>
    </font>
    <font>
      <sz val="22"/>
      <color theme="0" tint="-4.9989318521683403E-2"/>
      <name val="Arial Narrow"/>
      <family val="2"/>
    </font>
    <font>
      <sz val="22"/>
      <color theme="0" tint="-4.9989318521683403E-2"/>
      <name val="Comic Sans MS"/>
      <family val="4"/>
    </font>
    <font>
      <sz val="22"/>
      <color theme="0" tint="-4.9989318521683403E-2"/>
      <name val="Gill Sans MT"/>
      <family val="2"/>
    </font>
    <font>
      <sz val="22"/>
      <color theme="0" tint="-4.9989318521683403E-2"/>
      <name val="Palatino Linotype"/>
      <family val="1"/>
    </font>
    <font>
      <sz val="22"/>
      <color theme="0" tint="-4.9989318521683403E-2"/>
      <name val="Tahoma"/>
      <family val="2"/>
    </font>
    <font>
      <sz val="22"/>
      <color theme="0" tint="-4.9989318521683403E-2"/>
      <name val="Times New Roman"/>
      <family val="1"/>
    </font>
    <font>
      <sz val="22"/>
      <color theme="0" tint="-4.9989318521683403E-2"/>
      <name val="Trebuchet MS"/>
      <family val="2"/>
    </font>
    <font>
      <sz val="22"/>
      <color theme="0" tint="-4.9989318521683403E-2"/>
      <name val="Tw Cen MT"/>
      <family val="2"/>
    </font>
    <font>
      <sz val="22"/>
      <color theme="0" tint="-4.9989318521683403E-2"/>
      <name val="Vrinda"/>
      <family val="2"/>
    </font>
    <font>
      <sz val="22"/>
      <color theme="1"/>
      <name val="Verdana"/>
      <family val="2"/>
    </font>
    <font>
      <sz val="22"/>
      <color rgb="FFFFC000"/>
      <name val="Calibri"/>
      <family val="2"/>
    </font>
    <font>
      <sz val="22"/>
      <color rgb="FFFF0000"/>
      <name val="Calibri"/>
      <family val="2"/>
    </font>
    <font>
      <sz val="22"/>
      <color indexed="50"/>
      <name val="Calibri"/>
      <family val="2"/>
    </font>
    <font>
      <sz val="22"/>
      <color rgb="FF00B050"/>
      <name val="Calibri"/>
      <family val="2"/>
    </font>
    <font>
      <sz val="22"/>
      <color rgb="FF7030A0"/>
      <name val="Calibri"/>
      <family val="2"/>
    </font>
    <font>
      <sz val="22"/>
      <color theme="9"/>
      <name val="Calibri"/>
      <family val="2"/>
    </font>
    <font>
      <sz val="22"/>
      <color theme="1"/>
      <name val="Calibri"/>
      <family val="2"/>
    </font>
    <font>
      <sz val="22"/>
      <color theme="3" tint="0.59999389629810485"/>
      <name val="Calibri"/>
      <family val="2"/>
    </font>
    <font>
      <sz val="22"/>
      <color theme="5" tint="0.59999389629810485"/>
      <name val="Calibri"/>
      <family val="2"/>
    </font>
    <font>
      <sz val="22"/>
      <color theme="9" tint="-0.249977111117893"/>
      <name val="Calibri"/>
      <family val="2"/>
    </font>
    <font>
      <sz val="22"/>
      <color rgb="FF0000FF"/>
      <name val="Calibri"/>
      <family val="2"/>
    </font>
    <font>
      <sz val="22"/>
      <color rgb="FF008000"/>
      <name val="Calibri"/>
      <family val="2"/>
    </font>
    <font>
      <sz val="22"/>
      <color theme="9" tint="-0.499984740745262"/>
      <name val="Calibri"/>
      <family val="2"/>
    </font>
    <font>
      <sz val="22"/>
      <color rgb="FF00B0F0"/>
      <name val="Calibri"/>
      <family val="2"/>
    </font>
    <font>
      <sz val="22"/>
      <color theme="5"/>
      <name val="Calibri"/>
      <family val="2"/>
    </font>
    <font>
      <sz val="22"/>
      <color theme="8" tint="-0.249977111117893"/>
      <name val="Calibri"/>
      <family val="2"/>
    </font>
    <font>
      <sz val="22"/>
      <color theme="3" tint="0.39997558519241921"/>
      <name val="Calibri"/>
      <family val="2"/>
    </font>
    <font>
      <sz val="22"/>
      <color theme="5" tint="-0.249977111117893"/>
      <name val="Calibri"/>
      <family val="2"/>
    </font>
    <font>
      <sz val="22"/>
      <color rgb="FF0000FF"/>
      <name val="Calibri"/>
      <family val="2"/>
      <scheme val="minor"/>
    </font>
    <font>
      <sz val="22"/>
      <color indexed="12"/>
      <name val="Arial"/>
      <family val="2"/>
    </font>
    <font>
      <b/>
      <sz val="22"/>
      <name val="Calibri"/>
      <family val="2"/>
    </font>
    <font>
      <sz val="20"/>
      <color theme="0"/>
      <name val="Calibri"/>
      <family val="2"/>
      <scheme val="minor"/>
    </font>
    <font>
      <sz val="12"/>
      <name val="Arial"/>
      <family val="2"/>
    </font>
    <font>
      <sz val="22"/>
      <color theme="0"/>
      <name val="Calibri"/>
      <family val="2"/>
      <scheme val="minor"/>
    </font>
    <font>
      <sz val="12"/>
      <color theme="0"/>
      <name val="Calibri"/>
      <family val="2"/>
      <scheme val="minor"/>
    </font>
    <font>
      <sz val="12"/>
      <color theme="1"/>
      <name val="Calibri"/>
      <family val="2"/>
      <scheme val="minor"/>
    </font>
    <font>
      <sz val="24"/>
      <color theme="0"/>
      <name val="Calibri"/>
      <family val="2"/>
      <scheme val="minor"/>
    </font>
    <font>
      <u/>
      <sz val="11"/>
      <color theme="10"/>
      <name val="Carlito"/>
      <family val="2"/>
    </font>
    <font>
      <u/>
      <sz val="18"/>
      <color rgb="FF8ED973"/>
      <name val="Carlito"/>
      <family val="2"/>
    </font>
    <font>
      <b/>
      <sz val="14"/>
      <name val="Arial"/>
      <family val="2"/>
    </font>
    <font>
      <sz val="14"/>
      <color theme="4"/>
      <name val="Arial"/>
      <family val="2"/>
    </font>
    <font>
      <b/>
      <sz val="14"/>
      <color rgb="FFFF0000"/>
      <name val="Arial"/>
      <family val="2"/>
    </font>
    <font>
      <sz val="14"/>
      <color theme="9"/>
      <name val="Calibri"/>
      <family val="2"/>
    </font>
    <font>
      <b/>
      <sz val="14"/>
      <color rgb="FFC00000"/>
      <name val="Calibri"/>
      <family val="2"/>
      <scheme val="minor"/>
    </font>
    <font>
      <b/>
      <sz val="22"/>
      <color rgb="FF8ED973"/>
      <name val="Arial"/>
      <family val="2"/>
    </font>
    <font>
      <b/>
      <sz val="22"/>
      <color rgb="FF99CC00"/>
      <name val="Arial"/>
      <family val="2"/>
    </font>
    <font>
      <b/>
      <sz val="26"/>
      <color theme="0"/>
      <name val="Arial"/>
      <family val="2"/>
    </font>
    <font>
      <b/>
      <sz val="16"/>
      <color theme="0"/>
      <name val="Calibri"/>
      <family val="2"/>
      <scheme val="minor"/>
    </font>
    <font>
      <sz val="22"/>
      <color rgb="FF0070C0"/>
      <name val="Arial"/>
      <family val="2"/>
    </font>
    <font>
      <sz val="22"/>
      <color rgb="FF222222"/>
      <name val="Arial"/>
      <family val="2"/>
    </font>
    <font>
      <sz val="18"/>
      <color rgb="FF0070C0"/>
      <name val="Arial"/>
      <family val="2"/>
    </font>
    <font>
      <b/>
      <sz val="22"/>
      <color rgb="FFC00000"/>
      <name val="Wingdings 3"/>
      <family val="1"/>
      <charset val="2"/>
    </font>
    <font>
      <b/>
      <sz val="22"/>
      <color rgb="FFFF0000"/>
      <name val="Wingdings 3"/>
      <family val="1"/>
      <charset val="2"/>
    </font>
    <font>
      <sz val="22"/>
      <color theme="0"/>
      <name val="Arial"/>
      <family val="2"/>
    </font>
    <font>
      <b/>
      <sz val="22"/>
      <name val="Calibri"/>
      <family val="2"/>
      <scheme val="minor"/>
    </font>
    <font>
      <b/>
      <sz val="26"/>
      <name val="Arial"/>
      <family val="2"/>
    </font>
    <font>
      <u/>
      <sz val="10"/>
      <color indexed="12"/>
      <name val="Arial"/>
      <family val="2"/>
    </font>
    <font>
      <u/>
      <sz val="22"/>
      <color theme="0"/>
      <name val="Arial"/>
      <family val="2"/>
    </font>
    <font>
      <b/>
      <sz val="22"/>
      <color theme="9" tint="0.39997558519241921"/>
      <name val="Arial"/>
      <family val="2"/>
    </font>
    <font>
      <i/>
      <sz val="22"/>
      <color theme="0"/>
      <name val="Verdana"/>
      <family val="2"/>
    </font>
    <font>
      <sz val="18"/>
      <color rgb="FF7030A0"/>
      <name val="Arial"/>
      <family val="2"/>
    </font>
    <font>
      <b/>
      <sz val="22"/>
      <color theme="0"/>
      <name val="Arial"/>
      <family val="2"/>
    </font>
    <font>
      <sz val="16"/>
      <name val="Verdana"/>
      <family val="2"/>
    </font>
    <font>
      <i/>
      <sz val="18"/>
      <name val="Verdana"/>
      <family val="2"/>
    </font>
    <font>
      <b/>
      <sz val="20"/>
      <color rgb="FFFFFFFF"/>
      <name val="Calibri"/>
      <family val="2"/>
    </font>
    <font>
      <b/>
      <sz val="9"/>
      <color rgb="FFFFFFFF"/>
      <name val="Calibri"/>
      <family val="2"/>
    </font>
    <font>
      <sz val="8"/>
      <color theme="0"/>
      <name val="Calibri"/>
      <family val="2"/>
    </font>
    <font>
      <b/>
      <sz val="14"/>
      <color theme="6" tint="-0.49986266670735802"/>
      <name val="Calibri"/>
      <family val="2"/>
    </font>
  </fonts>
  <fills count="198">
    <fill>
      <patternFill patternType="none"/>
    </fill>
    <fill>
      <patternFill patternType="gray125"/>
    </fill>
    <fill>
      <patternFill patternType="solid">
        <fgColor rgb="FFFFF2CC"/>
      </patternFill>
    </fill>
    <fill>
      <patternFill patternType="solid">
        <fgColor rgb="FF7030A0"/>
      </patternFill>
    </fill>
    <fill>
      <patternFill patternType="solid">
        <fgColor rgb="FFF3E5F5"/>
      </patternFill>
    </fill>
    <fill>
      <patternFill patternType="solid">
        <fgColor rgb="FFE4DFEC"/>
      </patternFill>
    </fill>
    <fill>
      <patternFill patternType="solid">
        <fgColor rgb="FF595959"/>
      </patternFill>
    </fill>
    <fill>
      <patternFill patternType="solid">
        <fgColor rgb="FFF8F9FA"/>
      </patternFill>
    </fill>
    <fill>
      <patternFill patternType="solid">
        <fgColor rgb="FF4472C4"/>
      </patternFill>
    </fill>
    <fill>
      <patternFill patternType="solid">
        <fgColor rgb="FF1F4E78"/>
      </patternFill>
    </fill>
    <fill>
      <patternFill patternType="solid">
        <fgColor rgb="FFD9EAF7"/>
      </patternFill>
    </fill>
    <fill>
      <patternFill patternType="solid">
        <fgColor rgb="FFE2F0D9"/>
      </patternFill>
    </fill>
    <fill>
      <patternFill patternType="solid">
        <fgColor rgb="FFFCC996"/>
      </patternFill>
    </fill>
    <fill>
      <patternFill patternType="solid">
        <fgColor theme="0"/>
      </patternFill>
    </fill>
    <fill>
      <patternFill patternType="solid">
        <fgColor rgb="FFB45F06"/>
      </patternFill>
    </fill>
    <fill>
      <patternFill patternType="solid">
        <fgColor rgb="FF2F6B3F"/>
      </patternFill>
    </fill>
    <fill>
      <patternFill patternType="solid">
        <fgColor rgb="FFEAF2F8"/>
      </patternFill>
    </fill>
    <fill>
      <patternFill patternType="solid">
        <fgColor theme="0" tint="-0.14999847407452621"/>
        <bgColor indexed="65"/>
      </patternFill>
    </fill>
    <fill>
      <patternFill patternType="solid">
        <fgColor rgb="FF2F6B3F"/>
      </patternFill>
    </fill>
    <fill>
      <patternFill patternType="solid">
        <fgColor rgb="FFB45F06"/>
      </patternFill>
    </fill>
    <fill>
      <patternFill patternType="solid">
        <fgColor theme="0" tint="-0.14999847407452621"/>
        <bgColor indexed="65"/>
      </patternFill>
    </fill>
    <fill>
      <patternFill patternType="solid">
        <fgColor rgb="FFEAF2F8"/>
      </patternFill>
    </fill>
    <fill>
      <patternFill patternType="solid">
        <fgColor theme="0"/>
      </patternFill>
    </fill>
    <fill>
      <patternFill patternType="solid">
        <fgColor rgb="FFD9EAD3"/>
      </patternFill>
    </fill>
    <fill>
      <patternFill patternType="solid">
        <fgColor rgb="FF1F4E78"/>
      </patternFill>
    </fill>
    <fill>
      <patternFill patternType="solid">
        <fgColor rgb="FFD9EAF7"/>
      </patternFill>
    </fill>
    <fill>
      <patternFill patternType="solid">
        <fgColor rgb="FF305496"/>
      </patternFill>
    </fill>
    <fill>
      <patternFill patternType="solid">
        <fgColor theme="4" tint="0.39997558519241921"/>
        <bgColor indexed="64"/>
      </patternFill>
    </fill>
    <fill>
      <patternFill patternType="solid">
        <fgColor rgb="FFF3E5F5"/>
        <bgColor indexed="64"/>
      </patternFill>
    </fill>
    <fill>
      <patternFill patternType="solid">
        <fgColor rgb="FF4472C4"/>
        <bgColor indexed="64"/>
      </patternFill>
    </fill>
    <fill>
      <patternFill patternType="solid">
        <fgColor theme="0"/>
        <bgColor indexed="64"/>
      </patternFill>
    </fill>
    <fill>
      <patternFill patternType="solid">
        <fgColor rgb="FFC00000"/>
      </patternFill>
    </fill>
    <fill>
      <patternFill patternType="solid">
        <fgColor theme="0" tint="-0.14999847407452621"/>
        <bgColor indexed="64"/>
      </patternFill>
    </fill>
    <fill>
      <patternFill patternType="solid">
        <fgColor rgb="FFD9D9D9"/>
        <bgColor indexed="64"/>
      </patternFill>
    </fill>
    <fill>
      <patternFill patternType="solid">
        <fgColor rgb="FF2F6B3F"/>
        <bgColor indexed="64"/>
      </patternFill>
    </fill>
    <fill>
      <patternFill patternType="solid">
        <fgColor rgb="FFB45F06"/>
        <bgColor indexed="64"/>
      </patternFill>
    </fill>
    <fill>
      <patternFill patternType="solid">
        <fgColor rgb="FF0033CC"/>
        <bgColor indexed="64"/>
      </patternFill>
    </fill>
    <fill>
      <patternFill patternType="solid">
        <fgColor rgb="FFC00000"/>
        <bgColor indexed="64"/>
      </patternFill>
    </fill>
    <fill>
      <patternFill patternType="solid">
        <fgColor theme="8" tint="-0.249977111117893"/>
        <bgColor indexed="64"/>
      </patternFill>
    </fill>
    <fill>
      <patternFill patternType="solid">
        <fgColor rgb="FFFFFFFF"/>
        <bgColor indexed="64"/>
      </patternFill>
    </fill>
    <fill>
      <patternFill patternType="solid">
        <fgColor rgb="FFEAF2F8"/>
        <bgColor indexed="64"/>
      </patternFill>
    </fill>
    <fill>
      <patternFill patternType="solid">
        <fgColor rgb="FFFFCC99"/>
      </patternFill>
    </fill>
    <fill>
      <patternFill patternType="solid">
        <fgColor rgb="FFF2F2F2"/>
      </patternFill>
    </fill>
    <fill>
      <patternFill patternType="solid">
        <fgColor rgb="FFFFFFCC"/>
      </patternFill>
    </fill>
    <fill>
      <patternFill patternType="solid">
        <fgColor rgb="FF3078BA"/>
        <bgColor indexed="64"/>
      </patternFill>
    </fill>
    <fill>
      <patternFill patternType="solid">
        <fgColor rgb="FF609ED6"/>
        <bgColor indexed="64"/>
      </patternFill>
    </fill>
    <fill>
      <patternFill patternType="solid">
        <fgColor rgb="FF0F766E"/>
      </patternFill>
    </fill>
    <fill>
      <patternFill patternType="solid">
        <fgColor rgb="FFFFFFBD"/>
        <bgColor indexed="64"/>
      </patternFill>
    </fill>
    <fill>
      <patternFill patternType="solid">
        <fgColor rgb="FF008000"/>
      </patternFill>
    </fill>
    <fill>
      <patternFill patternType="solid">
        <fgColor rgb="FFFFFF00"/>
      </patternFill>
    </fill>
    <fill>
      <patternFill patternType="solid">
        <fgColor rgb="FFFF99CC"/>
        <bgColor indexed="64"/>
      </patternFill>
    </fill>
    <fill>
      <patternFill patternType="solid">
        <fgColor rgb="FFFF8080"/>
        <bgColor indexed="64"/>
      </patternFill>
    </fill>
    <fill>
      <patternFill patternType="solid">
        <fgColor rgb="FF92D050"/>
        <bgColor indexed="64"/>
      </patternFill>
    </fill>
    <fill>
      <patternFill patternType="solid">
        <fgColor rgb="FFFFCC99"/>
        <bgColor indexed="64"/>
      </patternFill>
    </fill>
    <fill>
      <patternFill patternType="solid">
        <fgColor rgb="FF3366FF"/>
      </patternFill>
    </fill>
    <fill>
      <patternFill patternType="solid">
        <fgColor rgb="FF007FFF"/>
      </patternFill>
    </fill>
    <fill>
      <patternFill patternType="solid">
        <fgColor rgb="FF99CCFF"/>
      </patternFill>
    </fill>
    <fill>
      <patternFill patternType="solid">
        <fgColor rgb="FFFFFF00"/>
        <bgColor indexed="64"/>
      </patternFill>
    </fill>
    <fill>
      <patternFill patternType="solid">
        <fgColor rgb="FFFFCC00"/>
      </patternFill>
    </fill>
    <fill>
      <patternFill patternType="solid">
        <fgColor rgb="FFFFC000"/>
      </patternFill>
    </fill>
    <fill>
      <patternFill patternType="solid">
        <fgColor indexed="48"/>
      </patternFill>
    </fill>
    <fill>
      <patternFill patternType="solid">
        <fgColor rgb="FFCCCCFF"/>
      </patternFill>
    </fill>
    <fill>
      <patternFill patternType="solid">
        <fgColor rgb="FFFFFF99"/>
      </patternFill>
    </fill>
    <fill>
      <patternFill patternType="solid">
        <fgColor rgb="FFCC99FF"/>
      </patternFill>
    </fill>
    <fill>
      <patternFill patternType="solid">
        <fgColor rgb="FFFFFF66"/>
      </patternFill>
    </fill>
    <fill>
      <patternFill patternType="solid">
        <fgColor indexed="51"/>
      </patternFill>
    </fill>
    <fill>
      <patternFill patternType="solid">
        <fgColor theme="0" tint="-4.9989318521683403E-2"/>
        <bgColor indexed="65"/>
      </patternFill>
    </fill>
    <fill>
      <patternFill patternType="solid">
        <fgColor rgb="FF33CC33"/>
      </patternFill>
    </fill>
    <fill>
      <patternFill patternType="solid">
        <fgColor rgb="FF92D050"/>
      </patternFill>
    </fill>
    <fill>
      <patternFill patternType="solid">
        <fgColor indexed="26"/>
      </patternFill>
    </fill>
    <fill>
      <patternFill patternType="solid">
        <fgColor indexed="9"/>
      </patternFill>
    </fill>
    <fill>
      <patternFill patternType="solid">
        <fgColor rgb="FFFF8080"/>
      </patternFill>
    </fill>
    <fill>
      <patternFill patternType="solid">
        <fgColor rgb="FFFF0000"/>
      </patternFill>
    </fill>
    <fill>
      <patternFill patternType="solid">
        <fgColor rgb="FFFF99CC"/>
      </patternFill>
    </fill>
    <fill>
      <patternFill patternType="solid">
        <fgColor indexed="46"/>
      </patternFill>
    </fill>
    <fill>
      <patternFill patternType="solid">
        <fgColor rgb="FFCCECFF"/>
      </patternFill>
    </fill>
    <fill>
      <patternFill patternType="gray0625"/>
    </fill>
    <fill>
      <patternFill patternType="gray0625">
        <bgColor rgb="FFFFFF99"/>
      </patternFill>
    </fill>
    <fill>
      <patternFill patternType="solid">
        <fgColor rgb="FFFFCCFF"/>
      </patternFill>
    </fill>
    <fill>
      <patternFill patternType="solid">
        <fgColor indexed="10"/>
      </patternFill>
    </fill>
    <fill>
      <patternFill patternType="solid">
        <fgColor indexed="47"/>
      </patternFill>
    </fill>
    <fill>
      <patternFill patternType="solid">
        <fgColor indexed="50"/>
      </patternFill>
    </fill>
    <fill>
      <patternFill patternType="solid">
        <fgColor indexed="13"/>
      </patternFill>
    </fill>
    <fill>
      <patternFill patternType="solid">
        <fgColor indexed="43"/>
      </patternFill>
    </fill>
    <fill>
      <patternFill patternType="solid">
        <fgColor theme="6" tint="0.79992065187536243"/>
        <bgColor indexed="65"/>
      </patternFill>
    </fill>
    <fill>
      <patternFill patternType="solid">
        <fgColor rgb="FF99CC00"/>
      </patternFill>
    </fill>
    <fill>
      <patternFill patternType="solid">
        <fgColor indexed="45"/>
      </patternFill>
    </fill>
    <fill>
      <patternFill patternType="solid">
        <fgColor indexed="61"/>
      </patternFill>
    </fill>
    <fill>
      <patternFill patternType="solid">
        <fgColor rgb="FF0000FF"/>
      </patternFill>
    </fill>
    <fill>
      <patternFill patternType="solid">
        <fgColor rgb="FFFF6600"/>
      </patternFill>
    </fill>
    <fill>
      <patternFill patternType="solid">
        <fgColor rgb="FF3366FF"/>
        <bgColor indexed="64"/>
      </patternFill>
    </fill>
    <fill>
      <patternFill patternType="solid">
        <fgColor rgb="FFFFC000"/>
        <bgColor indexed="64"/>
      </patternFill>
    </fill>
    <fill>
      <patternFill patternType="solid">
        <fgColor rgb="FF993366"/>
        <bgColor indexed="64"/>
      </patternFill>
    </fill>
    <fill>
      <patternFill patternType="solid">
        <fgColor rgb="FF008000"/>
        <bgColor indexed="64"/>
      </patternFill>
    </fill>
    <fill>
      <patternFill patternType="solid">
        <fgColor rgb="FFCC99FF"/>
        <bgColor indexed="64"/>
      </patternFill>
    </fill>
    <fill>
      <patternFill patternType="solid">
        <fgColor rgb="FF1F4E79"/>
      </patternFill>
    </fill>
    <fill>
      <patternFill patternType="solid">
        <fgColor rgb="FFFF0000"/>
        <bgColor indexed="64"/>
      </patternFill>
    </fill>
    <fill>
      <patternFill patternType="solid">
        <fgColor theme="0" tint="-4.9989318521683403E-2"/>
        <bgColor indexed="64"/>
      </patternFill>
    </fill>
    <fill>
      <patternFill patternType="solid">
        <fgColor rgb="FF99CCFF"/>
        <bgColor indexed="64"/>
      </patternFill>
    </fill>
    <fill>
      <patternFill patternType="solid">
        <fgColor rgb="FF007FFF"/>
        <bgColor indexed="64"/>
      </patternFill>
    </fill>
    <fill>
      <patternFill patternType="solid">
        <fgColor rgb="FF7030A0"/>
        <bgColor indexed="64"/>
      </patternFill>
    </fill>
    <fill>
      <patternFill patternType="solid">
        <fgColor theme="5" tint="0.39997558519241921"/>
        <bgColor indexed="64"/>
      </patternFill>
    </fill>
    <fill>
      <patternFill patternType="solid">
        <fgColor rgb="FFFFF2CC"/>
        <bgColor indexed="64"/>
      </patternFill>
    </fill>
    <fill>
      <patternFill patternType="solid">
        <fgColor rgb="FFFFFFD5"/>
        <bgColor indexed="64"/>
      </patternFill>
    </fill>
    <fill>
      <patternFill patternType="solid">
        <fgColor indexed="9"/>
        <bgColor indexed="64"/>
      </patternFill>
    </fill>
    <fill>
      <patternFill patternType="solid">
        <fgColor rgb="FF99CC00"/>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FF6161"/>
        <bgColor indexed="64"/>
      </patternFill>
    </fill>
    <fill>
      <patternFill patternType="solid">
        <fgColor rgb="FF70AD47"/>
      </patternFill>
    </fill>
    <fill>
      <patternFill patternType="solid">
        <fgColor rgb="FFCC00FF"/>
        <bgColor indexed="64"/>
      </patternFill>
    </fill>
    <fill>
      <patternFill patternType="solid">
        <fgColor indexed="23"/>
        <bgColor indexed="64"/>
      </patternFill>
    </fill>
    <fill>
      <patternFill patternType="solid">
        <fgColor rgb="FF808080"/>
        <bgColor indexed="64"/>
      </patternFill>
    </fill>
    <fill>
      <patternFill patternType="solid">
        <fgColor rgb="FFFF00FF"/>
        <bgColor indexed="64"/>
      </patternFill>
    </fill>
    <fill>
      <patternFill patternType="solid">
        <fgColor theme="0" tint="-0.249977111117893"/>
        <bgColor indexed="64"/>
      </patternFill>
    </fill>
    <fill>
      <patternFill patternType="solid">
        <fgColor rgb="FFFFCCFF"/>
        <bgColor indexed="64"/>
      </patternFill>
    </fill>
    <fill>
      <patternFill patternType="solid">
        <fgColor rgb="FF800000"/>
        <bgColor indexed="64"/>
      </patternFill>
    </fill>
    <fill>
      <patternFill patternType="solid">
        <fgColor theme="4" tint="-0.249977111117893"/>
        <bgColor indexed="64"/>
      </patternFill>
    </fill>
    <fill>
      <patternFill patternType="solid">
        <fgColor rgb="FFD5D5FF"/>
        <bgColor indexed="64"/>
      </patternFill>
    </fill>
    <fill>
      <patternFill patternType="solid">
        <fgColor rgb="FF339966"/>
        <bgColor indexed="64"/>
      </patternFill>
    </fill>
    <fill>
      <patternFill patternType="solid">
        <fgColor rgb="FF00FF00"/>
        <bgColor indexed="64"/>
      </patternFill>
    </fill>
    <fill>
      <patternFill patternType="solid">
        <fgColor rgb="FFFF6600"/>
        <bgColor indexed="64"/>
      </patternFill>
    </fill>
    <fill>
      <patternFill patternType="solid">
        <fgColor rgb="FF0000FF"/>
        <bgColor indexed="64"/>
      </patternFill>
    </fill>
    <fill>
      <patternFill patternType="solid">
        <fgColor rgb="FF00CCFF"/>
        <bgColor indexed="64"/>
      </patternFill>
    </fill>
    <fill>
      <patternFill patternType="solid">
        <fgColor rgb="FFFFCC00"/>
        <bgColor indexed="64"/>
      </patternFill>
    </fill>
    <fill>
      <patternFill patternType="solid">
        <fgColor rgb="FF0066CC"/>
        <bgColor indexed="64"/>
      </patternFill>
    </fill>
    <fill>
      <patternFill patternType="solid">
        <fgColor rgb="FF993300"/>
        <bgColor indexed="64"/>
      </patternFill>
    </fill>
    <fill>
      <patternFill patternType="solid">
        <fgColor rgb="FFFFFFCC"/>
        <bgColor indexed="64"/>
      </patternFill>
    </fill>
    <fill>
      <patternFill patternType="solid">
        <fgColor rgb="FFC0E6F5"/>
        <bgColor indexed="64"/>
      </patternFill>
    </fill>
    <fill>
      <patternFill patternType="solid">
        <fgColor rgb="FFCAEDFB"/>
        <bgColor indexed="64"/>
      </patternFill>
    </fill>
    <fill>
      <patternFill patternType="solid">
        <fgColor rgb="FFE7E6E6"/>
      </patternFill>
    </fill>
    <fill>
      <patternFill patternType="solid">
        <fgColor rgb="FF548235"/>
      </patternFill>
    </fill>
    <fill>
      <patternFill patternType="solid">
        <fgColor rgb="FFFFFFC1"/>
        <bgColor indexed="64"/>
      </patternFill>
    </fill>
    <fill>
      <patternFill patternType="solid">
        <fgColor rgb="FF5B9BD5"/>
      </patternFill>
    </fill>
    <fill>
      <patternFill patternType="solid">
        <fgColor rgb="FFF4B183"/>
      </patternFill>
    </fill>
    <fill>
      <patternFill patternType="solid">
        <fgColor rgb="FF6699FF"/>
        <bgColor indexed="64"/>
      </patternFill>
    </fill>
    <fill>
      <patternFill patternType="solid">
        <fgColor rgb="FF800000"/>
      </patternFill>
    </fill>
    <fill>
      <patternFill patternType="solid">
        <fgColor rgb="FFE7E6E6"/>
        <bgColor indexed="64"/>
      </patternFill>
    </fill>
    <fill>
      <patternFill patternType="solid">
        <fgColor rgb="FF1F4E79"/>
        <bgColor indexed="64"/>
      </patternFill>
    </fill>
    <fill>
      <patternFill patternType="solid">
        <fgColor rgb="FFD9EAF7"/>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FFD966"/>
      </patternFill>
    </fill>
    <fill>
      <patternFill patternType="solid">
        <fgColor rgb="FFF4CCCC"/>
      </patternFill>
    </fill>
    <fill>
      <patternFill patternType="solid">
        <fgColor rgb="FFA9D18E"/>
      </patternFill>
    </fill>
    <fill>
      <patternFill patternType="solid">
        <fgColor rgb="FFFFFFFF"/>
      </patternFill>
    </fill>
    <fill>
      <patternFill patternType="solid">
        <fgColor rgb="FF7F6000"/>
      </patternFill>
    </fill>
    <fill>
      <patternFill patternType="solid">
        <fgColor rgb="FFD9D2E9"/>
      </patternFill>
    </fill>
    <fill>
      <patternFill patternType="solid">
        <fgColor rgb="FFFCE4D6"/>
      </patternFill>
    </fill>
    <fill>
      <patternFill patternType="solid">
        <fgColor rgb="FFF8CBAD"/>
      </patternFill>
    </fill>
    <fill>
      <patternFill patternType="solid">
        <fgColor rgb="FFC6E0B4"/>
      </patternFill>
    </fill>
    <fill>
      <patternFill patternType="solid">
        <fgColor rgb="FFC65911"/>
      </patternFill>
    </fill>
    <fill>
      <patternFill patternType="solid">
        <fgColor rgb="FFBFBFBF"/>
      </patternFill>
    </fill>
    <fill>
      <patternFill patternType="solid">
        <fgColor rgb="FF215732"/>
      </patternFill>
    </fill>
    <fill>
      <patternFill patternType="solid">
        <fgColor indexed="17"/>
        <bgColor indexed="64"/>
      </patternFill>
    </fill>
    <fill>
      <patternFill patternType="solid">
        <fgColor indexed="50"/>
        <bgColor indexed="64"/>
      </patternFill>
    </fill>
    <fill>
      <patternFill patternType="solid">
        <fgColor theme="0"/>
        <bgColor theme="6" tint="0.79998168889431442"/>
      </patternFill>
    </fill>
    <fill>
      <patternFill patternType="solid">
        <fgColor theme="5"/>
        <bgColor indexed="64"/>
      </patternFill>
    </fill>
    <fill>
      <patternFill patternType="solid">
        <fgColor theme="0"/>
        <bgColor theme="4" tint="0.79998168889431442"/>
      </patternFill>
    </fill>
    <fill>
      <patternFill patternType="solid">
        <fgColor rgb="FFA6A6A6"/>
      </patternFill>
    </fill>
    <fill>
      <patternFill patternType="solid">
        <fgColor rgb="FF9DC3E6"/>
      </patternFill>
    </fill>
    <fill>
      <patternFill patternType="solid">
        <fgColor rgb="FFD9E1F2"/>
      </patternFill>
    </fill>
    <fill>
      <patternFill patternType="solid">
        <fgColor rgb="FFD7C4A3"/>
      </patternFill>
    </fill>
    <fill>
      <patternFill patternType="solid">
        <fgColor rgb="FFC6A27E"/>
      </patternFill>
    </fill>
    <fill>
      <patternFill patternType="solid">
        <fgColor rgb="FFDDEBF7"/>
      </patternFill>
    </fill>
    <fill>
      <patternFill patternType="solid">
        <fgColor rgb="FF00B050"/>
      </patternFill>
    </fill>
    <fill>
      <patternFill patternType="solid">
        <fgColor rgb="FF14A096"/>
        <bgColor indexed="64"/>
      </patternFill>
    </fill>
    <fill>
      <patternFill patternType="solid">
        <fgColor rgb="FFF89430"/>
        <bgColor indexed="64"/>
      </patternFill>
    </fill>
    <fill>
      <patternFill patternType="solid">
        <fgColor rgb="FF409255"/>
        <bgColor indexed="64"/>
      </patternFill>
    </fill>
    <fill>
      <patternFill patternType="solid">
        <fgColor rgb="FFF20000"/>
        <bgColor indexed="64"/>
      </patternFill>
    </fill>
    <fill>
      <patternFill patternType="solid">
        <fgColor rgb="FF1F4E78"/>
        <bgColor indexed="64"/>
      </patternFill>
    </fill>
    <fill>
      <patternFill patternType="solid">
        <fgColor rgb="FF14A096"/>
        <bgColor indexed="9"/>
      </patternFill>
    </fill>
    <fill>
      <patternFill patternType="gray0625">
        <fgColor theme="9" tint="0.79998168889431442"/>
        <bgColor rgb="FF14A096"/>
      </patternFill>
    </fill>
    <fill>
      <patternFill patternType="gray0625">
        <fgColor theme="9" tint="0.79998168889431442"/>
        <bgColor rgb="FFEAFFD5"/>
      </patternFill>
    </fill>
    <fill>
      <patternFill patternType="solid">
        <fgColor rgb="FFFDF1E7"/>
        <bgColor indexed="9"/>
      </patternFill>
    </fill>
    <fill>
      <patternFill patternType="solid">
        <fgColor theme="7" tint="0.39997558519241921"/>
        <bgColor indexed="64"/>
      </patternFill>
    </fill>
    <fill>
      <patternFill patternType="solid">
        <fgColor theme="1" tint="0.34998626667073579"/>
        <bgColor indexed="64"/>
      </patternFill>
    </fill>
    <fill>
      <patternFill patternType="solid">
        <fgColor rgb="FF17365D"/>
      </patternFill>
    </fill>
    <fill>
      <patternFill patternType="solid">
        <fgColor rgb="FF2F75B5"/>
      </patternFill>
    </fill>
    <fill>
      <patternFill patternType="solid">
        <fgColor rgb="FF1AA39A"/>
      </patternFill>
    </fill>
    <fill>
      <patternFill patternType="solid">
        <fgColor rgb="FF609ED6"/>
      </patternFill>
    </fill>
    <fill>
      <patternFill patternType="solid">
        <fgColor rgb="FF666666"/>
      </patternFill>
    </fill>
    <fill>
      <patternFill patternType="solid">
        <fgColor rgb="FFCC00FF"/>
      </patternFill>
    </fill>
    <fill>
      <patternFill patternType="solid">
        <fgColor theme="0" tint="-0.249977111117893"/>
        <bgColor indexed="65"/>
      </patternFill>
    </fill>
    <fill>
      <patternFill patternType="solid">
        <fgColor rgb="FFF4B740"/>
        <bgColor indexed="64"/>
      </patternFill>
    </fill>
    <fill>
      <patternFill patternType="solid">
        <fgColor rgb="FFB38867"/>
        <bgColor indexed="64"/>
      </patternFill>
    </fill>
    <fill>
      <patternFill patternType="solid">
        <fgColor rgb="FF22C55E"/>
        <bgColor indexed="64"/>
      </patternFill>
    </fill>
    <fill>
      <patternFill patternType="solid">
        <fgColor rgb="FF6366F1"/>
        <bgColor indexed="64"/>
      </patternFill>
    </fill>
    <fill>
      <patternFill patternType="solid">
        <fgColor rgb="FFF97316"/>
        <bgColor indexed="64"/>
      </patternFill>
    </fill>
    <fill>
      <patternFill patternType="solid">
        <fgColor rgb="FF16A34A"/>
        <bgColor indexed="64"/>
      </patternFill>
    </fill>
    <fill>
      <patternFill patternType="solid">
        <fgColor rgb="FFEAB308"/>
        <bgColor indexed="64"/>
      </patternFill>
    </fill>
    <fill>
      <patternFill patternType="solid">
        <fgColor rgb="FF0F766E"/>
        <bgColor indexed="64"/>
      </patternFill>
    </fill>
    <fill>
      <patternFill patternType="solid">
        <fgColor rgb="FFFFD64D"/>
        <bgColor indexed="64"/>
      </patternFill>
    </fill>
    <fill>
      <patternFill patternType="solid">
        <fgColor rgb="FF60A5FA"/>
        <bgColor indexed="64"/>
      </patternFill>
    </fill>
    <fill>
      <patternFill patternType="solid">
        <fgColor rgb="FFD6BFA6"/>
        <bgColor indexed="64"/>
      </patternFill>
    </fill>
    <fill>
      <patternFill patternType="solid">
        <fgColor rgb="FF3B82F6"/>
        <bgColor indexed="64"/>
      </patternFill>
    </fill>
    <fill>
      <patternFill patternType="solid">
        <fgColor rgb="FF8B5CF6"/>
        <bgColor indexed="64"/>
      </patternFill>
    </fill>
    <fill>
      <patternFill patternType="solid">
        <fgColor rgb="FFE3D4C3"/>
        <bgColor indexed="64"/>
      </patternFill>
    </fill>
  </fills>
  <borders count="191">
    <border>
      <left/>
      <right/>
      <top/>
      <bottom/>
      <diagonal/>
    </border>
    <border>
      <left/>
      <right/>
      <top/>
      <bottom/>
      <diagonal/>
    </border>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D9D9D9"/>
      </left>
      <right style="thin">
        <color rgb="FFD9D9D9"/>
      </right>
      <top style="thin">
        <color rgb="FFD9D9D9"/>
      </top>
      <bottom style="thin">
        <color rgb="FFD9D9D9"/>
      </bottom>
      <diagonal/>
    </border>
    <border>
      <left/>
      <right style="thin">
        <color rgb="FFD9D9D9"/>
      </right>
      <top/>
      <bottom/>
      <diagonal/>
    </border>
    <border>
      <left/>
      <right style="medium">
        <color indexed="64"/>
      </right>
      <top/>
      <bottom style="medium">
        <color indexed="64"/>
      </bottom>
      <diagonal/>
    </border>
    <border>
      <left/>
      <right/>
      <top/>
      <bottom style="medium">
        <color auto="1"/>
      </bottom>
      <diagonal/>
    </border>
    <border>
      <left style="medium">
        <color indexed="64"/>
      </left>
      <right/>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DashDotDot">
        <color indexed="64"/>
      </left>
      <right/>
      <top/>
      <bottom/>
      <diagonal/>
    </border>
    <border>
      <left/>
      <right style="mediumDashDotDot">
        <color indexed="64"/>
      </right>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hair">
        <color indexed="64"/>
      </left>
      <right/>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auto="1"/>
      </left>
      <right style="thin">
        <color indexed="64"/>
      </right>
      <top style="hair">
        <color indexed="64"/>
      </top>
      <bottom/>
      <diagonal/>
    </border>
    <border>
      <left/>
      <right style="mediumDashDotDot">
        <color indexed="64"/>
      </right>
      <top style="hair">
        <color indexed="64"/>
      </top>
      <bottom/>
      <diagonal/>
    </border>
    <border>
      <left style="mediumDashDotDot">
        <color indexed="64"/>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bottom style="hair">
        <color indexed="64"/>
      </bottom>
      <diagonal/>
    </border>
    <border>
      <left/>
      <right style="mediumDashDotDot">
        <color indexed="64"/>
      </right>
      <top/>
      <bottom style="hair">
        <color indexed="64"/>
      </bottom>
      <diagonal/>
    </border>
    <border>
      <left style="mediumDashDotDot">
        <color indexed="64"/>
      </left>
      <right/>
      <top/>
      <bottom style="hair">
        <color indexed="64"/>
      </bottom>
      <diagonal/>
    </border>
    <border>
      <left style="thin">
        <color indexed="64"/>
      </left>
      <right/>
      <top/>
      <bottom style="hair">
        <color indexed="64"/>
      </bottom>
      <diagonal/>
    </border>
    <border>
      <left/>
      <right style="thin">
        <color auto="1"/>
      </right>
      <top/>
      <bottom style="hair">
        <color auto="1"/>
      </bottom>
      <diagonal/>
    </border>
    <border>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style="thin">
        <color indexed="64"/>
      </left>
      <right style="thin">
        <color indexed="64"/>
      </right>
      <top style="thin">
        <color rgb="FFC00000"/>
      </top>
      <bottom/>
      <diagonal/>
    </border>
    <border>
      <left style="thin">
        <color indexed="64"/>
      </left>
      <right style="thin">
        <color indexed="64"/>
      </right>
      <top style="thin">
        <color indexed="64"/>
      </top>
      <bottom/>
      <diagonal/>
    </border>
    <border>
      <left/>
      <right/>
      <top style="hair">
        <color indexed="64"/>
      </top>
      <bottom/>
      <diagonal/>
    </border>
    <border>
      <left style="hair">
        <color indexed="64"/>
      </left>
      <right/>
      <top style="hair">
        <color indexed="64"/>
      </top>
      <bottom/>
      <diagonal/>
    </border>
    <border>
      <left style="thin">
        <color auto="1"/>
      </left>
      <right style="hair">
        <color auto="1"/>
      </right>
      <top style="thin">
        <color auto="1"/>
      </top>
      <bottom/>
      <diagonal/>
    </border>
    <border>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bottom/>
      <diagonal/>
    </border>
    <border>
      <left/>
      <right style="hair">
        <color theme="0"/>
      </right>
      <top/>
      <bottom/>
      <diagonal/>
    </border>
    <border>
      <left/>
      <right style="mediumDashDotDot">
        <color indexed="64"/>
      </right>
      <top style="thin">
        <color indexed="64"/>
      </top>
      <bottom/>
      <diagonal/>
    </border>
    <border>
      <left style="hair">
        <color indexed="64"/>
      </left>
      <right/>
      <top style="thin">
        <color indexed="64"/>
      </top>
      <bottom/>
      <diagonal/>
    </border>
    <border>
      <left/>
      <right style="hair">
        <color theme="0"/>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thin">
        <color indexed="64"/>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bottom style="hair">
        <color rgb="FFC00000"/>
      </bottom>
      <diagonal/>
    </border>
    <border>
      <left style="medium">
        <color indexed="64"/>
      </left>
      <right/>
      <top/>
      <bottom style="hair">
        <color rgb="FFC00000"/>
      </bottom>
      <diagonal/>
    </border>
    <border>
      <left style="medium">
        <color indexed="64"/>
      </left>
      <right style="medium">
        <color indexed="64"/>
      </right>
      <top/>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right style="medium">
        <color indexed="64"/>
      </right>
      <top/>
      <bottom style="medium">
        <color rgb="FF0000FF"/>
      </bottom>
      <diagonal/>
    </border>
    <border>
      <left style="medium">
        <color indexed="64"/>
      </left>
      <right/>
      <top/>
      <bottom style="medium">
        <color rgb="FF0000FF"/>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rgb="FFC00000"/>
      </top>
      <bottom style="hair">
        <color rgb="FFC00000"/>
      </bottom>
      <diagonal/>
    </border>
    <border>
      <left style="medium">
        <color indexed="64"/>
      </left>
      <right/>
      <top style="medium">
        <color rgb="FFC00000"/>
      </top>
      <bottom style="hair">
        <color rgb="FFC00000"/>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style="hair">
        <color indexed="64"/>
      </top>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right style="medium">
        <color indexed="64"/>
      </right>
      <top style="thin">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thin">
        <color indexed="64"/>
      </top>
      <bottom style="hair">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auto="1"/>
      </right>
      <top style="medium">
        <color auto="1"/>
      </top>
      <bottom style="thin">
        <color indexed="64"/>
      </bottom>
      <diagonal/>
    </border>
    <border>
      <left/>
      <right/>
      <top style="medium">
        <color auto="1"/>
      </top>
      <bottom style="thin">
        <color auto="1"/>
      </bottom>
      <diagonal/>
    </border>
    <border>
      <left style="medium">
        <color auto="1"/>
      </left>
      <right/>
      <top style="medium">
        <color auto="1"/>
      </top>
      <bottom style="thin">
        <color auto="1"/>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bottom style="hair">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hair">
        <color indexed="64"/>
      </top>
      <bottom/>
      <diagonal/>
    </border>
    <border>
      <left style="medium">
        <color indexed="64"/>
      </left>
      <right/>
      <top style="thin">
        <color rgb="FFC00000"/>
      </top>
      <bottom/>
      <diagonal/>
    </border>
    <border>
      <left style="medium">
        <color indexed="64"/>
      </left>
      <right/>
      <top/>
      <bottom style="thin">
        <color rgb="FFC00000"/>
      </bottom>
      <diagonal/>
    </border>
    <border>
      <left style="medium">
        <color indexed="64"/>
      </left>
      <right style="hair">
        <color indexed="64"/>
      </right>
      <top/>
      <bottom style="thin">
        <color indexed="64"/>
      </bottom>
      <diagonal/>
    </border>
    <border>
      <left/>
      <right style="medium">
        <color indexed="64"/>
      </right>
      <top/>
      <bottom style="thin">
        <color rgb="FFC00000"/>
      </bottom>
      <diagonal/>
    </border>
    <border>
      <left style="medium">
        <color indexed="64"/>
      </left>
      <right style="hair">
        <color indexed="64"/>
      </right>
      <top/>
      <bottom/>
      <diagonal/>
    </border>
    <border>
      <left/>
      <right style="medium">
        <color indexed="64"/>
      </right>
      <top style="thin">
        <color rgb="FFC00000"/>
      </top>
      <bottom/>
      <diagonal/>
    </border>
    <border>
      <left/>
      <right style="medium">
        <color indexed="64"/>
      </right>
      <top style="thin">
        <color indexed="64"/>
      </top>
      <bottom style="thin">
        <color indexed="64"/>
      </bottom>
      <diagonal/>
    </border>
    <border>
      <left/>
      <right style="medium">
        <color rgb="FF0000FF"/>
      </right>
      <top/>
      <bottom style="medium">
        <color rgb="FF0000FF"/>
      </bottom>
      <diagonal/>
    </border>
    <border>
      <left style="medium">
        <color rgb="FF0000FF"/>
      </left>
      <right/>
      <top/>
      <bottom style="medium">
        <color rgb="FF0000FF"/>
      </bottom>
      <diagonal/>
    </border>
    <border>
      <left/>
      <right style="medium">
        <color indexed="64"/>
      </right>
      <top/>
      <bottom style="thin">
        <color rgb="FF008000"/>
      </bottom>
      <diagonal/>
    </border>
    <border>
      <left/>
      <right/>
      <top/>
      <bottom style="thin">
        <color rgb="FF008000"/>
      </bottom>
      <diagonal/>
    </border>
    <border>
      <left/>
      <right style="medium">
        <color rgb="FF0000FF"/>
      </right>
      <top/>
      <bottom/>
      <diagonal/>
    </border>
    <border>
      <left style="medium">
        <color rgb="FF0000FF"/>
      </left>
      <right/>
      <top/>
      <bottom/>
      <diagonal/>
    </border>
    <border>
      <left/>
      <right style="medium">
        <color indexed="64"/>
      </right>
      <top style="thin">
        <color rgb="FF008000"/>
      </top>
      <bottom/>
      <diagonal/>
    </border>
    <border>
      <left/>
      <right/>
      <top style="thin">
        <color rgb="FF008000"/>
      </top>
      <bottom/>
      <diagonal/>
    </border>
    <border>
      <left/>
      <right style="medium">
        <color rgb="FF0000FF"/>
      </right>
      <top style="medium">
        <color rgb="FF0000FF"/>
      </top>
      <bottom/>
      <diagonal/>
    </border>
    <border>
      <left style="medium">
        <color rgb="FF0000FF"/>
      </left>
      <right/>
      <top style="medium">
        <color rgb="FF0000FF"/>
      </top>
      <bottom/>
      <diagonal/>
    </border>
    <border>
      <left/>
      <right style="medium">
        <color indexed="64"/>
      </right>
      <top style="medium">
        <color indexed="64"/>
      </top>
      <bottom style="thin">
        <color rgb="FF008000"/>
      </bottom>
      <diagonal/>
    </border>
    <border>
      <left/>
      <right/>
      <top style="medium">
        <color indexed="64"/>
      </top>
      <bottom style="thin">
        <color rgb="FF008000"/>
      </bottom>
      <diagonal/>
    </border>
    <border>
      <left style="thin">
        <color auto="1"/>
      </left>
      <right/>
      <top style="medium">
        <color indexed="64"/>
      </top>
      <bottom style="thin">
        <color rgb="FF008000"/>
      </bottom>
      <diagonal/>
    </border>
    <border>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auto="1"/>
      </left>
      <right style="thin">
        <color auto="1"/>
      </right>
      <top style="medium">
        <color auto="1"/>
      </top>
      <bottom style="thin">
        <color auto="1"/>
      </bottom>
      <diagonal/>
    </border>
    <border>
      <left/>
      <right style="medium">
        <color indexed="64"/>
      </right>
      <top style="medium">
        <color rgb="FFC00000"/>
      </top>
      <bottom/>
      <diagonal/>
    </border>
    <border>
      <left style="medium">
        <color indexed="64"/>
      </left>
      <right/>
      <top style="medium">
        <color rgb="FFC00000"/>
      </top>
      <bottom/>
      <diagonal/>
    </border>
    <border>
      <left/>
      <right style="medium">
        <color rgb="FFC00000"/>
      </right>
      <top/>
      <bottom/>
      <diagonal/>
    </border>
    <border>
      <left style="thin">
        <color rgb="FF008000"/>
      </left>
      <right/>
      <top/>
      <bottom style="thin">
        <color rgb="FF008000"/>
      </bottom>
      <diagonal/>
    </border>
    <border>
      <left style="thin">
        <color rgb="FF008000"/>
      </left>
      <right/>
      <top style="thin">
        <color rgb="FF008000"/>
      </top>
      <bottom/>
      <diagonal/>
    </border>
    <border>
      <left/>
      <right style="medium">
        <color rgb="FFC00000"/>
      </right>
      <top style="medium">
        <color rgb="FFC00000"/>
      </top>
      <bottom/>
      <diagonal/>
    </border>
    <border>
      <left/>
      <right style="thin">
        <color indexed="64"/>
      </right>
      <top style="medium">
        <color auto="1"/>
      </top>
      <bottom style="medium">
        <color rgb="FFC00000"/>
      </bottom>
      <diagonal/>
    </border>
    <border>
      <left style="medium">
        <color indexed="64"/>
      </left>
      <right/>
      <top style="medium">
        <color auto="1"/>
      </top>
      <bottom style="medium">
        <color rgb="FFC00000"/>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rgb="FFC00000"/>
      </top>
      <bottom/>
      <diagonal/>
    </border>
    <border>
      <left style="thin">
        <color indexed="64"/>
      </left>
      <right style="medium">
        <color indexed="64"/>
      </right>
      <top style="thin">
        <color rgb="FFC00000"/>
      </top>
      <bottom/>
      <diagonal/>
    </border>
    <border>
      <left style="medium">
        <color indexed="64"/>
      </left>
      <right/>
      <top style="thin">
        <color rgb="FFC00000"/>
      </top>
      <bottom style="hair">
        <color rgb="FFC00000"/>
      </bottom>
      <diagonal/>
    </border>
    <border>
      <left style="thin">
        <color indexed="64"/>
      </left>
      <right/>
      <top style="thin">
        <color rgb="FFC00000"/>
      </top>
      <bottom style="hair">
        <color rgb="FFC00000"/>
      </bottom>
      <diagonal/>
    </border>
    <border>
      <left/>
      <right/>
      <top style="hair">
        <color indexed="64"/>
      </top>
      <bottom style="hair">
        <color indexed="64"/>
      </bottom>
      <diagonal/>
    </border>
    <border>
      <left style="thin">
        <color indexed="64"/>
      </left>
      <right style="medium">
        <color indexed="64"/>
      </right>
      <top style="thin">
        <color rgb="FFC00000"/>
      </top>
      <bottom style="hair">
        <color rgb="FFC00000"/>
      </bottom>
      <diagonal/>
    </border>
    <border>
      <left style="medium">
        <color indexed="64"/>
      </left>
      <right/>
      <top style="hair">
        <color rgb="FFC00000"/>
      </top>
      <bottom style="thin">
        <color rgb="FFC00000"/>
      </bottom>
      <diagonal/>
    </border>
    <border>
      <left style="thin">
        <color indexed="64"/>
      </left>
      <right/>
      <top style="hair">
        <color rgb="FFC00000"/>
      </top>
      <bottom style="thin">
        <color rgb="FFC00000"/>
      </bottom>
      <diagonal/>
    </border>
    <border>
      <left style="thin">
        <color indexed="64"/>
      </left>
      <right style="medium">
        <color indexed="64"/>
      </right>
      <top style="hair">
        <color rgb="FFC00000"/>
      </top>
      <bottom style="thin">
        <color rgb="FFC00000"/>
      </bottom>
      <diagonal/>
    </border>
    <border>
      <left style="medium">
        <color indexed="64"/>
      </left>
      <right/>
      <top style="hair">
        <color rgb="FFC00000"/>
      </top>
      <bottom/>
      <diagonal/>
    </border>
    <border>
      <left style="thin">
        <color indexed="64"/>
      </left>
      <right/>
      <top style="hair">
        <color rgb="FFC00000"/>
      </top>
      <bottom/>
      <diagonal/>
    </border>
    <border>
      <left style="thin">
        <color indexed="64"/>
      </left>
      <right style="medium">
        <color indexed="64"/>
      </right>
      <top style="hair">
        <color rgb="FFC00000"/>
      </top>
      <bottom/>
      <diagonal/>
    </border>
    <border>
      <left style="thin">
        <color indexed="64"/>
      </left>
      <right/>
      <top/>
      <bottom style="hair">
        <color rgb="FFC00000"/>
      </bottom>
      <diagonal/>
    </border>
    <border>
      <left style="thin">
        <color indexed="64"/>
      </left>
      <right style="medium">
        <color indexed="64"/>
      </right>
      <top/>
      <bottom style="hair">
        <color rgb="FFC00000"/>
      </bottom>
      <diagonal/>
    </border>
    <border>
      <left style="thin">
        <color indexed="64"/>
      </left>
      <right/>
      <top/>
      <bottom style="thin">
        <color rgb="FFC00000"/>
      </bottom>
      <diagonal/>
    </border>
    <border>
      <left style="thin">
        <color indexed="64"/>
      </left>
      <right style="medium">
        <color indexed="64"/>
      </right>
      <top/>
      <bottom style="thin">
        <color rgb="FFC00000"/>
      </bottom>
      <diagonal/>
    </border>
    <border>
      <left style="medium">
        <color indexed="64"/>
      </left>
      <right/>
      <top style="hair">
        <color rgb="FFC00000"/>
      </top>
      <bottom style="hair">
        <color rgb="FFC00000"/>
      </bottom>
      <diagonal/>
    </border>
    <border>
      <left style="thin">
        <color indexed="64"/>
      </left>
      <right/>
      <top style="hair">
        <color rgb="FFC00000"/>
      </top>
      <bottom style="hair">
        <color rgb="FFC00000"/>
      </bottom>
      <diagonal/>
    </border>
    <border>
      <left style="thin">
        <color indexed="64"/>
      </left>
      <right style="medium">
        <color indexed="64"/>
      </right>
      <top style="hair">
        <color rgb="FFC00000"/>
      </top>
      <bottom style="hair">
        <color rgb="FFC00000"/>
      </bottom>
      <diagonal/>
    </border>
    <border>
      <left style="thin">
        <color indexed="64"/>
      </left>
      <right style="medium">
        <color auto="1"/>
      </right>
      <top/>
      <bottom/>
      <diagonal/>
    </border>
    <border>
      <left style="medium">
        <color indexed="64"/>
      </left>
      <right/>
      <top style="hair">
        <color rgb="FFC00000"/>
      </top>
      <bottom style="thin">
        <color indexed="64"/>
      </bottom>
      <diagonal/>
    </border>
    <border>
      <left style="thin">
        <color indexed="64"/>
      </left>
      <right/>
      <top style="hair">
        <color rgb="FFC00000"/>
      </top>
      <bottom style="thin">
        <color indexed="64"/>
      </bottom>
      <diagonal/>
    </border>
    <border>
      <left style="thin">
        <color indexed="64"/>
      </left>
      <right style="medium">
        <color indexed="64"/>
      </right>
      <top style="hair">
        <color rgb="FFC00000"/>
      </top>
      <bottom style="thin">
        <color indexed="64"/>
      </bottom>
      <diagonal/>
    </border>
    <border>
      <left style="hair">
        <color rgb="FFC00000"/>
      </left>
      <right style="hair">
        <color rgb="FFC00000"/>
      </right>
      <top style="hair">
        <color rgb="FFC00000"/>
      </top>
      <bottom style="hair">
        <color rgb="FFC00000"/>
      </bottom>
      <diagonal/>
    </border>
    <border>
      <left style="hair">
        <color rgb="FFC00000"/>
      </left>
      <right style="hair">
        <color rgb="FFC00000"/>
      </right>
      <top style="hair">
        <color rgb="FFC00000"/>
      </top>
      <bottom/>
      <diagonal/>
    </border>
    <border>
      <left/>
      <right style="hair">
        <color auto="1"/>
      </right>
      <top style="hair">
        <color auto="1"/>
      </top>
      <bottom style="hair">
        <color auto="1"/>
      </bottom>
      <diagonal/>
    </border>
    <border>
      <left style="hair">
        <color rgb="FFFF0000"/>
      </left>
      <right style="hair">
        <color rgb="FFFF0000"/>
      </right>
      <top style="hair">
        <color rgb="FFFF0000"/>
      </top>
      <bottom style="hair">
        <color rgb="FFFF0000"/>
      </bottom>
      <diagonal/>
    </border>
    <border>
      <left style="hair">
        <color rgb="FF0033CC"/>
      </left>
      <right style="hair">
        <color rgb="FF0033CC"/>
      </right>
      <top style="hair">
        <color rgb="FF0033CC"/>
      </top>
      <bottom style="hair">
        <color rgb="FF0033CC"/>
      </bottom>
      <diagonal/>
    </border>
    <border>
      <left style="hair">
        <color theme="9" tint="-0.499984740745262"/>
      </left>
      <right style="hair">
        <color theme="9" tint="-0.499984740745262"/>
      </right>
      <top style="hair">
        <color theme="9" tint="-0.499984740745262"/>
      </top>
      <bottom style="hair">
        <color theme="9" tint="-0.499984740745262"/>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indexed="64"/>
      </left>
      <right style="hair">
        <color indexed="64"/>
      </right>
      <top/>
      <bottom/>
      <diagonal/>
    </border>
    <border>
      <left/>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style="thin">
        <color auto="1"/>
      </left>
      <right/>
      <top style="thin">
        <color theme="0" tint="-0.24994659260841701"/>
      </top>
      <bottom style="thin">
        <color theme="0" tint="-0.24994659260841701"/>
      </bottom>
      <diagonal/>
    </border>
    <border>
      <left/>
      <right/>
      <top style="hair">
        <color theme="9"/>
      </top>
      <bottom style="hair">
        <color theme="9"/>
      </bottom>
      <diagonal/>
    </border>
    <border>
      <left/>
      <right/>
      <top style="thin">
        <color theme="9" tint="0.39991454817346722"/>
      </top>
      <bottom style="thin">
        <color theme="9" tint="0.39991454817346722"/>
      </bottom>
      <diagonal/>
    </border>
    <border>
      <left/>
      <right style="hair">
        <color rgb="FFD9D9D9"/>
      </right>
      <top/>
      <bottom/>
      <diagonal/>
    </border>
    <border>
      <left style="thin">
        <color rgb="FFD9E1F2"/>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D9E1F2"/>
      </right>
      <top style="thin">
        <color rgb="FFE7E6E6"/>
      </top>
      <bottom style="thin">
        <color rgb="FFE7E6E6"/>
      </bottom>
      <diagonal/>
    </border>
    <border>
      <left style="thin">
        <color rgb="FFD9E1F2"/>
      </left>
      <right style="thin">
        <color rgb="FFE7E6E6"/>
      </right>
      <top style="thin">
        <color rgb="FFE7E6E6"/>
      </top>
      <bottom style="thin">
        <color rgb="FFD9E1F2"/>
      </bottom>
      <diagonal/>
    </border>
    <border>
      <left style="thin">
        <color rgb="FFE7E6E6"/>
      </left>
      <right style="thin">
        <color rgb="FFE7E6E6"/>
      </right>
      <top style="thin">
        <color rgb="FFE7E6E6"/>
      </top>
      <bottom style="thin">
        <color rgb="FFD9E1F2"/>
      </bottom>
      <diagonal/>
    </border>
    <border>
      <left style="thin">
        <color rgb="FFE7E6E6"/>
      </left>
      <right style="thin">
        <color rgb="FFD9E1F2"/>
      </right>
      <top style="thin">
        <color rgb="FFE7E6E6"/>
      </top>
      <bottom style="thin">
        <color rgb="FFD9E1F2"/>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A6A6A6"/>
      </left>
      <right style="thin">
        <color rgb="FFD9D9D9"/>
      </right>
      <top style="thin">
        <color rgb="FFD9D9D9"/>
      </top>
      <bottom style="thin">
        <color rgb="FFD9D9D9"/>
      </bottom>
      <diagonal/>
    </border>
    <border>
      <left style="thin">
        <color rgb="FFD9D9D9"/>
      </left>
      <right style="thin">
        <color rgb="FFA6A6A6"/>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bottom style="hair">
        <color rgb="FFD9D9D9"/>
      </bottom>
      <diagonal/>
    </border>
    <border>
      <left/>
      <right style="hair">
        <color rgb="FFD9D9D9"/>
      </right>
      <top/>
      <bottom style="hair">
        <color rgb="FFD9D9D9"/>
      </bottom>
      <diagonal/>
    </border>
  </borders>
  <cellStyleXfs count="46">
    <xf numFmtId="0" fontId="0" fillId="0" borderId="0"/>
    <xf numFmtId="0" fontId="25" fillId="0" borderId="0"/>
    <xf numFmtId="0" fontId="26" fillId="0" borderId="1"/>
    <xf numFmtId="0" fontId="25" fillId="0" borderId="1"/>
    <xf numFmtId="0" fontId="26" fillId="0" borderId="2"/>
    <xf numFmtId="0" fontId="26" fillId="0" borderId="2"/>
    <xf numFmtId="0" fontId="25" fillId="0" borderId="2"/>
    <xf numFmtId="0" fontId="25" fillId="0" borderId="2"/>
    <xf numFmtId="0" fontId="45" fillId="0" borderId="2"/>
    <xf numFmtId="0" fontId="45" fillId="0" borderId="2"/>
    <xf numFmtId="0" fontId="52" fillId="0" borderId="2"/>
    <xf numFmtId="0" fontId="52" fillId="0" borderId="2"/>
    <xf numFmtId="0" fontId="77" fillId="0" borderId="2"/>
    <xf numFmtId="0" fontId="77" fillId="0" borderId="2"/>
    <xf numFmtId="0" fontId="83" fillId="0" borderId="2" applyNumberFormat="0" applyFill="0" applyBorder="0" applyAlignment="0" applyProtection="0"/>
    <xf numFmtId="0" fontId="77" fillId="0" borderId="2"/>
    <xf numFmtId="0" fontId="45" fillId="0" borderId="2"/>
    <xf numFmtId="0" fontId="52" fillId="0" borderId="2"/>
    <xf numFmtId="0" fontId="45" fillId="0" borderId="2"/>
    <xf numFmtId="0" fontId="45" fillId="0" borderId="2"/>
    <xf numFmtId="0" fontId="142" fillId="0" borderId="2"/>
    <xf numFmtId="0" fontId="45" fillId="0" borderId="2"/>
    <xf numFmtId="0" fontId="4" fillId="0" borderId="2"/>
    <xf numFmtId="0" fontId="4" fillId="0" borderId="2"/>
    <xf numFmtId="0" fontId="4" fillId="0" borderId="2"/>
    <xf numFmtId="0" fontId="25" fillId="0" borderId="2"/>
    <xf numFmtId="0" fontId="26" fillId="0" borderId="2"/>
    <xf numFmtId="0" fontId="45" fillId="0" borderId="2"/>
    <xf numFmtId="0" fontId="174" fillId="0" borderId="2" applyNumberFormat="0" applyFill="0" applyBorder="0" applyAlignment="0" applyProtection="0">
      <alignment vertical="top"/>
      <protection locked="0"/>
    </xf>
    <xf numFmtId="0" fontId="45" fillId="0" borderId="2"/>
    <xf numFmtId="0" fontId="3" fillId="0" borderId="2"/>
    <xf numFmtId="0" fontId="3" fillId="0" borderId="2"/>
    <xf numFmtId="0" fontId="45" fillId="0" borderId="2"/>
    <xf numFmtId="0" fontId="77" fillId="0" borderId="2"/>
    <xf numFmtId="0" fontId="239" fillId="0" borderId="2" applyNumberFormat="0" applyFill="0" applyBorder="0" applyAlignment="0" applyProtection="0"/>
    <xf numFmtId="0" fontId="258" fillId="0" borderId="2" applyNumberFormat="0" applyFill="0" applyBorder="0" applyAlignment="0" applyProtection="0">
      <alignment vertical="top"/>
      <protection locked="0"/>
    </xf>
    <xf numFmtId="0" fontId="45" fillId="0" borderId="2"/>
    <xf numFmtId="0" fontId="26" fillId="0" borderId="2"/>
    <xf numFmtId="0" fontId="2" fillId="0" borderId="2"/>
    <xf numFmtId="0" fontId="45" fillId="0" borderId="2"/>
    <xf numFmtId="0" fontId="237" fillId="0" borderId="2"/>
    <xf numFmtId="0" fontId="25" fillId="0" borderId="2"/>
    <xf numFmtId="0" fontId="26" fillId="0" borderId="2"/>
    <xf numFmtId="0" fontId="52" fillId="0" borderId="2"/>
    <xf numFmtId="0" fontId="1" fillId="0" borderId="2"/>
    <xf numFmtId="0" fontId="25" fillId="0" borderId="2"/>
  </cellStyleXfs>
  <cellXfs count="2037">
    <xf numFmtId="0" fontId="0" fillId="0" borderId="0" xfId="0"/>
    <xf numFmtId="0" fontId="26" fillId="0" borderId="1" xfId="2" applyAlignment="1">
      <alignment vertical="center"/>
    </xf>
    <xf numFmtId="0" fontId="23" fillId="3" borderId="1" xfId="2" applyFont="1" applyFill="1" applyAlignment="1">
      <alignment horizontal="left" vertical="center"/>
    </xf>
    <xf numFmtId="0" fontId="5" fillId="3" borderId="1" xfId="2" applyFont="1" applyFill="1" applyAlignment="1">
      <alignment horizontal="center" vertical="center"/>
    </xf>
    <xf numFmtId="0" fontId="22" fillId="4" borderId="1" xfId="2" applyFont="1" applyFill="1" applyAlignment="1">
      <alignment vertical="center"/>
    </xf>
    <xf numFmtId="0" fontId="26" fillId="4" borderId="1" xfId="2" applyFill="1" applyAlignment="1">
      <alignment vertical="center" wrapText="1"/>
    </xf>
    <xf numFmtId="0" fontId="26" fillId="0" borderId="1" xfId="2" applyAlignment="1">
      <alignment vertical="center" wrapText="1"/>
    </xf>
    <xf numFmtId="0" fontId="26" fillId="0" borderId="1" xfId="2"/>
    <xf numFmtId="0" fontId="7" fillId="10" borderId="1" xfId="2" applyFont="1" applyFill="1" applyAlignment="1">
      <alignment horizontal="left" vertical="center"/>
    </xf>
    <xf numFmtId="0" fontId="7" fillId="10" borderId="1" xfId="2" applyFont="1" applyFill="1" applyAlignment="1">
      <alignment horizontal="center" vertical="center" wrapText="1"/>
    </xf>
    <xf numFmtId="0" fontId="26" fillId="17" borderId="1" xfId="2" applyFill="1"/>
    <xf numFmtId="0" fontId="8" fillId="13" borderId="1" xfId="2" applyFont="1" applyFill="1" applyAlignment="1">
      <alignment vertical="center"/>
    </xf>
    <xf numFmtId="0" fontId="8" fillId="0" borderId="1" xfId="2" applyFont="1" applyAlignment="1">
      <alignment vertical="center"/>
    </xf>
    <xf numFmtId="0" fontId="16" fillId="15" borderId="1" xfId="2" applyFont="1" applyFill="1" applyAlignment="1">
      <alignment horizontal="right" vertical="center" wrapText="1"/>
    </xf>
    <xf numFmtId="0" fontId="16" fillId="14" borderId="1" xfId="2" applyFont="1" applyFill="1" applyAlignment="1">
      <alignment horizontal="right" vertical="center" wrapText="1"/>
    </xf>
    <xf numFmtId="0" fontId="26" fillId="0" borderId="1" xfId="2" applyAlignment="1">
      <alignment wrapText="1"/>
    </xf>
    <xf numFmtId="0" fontId="10" fillId="2" borderId="1" xfId="2" applyFont="1" applyFill="1" applyAlignment="1">
      <alignment horizontal="left" vertical="center" wrapText="1"/>
    </xf>
    <xf numFmtId="0" fontId="16" fillId="14" borderId="1" xfId="2" applyFont="1" applyFill="1" applyAlignment="1">
      <alignment horizontal="center" vertical="center" wrapText="1"/>
    </xf>
    <xf numFmtId="0" fontId="19" fillId="8" borderId="1" xfId="2" applyFont="1" applyFill="1" applyAlignment="1">
      <alignment horizontal="center" vertical="center" wrapText="1"/>
    </xf>
    <xf numFmtId="0" fontId="16" fillId="15" borderId="1" xfId="2" applyFont="1" applyFill="1" applyAlignment="1">
      <alignment horizontal="center" vertical="center" wrapText="1"/>
    </xf>
    <xf numFmtId="0" fontId="19" fillId="13" borderId="1" xfId="2" applyFont="1" applyFill="1" applyAlignment="1">
      <alignment horizontal="center" vertical="center" wrapText="1"/>
    </xf>
    <xf numFmtId="0" fontId="19" fillId="13" borderId="1" xfId="2" applyFont="1" applyFill="1" applyAlignment="1">
      <alignment horizontal="center" vertical="center"/>
    </xf>
    <xf numFmtId="0" fontId="16" fillId="14" borderId="1" xfId="2" applyFont="1" applyFill="1" applyAlignment="1">
      <alignment horizontal="center" vertical="center"/>
    </xf>
    <xf numFmtId="0" fontId="5" fillId="9" borderId="1" xfId="2" applyFont="1" applyFill="1" applyAlignment="1">
      <alignment horizontal="center" vertical="center"/>
    </xf>
    <xf numFmtId="0" fontId="10" fillId="2" borderId="1" xfId="2" applyFont="1" applyFill="1" applyAlignment="1">
      <alignment horizontal="center" vertical="center" wrapText="1"/>
    </xf>
    <xf numFmtId="0" fontId="7" fillId="13" borderId="1" xfId="2" applyFont="1" applyFill="1" applyAlignment="1">
      <alignment horizontal="left" vertical="center"/>
    </xf>
    <xf numFmtId="0" fontId="26" fillId="17" borderId="1" xfId="2" applyFill="1" applyAlignment="1">
      <alignment horizontal="center" vertical="center"/>
    </xf>
    <xf numFmtId="0" fontId="20" fillId="13" borderId="1" xfId="2" applyFont="1" applyFill="1" applyAlignment="1">
      <alignment horizontal="center" vertical="center" wrapText="1"/>
    </xf>
    <xf numFmtId="0" fontId="20" fillId="13" borderId="1" xfId="2" applyFont="1" applyFill="1" applyAlignment="1">
      <alignment horizontal="center" vertical="center"/>
    </xf>
    <xf numFmtId="0" fontId="8" fillId="13" borderId="1" xfId="2" applyFont="1" applyFill="1" applyAlignment="1">
      <alignment vertical="center" wrapText="1"/>
    </xf>
    <xf numFmtId="0" fontId="7" fillId="10" borderId="1" xfId="2" applyFont="1" applyFill="1" applyAlignment="1">
      <alignment horizontal="center" vertical="center"/>
    </xf>
    <xf numFmtId="0" fontId="5" fillId="6" borderId="1" xfId="2" applyFont="1" applyFill="1" applyAlignment="1">
      <alignment horizontal="center" vertical="center"/>
    </xf>
    <xf numFmtId="0" fontId="5" fillId="9" borderId="1" xfId="2" applyFont="1" applyFill="1" applyAlignment="1">
      <alignment horizontal="center" vertical="center" wrapText="1"/>
    </xf>
    <xf numFmtId="0" fontId="21" fillId="9" borderId="1" xfId="2" applyFont="1" applyFill="1" applyAlignment="1">
      <alignment horizontal="left" vertical="center"/>
    </xf>
    <xf numFmtId="0" fontId="6" fillId="9" borderId="1" xfId="2" applyFont="1" applyFill="1" applyAlignment="1">
      <alignment horizontal="left" vertical="center"/>
    </xf>
    <xf numFmtId="0" fontId="6" fillId="9" borderId="1" xfId="2" applyFont="1" applyFill="1" applyAlignment="1">
      <alignment horizontal="center" vertical="center" wrapText="1"/>
    </xf>
    <xf numFmtId="0" fontId="13" fillId="10" borderId="1" xfId="2" applyFont="1" applyFill="1" applyAlignment="1">
      <alignment horizontal="left" vertical="center"/>
    </xf>
    <xf numFmtId="0" fontId="8" fillId="0" borderId="1" xfId="2" applyFont="1" applyAlignment="1">
      <alignment vertical="center" wrapText="1"/>
    </xf>
    <xf numFmtId="0" fontId="7" fillId="16" borderId="1" xfId="2" applyFont="1" applyFill="1" applyAlignment="1">
      <alignment horizontal="right" vertical="center"/>
    </xf>
    <xf numFmtId="0" fontId="11" fillId="7" borderId="1" xfId="2" applyFont="1" applyFill="1" applyAlignment="1">
      <alignment horizontal="left" vertical="center"/>
    </xf>
    <xf numFmtId="0" fontId="12" fillId="2" borderId="1" xfId="2" applyFont="1" applyFill="1" applyAlignment="1">
      <alignment horizontal="center" vertical="center"/>
    </xf>
    <xf numFmtId="0" fontId="13" fillId="16" borderId="1" xfId="2" applyFont="1" applyFill="1" applyAlignment="1">
      <alignment horizontal="right" vertical="center"/>
    </xf>
    <xf numFmtId="0" fontId="11" fillId="7" borderId="1" xfId="2" applyFont="1" applyFill="1" applyAlignment="1">
      <alignment horizontal="left" vertical="center" wrapText="1"/>
    </xf>
    <xf numFmtId="0" fontId="9" fillId="7" borderId="1" xfId="2" applyFont="1" applyFill="1" applyAlignment="1">
      <alignment horizontal="left" vertical="center" wrapText="1"/>
    </xf>
    <xf numFmtId="0" fontId="9" fillId="7" borderId="1" xfId="2" applyFont="1" applyFill="1" applyAlignment="1">
      <alignment horizontal="left" vertical="center"/>
    </xf>
    <xf numFmtId="0" fontId="14" fillId="7" borderId="1" xfId="2" applyFont="1" applyFill="1" applyAlignment="1">
      <alignment horizontal="left" vertical="center"/>
    </xf>
    <xf numFmtId="0" fontId="14" fillId="7" borderId="1" xfId="2" applyFont="1" applyFill="1" applyAlignment="1">
      <alignment horizontal="left" vertical="center" wrapText="1"/>
    </xf>
    <xf numFmtId="0" fontId="9" fillId="13" borderId="1" xfId="2" applyFont="1" applyFill="1" applyAlignment="1">
      <alignment horizontal="left" vertical="center"/>
    </xf>
    <xf numFmtId="0" fontId="15" fillId="15" borderId="1" xfId="2" applyFont="1" applyFill="1" applyAlignment="1">
      <alignment horizontal="center" vertical="center"/>
    </xf>
    <xf numFmtId="0" fontId="15" fillId="14" borderId="1" xfId="2" applyFont="1" applyFill="1" applyAlignment="1">
      <alignment horizontal="center" vertical="center"/>
    </xf>
    <xf numFmtId="0" fontId="16" fillId="18" borderId="1" xfId="2" applyFont="1" applyFill="1" applyAlignment="1">
      <alignment horizontal="right" vertical="center" wrapText="1"/>
    </xf>
    <xf numFmtId="0" fontId="16" fillId="19" borderId="1" xfId="2" applyFont="1" applyFill="1" applyAlignment="1">
      <alignment horizontal="right" vertical="center" wrapText="1"/>
    </xf>
    <xf numFmtId="0" fontId="7" fillId="13" borderId="1" xfId="2" applyFont="1" applyFill="1" applyAlignment="1">
      <alignment horizontal="right" vertical="center"/>
    </xf>
    <xf numFmtId="0" fontId="7" fillId="13" borderId="1" xfId="2" applyFont="1" applyFill="1" applyAlignment="1">
      <alignment horizontal="left" vertical="center" wrapText="1"/>
    </xf>
    <xf numFmtId="0" fontId="7" fillId="10" borderId="1" xfId="2" applyFont="1" applyFill="1" applyAlignment="1">
      <alignment horizontal="left" vertical="center" wrapText="1"/>
    </xf>
    <xf numFmtId="0" fontId="5" fillId="6" borderId="1" xfId="2" applyFont="1" applyFill="1" applyAlignment="1">
      <alignment horizontal="center" vertical="center" wrapText="1"/>
    </xf>
    <xf numFmtId="0" fontId="8" fillId="22" borderId="1" xfId="2" applyFont="1" applyFill="1" applyAlignment="1">
      <alignment vertical="center" wrapText="1"/>
    </xf>
    <xf numFmtId="0" fontId="8" fillId="22" borderId="1" xfId="2" applyFont="1" applyFill="1" applyAlignment="1">
      <alignment vertical="center"/>
    </xf>
    <xf numFmtId="0" fontId="27" fillId="24" borderId="0" xfId="0" applyFont="1" applyFill="1" applyAlignment="1">
      <alignment horizontal="center" vertical="center" wrapText="1"/>
    </xf>
    <xf numFmtId="0" fontId="28" fillId="0" borderId="0" xfId="0" applyFont="1" applyAlignment="1">
      <alignment vertical="center"/>
    </xf>
    <xf numFmtId="0" fontId="29" fillId="25" borderId="0" xfId="0" applyFont="1" applyFill="1" applyAlignment="1">
      <alignment vertical="center" wrapText="1"/>
    </xf>
    <xf numFmtId="0" fontId="28" fillId="0" borderId="0" xfId="0" applyFont="1" applyAlignment="1">
      <alignment vertical="center" wrapText="1"/>
    </xf>
    <xf numFmtId="0" fontId="30" fillId="26" borderId="0" xfId="0" applyFont="1" applyFill="1" applyAlignment="1">
      <alignment horizontal="center" vertical="center" wrapText="1"/>
    </xf>
    <xf numFmtId="0" fontId="31" fillId="23" borderId="0" xfId="0" applyFont="1" applyFill="1" applyAlignment="1">
      <alignment vertical="center" wrapText="1"/>
    </xf>
    <xf numFmtId="0" fontId="32" fillId="25" borderId="0" xfId="0" applyFont="1" applyFill="1" applyAlignment="1">
      <alignment vertical="center"/>
    </xf>
    <xf numFmtId="0" fontId="21" fillId="24" borderId="0" xfId="0" applyFont="1" applyFill="1" applyAlignment="1">
      <alignment horizontal="left" vertical="center"/>
    </xf>
    <xf numFmtId="0" fontId="31" fillId="0" borderId="0" xfId="0" applyFont="1" applyAlignment="1">
      <alignment horizontal="right" vertical="center" wrapText="1"/>
    </xf>
    <xf numFmtId="0" fontId="21" fillId="27" borderId="0" xfId="0" applyFont="1" applyFill="1" applyAlignment="1">
      <alignment horizontal="left" vertical="center"/>
    </xf>
    <xf numFmtId="0" fontId="29" fillId="25" borderId="0" xfId="0" applyFont="1" applyFill="1" applyAlignment="1">
      <alignment horizontal="center" vertical="center" wrapText="1"/>
    </xf>
    <xf numFmtId="0" fontId="28" fillId="0" borderId="0" xfId="0" applyFont="1" applyAlignment="1">
      <alignment horizontal="center" vertical="center" wrapText="1"/>
    </xf>
    <xf numFmtId="0" fontId="31" fillId="23" borderId="0" xfId="0" applyFont="1" applyFill="1" applyAlignment="1">
      <alignment horizontal="center" vertical="center" wrapText="1"/>
    </xf>
    <xf numFmtId="0" fontId="21" fillId="27" borderId="0" xfId="0" applyFont="1" applyFill="1" applyAlignment="1">
      <alignment horizontal="center" vertical="center"/>
    </xf>
    <xf numFmtId="0" fontId="8" fillId="0" borderId="0" xfId="0" applyFont="1" applyAlignment="1">
      <alignment horizontal="center" vertical="center" wrapText="1"/>
    </xf>
    <xf numFmtId="0" fontId="28" fillId="0" borderId="0" xfId="0" applyFont="1" applyAlignment="1">
      <alignment horizontal="center" vertical="center"/>
    </xf>
    <xf numFmtId="0" fontId="33" fillId="11" borderId="1" xfId="2" applyFont="1" applyFill="1" applyAlignment="1">
      <alignment horizontal="left" vertical="center" wrapText="1"/>
    </xf>
    <xf numFmtId="0" fontId="6" fillId="8" borderId="1" xfId="2" applyFont="1" applyFill="1" applyAlignment="1">
      <alignment horizontal="left" vertical="center"/>
    </xf>
    <xf numFmtId="0" fontId="13" fillId="21" borderId="1" xfId="2" applyFont="1" applyFill="1" applyAlignment="1">
      <alignment horizontal="right" vertical="center" wrapText="1"/>
    </xf>
    <xf numFmtId="0" fontId="13" fillId="16" borderId="1" xfId="2" applyFont="1" applyFill="1" applyAlignment="1">
      <alignment horizontal="right" vertical="center" wrapText="1"/>
    </xf>
    <xf numFmtId="0" fontId="34" fillId="7" borderId="1" xfId="2" applyFont="1" applyFill="1" applyAlignment="1">
      <alignment vertical="center"/>
    </xf>
    <xf numFmtId="0" fontId="8" fillId="27" borderId="1" xfId="2" applyFont="1" applyFill="1" applyAlignment="1">
      <alignment vertical="center"/>
    </xf>
    <xf numFmtId="0" fontId="26" fillId="27" borderId="1" xfId="2" applyFill="1" applyAlignment="1">
      <alignment vertical="center"/>
    </xf>
    <xf numFmtId="0" fontId="21" fillId="24" borderId="2" xfId="4" applyFont="1" applyFill="1" applyAlignment="1">
      <alignment horizontal="left" vertical="center"/>
    </xf>
    <xf numFmtId="0" fontId="6" fillId="24" borderId="2" xfId="4" applyFont="1" applyFill="1" applyAlignment="1">
      <alignment horizontal="left" vertical="center"/>
    </xf>
    <xf numFmtId="0" fontId="6" fillId="24" borderId="2" xfId="4" applyFont="1" applyFill="1" applyAlignment="1">
      <alignment horizontal="center" vertical="center" wrapText="1"/>
    </xf>
    <xf numFmtId="0" fontId="26" fillId="0" borderId="2" xfId="4" applyAlignment="1">
      <alignment vertical="center" wrapText="1"/>
    </xf>
    <xf numFmtId="0" fontId="26" fillId="0" borderId="2" xfId="4"/>
    <xf numFmtId="0" fontId="13" fillId="25" borderId="2" xfId="4" applyFont="1" applyFill="1" applyAlignment="1">
      <alignment horizontal="left" vertical="center"/>
    </xf>
    <xf numFmtId="0" fontId="7" fillId="25" borderId="2" xfId="4" applyFont="1" applyFill="1" applyAlignment="1">
      <alignment horizontal="left" vertical="center"/>
    </xf>
    <xf numFmtId="0" fontId="7" fillId="25" borderId="2" xfId="4" applyFont="1" applyFill="1" applyAlignment="1">
      <alignment horizontal="center" vertical="center" wrapText="1"/>
    </xf>
    <xf numFmtId="0" fontId="26" fillId="0" borderId="2" xfId="4" applyAlignment="1">
      <alignment vertical="center"/>
    </xf>
    <xf numFmtId="0" fontId="8" fillId="0" borderId="2" xfId="4" applyFont="1" applyAlignment="1">
      <alignment vertical="center" wrapText="1"/>
    </xf>
    <xf numFmtId="0" fontId="26" fillId="20" borderId="2" xfId="4" applyFill="1"/>
    <xf numFmtId="0" fontId="7" fillId="21" borderId="2" xfId="4" applyFont="1" applyFill="1" applyAlignment="1">
      <alignment horizontal="right" vertical="center"/>
    </xf>
    <xf numFmtId="0" fontId="11" fillId="7" borderId="2" xfId="4" applyFont="1" applyFill="1" applyAlignment="1">
      <alignment horizontal="left" vertical="center"/>
    </xf>
    <xf numFmtId="0" fontId="10" fillId="7" borderId="2" xfId="4" applyFont="1" applyFill="1" applyAlignment="1">
      <alignment horizontal="left" vertical="center"/>
    </xf>
    <xf numFmtId="0" fontId="13" fillId="21" borderId="2" xfId="4" applyFont="1" applyFill="1" applyAlignment="1">
      <alignment horizontal="right" vertical="center"/>
    </xf>
    <xf numFmtId="0" fontId="11" fillId="7" borderId="2" xfId="4" applyFont="1" applyFill="1" applyAlignment="1">
      <alignment horizontal="left" vertical="center" wrapText="1"/>
    </xf>
    <xf numFmtId="0" fontId="9" fillId="7" borderId="2" xfId="4" applyFont="1" applyFill="1" applyAlignment="1">
      <alignment horizontal="left" vertical="center" wrapText="1"/>
    </xf>
    <xf numFmtId="0" fontId="9" fillId="7" borderId="2" xfId="4" applyFont="1" applyFill="1" applyAlignment="1">
      <alignment horizontal="left" vertical="center"/>
    </xf>
    <xf numFmtId="0" fontId="14" fillId="7" borderId="2" xfId="4" applyFont="1" applyFill="1" applyAlignment="1">
      <alignment horizontal="left" vertical="center"/>
    </xf>
    <xf numFmtId="0" fontId="14" fillId="7" borderId="2" xfId="4" applyFont="1" applyFill="1" applyAlignment="1">
      <alignment horizontal="left" vertical="center" wrapText="1"/>
    </xf>
    <xf numFmtId="0" fontId="8" fillId="22" borderId="2" xfId="4" applyFont="1" applyFill="1" applyAlignment="1">
      <alignment vertical="center"/>
    </xf>
    <xf numFmtId="0" fontId="9" fillId="22" borderId="2" xfId="4" applyFont="1" applyFill="1" applyAlignment="1">
      <alignment horizontal="left" vertical="center"/>
    </xf>
    <xf numFmtId="0" fontId="15" fillId="18" borderId="2" xfId="4" applyFont="1" applyFill="1" applyAlignment="1">
      <alignment horizontal="center" vertical="center"/>
    </xf>
    <xf numFmtId="0" fontId="8" fillId="0" borderId="2" xfId="4" applyFont="1" applyAlignment="1">
      <alignment vertical="center"/>
    </xf>
    <xf numFmtId="0" fontId="15" fillId="19" borderId="2" xfId="4" applyFont="1" applyFill="1" applyAlignment="1">
      <alignment horizontal="center" vertical="center"/>
    </xf>
    <xf numFmtId="0" fontId="23" fillId="3" borderId="2" xfId="4" applyFont="1" applyFill="1" applyAlignment="1">
      <alignment horizontal="left" vertical="center"/>
    </xf>
    <xf numFmtId="0" fontId="5" fillId="3" borderId="2" xfId="4" applyFont="1" applyFill="1" applyAlignment="1">
      <alignment horizontal="center" vertical="center"/>
    </xf>
    <xf numFmtId="0" fontId="16" fillId="18" borderId="2" xfId="4" applyFont="1" applyFill="1" applyAlignment="1">
      <alignment horizontal="right" vertical="center" wrapText="1"/>
    </xf>
    <xf numFmtId="0" fontId="16" fillId="19" borderId="2" xfId="4" applyFont="1" applyFill="1" applyAlignment="1">
      <alignment horizontal="right" vertical="center" wrapText="1"/>
    </xf>
    <xf numFmtId="0" fontId="26" fillId="4" borderId="2" xfId="4" applyFill="1" applyAlignment="1">
      <alignment vertical="center" wrapText="1"/>
    </xf>
    <xf numFmtId="0" fontId="26" fillId="0" borderId="2" xfId="4" applyAlignment="1">
      <alignment wrapText="1"/>
    </xf>
    <xf numFmtId="0" fontId="11" fillId="11" borderId="2" xfId="4" applyFont="1" applyFill="1" applyAlignment="1">
      <alignment horizontal="left" vertical="center"/>
    </xf>
    <xf numFmtId="0" fontId="16" fillId="19" borderId="2" xfId="4" applyFont="1" applyFill="1" applyAlignment="1">
      <alignment horizontal="center" vertical="center" wrapText="1"/>
    </xf>
    <xf numFmtId="0" fontId="7" fillId="22" borderId="2" xfId="4" applyFont="1" applyFill="1" applyAlignment="1">
      <alignment horizontal="right" vertical="center"/>
    </xf>
    <xf numFmtId="0" fontId="27" fillId="8" borderId="2" xfId="4" applyFont="1" applyFill="1" applyAlignment="1">
      <alignment horizontal="left" vertical="center"/>
    </xf>
    <xf numFmtId="0" fontId="19" fillId="8" borderId="2" xfId="4" applyFont="1" applyFill="1" applyAlignment="1">
      <alignment horizontal="center" vertical="center" wrapText="1"/>
    </xf>
    <xf numFmtId="0" fontId="7" fillId="21" borderId="2" xfId="4" applyFont="1" applyFill="1" applyAlignment="1">
      <alignment horizontal="right" vertical="center" wrapText="1"/>
    </xf>
    <xf numFmtId="0" fontId="9" fillId="11" borderId="2" xfId="4" applyFont="1" applyFill="1" applyAlignment="1">
      <alignment horizontal="left" vertical="center" wrapText="1"/>
    </xf>
    <xf numFmtId="0" fontId="16" fillId="18" borderId="2" xfId="4" applyFont="1" applyFill="1" applyAlignment="1">
      <alignment horizontal="center" vertical="center" wrapText="1"/>
    </xf>
    <xf numFmtId="0" fontId="19" fillId="22" borderId="2" xfId="4" applyFont="1" applyFill="1" applyAlignment="1">
      <alignment horizontal="center" vertical="center" wrapText="1"/>
    </xf>
    <xf numFmtId="0" fontId="19" fillId="22" borderId="2" xfId="4" applyFont="1" applyFill="1" applyAlignment="1">
      <alignment horizontal="center" vertical="center"/>
    </xf>
    <xf numFmtId="0" fontId="16" fillId="19" borderId="2" xfId="4" applyFont="1" applyFill="1" applyAlignment="1">
      <alignment horizontal="center" vertical="center"/>
    </xf>
    <xf numFmtId="0" fontId="5" fillId="24" borderId="2" xfId="4" applyFont="1" applyFill="1" applyAlignment="1">
      <alignment horizontal="center" vertical="center"/>
    </xf>
    <xf numFmtId="0" fontId="10" fillId="2" borderId="2" xfId="4" applyFont="1" applyFill="1" applyAlignment="1">
      <alignment horizontal="center" vertical="center" wrapText="1"/>
    </xf>
    <xf numFmtId="0" fontId="10" fillId="2" borderId="2" xfId="4" applyFont="1" applyFill="1" applyAlignment="1">
      <alignment horizontal="left" vertical="center" wrapText="1"/>
    </xf>
    <xf numFmtId="0" fontId="7" fillId="22" borderId="2" xfId="4" applyFont="1" applyFill="1" applyAlignment="1">
      <alignment horizontal="left" vertical="center"/>
    </xf>
    <xf numFmtId="0" fontId="26" fillId="20" borderId="2" xfId="4" applyFill="1" applyAlignment="1">
      <alignment horizontal="center" vertical="center"/>
    </xf>
    <xf numFmtId="0" fontId="20" fillId="22" borderId="2" xfId="4" applyFont="1" applyFill="1" applyAlignment="1">
      <alignment horizontal="center" vertical="center" wrapText="1"/>
    </xf>
    <xf numFmtId="0" fontId="20" fillId="22" borderId="2" xfId="4" applyFont="1" applyFill="1" applyAlignment="1">
      <alignment horizontal="center" vertical="center"/>
    </xf>
    <xf numFmtId="0" fontId="8" fillId="22" borderId="2" xfId="4" applyFont="1" applyFill="1" applyAlignment="1">
      <alignment vertical="center" wrapText="1"/>
    </xf>
    <xf numFmtId="0" fontId="7" fillId="25" borderId="2" xfId="4" applyFont="1" applyFill="1" applyAlignment="1">
      <alignment horizontal="center" vertical="center"/>
    </xf>
    <xf numFmtId="0" fontId="5" fillId="6" borderId="2" xfId="4" applyFont="1" applyFill="1" applyAlignment="1">
      <alignment horizontal="center" vertical="center"/>
    </xf>
    <xf numFmtId="0" fontId="5" fillId="24" borderId="2" xfId="4" applyFont="1" applyFill="1" applyAlignment="1">
      <alignment horizontal="center" vertical="center" wrapText="1"/>
    </xf>
    <xf numFmtId="0" fontId="35" fillId="14" borderId="1" xfId="2" applyFont="1" applyFill="1" applyAlignment="1">
      <alignment horizontal="left" vertical="center"/>
    </xf>
    <xf numFmtId="0" fontId="35" fillId="15" borderId="1" xfId="2" applyFont="1" applyFill="1" applyAlignment="1">
      <alignment horizontal="left" vertical="center"/>
    </xf>
    <xf numFmtId="0" fontId="15" fillId="29" borderId="1" xfId="2" applyFont="1" applyFill="1" applyAlignment="1">
      <alignment horizontal="right" vertical="center" wrapText="1"/>
    </xf>
    <xf numFmtId="0" fontId="15" fillId="29" borderId="1" xfId="2" applyFont="1" applyFill="1" applyAlignment="1">
      <alignment horizontal="center" vertical="center" wrapText="1"/>
    </xf>
    <xf numFmtId="0" fontId="36" fillId="2" borderId="1" xfId="2" applyFont="1" applyFill="1" applyAlignment="1">
      <alignment horizontal="center" vertical="center"/>
    </xf>
    <xf numFmtId="0" fontId="37" fillId="4" borderId="1" xfId="2" applyFont="1" applyFill="1" applyAlignment="1">
      <alignment vertical="center"/>
    </xf>
    <xf numFmtId="0" fontId="38" fillId="5" borderId="1" xfId="2" applyFont="1" applyFill="1" applyAlignment="1">
      <alignment horizontal="right" vertical="center" wrapText="1"/>
    </xf>
    <xf numFmtId="0" fontId="37" fillId="28" borderId="1" xfId="2" applyFont="1" applyFill="1" applyAlignment="1">
      <alignment vertical="center"/>
    </xf>
    <xf numFmtId="0" fontId="38" fillId="28" borderId="1" xfId="2" applyFont="1" applyFill="1" applyAlignment="1">
      <alignment horizontal="left" vertical="center"/>
    </xf>
    <xf numFmtId="0" fontId="38" fillId="28" borderId="1" xfId="2" applyFont="1" applyFill="1" applyAlignment="1">
      <alignment horizontal="right" vertical="center" wrapText="1"/>
    </xf>
    <xf numFmtId="0" fontId="38" fillId="28" borderId="1" xfId="2" applyFont="1" applyFill="1" applyAlignment="1">
      <alignment vertical="center"/>
    </xf>
    <xf numFmtId="0" fontId="35" fillId="18" borderId="2" xfId="4" applyFont="1" applyFill="1" applyAlignment="1">
      <alignment horizontal="left" vertical="center"/>
    </xf>
    <xf numFmtId="0" fontId="35" fillId="19" borderId="2" xfId="4" applyFont="1" applyFill="1" applyAlignment="1">
      <alignment horizontal="left" vertical="center"/>
    </xf>
    <xf numFmtId="0" fontId="13" fillId="21" borderId="2" xfId="4" applyFont="1" applyFill="1" applyAlignment="1">
      <alignment horizontal="right" vertical="center" wrapText="1"/>
    </xf>
    <xf numFmtId="0" fontId="33" fillId="11" borderId="2" xfId="4" applyFont="1" applyFill="1" applyAlignment="1">
      <alignment horizontal="left" vertical="center" wrapText="1"/>
    </xf>
    <xf numFmtId="0" fontId="15" fillId="8" borderId="2" xfId="4" applyFont="1" applyFill="1" applyAlignment="1">
      <alignment horizontal="right" vertical="center" wrapText="1"/>
    </xf>
    <xf numFmtId="0" fontId="15" fillId="8" borderId="2" xfId="4" applyFont="1" applyFill="1" applyAlignment="1">
      <alignment horizontal="center" vertical="center" wrapText="1"/>
    </xf>
    <xf numFmtId="0" fontId="38" fillId="5" borderId="2" xfId="4" applyFont="1" applyFill="1" applyAlignment="1">
      <alignment horizontal="right" vertical="center" wrapText="1"/>
    </xf>
    <xf numFmtId="0" fontId="37" fillId="4" borderId="2" xfId="4" applyFont="1" applyFill="1" applyAlignment="1">
      <alignment vertical="center"/>
    </xf>
    <xf numFmtId="0" fontId="37" fillId="4" borderId="2" xfId="4" applyFont="1" applyFill="1" applyAlignment="1">
      <alignment vertical="center" wrapText="1"/>
    </xf>
    <xf numFmtId="0" fontId="17" fillId="0" borderId="0" xfId="0" applyFont="1" applyAlignment="1">
      <alignment vertical="center" wrapText="1"/>
    </xf>
    <xf numFmtId="0" fontId="26" fillId="0" borderId="1" xfId="2" applyAlignment="1">
      <alignment horizontal="center" vertical="center"/>
    </xf>
    <xf numFmtId="0" fontId="26" fillId="0" borderId="2" xfId="4" applyAlignment="1">
      <alignment horizontal="center" vertical="center"/>
    </xf>
    <xf numFmtId="0" fontId="28" fillId="30" borderId="2" xfId="5" applyFont="1" applyFill="1" applyAlignment="1">
      <alignment horizontal="left" vertical="center"/>
    </xf>
    <xf numFmtId="1" fontId="12" fillId="2" borderId="2" xfId="7" applyNumberFormat="1" applyFont="1" applyFill="1" applyAlignment="1">
      <alignment horizontal="center" vertical="center"/>
    </xf>
    <xf numFmtId="1" fontId="12" fillId="30" borderId="2" xfId="7" applyNumberFormat="1" applyFont="1" applyFill="1" applyAlignment="1">
      <alignment horizontal="center" vertical="center"/>
    </xf>
    <xf numFmtId="0" fontId="35" fillId="34" borderId="1" xfId="2" applyFont="1" applyFill="1" applyAlignment="1">
      <alignment horizontal="left" vertical="center"/>
    </xf>
    <xf numFmtId="0" fontId="35" fillId="35" borderId="1" xfId="2" applyFont="1" applyFill="1" applyAlignment="1">
      <alignment horizontal="left" vertical="center"/>
    </xf>
    <xf numFmtId="0" fontId="39" fillId="30" borderId="2" xfId="6" applyFont="1" applyFill="1" applyAlignment="1">
      <alignment horizontal="left" vertical="center"/>
    </xf>
    <xf numFmtId="0" fontId="28" fillId="0" borderId="0" xfId="0" applyFont="1"/>
    <xf numFmtId="0" fontId="28" fillId="0" borderId="1" xfId="2" applyFont="1" applyAlignment="1">
      <alignment vertical="center"/>
    </xf>
    <xf numFmtId="0" fontId="28" fillId="0" borderId="2" xfId="5" applyFont="1" applyAlignment="1">
      <alignment vertical="top"/>
    </xf>
    <xf numFmtId="0" fontId="8" fillId="0" borderId="2" xfId="5" applyFont="1" applyAlignment="1">
      <alignment horizontal="center" vertical="center" wrapText="1"/>
    </xf>
    <xf numFmtId="0" fontId="30" fillId="38" borderId="1" xfId="2" applyFont="1" applyFill="1" applyAlignment="1">
      <alignment horizontal="center" vertical="center"/>
    </xf>
    <xf numFmtId="0" fontId="30" fillId="36" borderId="1" xfId="2" applyFont="1" applyFill="1" applyAlignment="1">
      <alignment horizontal="center" vertical="center"/>
    </xf>
    <xf numFmtId="0" fontId="24" fillId="0" borderId="2" xfId="5" applyFont="1" applyAlignment="1">
      <alignment horizontal="center" vertical="center" wrapText="1"/>
    </xf>
    <xf numFmtId="0" fontId="31" fillId="0" borderId="2" xfId="5" applyFont="1" applyAlignment="1">
      <alignment horizontal="center" vertical="center" wrapText="1"/>
    </xf>
    <xf numFmtId="0" fontId="40" fillId="0" borderId="2" xfId="5" applyFont="1" applyAlignment="1">
      <alignment horizontal="center" vertical="center" wrapText="1"/>
    </xf>
    <xf numFmtId="0" fontId="41" fillId="33" borderId="1" xfId="2" applyFont="1" applyFill="1" applyAlignment="1">
      <alignment horizontal="center" vertical="center"/>
    </xf>
    <xf numFmtId="0" fontId="42" fillId="33" borderId="1" xfId="2" applyFont="1" applyFill="1" applyAlignment="1">
      <alignment vertical="center"/>
    </xf>
    <xf numFmtId="0" fontId="43" fillId="39" borderId="1" xfId="2" applyFont="1" applyFill="1" applyAlignment="1">
      <alignment horizontal="center" vertical="center"/>
    </xf>
    <xf numFmtId="0" fontId="43" fillId="39" borderId="1" xfId="2" applyFont="1" applyFill="1" applyAlignment="1">
      <alignment vertical="center"/>
    </xf>
    <xf numFmtId="0" fontId="28" fillId="39" borderId="1" xfId="2" applyFont="1" applyFill="1" applyAlignment="1">
      <alignment vertical="center"/>
    </xf>
    <xf numFmtId="0" fontId="28" fillId="0" borderId="1" xfId="2" applyFont="1" applyAlignment="1">
      <alignment horizontal="center" vertical="center" wrapText="1"/>
    </xf>
    <xf numFmtId="0" fontId="28" fillId="39" borderId="1" xfId="2" applyFont="1" applyFill="1" applyAlignment="1">
      <alignment vertical="center" wrapText="1"/>
    </xf>
    <xf numFmtId="0" fontId="28" fillId="0" borderId="2" xfId="4" applyFont="1" applyAlignment="1">
      <alignment horizontal="center" vertical="center" wrapText="1"/>
    </xf>
    <xf numFmtId="0" fontId="28" fillId="39" borderId="2" xfId="4" applyFont="1" applyFill="1" applyAlignment="1">
      <alignment vertical="center" wrapText="1"/>
    </xf>
    <xf numFmtId="0" fontId="28" fillId="39" borderId="2" xfId="4" applyFont="1" applyFill="1" applyAlignment="1">
      <alignment vertical="center"/>
    </xf>
    <xf numFmtId="0" fontId="43" fillId="39" borderId="2" xfId="4" applyFont="1" applyFill="1" applyAlignment="1">
      <alignment vertical="center"/>
    </xf>
    <xf numFmtId="0" fontId="28" fillId="0" borderId="2" xfId="4" applyFont="1" applyAlignment="1">
      <alignment vertical="center"/>
    </xf>
    <xf numFmtId="0" fontId="26" fillId="0" borderId="1" xfId="2" applyAlignment="1">
      <alignment horizontal="left" vertical="center"/>
    </xf>
    <xf numFmtId="0" fontId="26" fillId="0" borderId="1" xfId="2" applyAlignment="1">
      <alignment horizontal="left"/>
    </xf>
    <xf numFmtId="0" fontId="26" fillId="0" borderId="2" xfId="4" applyAlignment="1">
      <alignment horizontal="left" vertical="center"/>
    </xf>
    <xf numFmtId="0" fontId="26" fillId="0" borderId="2" xfId="4" applyAlignment="1">
      <alignment horizontal="left"/>
    </xf>
    <xf numFmtId="0" fontId="21" fillId="24" borderId="2" xfId="5" applyFont="1" applyFill="1" applyAlignment="1">
      <alignment horizontal="left" vertical="center"/>
    </xf>
    <xf numFmtId="0" fontId="6" fillId="24" borderId="2" xfId="5" applyFont="1" applyFill="1" applyAlignment="1">
      <alignment horizontal="left" vertical="center"/>
    </xf>
    <xf numFmtId="0" fontId="6" fillId="24" borderId="2" xfId="5" applyFont="1" applyFill="1" applyAlignment="1">
      <alignment horizontal="center" vertical="center" wrapText="1"/>
    </xf>
    <xf numFmtId="0" fontId="26" fillId="0" borderId="2" xfId="5" applyAlignment="1">
      <alignment vertical="center" wrapText="1"/>
    </xf>
    <xf numFmtId="0" fontId="26" fillId="0" borderId="2" xfId="5"/>
    <xf numFmtId="0" fontId="13" fillId="25" borderId="2" xfId="5" applyFont="1" applyFill="1" applyAlignment="1">
      <alignment horizontal="left" vertical="center"/>
    </xf>
    <xf numFmtId="0" fontId="7" fillId="25" borderId="2" xfId="5" applyFont="1" applyFill="1" applyAlignment="1">
      <alignment horizontal="left" vertical="center"/>
    </xf>
    <xf numFmtId="0" fontId="7" fillId="25" borderId="2" xfId="5" applyFont="1" applyFill="1" applyAlignment="1">
      <alignment horizontal="center" vertical="center" wrapText="1"/>
    </xf>
    <xf numFmtId="0" fontId="26" fillId="0" borderId="2" xfId="5" applyAlignment="1">
      <alignment vertical="center"/>
    </xf>
    <xf numFmtId="0" fontId="8" fillId="0" borderId="2" xfId="5" applyFont="1" applyAlignment="1">
      <alignment vertical="center" wrapText="1"/>
    </xf>
    <xf numFmtId="0" fontId="24" fillId="21" borderId="2" xfId="5" applyFont="1" applyFill="1" applyAlignment="1">
      <alignment horizontal="center" vertical="center" wrapText="1"/>
    </xf>
    <xf numFmtId="0" fontId="26" fillId="20" borderId="2" xfId="5" applyFill="1"/>
    <xf numFmtId="0" fontId="7" fillId="21" borderId="2" xfId="5" applyFont="1" applyFill="1" applyAlignment="1">
      <alignment horizontal="right" vertical="center"/>
    </xf>
    <xf numFmtId="0" fontId="12" fillId="2" borderId="2" xfId="5" applyFont="1" applyFill="1" applyAlignment="1">
      <alignment horizontal="center" vertical="center"/>
    </xf>
    <xf numFmtId="0" fontId="11" fillId="7" borderId="2" xfId="5" applyFont="1" applyFill="1" applyAlignment="1">
      <alignment horizontal="left" vertical="center"/>
    </xf>
    <xf numFmtId="0" fontId="36" fillId="2" borderId="2" xfId="5" applyFont="1" applyFill="1" applyAlignment="1">
      <alignment horizontal="center" vertical="center"/>
    </xf>
    <xf numFmtId="0" fontId="13" fillId="21" borderId="2" xfId="5" applyFont="1" applyFill="1" applyAlignment="1">
      <alignment horizontal="right" vertical="center"/>
    </xf>
    <xf numFmtId="0" fontId="11" fillId="7" borderId="2" xfId="5" applyFont="1" applyFill="1" applyAlignment="1">
      <alignment horizontal="left" vertical="center" wrapText="1"/>
    </xf>
    <xf numFmtId="0" fontId="9" fillId="7" borderId="2" xfId="5" applyFont="1" applyFill="1" applyAlignment="1">
      <alignment horizontal="left" vertical="center" wrapText="1"/>
    </xf>
    <xf numFmtId="0" fontId="9" fillId="7" borderId="2" xfId="5" applyFont="1" applyFill="1" applyAlignment="1">
      <alignment horizontal="left" vertical="center"/>
    </xf>
    <xf numFmtId="0" fontId="14" fillId="7" borderId="2" xfId="5" applyFont="1" applyFill="1" applyAlignment="1">
      <alignment horizontal="left" vertical="center"/>
    </xf>
    <xf numFmtId="0" fontId="14" fillId="7" borderId="2" xfId="5" applyFont="1" applyFill="1" applyAlignment="1">
      <alignment horizontal="left" vertical="center" wrapText="1"/>
    </xf>
    <xf numFmtId="0" fontId="8" fillId="22" borderId="2" xfId="5" applyFont="1" applyFill="1" applyAlignment="1">
      <alignment vertical="center"/>
    </xf>
    <xf numFmtId="0" fontId="9" fillId="22" borderId="2" xfId="5" applyFont="1" applyFill="1" applyAlignment="1">
      <alignment horizontal="left" vertical="center"/>
    </xf>
    <xf numFmtId="0" fontId="15" fillId="18" borderId="2" xfId="5" applyFont="1" applyFill="1" applyAlignment="1">
      <alignment horizontal="center" vertical="center"/>
    </xf>
    <xf numFmtId="0" fontId="8" fillId="0" borderId="2" xfId="5" applyFont="1" applyAlignment="1">
      <alignment vertical="center"/>
    </xf>
    <xf numFmtId="0" fontId="15" fillId="19" borderId="2" xfId="5" applyFont="1" applyFill="1" applyAlignment="1">
      <alignment horizontal="center" vertical="center"/>
    </xf>
    <xf numFmtId="0" fontId="23" fillId="3" borderId="2" xfId="5" applyFont="1" applyFill="1" applyAlignment="1">
      <alignment horizontal="left" vertical="center"/>
    </xf>
    <xf numFmtId="0" fontId="5" fillId="3" borderId="2" xfId="5" applyFont="1" applyFill="1" applyAlignment="1">
      <alignment horizontal="center" vertical="center"/>
    </xf>
    <xf numFmtId="0" fontId="16" fillId="18" borderId="2" xfId="5" applyFont="1" applyFill="1" applyAlignment="1">
      <alignment horizontal="right" vertical="center" wrapText="1"/>
    </xf>
    <xf numFmtId="0" fontId="17" fillId="7" borderId="2" xfId="5" applyFont="1" applyFill="1" applyAlignment="1">
      <alignment horizontal="left" vertical="center"/>
    </xf>
    <xf numFmtId="0" fontId="16" fillId="19" borderId="2" xfId="5" applyFont="1" applyFill="1" applyAlignment="1">
      <alignment horizontal="right" vertical="center" wrapText="1"/>
    </xf>
    <xf numFmtId="0" fontId="44" fillId="5" borderId="2" xfId="5" applyFont="1" applyFill="1" applyAlignment="1">
      <alignment horizontal="right" vertical="center" wrapText="1"/>
    </xf>
    <xf numFmtId="0" fontId="22" fillId="4" borderId="2" xfId="5" applyFont="1" applyFill="1" applyAlignment="1">
      <alignment vertical="center"/>
    </xf>
    <xf numFmtId="0" fontId="26" fillId="4" borderId="2" xfId="5" applyFill="1" applyAlignment="1">
      <alignment vertical="center" wrapText="1"/>
    </xf>
    <xf numFmtId="0" fontId="26" fillId="0" borderId="2" xfId="5" applyAlignment="1">
      <alignment wrapText="1"/>
    </xf>
    <xf numFmtId="0" fontId="11" fillId="11" borderId="2" xfId="5" applyFont="1" applyFill="1" applyAlignment="1">
      <alignment horizontal="left" vertical="center"/>
    </xf>
    <xf numFmtId="0" fontId="16" fillId="19" borderId="2" xfId="5" applyFont="1" applyFill="1" applyAlignment="1">
      <alignment horizontal="center" vertical="center" wrapText="1"/>
    </xf>
    <xf numFmtId="0" fontId="16" fillId="34" borderId="2" xfId="5" applyFont="1" applyFill="1" applyAlignment="1">
      <alignment horizontal="right" vertical="center" wrapText="1"/>
    </xf>
    <xf numFmtId="0" fontId="16" fillId="35" borderId="2" xfId="5" applyFont="1" applyFill="1" applyAlignment="1">
      <alignment horizontal="right" vertical="center" wrapText="1"/>
    </xf>
    <xf numFmtId="0" fontId="7" fillId="22" borderId="2" xfId="5" applyFont="1" applyFill="1" applyAlignment="1">
      <alignment horizontal="right" vertical="center"/>
    </xf>
    <xf numFmtId="0" fontId="27" fillId="8" borderId="2" xfId="5" applyFont="1" applyFill="1" applyAlignment="1">
      <alignment horizontal="left" vertical="center"/>
    </xf>
    <xf numFmtId="0" fontId="19" fillId="8" borderId="2" xfId="5" applyFont="1" applyFill="1" applyAlignment="1">
      <alignment horizontal="center" vertical="center" wrapText="1"/>
    </xf>
    <xf numFmtId="0" fontId="7" fillId="21" borderId="2" xfId="5" applyFont="1" applyFill="1" applyAlignment="1">
      <alignment horizontal="right" vertical="center" wrapText="1"/>
    </xf>
    <xf numFmtId="0" fontId="9" fillId="11" borderId="2" xfId="5" applyFont="1" applyFill="1" applyAlignment="1">
      <alignment horizontal="left" vertical="center" wrapText="1"/>
    </xf>
    <xf numFmtId="0" fontId="18" fillId="21" borderId="2" xfId="5" applyFont="1" applyFill="1" applyAlignment="1">
      <alignment horizontal="center" vertical="center" wrapText="1"/>
    </xf>
    <xf numFmtId="0" fontId="16" fillId="18" borderId="2" xfId="5" applyFont="1" applyFill="1" applyAlignment="1">
      <alignment horizontal="center" vertical="center" wrapText="1"/>
    </xf>
    <xf numFmtId="0" fontId="19" fillId="22" borderId="2" xfId="5" applyFont="1" applyFill="1" applyAlignment="1">
      <alignment horizontal="center" vertical="center" wrapText="1"/>
    </xf>
    <xf numFmtId="0" fontId="19" fillId="22" borderId="2" xfId="5" applyFont="1" applyFill="1" applyAlignment="1">
      <alignment horizontal="center" vertical="center"/>
    </xf>
    <xf numFmtId="0" fontId="16" fillId="19" borderId="2" xfId="5" applyFont="1" applyFill="1" applyAlignment="1">
      <alignment horizontal="center" vertical="center"/>
    </xf>
    <xf numFmtId="0" fontId="5" fillId="24" borderId="2" xfId="5" applyFont="1" applyFill="1" applyAlignment="1">
      <alignment horizontal="center" vertical="center"/>
    </xf>
    <xf numFmtId="0" fontId="10" fillId="2" borderId="2" xfId="5" applyFont="1" applyFill="1" applyAlignment="1">
      <alignment horizontal="center" vertical="center" wrapText="1"/>
    </xf>
    <xf numFmtId="0" fontId="10" fillId="2" borderId="2" xfId="5" applyFont="1" applyFill="1" applyAlignment="1">
      <alignment horizontal="left" vertical="center" wrapText="1"/>
    </xf>
    <xf numFmtId="0" fontId="7" fillId="22" borderId="2" xfId="5" applyFont="1" applyFill="1" applyAlignment="1">
      <alignment horizontal="left" vertical="center"/>
    </xf>
    <xf numFmtId="0" fontId="26" fillId="20" borderId="2" xfId="5" applyFill="1" applyAlignment="1">
      <alignment horizontal="center" vertical="center"/>
    </xf>
    <xf numFmtId="0" fontId="20" fillId="22" borderId="2" xfId="5" applyFont="1" applyFill="1" applyAlignment="1">
      <alignment horizontal="center" vertical="center" wrapText="1"/>
    </xf>
    <xf numFmtId="0" fontId="20" fillId="22" borderId="2" xfId="5" applyFont="1" applyFill="1" applyAlignment="1">
      <alignment horizontal="center" vertical="center"/>
    </xf>
    <xf numFmtId="0" fontId="8" fillId="22" borderId="2" xfId="5" applyFont="1" applyFill="1" applyAlignment="1">
      <alignment vertical="center" wrapText="1"/>
    </xf>
    <xf numFmtId="0" fontId="7" fillId="25" borderId="2" xfId="5" applyFont="1" applyFill="1" applyAlignment="1">
      <alignment horizontal="center" vertical="center"/>
    </xf>
    <xf numFmtId="0" fontId="5" fillId="6" borderId="2" xfId="5" applyFont="1" applyFill="1" applyAlignment="1">
      <alignment horizontal="center" vertical="center"/>
    </xf>
    <xf numFmtId="0" fontId="5" fillId="24" borderId="2" xfId="5" applyFont="1" applyFill="1" applyAlignment="1">
      <alignment horizontal="center" vertical="center" wrapText="1"/>
    </xf>
    <xf numFmtId="0" fontId="26" fillId="0" borderId="2" xfId="5" applyAlignment="1">
      <alignment horizontal="center" vertical="center" wrapText="1"/>
    </xf>
    <xf numFmtId="0" fontId="26" fillId="32" borderId="2" xfId="5" applyFill="1"/>
    <xf numFmtId="0" fontId="7" fillId="40" borderId="2" xfId="5" applyFont="1" applyFill="1" applyAlignment="1">
      <alignment horizontal="right" vertical="center" wrapText="1"/>
    </xf>
    <xf numFmtId="0" fontId="16" fillId="34" borderId="2" xfId="5" applyFont="1" applyFill="1" applyAlignment="1">
      <alignment horizontal="center" vertical="center" wrapText="1"/>
    </xf>
    <xf numFmtId="0" fontId="19" fillId="30" borderId="2" xfId="5" applyFont="1" applyFill="1" applyAlignment="1">
      <alignment horizontal="center" vertical="center" wrapText="1"/>
    </xf>
    <xf numFmtId="0" fontId="16" fillId="35" borderId="2" xfId="5" applyFont="1" applyFill="1" applyAlignment="1">
      <alignment horizontal="center" vertical="center" wrapText="1"/>
    </xf>
    <xf numFmtId="0" fontId="19" fillId="30" borderId="2" xfId="5" applyFont="1" applyFill="1" applyAlignment="1">
      <alignment horizontal="center" vertical="center"/>
    </xf>
    <xf numFmtId="0" fontId="16" fillId="35" borderId="2" xfId="5" applyFont="1" applyFill="1" applyAlignment="1">
      <alignment horizontal="center" vertical="center"/>
    </xf>
    <xf numFmtId="0" fontId="7" fillId="30" borderId="2" xfId="5" applyFont="1" applyFill="1" applyAlignment="1">
      <alignment horizontal="left" vertical="center"/>
    </xf>
    <xf numFmtId="0" fontId="26" fillId="32" borderId="2" xfId="5" applyFill="1" applyAlignment="1">
      <alignment horizontal="center" vertical="center"/>
    </xf>
    <xf numFmtId="0" fontId="20" fillId="30" borderId="2" xfId="5" applyFont="1" applyFill="1" applyAlignment="1">
      <alignment horizontal="center" vertical="center" wrapText="1"/>
    </xf>
    <xf numFmtId="0" fontId="20" fillId="30" borderId="2" xfId="5" applyFont="1" applyFill="1" applyAlignment="1">
      <alignment horizontal="center" vertical="center"/>
    </xf>
    <xf numFmtId="0" fontId="15" fillId="29" borderId="2" xfId="5" applyFont="1" applyFill="1" applyAlignment="1">
      <alignment horizontal="right" vertical="center" wrapText="1"/>
    </xf>
    <xf numFmtId="0" fontId="15" fillId="29" borderId="2" xfId="5" applyFont="1" applyFill="1" applyAlignment="1">
      <alignment horizontal="center" vertical="center" wrapText="1"/>
    </xf>
    <xf numFmtId="0" fontId="27" fillId="24" borderId="2" xfId="5" applyFont="1" applyFill="1" applyAlignment="1">
      <alignment horizontal="left" vertical="center"/>
    </xf>
    <xf numFmtId="0" fontId="19" fillId="24" borderId="2" xfId="5" applyFont="1" applyFill="1" applyAlignment="1">
      <alignment horizontal="left" vertical="center" wrapText="1"/>
    </xf>
    <xf numFmtId="0" fontId="27" fillId="24" borderId="2" xfId="5" applyFont="1" applyFill="1" applyAlignment="1">
      <alignment horizontal="left" vertical="center" wrapText="1"/>
    </xf>
    <xf numFmtId="0" fontId="27" fillId="44" borderId="2" xfId="5" applyFont="1" applyFill="1" applyAlignment="1">
      <alignment horizontal="right" vertical="center"/>
    </xf>
    <xf numFmtId="0" fontId="27" fillId="44" borderId="2" xfId="5" applyFont="1" applyFill="1" applyAlignment="1">
      <alignment vertical="center"/>
    </xf>
    <xf numFmtId="0" fontId="8" fillId="30" borderId="2" xfId="5" applyFont="1" applyFill="1" applyAlignment="1">
      <alignment vertical="center" wrapText="1"/>
    </xf>
    <xf numFmtId="0" fontId="31" fillId="30" borderId="2" xfId="5" applyFont="1" applyFill="1" applyAlignment="1">
      <alignment vertical="center"/>
    </xf>
    <xf numFmtId="0" fontId="8" fillId="30" borderId="2" xfId="5" applyFont="1" applyFill="1" applyAlignment="1">
      <alignment horizontal="center" vertical="center" wrapText="1"/>
    </xf>
    <xf numFmtId="0" fontId="8" fillId="30" borderId="2" xfId="5" applyFont="1" applyFill="1" applyAlignment="1">
      <alignment vertical="center"/>
    </xf>
    <xf numFmtId="0" fontId="15" fillId="45" borderId="9" xfId="5" applyFont="1" applyFill="1" applyBorder="1" applyAlignment="1">
      <alignment horizontal="center" vertical="center" wrapText="1"/>
    </xf>
    <xf numFmtId="0" fontId="19" fillId="37" borderId="9" xfId="5" applyFont="1" applyFill="1" applyBorder="1" applyAlignment="1">
      <alignment horizontal="center" vertical="center" wrapText="1"/>
    </xf>
    <xf numFmtId="0" fontId="30" fillId="46" borderId="9" xfId="5" applyFont="1" applyFill="1" applyBorder="1" applyAlignment="1">
      <alignment horizontal="center" vertical="center" wrapText="1"/>
    </xf>
    <xf numFmtId="0" fontId="24" fillId="47" borderId="2" xfId="5" applyFont="1" applyFill="1" applyAlignment="1">
      <alignment horizontal="center" vertical="center"/>
    </xf>
    <xf numFmtId="0" fontId="19" fillId="37" borderId="9" xfId="5" applyFont="1" applyFill="1" applyBorder="1" applyAlignment="1">
      <alignment horizontal="left" vertical="center" wrapText="1"/>
    </xf>
    <xf numFmtId="0" fontId="31" fillId="30" borderId="2" xfId="5" applyFont="1" applyFill="1" applyAlignment="1">
      <alignment horizontal="center" vertical="center" wrapText="1"/>
    </xf>
    <xf numFmtId="0" fontId="30" fillId="46" borderId="2" xfId="5" applyFont="1" applyFill="1" applyAlignment="1">
      <alignment horizontal="center" vertical="center" wrapText="1"/>
    </xf>
    <xf numFmtId="0" fontId="19" fillId="46" borderId="2" xfId="5" applyFont="1" applyFill="1" applyAlignment="1">
      <alignment horizontal="center" vertical="center" wrapText="1"/>
    </xf>
    <xf numFmtId="0" fontId="31" fillId="30" borderId="2" xfId="5" applyFont="1" applyFill="1" applyAlignment="1">
      <alignment horizontal="right" vertical="center" wrapText="1"/>
    </xf>
    <xf numFmtId="0" fontId="8" fillId="30" borderId="2" xfId="5" applyFont="1" applyFill="1" applyAlignment="1">
      <alignment horizontal="right" vertical="center" wrapText="1"/>
    </xf>
    <xf numFmtId="0" fontId="31" fillId="30" borderId="2" xfId="5" applyFont="1" applyFill="1" applyAlignment="1">
      <alignment vertical="center" wrapText="1"/>
    </xf>
    <xf numFmtId="0" fontId="46" fillId="48" borderId="2" xfId="8" applyFont="1" applyFill="1" applyAlignment="1">
      <alignment horizontal="right" vertical="center" wrapText="1"/>
    </xf>
    <xf numFmtId="0" fontId="47" fillId="49" borderId="2" xfId="8" applyFont="1" applyFill="1" applyAlignment="1">
      <alignment horizontal="right" vertical="center"/>
    </xf>
    <xf numFmtId="0" fontId="8" fillId="50" borderId="2" xfId="5" applyFont="1" applyFill="1" applyAlignment="1">
      <alignment horizontal="right" vertical="center" wrapText="1"/>
    </xf>
    <xf numFmtId="0" fontId="8" fillId="51" borderId="2" xfId="5" applyFont="1" applyFill="1" applyAlignment="1">
      <alignment horizontal="right" vertical="center" wrapText="1"/>
    </xf>
    <xf numFmtId="0" fontId="8" fillId="52" borderId="2" xfId="5" applyFont="1" applyFill="1" applyAlignment="1">
      <alignment horizontal="right" vertical="center" wrapText="1"/>
    </xf>
    <xf numFmtId="0" fontId="8" fillId="53" borderId="2" xfId="5" applyFont="1" applyFill="1" applyAlignment="1">
      <alignment horizontal="right" vertical="center" wrapText="1"/>
    </xf>
    <xf numFmtId="0" fontId="31" fillId="49" borderId="2" xfId="8" applyFont="1" applyFill="1" applyAlignment="1">
      <alignment horizontal="right" vertical="center"/>
    </xf>
    <xf numFmtId="0" fontId="24" fillId="30" borderId="2" xfId="5" applyFont="1" applyFill="1" applyAlignment="1">
      <alignment horizontal="center" vertical="center" wrapText="1"/>
    </xf>
    <xf numFmtId="0" fontId="49" fillId="54" borderId="2" xfId="8" applyFont="1" applyFill="1" applyAlignment="1">
      <alignment horizontal="right" vertical="center"/>
    </xf>
    <xf numFmtId="0" fontId="46" fillId="55" borderId="2" xfId="9" applyFont="1" applyFill="1" applyAlignment="1">
      <alignment horizontal="right" vertical="center" wrapText="1"/>
    </xf>
    <xf numFmtId="0" fontId="8" fillId="56" borderId="2" xfId="8" applyFont="1" applyFill="1" applyAlignment="1">
      <alignment horizontal="right" vertical="center" wrapText="1"/>
    </xf>
    <xf numFmtId="0" fontId="46" fillId="48" borderId="2" xfId="8" applyFont="1" applyFill="1" applyAlignment="1">
      <alignment horizontal="right" vertical="center"/>
    </xf>
    <xf numFmtId="0" fontId="8" fillId="57" borderId="2" xfId="5" applyFont="1" applyFill="1" applyAlignment="1">
      <alignment horizontal="right" vertical="center" wrapText="1"/>
    </xf>
    <xf numFmtId="0" fontId="50" fillId="58" borderId="2" xfId="8" applyFont="1" applyFill="1" applyAlignment="1">
      <alignment horizontal="right" vertical="center" wrapText="1"/>
    </xf>
    <xf numFmtId="0" fontId="27" fillId="44" borderId="2" xfId="5" applyFont="1" applyFill="1" applyAlignment="1">
      <alignment horizontal="center" vertical="center"/>
    </xf>
    <xf numFmtId="0" fontId="19" fillId="37" borderId="2" xfId="5" applyFont="1" applyFill="1" applyAlignment="1">
      <alignment horizontal="left" vertical="center" wrapText="1"/>
    </xf>
    <xf numFmtId="0" fontId="30" fillId="46" borderId="10" xfId="5" applyFont="1" applyFill="1" applyBorder="1" applyAlignment="1">
      <alignment horizontal="center" vertical="center" wrapText="1"/>
    </xf>
    <xf numFmtId="0" fontId="30" fillId="46" borderId="2" xfId="5" applyFont="1" applyFill="1" applyAlignment="1">
      <alignment horizontal="right" vertical="center" wrapText="1"/>
    </xf>
    <xf numFmtId="0" fontId="31" fillId="30" borderId="2" xfId="5" applyFont="1" applyFill="1" applyAlignment="1">
      <alignment horizontal="left" vertical="center" wrapText="1"/>
    </xf>
    <xf numFmtId="0" fontId="51" fillId="42" borderId="2" xfId="5" applyFont="1" applyFill="1" applyAlignment="1">
      <alignment horizontal="right" vertical="center" wrapText="1"/>
    </xf>
    <xf numFmtId="0" fontId="51" fillId="42" borderId="2" xfId="5" applyFont="1" applyFill="1" applyAlignment="1">
      <alignment vertical="center"/>
    </xf>
    <xf numFmtId="0" fontId="51" fillId="42" borderId="2" xfId="5" applyFont="1" applyFill="1" applyAlignment="1">
      <alignment vertical="center" wrapText="1"/>
    </xf>
    <xf numFmtId="0" fontId="52" fillId="0" borderId="2" xfId="10"/>
    <xf numFmtId="0" fontId="25" fillId="0" borderId="2" xfId="6"/>
    <xf numFmtId="0" fontId="52" fillId="0" borderId="2" xfId="11"/>
    <xf numFmtId="0" fontId="53" fillId="31" borderId="2" xfId="11" applyFont="1" applyFill="1" applyAlignment="1">
      <alignment horizontal="center" vertical="center"/>
    </xf>
    <xf numFmtId="0" fontId="54" fillId="0" borderId="2" xfId="11" applyFont="1" applyAlignment="1">
      <alignment horizontal="center" vertical="center"/>
    </xf>
    <xf numFmtId="0" fontId="55" fillId="20" borderId="11" xfId="8" applyFont="1" applyFill="1" applyBorder="1" applyAlignment="1">
      <alignment horizontal="center" vertical="center"/>
    </xf>
    <xf numFmtId="0" fontId="55" fillId="20" borderId="12" xfId="8" applyFont="1" applyFill="1" applyBorder="1" applyAlignment="1">
      <alignment horizontal="center" vertical="center"/>
    </xf>
    <xf numFmtId="0" fontId="55" fillId="20" borderId="13" xfId="8" applyFont="1" applyFill="1" applyBorder="1" applyAlignment="1">
      <alignment horizontal="center" vertical="center"/>
    </xf>
    <xf numFmtId="0" fontId="8" fillId="22" borderId="14" xfId="8" applyFont="1" applyFill="1" applyBorder="1" applyAlignment="1">
      <alignment vertical="center"/>
    </xf>
    <xf numFmtId="0" fontId="31" fillId="22" borderId="7" xfId="8" applyFont="1" applyFill="1" applyBorder="1" applyAlignment="1">
      <alignment vertical="center"/>
    </xf>
    <xf numFmtId="0" fontId="8" fillId="22" borderId="2" xfId="8" applyFont="1" applyFill="1" applyAlignment="1">
      <alignment vertical="center"/>
    </xf>
    <xf numFmtId="0" fontId="31" fillId="22" borderId="5" xfId="8" applyFont="1" applyFill="1" applyBorder="1" applyAlignment="1">
      <alignment vertical="center"/>
    </xf>
    <xf numFmtId="0" fontId="8" fillId="66" borderId="5" xfId="11" applyFont="1" applyFill="1" applyBorder="1" applyAlignment="1">
      <alignment vertical="center"/>
    </xf>
    <xf numFmtId="165" fontId="67" fillId="48" borderId="53" xfId="8" applyNumberFormat="1" applyFont="1" applyFill="1" applyBorder="1" applyAlignment="1">
      <alignment horizontal="center" vertical="center"/>
    </xf>
    <xf numFmtId="0" fontId="31" fillId="66" borderId="5" xfId="11" applyFont="1" applyFill="1" applyBorder="1" applyAlignment="1">
      <alignment vertical="center"/>
    </xf>
    <xf numFmtId="0" fontId="69" fillId="66" borderId="5" xfId="11" applyFont="1" applyFill="1" applyBorder="1" applyAlignment="1">
      <alignment vertical="center"/>
    </xf>
    <xf numFmtId="0" fontId="24" fillId="66" borderId="5" xfId="11" applyFont="1" applyFill="1" applyBorder="1" applyAlignment="1">
      <alignment vertical="center"/>
    </xf>
    <xf numFmtId="0" fontId="46" fillId="54" borderId="2" xfId="11" applyFont="1" applyFill="1" applyAlignment="1">
      <alignment horizontal="center" vertical="center"/>
    </xf>
    <xf numFmtId="167" fontId="24" fillId="43" borderId="2" xfId="8" applyNumberFormat="1" applyFont="1" applyFill="1" applyAlignment="1">
      <alignment horizontal="center" vertical="center"/>
    </xf>
    <xf numFmtId="164" fontId="24" fillId="43" borderId="2" xfId="8" applyNumberFormat="1" applyFont="1" applyFill="1" applyAlignment="1">
      <alignment horizontal="center" vertical="center"/>
    </xf>
    <xf numFmtId="0" fontId="74" fillId="66" borderId="3" xfId="11" applyFont="1" applyFill="1" applyBorder="1" applyAlignment="1">
      <alignment vertical="center"/>
    </xf>
    <xf numFmtId="0" fontId="54" fillId="0" borderId="2" xfId="10" applyFont="1" applyAlignment="1">
      <alignment horizontal="center" vertical="center"/>
    </xf>
    <xf numFmtId="170" fontId="57" fillId="22" borderId="11" xfId="8" applyNumberFormat="1" applyFont="1" applyFill="1" applyBorder="1" applyAlignment="1">
      <alignment vertical="center"/>
    </xf>
    <xf numFmtId="166" fontId="57" fillId="22" borderId="12" xfId="8" applyNumberFormat="1" applyFont="1" applyFill="1" applyBorder="1" applyAlignment="1">
      <alignment vertical="center"/>
    </xf>
    <xf numFmtId="9" fontId="75" fillId="0" borderId="11" xfId="10" applyNumberFormat="1" applyFont="1" applyBorder="1" applyAlignment="1">
      <alignment horizontal="center" vertical="center"/>
    </xf>
    <xf numFmtId="171" fontId="76" fillId="0" borderId="13" xfId="8" applyNumberFormat="1" applyFont="1" applyBorder="1" applyAlignment="1">
      <alignment horizontal="centerContinuous" vertical="center"/>
    </xf>
    <xf numFmtId="0" fontId="55" fillId="0" borderId="59" xfId="8" applyFont="1" applyBorder="1" applyAlignment="1">
      <alignment horizontal="center" vertical="center"/>
    </xf>
    <xf numFmtId="165" fontId="55" fillId="0" borderId="60" xfId="8" applyNumberFormat="1" applyFont="1" applyBorder="1" applyAlignment="1">
      <alignment horizontal="center" vertical="center"/>
    </xf>
    <xf numFmtId="166" fontId="57" fillId="70" borderId="38" xfId="12" applyNumberFormat="1" applyFont="1" applyFill="1" applyBorder="1" applyAlignment="1">
      <alignment horizontal="center" vertical="center"/>
    </xf>
    <xf numFmtId="172" fontId="55" fillId="0" borderId="21" xfId="13" applyNumberFormat="1" applyFont="1" applyBorder="1" applyAlignment="1">
      <alignment horizontal="center" vertical="center"/>
    </xf>
    <xf numFmtId="0" fontId="78" fillId="62" borderId="20" xfId="8" applyFont="1" applyFill="1" applyBorder="1" applyAlignment="1">
      <alignment horizontal="center" vertical="center"/>
    </xf>
    <xf numFmtId="0" fontId="8" fillId="68" borderId="61" xfId="8" applyFont="1" applyFill="1" applyBorder="1" applyAlignment="1">
      <alignment horizontal="right" vertical="center"/>
    </xf>
    <xf numFmtId="165" fontId="55" fillId="0" borderId="21" xfId="8" applyNumberFormat="1" applyFont="1" applyBorder="1" applyAlignment="1">
      <alignment horizontal="center" vertical="center"/>
    </xf>
    <xf numFmtId="166" fontId="57" fillId="70" borderId="2" xfId="12" applyNumberFormat="1" applyFont="1" applyFill="1" applyAlignment="1">
      <alignment horizontal="center" vertical="center"/>
    </xf>
    <xf numFmtId="0" fontId="46" fillId="48" borderId="61" xfId="8" applyFont="1" applyFill="1" applyBorder="1" applyAlignment="1">
      <alignment horizontal="right" vertical="center"/>
    </xf>
    <xf numFmtId="0" fontId="46" fillId="48" borderId="62" xfId="8" applyFont="1" applyFill="1" applyBorder="1" applyAlignment="1">
      <alignment horizontal="right" vertical="center" wrapText="1"/>
    </xf>
    <xf numFmtId="0" fontId="76" fillId="0" borderId="63" xfId="8" applyFont="1" applyBorder="1" applyAlignment="1">
      <alignment horizontal="center" vertical="center" wrapText="1"/>
    </xf>
    <xf numFmtId="0" fontId="76" fillId="0" borderId="64" xfId="8" applyFont="1" applyBorder="1" applyAlignment="1">
      <alignment horizontal="center" vertical="center"/>
    </xf>
    <xf numFmtId="0" fontId="73" fillId="54" borderId="67" xfId="12" applyFont="1" applyFill="1" applyBorder="1" applyAlignment="1">
      <alignment horizontal="center" vertical="center"/>
    </xf>
    <xf numFmtId="168" fontId="62" fillId="69" borderId="68" xfId="8" applyNumberFormat="1" applyFont="1" applyFill="1" applyBorder="1" applyAlignment="1">
      <alignment horizontal="center" vertical="center"/>
    </xf>
    <xf numFmtId="0" fontId="79" fillId="0" borderId="69" xfId="8" applyFont="1" applyBorder="1" applyAlignment="1">
      <alignment horizontal="center" vertical="center" wrapText="1"/>
    </xf>
    <xf numFmtId="168" fontId="62" fillId="69" borderId="72" xfId="8" applyNumberFormat="1" applyFont="1" applyFill="1" applyBorder="1" applyAlignment="1">
      <alignment horizontal="center" vertical="center"/>
    </xf>
    <xf numFmtId="0" fontId="80" fillId="0" borderId="73" xfId="8" applyFont="1" applyBorder="1" applyAlignment="1">
      <alignment horizontal="center" vertical="center" wrapText="1"/>
    </xf>
    <xf numFmtId="2" fontId="57" fillId="22" borderId="11" xfId="6" applyNumberFormat="1" applyFont="1" applyFill="1" applyBorder="1" applyAlignment="1">
      <alignment vertical="center"/>
    </xf>
    <xf numFmtId="2" fontId="57" fillId="22" borderId="12" xfId="6" applyNumberFormat="1" applyFont="1" applyFill="1" applyBorder="1" applyAlignment="1">
      <alignment vertical="center"/>
    </xf>
    <xf numFmtId="2" fontId="55" fillId="0" borderId="60" xfId="6" applyNumberFormat="1" applyFont="1" applyBorder="1" applyAlignment="1">
      <alignment horizontal="center" vertical="center"/>
    </xf>
    <xf numFmtId="2" fontId="57" fillId="70" borderId="38" xfId="6" applyNumberFormat="1" applyFont="1" applyFill="1" applyBorder="1" applyAlignment="1">
      <alignment horizontal="center" vertical="center"/>
    </xf>
    <xf numFmtId="9" fontId="55" fillId="0" borderId="21" xfId="6" applyNumberFormat="1" applyFont="1" applyBorder="1" applyAlignment="1">
      <alignment horizontal="center" vertical="center"/>
    </xf>
    <xf numFmtId="0" fontId="24" fillId="62" borderId="20" xfId="8" applyFont="1" applyFill="1" applyBorder="1" applyAlignment="1">
      <alignment horizontal="center" vertical="center"/>
    </xf>
    <xf numFmtId="2" fontId="55" fillId="0" borderId="21" xfId="6" applyNumberFormat="1" applyFont="1" applyBorder="1" applyAlignment="1">
      <alignment horizontal="center" vertical="center"/>
    </xf>
    <xf numFmtId="2" fontId="57" fillId="70" borderId="2" xfId="6" applyNumberFormat="1" applyFont="1" applyFill="1" applyAlignment="1">
      <alignment horizontal="center" vertical="center"/>
    </xf>
    <xf numFmtId="0" fontId="84" fillId="0" borderId="2" xfId="14" applyFont="1" applyAlignment="1">
      <alignment vertical="center"/>
    </xf>
    <xf numFmtId="0" fontId="18" fillId="59" borderId="67" xfId="12" applyFont="1" applyFill="1" applyBorder="1" applyAlignment="1">
      <alignment horizontal="center" vertical="center"/>
    </xf>
    <xf numFmtId="168" fontId="85" fillId="69" borderId="68" xfId="8" applyNumberFormat="1" applyFont="1" applyFill="1" applyBorder="1" applyAlignment="1">
      <alignment horizontal="center" vertical="center"/>
    </xf>
    <xf numFmtId="0" fontId="52" fillId="66" borderId="8" xfId="10" applyFill="1" applyBorder="1"/>
    <xf numFmtId="0" fontId="52" fillId="66" borderId="14" xfId="10" applyFill="1" applyBorder="1"/>
    <xf numFmtId="0" fontId="52" fillId="66" borderId="7" xfId="10" applyFill="1" applyBorder="1"/>
    <xf numFmtId="0" fontId="52" fillId="66" borderId="6" xfId="10" applyFill="1" applyBorder="1"/>
    <xf numFmtId="0" fontId="52" fillId="66" borderId="2" xfId="10" applyFill="1"/>
    <xf numFmtId="0" fontId="52" fillId="66" borderId="5" xfId="10" applyFill="1" applyBorder="1"/>
    <xf numFmtId="0" fontId="85" fillId="66" borderId="5" xfId="10" applyFont="1" applyFill="1" applyBorder="1"/>
    <xf numFmtId="0" fontId="85" fillId="66" borderId="5" xfId="10" applyFont="1" applyFill="1" applyBorder="1" applyAlignment="1">
      <alignment vertical="center"/>
    </xf>
    <xf numFmtId="0" fontId="87" fillId="66" borderId="5" xfId="10" applyFont="1" applyFill="1" applyBorder="1" applyAlignment="1">
      <alignment vertical="center"/>
    </xf>
    <xf numFmtId="0" fontId="88" fillId="66" borderId="5" xfId="10" applyFont="1" applyFill="1" applyBorder="1" applyAlignment="1">
      <alignment vertical="center"/>
    </xf>
    <xf numFmtId="0" fontId="52" fillId="66" borderId="4" xfId="10" applyFill="1" applyBorder="1"/>
    <xf numFmtId="0" fontId="52" fillId="66" borderId="44" xfId="10" applyFill="1" applyBorder="1"/>
    <xf numFmtId="0" fontId="74" fillId="66" borderId="3" xfId="10" applyFont="1" applyFill="1" applyBorder="1" applyAlignment="1">
      <alignment vertical="center"/>
    </xf>
    <xf numFmtId="0" fontId="52" fillId="0" borderId="11" xfId="10" applyBorder="1"/>
    <xf numFmtId="0" fontId="52" fillId="0" borderId="12" xfId="10" applyBorder="1"/>
    <xf numFmtId="0" fontId="52" fillId="75" borderId="21" xfId="10" applyFill="1" applyBorder="1" applyAlignment="1">
      <alignment vertical="center" wrapText="1"/>
    </xf>
    <xf numFmtId="0" fontId="52" fillId="75" borderId="2" xfId="10" applyFill="1" applyAlignment="1">
      <alignment vertical="center" wrapText="1"/>
    </xf>
    <xf numFmtId="0" fontId="55" fillId="76" borderId="6" xfId="6" applyFont="1" applyFill="1" applyBorder="1" applyAlignment="1">
      <alignment vertical="center" wrapText="1"/>
    </xf>
    <xf numFmtId="173" fontId="60" fillId="77" borderId="2" xfId="6" applyNumberFormat="1" applyFont="1" applyFill="1" applyAlignment="1">
      <alignment horizontal="center" vertical="center" wrapText="1"/>
    </xf>
    <xf numFmtId="173" fontId="57" fillId="0" borderId="32" xfId="6" applyNumberFormat="1" applyFont="1" applyBorder="1" applyAlignment="1">
      <alignment horizontal="center" vertical="center" wrapText="1"/>
    </xf>
    <xf numFmtId="0" fontId="90" fillId="0" borderId="48" xfId="6" applyFont="1" applyBorder="1" applyAlignment="1">
      <alignment horizontal="center" vertical="center" wrapText="1"/>
    </xf>
    <xf numFmtId="0" fontId="90" fillId="0" borderId="82" xfId="6" applyFont="1" applyBorder="1" applyAlignment="1">
      <alignment horizontal="center" vertical="center" wrapText="1"/>
    </xf>
    <xf numFmtId="0" fontId="70" fillId="56" borderId="83" xfId="6" applyFont="1" applyFill="1" applyBorder="1" applyAlignment="1">
      <alignment vertical="center" wrapText="1"/>
    </xf>
    <xf numFmtId="173" fontId="57" fillId="0" borderId="43" xfId="6" applyNumberFormat="1" applyFont="1" applyBorder="1" applyAlignment="1">
      <alignment horizontal="center" vertical="center" wrapText="1"/>
    </xf>
    <xf numFmtId="0" fontId="90" fillId="0" borderId="85" xfId="6" applyFont="1" applyBorder="1" applyAlignment="1">
      <alignment horizontal="center" vertical="center" wrapText="1"/>
    </xf>
    <xf numFmtId="0" fontId="90" fillId="0" borderId="86" xfId="6" applyFont="1" applyBorder="1" applyAlignment="1">
      <alignment horizontal="center" vertical="center" wrapText="1"/>
    </xf>
    <xf numFmtId="0" fontId="91" fillId="54" borderId="61" xfId="6" applyFont="1" applyFill="1" applyBorder="1" applyAlignment="1">
      <alignment vertical="center" wrapText="1"/>
    </xf>
    <xf numFmtId="0" fontId="91" fillId="79" borderId="61" xfId="6" applyFont="1" applyFill="1" applyBorder="1" applyAlignment="1">
      <alignment vertical="center" wrapText="1"/>
    </xf>
    <xf numFmtId="0" fontId="70" fillId="73" borderId="61" xfId="6" applyFont="1" applyFill="1" applyBorder="1" applyAlignment="1">
      <alignment vertical="center" wrapText="1"/>
    </xf>
    <xf numFmtId="0" fontId="52" fillId="41" borderId="84" xfId="10" applyFill="1" applyBorder="1" applyAlignment="1">
      <alignment vertical="center"/>
    </xf>
    <xf numFmtId="0" fontId="52" fillId="41" borderId="44" xfId="10" applyFill="1" applyBorder="1" applyAlignment="1">
      <alignment vertical="center"/>
    </xf>
    <xf numFmtId="0" fontId="70" fillId="80" borderId="61" xfId="6" applyFont="1" applyFill="1" applyBorder="1" applyAlignment="1">
      <alignment vertical="center" wrapText="1"/>
    </xf>
    <xf numFmtId="0" fontId="92" fillId="48" borderId="61" xfId="6" applyFont="1" applyFill="1" applyBorder="1" applyAlignment="1">
      <alignment vertical="center" wrapText="1"/>
    </xf>
    <xf numFmtId="0" fontId="70" fillId="81" borderId="61" xfId="6" applyFont="1" applyFill="1" applyBorder="1" applyAlignment="1">
      <alignment vertical="center" wrapText="1"/>
    </xf>
    <xf numFmtId="0" fontId="93" fillId="58" borderId="61" xfId="6" applyFont="1" applyFill="1" applyBorder="1" applyAlignment="1">
      <alignment vertical="center" wrapText="1"/>
    </xf>
    <xf numFmtId="0" fontId="72" fillId="82" borderId="61" xfId="6" applyFont="1" applyFill="1" applyBorder="1" applyAlignment="1">
      <alignment vertical="center" wrapText="1"/>
    </xf>
    <xf numFmtId="0" fontId="18" fillId="82" borderId="61" xfId="6" applyFont="1" applyFill="1" applyBorder="1" applyAlignment="1">
      <alignment vertical="center" wrapText="1"/>
    </xf>
    <xf numFmtId="0" fontId="94" fillId="82" borderId="61" xfId="6" applyFont="1" applyFill="1" applyBorder="1" applyAlignment="1">
      <alignment vertical="center" wrapText="1"/>
    </xf>
    <xf numFmtId="0" fontId="8" fillId="66" borderId="5" xfId="10" applyFont="1" applyFill="1" applyBorder="1" applyAlignment="1">
      <alignment vertical="center"/>
    </xf>
    <xf numFmtId="0" fontId="46" fillId="54" borderId="21" xfId="10" applyFont="1" applyFill="1" applyBorder="1" applyAlignment="1">
      <alignment vertical="center"/>
    </xf>
    <xf numFmtId="0" fontId="46" fillId="54" borderId="2" xfId="10" applyFont="1" applyFill="1" applyAlignment="1">
      <alignment vertical="center"/>
    </xf>
    <xf numFmtId="0" fontId="55" fillId="0" borderId="49" xfId="6" applyFont="1" applyBorder="1" applyAlignment="1">
      <alignment horizontal="center" vertical="center" wrapText="1"/>
    </xf>
    <xf numFmtId="0" fontId="55" fillId="0" borderId="44" xfId="6" applyFont="1" applyBorder="1" applyAlignment="1">
      <alignment horizontal="center" vertical="center" wrapText="1"/>
    </xf>
    <xf numFmtId="0" fontId="95" fillId="0" borderId="87" xfId="6" applyFont="1" applyBorder="1" applyAlignment="1">
      <alignment horizontal="center" vertical="center" wrapText="1"/>
    </xf>
    <xf numFmtId="0" fontId="52" fillId="0" borderId="13" xfId="17" applyBorder="1" applyAlignment="1">
      <alignment vertical="center"/>
    </xf>
    <xf numFmtId="0" fontId="97" fillId="0" borderId="20" xfId="10" applyFont="1" applyBorder="1" applyAlignment="1">
      <alignment horizontal="right"/>
    </xf>
    <xf numFmtId="0" fontId="98" fillId="0" borderId="89" xfId="17" applyFont="1" applyBorder="1" applyAlignment="1">
      <alignment horizontal="center" vertical="center"/>
    </xf>
    <xf numFmtId="0" fontId="99" fillId="62" borderId="90" xfId="17" applyFont="1" applyFill="1" applyBorder="1" applyAlignment="1">
      <alignment horizontal="center" vertical="center"/>
    </xf>
    <xf numFmtId="0" fontId="98" fillId="0" borderId="90" xfId="17" applyFont="1" applyBorder="1" applyAlignment="1">
      <alignment horizontal="center" vertical="center"/>
    </xf>
    <xf numFmtId="0" fontId="92" fillId="48" borderId="91" xfId="17" applyFont="1" applyFill="1" applyBorder="1" applyAlignment="1">
      <alignment vertical="center"/>
    </xf>
    <xf numFmtId="0" fontId="98" fillId="63" borderId="91" xfId="17" applyFont="1" applyFill="1" applyBorder="1" applyAlignment="1">
      <alignment vertical="center"/>
    </xf>
    <xf numFmtId="0" fontId="100" fillId="49" borderId="91" xfId="17" applyFont="1" applyFill="1" applyBorder="1" applyAlignment="1">
      <alignment vertical="center"/>
    </xf>
    <xf numFmtId="0" fontId="70" fillId="56" borderId="91" xfId="17" applyFont="1" applyFill="1" applyBorder="1" applyAlignment="1">
      <alignment vertical="center"/>
    </xf>
    <xf numFmtId="0" fontId="92" fillId="55" borderId="91" xfId="17" applyFont="1" applyFill="1" applyBorder="1" applyAlignment="1">
      <alignment vertical="center"/>
    </xf>
    <xf numFmtId="0" fontId="92" fillId="54" borderId="91" xfId="17" applyFont="1" applyFill="1" applyBorder="1" applyAlignment="1">
      <alignment vertical="center"/>
    </xf>
    <xf numFmtId="0" fontId="98" fillId="41" borderId="91" xfId="17" applyFont="1" applyFill="1" applyBorder="1" applyAlignment="1">
      <alignment vertical="center"/>
    </xf>
    <xf numFmtId="0" fontId="98" fillId="85" borderId="91" xfId="17" applyFont="1" applyFill="1" applyBorder="1" applyAlignment="1">
      <alignment vertical="center"/>
    </xf>
    <xf numFmtId="0" fontId="101" fillId="73" borderId="91" xfId="17" applyFont="1" applyFill="1" applyBorder="1" applyAlignment="1">
      <alignment vertical="center"/>
    </xf>
    <xf numFmtId="0" fontId="102" fillId="58" borderId="91" xfId="17" applyFont="1" applyFill="1" applyBorder="1" applyAlignment="1">
      <alignment vertical="center"/>
    </xf>
    <xf numFmtId="0" fontId="98" fillId="49" borderId="91" xfId="17" applyFont="1" applyFill="1" applyBorder="1" applyAlignment="1">
      <alignment vertical="center"/>
    </xf>
    <xf numFmtId="0" fontId="103" fillId="49" borderId="91" xfId="17" applyFont="1" applyFill="1" applyBorder="1" applyAlignment="1">
      <alignment vertical="center"/>
    </xf>
    <xf numFmtId="0" fontId="104" fillId="48" borderId="91" xfId="17" applyFont="1" applyFill="1" applyBorder="1" applyAlignment="1">
      <alignment vertical="center"/>
    </xf>
    <xf numFmtId="0" fontId="105" fillId="0" borderId="89" xfId="17" applyFont="1" applyBorder="1" applyAlignment="1">
      <alignment horizontal="center" vertical="center"/>
    </xf>
    <xf numFmtId="0" fontId="106" fillId="0" borderId="90" xfId="17" applyFont="1" applyBorder="1" applyAlignment="1">
      <alignment horizontal="center" vertical="center"/>
    </xf>
    <xf numFmtId="0" fontId="107" fillId="0" borderId="90" xfId="17" applyFont="1" applyBorder="1" applyAlignment="1">
      <alignment horizontal="center" vertical="center"/>
    </xf>
    <xf numFmtId="0" fontId="108" fillId="0" borderId="91" xfId="17" applyFont="1" applyBorder="1" applyAlignment="1">
      <alignment horizontal="right" vertical="center"/>
    </xf>
    <xf numFmtId="0" fontId="54" fillId="0" borderId="2" xfId="10" applyFont="1" applyAlignment="1">
      <alignment horizontal="center" vertical="center" wrapText="1"/>
    </xf>
    <xf numFmtId="0" fontId="52" fillId="0" borderId="2" xfId="10" applyAlignment="1">
      <alignment wrapText="1"/>
    </xf>
    <xf numFmtId="0" fontId="52" fillId="0" borderId="21" xfId="10" applyBorder="1" applyAlignment="1">
      <alignment vertical="center"/>
    </xf>
    <xf numFmtId="0" fontId="52" fillId="0" borderId="2" xfId="10" applyAlignment="1">
      <alignment vertical="center"/>
    </xf>
    <xf numFmtId="9" fontId="52" fillId="0" borderId="21" xfId="10" applyNumberFormat="1" applyBorder="1" applyAlignment="1">
      <alignment horizontal="center" vertical="center"/>
    </xf>
    <xf numFmtId="0" fontId="52" fillId="0" borderId="20" xfId="10" applyBorder="1" applyAlignment="1">
      <alignment horizontal="left" vertical="center"/>
    </xf>
    <xf numFmtId="0" fontId="52" fillId="0" borderId="20" xfId="10" applyBorder="1" applyAlignment="1">
      <alignment vertical="center"/>
    </xf>
    <xf numFmtId="2" fontId="109" fillId="0" borderId="8" xfId="6" applyNumberFormat="1" applyFont="1" applyBorder="1" applyAlignment="1">
      <alignment horizontal="center" vertical="center"/>
    </xf>
    <xf numFmtId="2" fontId="109" fillId="0" borderId="14" xfId="6" applyNumberFormat="1" applyFont="1" applyBorder="1" applyAlignment="1">
      <alignment horizontal="center" vertical="center"/>
    </xf>
    <xf numFmtId="9" fontId="55" fillId="0" borderId="16" xfId="6" applyNumberFormat="1" applyFont="1" applyBorder="1" applyAlignment="1">
      <alignment horizontal="center" vertical="center"/>
    </xf>
    <xf numFmtId="0" fontId="110" fillId="62" borderId="15" xfId="8" applyFont="1" applyFill="1" applyBorder="1" applyAlignment="1">
      <alignment horizontal="center" vertical="center"/>
    </xf>
    <xf numFmtId="0" fontId="50" fillId="58" borderId="95" xfId="8" applyFont="1" applyFill="1" applyBorder="1" applyAlignment="1">
      <alignment horizontal="right" vertical="center" wrapText="1"/>
    </xf>
    <xf numFmtId="2" fontId="109" fillId="0" borderId="6" xfId="6" applyNumberFormat="1" applyFont="1" applyBorder="1" applyAlignment="1">
      <alignment horizontal="center" vertical="center"/>
    </xf>
    <xf numFmtId="2" fontId="109" fillId="0" borderId="2" xfId="6" applyNumberFormat="1" applyFont="1" applyAlignment="1">
      <alignment horizontal="center" vertical="center"/>
    </xf>
    <xf numFmtId="0" fontId="110" fillId="62" borderId="20" xfId="8" applyFont="1" applyFill="1" applyBorder="1" applyAlignment="1">
      <alignment horizontal="center" vertical="center"/>
    </xf>
    <xf numFmtId="0" fontId="50" fillId="63" borderId="61" xfId="8" applyFont="1" applyFill="1" applyBorder="1" applyAlignment="1">
      <alignment horizontal="right" vertical="center" wrapText="1"/>
    </xf>
    <xf numFmtId="2" fontId="55" fillId="0" borderId="6" xfId="6" applyNumberFormat="1" applyFont="1" applyBorder="1" applyAlignment="1">
      <alignment horizontal="center" vertical="center"/>
    </xf>
    <xf numFmtId="2" fontId="57" fillId="0" borderId="20" xfId="6" applyNumberFormat="1" applyFont="1" applyBorder="1" applyAlignment="1">
      <alignment horizontal="center" vertical="center"/>
    </xf>
    <xf numFmtId="0" fontId="78" fillId="43" borderId="20" xfId="8" applyFont="1" applyFill="1" applyBorder="1" applyAlignment="1">
      <alignment horizontal="center" vertical="center"/>
    </xf>
    <xf numFmtId="2" fontId="55" fillId="0" borderId="4" xfId="6" applyNumberFormat="1" applyFont="1" applyBorder="1" applyAlignment="1">
      <alignment horizontal="center" vertical="center"/>
    </xf>
    <xf numFmtId="9" fontId="55" fillId="0" borderId="84" xfId="6" applyNumberFormat="1" applyFont="1" applyBorder="1" applyAlignment="1">
      <alignment horizontal="center" vertical="center"/>
    </xf>
    <xf numFmtId="2" fontId="55" fillId="0" borderId="8" xfId="6" applyNumberFormat="1" applyFont="1" applyBorder="1" applyAlignment="1">
      <alignment horizontal="center" vertical="center"/>
    </xf>
    <xf numFmtId="2" fontId="57" fillId="0" borderId="14" xfId="6" applyNumberFormat="1" applyFont="1" applyBorder="1" applyAlignment="1">
      <alignment horizontal="center" vertical="center"/>
    </xf>
    <xf numFmtId="0" fontId="78" fillId="43" borderId="66" xfId="8" applyFont="1" applyFill="1" applyBorder="1" applyAlignment="1">
      <alignment horizontal="center" vertical="center"/>
    </xf>
    <xf numFmtId="0" fontId="8" fillId="56" borderId="61" xfId="8" applyFont="1" applyFill="1" applyBorder="1" applyAlignment="1">
      <alignment horizontal="right" vertical="center" wrapText="1"/>
    </xf>
    <xf numFmtId="2" fontId="57" fillId="0" borderId="2" xfId="6" applyNumberFormat="1" applyFont="1" applyAlignment="1">
      <alignment horizontal="center" vertical="center"/>
    </xf>
    <xf numFmtId="0" fontId="46" fillId="55" borderId="61" xfId="9" applyFont="1" applyFill="1" applyBorder="1" applyAlignment="1">
      <alignment horizontal="right" vertical="center" wrapText="1"/>
    </xf>
    <xf numFmtId="2" fontId="57" fillId="0" borderId="44" xfId="6" applyNumberFormat="1" applyFont="1" applyBorder="1" applyAlignment="1">
      <alignment horizontal="center" vertical="center"/>
    </xf>
    <xf numFmtId="0" fontId="78" fillId="43" borderId="97" xfId="8" applyFont="1" applyFill="1" applyBorder="1" applyAlignment="1">
      <alignment horizontal="center" vertical="center"/>
    </xf>
    <xf numFmtId="0" fontId="49" fillId="54" borderId="87" xfId="8" applyFont="1" applyFill="1" applyBorder="1" applyAlignment="1">
      <alignment horizontal="right" vertical="center"/>
    </xf>
    <xf numFmtId="2" fontId="57" fillId="0" borderId="15" xfId="6" applyNumberFormat="1" applyFont="1" applyBorder="1" applyAlignment="1">
      <alignment horizontal="center" vertical="center"/>
    </xf>
    <xf numFmtId="0" fontId="58" fillId="86" borderId="61" xfId="8" applyFont="1" applyFill="1" applyBorder="1" applyAlignment="1">
      <alignment horizontal="right" vertical="center"/>
    </xf>
    <xf numFmtId="0" fontId="49" fillId="87" borderId="87" xfId="8" applyFont="1" applyFill="1" applyBorder="1" applyAlignment="1">
      <alignment horizontal="right" vertical="center"/>
    </xf>
    <xf numFmtId="0" fontId="58" fillId="58" borderId="83" xfId="8" applyFont="1" applyFill="1" applyBorder="1" applyAlignment="1">
      <alignment horizontal="right" vertical="center" wrapText="1"/>
    </xf>
    <xf numFmtId="2" fontId="55" fillId="30" borderId="6" xfId="6" applyNumberFormat="1" applyFont="1" applyFill="1" applyBorder="1" applyAlignment="1">
      <alignment horizontal="center" vertical="center"/>
    </xf>
    <xf numFmtId="2" fontId="57" fillId="30" borderId="2" xfId="6" applyNumberFormat="1" applyFont="1" applyFill="1" applyAlignment="1">
      <alignment horizontal="center" vertical="center"/>
    </xf>
    <xf numFmtId="9" fontId="55" fillId="30" borderId="21" xfId="6" applyNumberFormat="1" applyFont="1" applyFill="1" applyBorder="1" applyAlignment="1">
      <alignment horizontal="center" vertical="center"/>
    </xf>
    <xf numFmtId="0" fontId="78" fillId="30" borderId="20" xfId="8" applyFont="1" applyFill="1" applyBorder="1" applyAlignment="1">
      <alignment horizontal="center" vertical="center"/>
    </xf>
    <xf numFmtId="0" fontId="31" fillId="65" borderId="61" xfId="8" applyFont="1" applyFill="1" applyBorder="1" applyAlignment="1">
      <alignment horizontal="right" vertical="center"/>
    </xf>
    <xf numFmtId="0" fontId="31" fillId="49" borderId="61" xfId="8" applyFont="1" applyFill="1" applyBorder="1" applyAlignment="1">
      <alignment horizontal="right" vertical="center"/>
    </xf>
    <xf numFmtId="0" fontId="78" fillId="43" borderId="101" xfId="8" applyFont="1" applyFill="1" applyBorder="1" applyAlignment="1">
      <alignment horizontal="center" vertical="center"/>
    </xf>
    <xf numFmtId="0" fontId="47" fillId="49" borderId="62" xfId="8" applyFont="1" applyFill="1" applyBorder="1" applyAlignment="1">
      <alignment horizontal="right" vertical="center"/>
    </xf>
    <xf numFmtId="0" fontId="78" fillId="43" borderId="102" xfId="8" applyFont="1" applyFill="1" applyBorder="1" applyAlignment="1">
      <alignment horizontal="center" vertical="center"/>
    </xf>
    <xf numFmtId="2" fontId="55" fillId="41" borderId="103" xfId="18" applyNumberFormat="1" applyFont="1" applyFill="1" applyBorder="1" applyAlignment="1">
      <alignment horizontal="right" vertical="center"/>
    </xf>
    <xf numFmtId="0" fontId="50" fillId="41" borderId="62" xfId="8" applyFont="1" applyFill="1" applyBorder="1" applyAlignment="1">
      <alignment horizontal="right" vertical="center"/>
    </xf>
    <xf numFmtId="9" fontId="55" fillId="0" borderId="104" xfId="6" applyNumberFormat="1" applyFont="1" applyBorder="1" applyAlignment="1">
      <alignment horizontal="center" vertical="center"/>
    </xf>
    <xf numFmtId="0" fontId="8" fillId="68" borderId="95" xfId="8" applyFont="1" applyFill="1" applyBorder="1" applyAlignment="1">
      <alignment horizontal="right" vertical="center"/>
    </xf>
    <xf numFmtId="0" fontId="52" fillId="66" borderId="8" xfId="10" applyFill="1" applyBorder="1" applyAlignment="1">
      <alignment wrapText="1"/>
    </xf>
    <xf numFmtId="2" fontId="55" fillId="68" borderId="105" xfId="18" applyNumberFormat="1" applyFont="1" applyFill="1" applyBorder="1" applyAlignment="1">
      <alignment horizontal="right" vertical="center"/>
    </xf>
    <xf numFmtId="0" fontId="52" fillId="66" borderId="6" xfId="10" applyFill="1" applyBorder="1" applyAlignment="1">
      <alignment wrapText="1"/>
    </xf>
    <xf numFmtId="0" fontId="88" fillId="66" borderId="5" xfId="10" applyFont="1" applyFill="1" applyBorder="1"/>
    <xf numFmtId="0" fontId="78" fillId="66" borderId="5" xfId="10" applyFont="1" applyFill="1" applyBorder="1" applyAlignment="1">
      <alignment vertical="center"/>
    </xf>
    <xf numFmtId="0" fontId="111" fillId="66" borderId="5" xfId="10" applyFont="1" applyFill="1" applyBorder="1" applyAlignment="1">
      <alignment vertical="center"/>
    </xf>
    <xf numFmtId="9" fontId="55" fillId="0" borderId="106" xfId="6" applyNumberFormat="1" applyFont="1" applyBorder="1" applyAlignment="1">
      <alignment horizontal="center" vertical="center"/>
    </xf>
    <xf numFmtId="0" fontId="109" fillId="22" borderId="107" xfId="8" applyFont="1" applyFill="1" applyBorder="1" applyAlignment="1">
      <alignment horizontal="centerContinuous" vertical="center" wrapText="1"/>
    </xf>
    <xf numFmtId="0" fontId="76" fillId="22" borderId="64" xfId="8" applyFont="1" applyFill="1" applyBorder="1" applyAlignment="1">
      <alignment horizontal="centerContinuous" vertical="center"/>
    </xf>
    <xf numFmtId="0" fontId="31" fillId="0" borderId="57" xfId="8" applyFont="1" applyBorder="1" applyAlignment="1">
      <alignment horizontal="center" vertical="center" wrapText="1"/>
    </xf>
    <xf numFmtId="0" fontId="31" fillId="0" borderId="58" xfId="8" applyFont="1" applyBorder="1" applyAlignment="1">
      <alignment horizontal="center" vertical="center"/>
    </xf>
    <xf numFmtId="0" fontId="56" fillId="88" borderId="15" xfId="8" applyFont="1" applyFill="1" applyBorder="1" applyAlignment="1">
      <alignment horizontal="center" vertical="center"/>
    </xf>
    <xf numFmtId="0" fontId="73" fillId="88" borderId="20" xfId="12" applyFont="1" applyFill="1" applyBorder="1" applyAlignment="1">
      <alignment horizontal="center" vertical="center"/>
    </xf>
    <xf numFmtId="0" fontId="52" fillId="66" borderId="4" xfId="10" applyFill="1" applyBorder="1" applyAlignment="1">
      <alignment wrapText="1"/>
    </xf>
    <xf numFmtId="0" fontId="18" fillId="70" borderId="75" xfId="8" applyFont="1" applyFill="1" applyBorder="1" applyAlignment="1">
      <alignment horizontal="center" vertical="center" wrapText="1"/>
    </xf>
    <xf numFmtId="0" fontId="52" fillId="49" borderId="2" xfId="10" applyFill="1" applyAlignment="1">
      <alignment wrapText="1"/>
    </xf>
    <xf numFmtId="0" fontId="52" fillId="49" borderId="2" xfId="10" applyFill="1"/>
    <xf numFmtId="0" fontId="75" fillId="66" borderId="2" xfId="10" applyFont="1" applyFill="1" applyAlignment="1">
      <alignment horizontal="center" vertical="center" wrapText="1"/>
    </xf>
    <xf numFmtId="0" fontId="55" fillId="0" borderId="12" xfId="8" applyFont="1" applyBorder="1" applyAlignment="1">
      <alignment vertical="center"/>
    </xf>
    <xf numFmtId="0" fontId="52" fillId="0" borderId="84" xfId="10" applyBorder="1"/>
    <xf numFmtId="0" fontId="52" fillId="0" borderId="44" xfId="10" applyBorder="1"/>
    <xf numFmtId="0" fontId="55" fillId="0" borderId="47" xfId="8" applyFont="1" applyBorder="1" applyAlignment="1">
      <alignment vertical="center"/>
    </xf>
    <xf numFmtId="0" fontId="52" fillId="75" borderId="16" xfId="10" applyFill="1" applyBorder="1" applyAlignment="1">
      <alignment vertical="center" wrapText="1"/>
    </xf>
    <xf numFmtId="0" fontId="52" fillId="75" borderId="7" xfId="10" applyFill="1" applyBorder="1" applyAlignment="1">
      <alignment vertical="center" wrapText="1"/>
    </xf>
    <xf numFmtId="0" fontId="55" fillId="76" borderId="6" xfId="8" applyFont="1" applyFill="1" applyBorder="1" applyAlignment="1">
      <alignment vertical="center" wrapText="1"/>
    </xf>
    <xf numFmtId="173" fontId="57" fillId="0" borderId="32" xfId="8" applyNumberFormat="1" applyFont="1" applyBorder="1" applyAlignment="1">
      <alignment horizontal="center" vertical="center" wrapText="1"/>
    </xf>
    <xf numFmtId="0" fontId="90" fillId="0" borderId="48" xfId="8" applyFont="1" applyBorder="1" applyAlignment="1">
      <alignment horizontal="center" vertical="center" wrapText="1"/>
    </xf>
    <xf numFmtId="0" fontId="52" fillId="75" borderId="84" xfId="10" applyFill="1" applyBorder="1" applyAlignment="1">
      <alignment vertical="center" wrapText="1"/>
    </xf>
    <xf numFmtId="0" fontId="52" fillId="75" borderId="3" xfId="10" applyFill="1" applyBorder="1" applyAlignment="1">
      <alignment vertical="center" wrapText="1"/>
    </xf>
    <xf numFmtId="173" fontId="57" fillId="0" borderId="43" xfId="8" applyNumberFormat="1" applyFont="1" applyBorder="1" applyAlignment="1">
      <alignment horizontal="center" vertical="center" wrapText="1"/>
    </xf>
    <xf numFmtId="0" fontId="90" fillId="0" borderId="85" xfId="8" applyFont="1" applyBorder="1" applyAlignment="1">
      <alignment horizontal="center" vertical="center" wrapText="1"/>
    </xf>
    <xf numFmtId="0" fontId="52" fillId="78" borderId="16" xfId="10" applyFill="1" applyBorder="1" applyAlignment="1">
      <alignment vertical="center" wrapText="1"/>
    </xf>
    <xf numFmtId="0" fontId="52" fillId="78" borderId="7" xfId="10" applyFill="1" applyBorder="1" applyAlignment="1">
      <alignment vertical="center" wrapText="1"/>
    </xf>
    <xf numFmtId="0" fontId="52" fillId="78" borderId="21" xfId="10" applyFill="1" applyBorder="1" applyAlignment="1">
      <alignment vertical="center" wrapText="1"/>
    </xf>
    <xf numFmtId="0" fontId="52" fillId="78" borderId="5" xfId="10" applyFill="1" applyBorder="1" applyAlignment="1">
      <alignment vertical="center" wrapText="1"/>
    </xf>
    <xf numFmtId="0" fontId="52" fillId="78" borderId="84" xfId="10" applyFill="1" applyBorder="1" applyAlignment="1">
      <alignment vertical="center" wrapText="1"/>
    </xf>
    <xf numFmtId="0" fontId="52" fillId="78" borderId="3" xfId="10" applyFill="1" applyBorder="1" applyAlignment="1">
      <alignment vertical="center" wrapText="1"/>
    </xf>
    <xf numFmtId="0" fontId="52" fillId="64" borderId="16" xfId="10" applyFill="1" applyBorder="1" applyAlignment="1">
      <alignment vertical="center" wrapText="1"/>
    </xf>
    <xf numFmtId="0" fontId="52" fillId="64" borderId="7" xfId="10" applyFill="1" applyBorder="1" applyAlignment="1">
      <alignment vertical="center" wrapText="1"/>
    </xf>
    <xf numFmtId="0" fontId="52" fillId="64" borderId="21" xfId="10" applyFill="1" applyBorder="1" applyAlignment="1">
      <alignment vertical="center" wrapText="1"/>
    </xf>
    <xf numFmtId="0" fontId="52" fillId="64" borderId="5" xfId="10" applyFill="1" applyBorder="1" applyAlignment="1">
      <alignment vertical="center" wrapText="1"/>
    </xf>
    <xf numFmtId="0" fontId="52" fillId="64" borderId="84" xfId="10" applyFill="1" applyBorder="1" applyAlignment="1">
      <alignment vertical="center" wrapText="1"/>
    </xf>
    <xf numFmtId="0" fontId="52" fillId="64" borderId="3" xfId="10" applyFill="1" applyBorder="1" applyAlignment="1">
      <alignment vertical="center" wrapText="1"/>
    </xf>
    <xf numFmtId="0" fontId="52" fillId="41" borderId="3" xfId="10" applyFill="1" applyBorder="1" applyAlignment="1">
      <alignment vertical="center"/>
    </xf>
    <xf numFmtId="0" fontId="52" fillId="67" borderId="21" xfId="10" applyFill="1" applyBorder="1" applyAlignment="1">
      <alignment vertical="center" wrapText="1"/>
    </xf>
    <xf numFmtId="0" fontId="52" fillId="67" borderId="5" xfId="10" applyFill="1" applyBorder="1" applyAlignment="1">
      <alignment vertical="center" wrapText="1"/>
    </xf>
    <xf numFmtId="0" fontId="52" fillId="67" borderId="84" xfId="10" applyFill="1" applyBorder="1" applyAlignment="1">
      <alignment vertical="center" wrapText="1"/>
    </xf>
    <xf numFmtId="0" fontId="52" fillId="67" borderId="3" xfId="10" applyFill="1" applyBorder="1" applyAlignment="1">
      <alignment vertical="center" wrapText="1"/>
    </xf>
    <xf numFmtId="0" fontId="52" fillId="0" borderId="16" xfId="10" applyBorder="1" applyAlignment="1">
      <alignment vertical="center"/>
    </xf>
    <xf numFmtId="0" fontId="76" fillId="22" borderId="38" xfId="8" applyFont="1" applyFill="1" applyBorder="1" applyAlignment="1">
      <alignment horizontal="left" vertical="center"/>
    </xf>
    <xf numFmtId="0" fontId="82" fillId="22" borderId="6" xfId="8" applyFont="1" applyFill="1" applyBorder="1" applyAlignment="1">
      <alignment vertical="center" wrapText="1"/>
    </xf>
    <xf numFmtId="0" fontId="113" fillId="0" borderId="41" xfId="8" applyFont="1" applyBorder="1" applyAlignment="1">
      <alignment horizontal="center" vertical="center" wrapText="1"/>
    </xf>
    <xf numFmtId="0" fontId="55" fillId="0" borderId="2" xfId="8" applyFont="1" applyAlignment="1">
      <alignment horizontal="center" vertical="center" wrapText="1"/>
    </xf>
    <xf numFmtId="0" fontId="114" fillId="81" borderId="16" xfId="8" applyFont="1" applyFill="1" applyBorder="1" applyAlignment="1">
      <alignment vertical="center" wrapText="1"/>
    </xf>
    <xf numFmtId="0" fontId="114" fillId="81" borderId="14" xfId="8" applyFont="1" applyFill="1" applyBorder="1" applyAlignment="1">
      <alignment vertical="center" wrapText="1"/>
    </xf>
    <xf numFmtId="0" fontId="8" fillId="83" borderId="74" xfId="8" applyFont="1" applyFill="1" applyBorder="1" applyAlignment="1">
      <alignment vertical="center"/>
    </xf>
    <xf numFmtId="0" fontId="8" fillId="83" borderId="88" xfId="8" applyFont="1" applyFill="1" applyBorder="1" applyAlignment="1">
      <alignment vertical="center"/>
    </xf>
    <xf numFmtId="0" fontId="115" fillId="66" borderId="2" xfId="10" applyFont="1" applyFill="1" applyAlignment="1">
      <alignment wrapText="1"/>
    </xf>
    <xf numFmtId="0" fontId="75" fillId="66" borderId="2" xfId="10" applyFont="1" applyFill="1" applyAlignment="1">
      <alignment horizontal="center" vertical="center"/>
    </xf>
    <xf numFmtId="0" fontId="52" fillId="0" borderId="21" xfId="10" applyBorder="1"/>
    <xf numFmtId="0" fontId="52" fillId="63" borderId="16" xfId="10" applyFill="1" applyBorder="1" applyAlignment="1">
      <alignment vertical="center"/>
    </xf>
    <xf numFmtId="0" fontId="52" fillId="63" borderId="7" xfId="10" applyFill="1" applyBorder="1" applyAlignment="1">
      <alignment vertical="center"/>
    </xf>
    <xf numFmtId="0" fontId="102" fillId="66" borderId="90" xfId="10" applyFont="1" applyFill="1" applyBorder="1" applyAlignment="1">
      <alignment horizontal="center" vertical="center"/>
    </xf>
    <xf numFmtId="0" fontId="98" fillId="43" borderId="90" xfId="10" applyFont="1" applyFill="1" applyBorder="1" applyAlignment="1">
      <alignment horizontal="center" vertical="center"/>
    </xf>
    <xf numFmtId="0" fontId="102" fillId="66" borderId="51" xfId="10" applyFont="1" applyFill="1" applyBorder="1" applyAlignment="1">
      <alignment horizontal="center" vertical="center"/>
    </xf>
    <xf numFmtId="0" fontId="98" fillId="43" borderId="51" xfId="10" applyFont="1" applyFill="1" applyBorder="1" applyAlignment="1">
      <alignment horizontal="center" vertical="center"/>
    </xf>
    <xf numFmtId="0" fontId="52" fillId="75" borderId="5" xfId="10" applyFill="1" applyBorder="1" applyAlignment="1">
      <alignment vertical="center" wrapText="1"/>
    </xf>
    <xf numFmtId="0" fontId="102" fillId="66" borderId="42" xfId="10" applyFont="1" applyFill="1" applyBorder="1" applyAlignment="1">
      <alignment horizontal="center" vertical="center"/>
    </xf>
    <xf numFmtId="0" fontId="98" fillId="43" borderId="42" xfId="10" applyFont="1" applyFill="1" applyBorder="1" applyAlignment="1">
      <alignment horizontal="center" vertical="center"/>
    </xf>
    <xf numFmtId="0" fontId="102" fillId="66" borderId="122" xfId="10" applyFont="1" applyFill="1" applyBorder="1" applyAlignment="1">
      <alignment horizontal="center" vertical="center"/>
    </xf>
    <xf numFmtId="0" fontId="98" fillId="43" borderId="122" xfId="10" applyFont="1" applyFill="1" applyBorder="1" applyAlignment="1">
      <alignment horizontal="center" vertical="center"/>
    </xf>
    <xf numFmtId="0" fontId="52" fillId="66" borderId="7" xfId="10" applyFill="1" applyBorder="1" applyAlignment="1">
      <alignment wrapText="1"/>
    </xf>
    <xf numFmtId="0" fontId="52" fillId="66" borderId="5" xfId="10" applyFill="1" applyBorder="1" applyAlignment="1">
      <alignment wrapText="1"/>
    </xf>
    <xf numFmtId="0" fontId="102" fillId="43" borderId="122" xfId="10" applyFont="1" applyFill="1" applyBorder="1" applyAlignment="1">
      <alignment horizontal="center" vertical="center"/>
    </xf>
    <xf numFmtId="0" fontId="8" fillId="66" borderId="5" xfId="10" applyFont="1" applyFill="1" applyBorder="1" applyAlignment="1">
      <alignment vertical="center" wrapText="1"/>
    </xf>
    <xf numFmtId="0" fontId="100" fillId="43" borderId="51" xfId="10" applyFont="1" applyFill="1" applyBorder="1" applyAlignment="1">
      <alignment horizontal="center" vertical="center"/>
    </xf>
    <xf numFmtId="0" fontId="70" fillId="43" borderId="42" xfId="10" applyFont="1" applyFill="1" applyBorder="1" applyAlignment="1">
      <alignment horizontal="center" vertical="center"/>
    </xf>
    <xf numFmtId="0" fontId="88" fillId="66" borderId="5" xfId="10" applyFont="1" applyFill="1" applyBorder="1" applyAlignment="1">
      <alignment vertical="center" wrapText="1"/>
    </xf>
    <xf numFmtId="0" fontId="103" fillId="43" borderId="122" xfId="10" applyFont="1" applyFill="1" applyBorder="1" applyAlignment="1">
      <alignment horizontal="center" vertical="center"/>
    </xf>
    <xf numFmtId="0" fontId="102" fillId="66" borderId="90" xfId="10" applyFont="1" applyFill="1" applyBorder="1" applyAlignment="1">
      <alignment horizontal="center"/>
    </xf>
    <xf numFmtId="0" fontId="116" fillId="43" borderId="90" xfId="10" applyFont="1" applyFill="1" applyBorder="1" applyAlignment="1">
      <alignment horizontal="center" vertical="center"/>
    </xf>
    <xf numFmtId="0" fontId="117" fillId="66" borderId="5" xfId="10" applyFont="1" applyFill="1" applyBorder="1" applyAlignment="1">
      <alignment horizontal="left" vertical="center" wrapText="1"/>
    </xf>
    <xf numFmtId="0" fontId="100" fillId="43" borderId="42" xfId="10" applyFont="1" applyFill="1" applyBorder="1" applyAlignment="1">
      <alignment horizontal="center" vertical="center"/>
    </xf>
    <xf numFmtId="0" fontId="87" fillId="66" borderId="5" xfId="10" applyFont="1" applyFill="1" applyBorder="1" applyAlignment="1">
      <alignment vertical="center" wrapText="1"/>
    </xf>
    <xf numFmtId="0" fontId="100" fillId="43" borderId="122" xfId="10" applyFont="1" applyFill="1" applyBorder="1" applyAlignment="1">
      <alignment horizontal="center" vertical="center"/>
    </xf>
    <xf numFmtId="0" fontId="74" fillId="66" borderId="3" xfId="10" applyFont="1" applyFill="1" applyBorder="1" applyAlignment="1">
      <alignment vertical="center" wrapText="1"/>
    </xf>
    <xf numFmtId="0" fontId="52" fillId="0" borderId="92" xfId="10" applyBorder="1" applyAlignment="1">
      <alignment vertical="center"/>
    </xf>
    <xf numFmtId="0" fontId="76" fillId="22" borderId="73" xfId="8" applyFont="1" applyFill="1" applyBorder="1" applyAlignment="1">
      <alignment horizontal="left" vertical="center"/>
    </xf>
    <xf numFmtId="0" fontId="59" fillId="66" borderId="123" xfId="10" applyFont="1" applyFill="1" applyBorder="1" applyAlignment="1">
      <alignment horizontal="center" vertical="center"/>
    </xf>
    <xf numFmtId="0" fontId="107" fillId="0" borderId="123" xfId="10" applyFont="1" applyBorder="1" applyAlignment="1">
      <alignment horizontal="center" vertical="center"/>
    </xf>
    <xf numFmtId="0" fontId="115" fillId="66" borderId="2" xfId="10" applyFont="1" applyFill="1"/>
    <xf numFmtId="0" fontId="109" fillId="22" borderId="107" xfId="8" applyFont="1" applyFill="1" applyBorder="1" applyAlignment="1">
      <alignment horizontal="center" vertical="center" wrapText="1"/>
    </xf>
    <xf numFmtId="0" fontId="76" fillId="22" borderId="64" xfId="8" applyFont="1" applyFill="1" applyBorder="1" applyAlignment="1">
      <alignment horizontal="center" vertical="center"/>
    </xf>
    <xf numFmtId="0" fontId="8" fillId="66" borderId="16" xfId="8" applyFont="1" applyFill="1" applyBorder="1" applyAlignment="1">
      <alignment vertical="center"/>
    </xf>
    <xf numFmtId="0" fontId="8" fillId="66" borderId="14" xfId="8" applyFont="1" applyFill="1" applyBorder="1" applyAlignment="1">
      <alignment vertical="center"/>
    </xf>
    <xf numFmtId="0" fontId="69" fillId="0" borderId="110" xfId="8" applyFont="1" applyBorder="1" applyAlignment="1">
      <alignment vertical="center"/>
    </xf>
    <xf numFmtId="0" fontId="69" fillId="0" borderId="111" xfId="8" applyFont="1" applyBorder="1" applyAlignment="1">
      <alignment vertical="center"/>
    </xf>
    <xf numFmtId="0" fontId="69" fillId="0" borderId="114" xfId="8" applyFont="1" applyBorder="1" applyAlignment="1">
      <alignment vertical="center"/>
    </xf>
    <xf numFmtId="0" fontId="69" fillId="0" borderId="115" xfId="8" applyFont="1" applyBorder="1" applyAlignment="1">
      <alignment vertical="center"/>
    </xf>
    <xf numFmtId="0" fontId="24" fillId="22" borderId="118" xfId="8" applyFont="1" applyFill="1" applyBorder="1" applyAlignment="1">
      <alignment vertical="center"/>
    </xf>
    <xf numFmtId="0" fontId="24" fillId="22" borderId="119" xfId="8" applyFont="1" applyFill="1" applyBorder="1" applyAlignment="1">
      <alignment vertical="center"/>
    </xf>
    <xf numFmtId="0" fontId="118" fillId="62" borderId="15" xfId="8" applyFont="1" applyFill="1" applyBorder="1" applyAlignment="1">
      <alignment horizontal="center" vertical="center"/>
    </xf>
    <xf numFmtId="0" fontId="118" fillId="62" borderId="20" xfId="8" applyFont="1" applyFill="1" applyBorder="1" applyAlignment="1">
      <alignment horizontal="center" vertical="center"/>
    </xf>
    <xf numFmtId="0" fontId="24" fillId="62" borderId="97" xfId="8" applyFont="1" applyFill="1" applyBorder="1" applyAlignment="1">
      <alignment horizontal="center" vertical="center"/>
    </xf>
    <xf numFmtId="0" fontId="24" fillId="62" borderId="15" xfId="8" applyFont="1" applyFill="1" applyBorder="1" applyAlignment="1">
      <alignment horizontal="center" vertical="center"/>
    </xf>
    <xf numFmtId="0" fontId="24" fillId="62" borderId="101" xfId="8" applyFont="1" applyFill="1" applyBorder="1" applyAlignment="1">
      <alignment horizontal="center" vertical="center"/>
    </xf>
    <xf numFmtId="0" fontId="24" fillId="62" borderId="102" xfId="8" applyFont="1" applyFill="1" applyBorder="1" applyAlignment="1">
      <alignment horizontal="center" vertical="center"/>
    </xf>
    <xf numFmtId="0" fontId="119" fillId="66" borderId="5" xfId="10" applyFont="1" applyFill="1" applyBorder="1" applyAlignment="1">
      <alignment vertical="center"/>
    </xf>
    <xf numFmtId="0" fontId="117" fillId="66" borderId="5" xfId="10" applyFont="1" applyFill="1" applyBorder="1" applyAlignment="1">
      <alignment vertical="center"/>
    </xf>
    <xf numFmtId="0" fontId="24" fillId="66" borderId="5" xfId="10" applyFont="1" applyFill="1" applyBorder="1" applyAlignment="1">
      <alignment vertical="center"/>
    </xf>
    <xf numFmtId="0" fontId="56" fillId="89" borderId="15" xfId="8" applyFont="1" applyFill="1" applyBorder="1" applyAlignment="1">
      <alignment horizontal="center" vertical="center"/>
    </xf>
    <xf numFmtId="0" fontId="73" fillId="89" borderId="20" xfId="12" applyFont="1" applyFill="1" applyBorder="1" applyAlignment="1">
      <alignment horizontal="center" vertical="center"/>
    </xf>
    <xf numFmtId="0" fontId="55" fillId="22" borderId="12" xfId="8" applyFont="1" applyFill="1" applyBorder="1" applyAlignment="1">
      <alignment vertical="center"/>
    </xf>
    <xf numFmtId="0" fontId="55" fillId="22" borderId="2" xfId="8" applyFont="1" applyFill="1" applyAlignment="1">
      <alignment horizontal="center" vertical="center"/>
    </xf>
    <xf numFmtId="0" fontId="55" fillId="22" borderId="44" xfId="8" applyFont="1" applyFill="1" applyBorder="1" applyAlignment="1">
      <alignment horizontal="center" vertical="center" wrapText="1"/>
    </xf>
    <xf numFmtId="0" fontId="89" fillId="49" borderId="132" xfId="10" applyFont="1" applyFill="1" applyBorder="1" applyAlignment="1">
      <alignment vertical="center"/>
    </xf>
    <xf numFmtId="0" fontId="8" fillId="0" borderId="59" xfId="8" applyFont="1" applyBorder="1" applyAlignment="1">
      <alignment horizontal="center" vertical="center"/>
    </xf>
    <xf numFmtId="0" fontId="18" fillId="70" borderId="76" xfId="8" applyFont="1" applyFill="1" applyBorder="1" applyAlignment="1">
      <alignment horizontal="center" vertical="center"/>
    </xf>
    <xf numFmtId="0" fontId="18" fillId="49" borderId="67" xfId="8" applyFont="1" applyFill="1" applyBorder="1" applyAlignment="1">
      <alignment horizontal="center" vertical="center"/>
    </xf>
    <xf numFmtId="0" fontId="93" fillId="58" borderId="67" xfId="8" applyFont="1" applyFill="1" applyBorder="1" applyAlignment="1">
      <alignment horizontal="center" vertical="center"/>
    </xf>
    <xf numFmtId="0" fontId="18" fillId="73" borderId="67" xfId="8" applyFont="1" applyFill="1" applyBorder="1" applyAlignment="1">
      <alignment horizontal="center" vertical="center"/>
    </xf>
    <xf numFmtId="0" fontId="15" fillId="72" borderId="67" xfId="8" applyFont="1" applyFill="1" applyBorder="1" applyAlignment="1">
      <alignment horizontal="center" vertical="center"/>
    </xf>
    <xf numFmtId="0" fontId="18" fillId="71" borderId="67" xfId="8" applyFont="1" applyFill="1" applyBorder="1" applyAlignment="1">
      <alignment horizontal="center" vertical="center"/>
    </xf>
    <xf numFmtId="0" fontId="101" fillId="71" borderId="133" xfId="17" applyFont="1" applyFill="1" applyBorder="1" applyAlignment="1">
      <alignment vertical="center"/>
    </xf>
    <xf numFmtId="0" fontId="101" fillId="71" borderId="134" xfId="17" applyFont="1" applyFill="1" applyBorder="1" applyAlignment="1">
      <alignment vertical="center"/>
    </xf>
    <xf numFmtId="0" fontId="12" fillId="30" borderId="20" xfId="17" applyFont="1" applyFill="1" applyBorder="1" applyAlignment="1">
      <alignment horizontal="left" vertical="center"/>
    </xf>
    <xf numFmtId="0" fontId="31" fillId="22" borderId="2" xfId="19" applyFont="1" applyFill="1" applyAlignment="1">
      <alignment horizontal="left" vertical="center"/>
    </xf>
    <xf numFmtId="1" fontId="24" fillId="43" borderId="27" xfId="0" applyNumberFormat="1" applyFont="1" applyFill="1" applyBorder="1" applyAlignment="1">
      <alignment horizontal="center" vertical="center" wrapText="1"/>
    </xf>
    <xf numFmtId="1" fontId="24" fillId="43" borderId="33" xfId="0" applyNumberFormat="1" applyFont="1" applyFill="1" applyBorder="1" applyAlignment="1">
      <alignment horizontal="center" vertical="center" wrapText="1"/>
    </xf>
    <xf numFmtId="1" fontId="40" fillId="43" borderId="33" xfId="0" applyNumberFormat="1" applyFont="1" applyFill="1" applyBorder="1" applyAlignment="1">
      <alignment horizontal="center" vertical="center" wrapText="1"/>
    </xf>
    <xf numFmtId="1" fontId="40" fillId="43" borderId="42" xfId="0" applyNumberFormat="1" applyFont="1" applyFill="1" applyBorder="1" applyAlignment="1">
      <alignment horizontal="center" vertical="center" wrapText="1"/>
    </xf>
    <xf numFmtId="1" fontId="40" fillId="43" borderId="51" xfId="0" applyNumberFormat="1" applyFont="1" applyFill="1" applyBorder="1" applyAlignment="1">
      <alignment horizontal="center" vertical="center" wrapText="1"/>
    </xf>
    <xf numFmtId="1" fontId="24" fillId="43" borderId="22" xfId="0" applyNumberFormat="1" applyFont="1" applyFill="1" applyBorder="1" applyAlignment="1">
      <alignment horizontal="center" vertical="center" wrapText="1"/>
    </xf>
    <xf numFmtId="1" fontId="24" fillId="43" borderId="46" xfId="0" applyNumberFormat="1" applyFont="1" applyFill="1" applyBorder="1" applyAlignment="1">
      <alignment horizontal="center" vertical="center" wrapText="1"/>
    </xf>
    <xf numFmtId="1" fontId="24" fillId="43" borderId="45" xfId="0" applyNumberFormat="1" applyFont="1" applyFill="1" applyBorder="1" applyAlignment="1">
      <alignment horizontal="center" vertical="center" wrapText="1"/>
    </xf>
    <xf numFmtId="1" fontId="24" fillId="43" borderId="42" xfId="0" applyNumberFormat="1" applyFont="1" applyFill="1" applyBorder="1" applyAlignment="1">
      <alignment horizontal="center" vertical="center" wrapText="1"/>
    </xf>
    <xf numFmtId="0" fontId="98" fillId="50" borderId="91" xfId="17" applyFont="1" applyFill="1" applyBorder="1" applyAlignment="1">
      <alignment vertical="center"/>
    </xf>
    <xf numFmtId="0" fontId="67" fillId="52" borderId="2" xfId="11" applyFont="1" applyFill="1" applyAlignment="1">
      <alignment horizontal="center" vertical="center"/>
    </xf>
    <xf numFmtId="0" fontId="31" fillId="59" borderId="17" xfId="8" applyFont="1" applyFill="1" applyBorder="1" applyAlignment="1">
      <alignment horizontal="center" vertical="center"/>
    </xf>
    <xf numFmtId="0" fontId="31" fillId="59" borderId="8" xfId="8" applyFont="1" applyFill="1" applyBorder="1" applyAlignment="1">
      <alignment horizontal="center" vertical="center"/>
    </xf>
    <xf numFmtId="0" fontId="56" fillId="60" borderId="6" xfId="8" applyFont="1" applyFill="1" applyBorder="1" applyAlignment="1">
      <alignment horizontal="center" vertical="center"/>
    </xf>
    <xf numFmtId="0" fontId="56" fillId="54" borderId="2" xfId="8" applyFont="1" applyFill="1" applyAlignment="1">
      <alignment horizontal="center" vertical="center"/>
    </xf>
    <xf numFmtId="0" fontId="125" fillId="89" borderId="2" xfId="12" applyFont="1" applyFill="1" applyAlignment="1">
      <alignment horizontal="center" vertical="center" wrapText="1"/>
    </xf>
    <xf numFmtId="0" fontId="24" fillId="62" borderId="135" xfId="8" applyFont="1" applyFill="1" applyBorder="1" applyAlignment="1">
      <alignment horizontal="center" vertical="center"/>
    </xf>
    <xf numFmtId="0" fontId="46" fillId="48" borderId="44" xfId="8" applyFont="1" applyFill="1" applyBorder="1" applyAlignment="1">
      <alignment horizontal="left" vertical="center"/>
    </xf>
    <xf numFmtId="0" fontId="127" fillId="43" borderId="101" xfId="8" applyFont="1" applyFill="1" applyBorder="1" applyAlignment="1">
      <alignment horizontal="center" vertical="center"/>
    </xf>
    <xf numFmtId="0" fontId="127" fillId="43" borderId="136" xfId="8" applyFont="1" applyFill="1" applyBorder="1" applyAlignment="1">
      <alignment horizontal="center" vertical="center"/>
    </xf>
    <xf numFmtId="0" fontId="24" fillId="62" borderId="137" xfId="8" applyFont="1" applyFill="1" applyBorder="1" applyAlignment="1">
      <alignment horizontal="center" vertical="center"/>
    </xf>
    <xf numFmtId="0" fontId="24" fillId="62" borderId="138" xfId="8" applyFont="1" applyFill="1" applyBorder="1" applyAlignment="1">
      <alignment horizontal="center" vertical="center"/>
    </xf>
    <xf numFmtId="0" fontId="46" fillId="48" borderId="139" xfId="8" applyFont="1" applyFill="1" applyBorder="1" applyAlignment="1">
      <alignment horizontal="left" vertical="center"/>
    </xf>
    <xf numFmtId="0" fontId="127" fillId="43" borderId="137" xfId="8" applyFont="1" applyFill="1" applyBorder="1" applyAlignment="1">
      <alignment horizontal="center" vertical="center"/>
    </xf>
    <xf numFmtId="0" fontId="127" fillId="43" borderId="140" xfId="8" applyFont="1" applyFill="1" applyBorder="1" applyAlignment="1">
      <alignment horizontal="center" vertical="center"/>
    </xf>
    <xf numFmtId="0" fontId="24" fillId="62" borderId="141" xfId="8" applyFont="1" applyFill="1" applyBorder="1" applyAlignment="1">
      <alignment horizontal="center" vertical="center"/>
    </xf>
    <xf numFmtId="0" fontId="24" fillId="62" borderId="142" xfId="8" applyFont="1" applyFill="1" applyBorder="1" applyAlignment="1">
      <alignment horizontal="center" vertical="center"/>
    </xf>
    <xf numFmtId="0" fontId="127" fillId="43" borderId="141" xfId="8" applyFont="1" applyFill="1" applyBorder="1" applyAlignment="1">
      <alignment horizontal="center" vertical="center"/>
    </xf>
    <xf numFmtId="0" fontId="127" fillId="43" borderId="143" xfId="8" applyFont="1" applyFill="1" applyBorder="1" applyAlignment="1">
      <alignment horizontal="center" vertical="center"/>
    </xf>
    <xf numFmtId="0" fontId="8" fillId="68" borderId="139" xfId="8" applyFont="1" applyFill="1" applyBorder="1" applyAlignment="1">
      <alignment horizontal="left" vertical="center"/>
    </xf>
    <xf numFmtId="0" fontId="24" fillId="62" borderId="144" xfId="8" applyFont="1" applyFill="1" applyBorder="1" applyAlignment="1">
      <alignment horizontal="center" vertical="center"/>
    </xf>
    <xf numFmtId="0" fontId="24" fillId="62" borderId="145" xfId="8" applyFont="1" applyFill="1" applyBorder="1" applyAlignment="1">
      <alignment horizontal="center" vertical="center"/>
    </xf>
    <xf numFmtId="0" fontId="127" fillId="43" borderId="144" xfId="8" applyFont="1" applyFill="1" applyBorder="1" applyAlignment="1">
      <alignment horizontal="center" vertical="center"/>
    </xf>
    <xf numFmtId="0" fontId="127" fillId="43" borderId="146" xfId="8" applyFont="1" applyFill="1" applyBorder="1" applyAlignment="1">
      <alignment horizontal="center" vertical="center"/>
    </xf>
    <xf numFmtId="2" fontId="55" fillId="68" borderId="2" xfId="18" applyNumberFormat="1" applyFont="1" applyFill="1" applyAlignment="1">
      <alignment horizontal="left" vertical="center"/>
    </xf>
    <xf numFmtId="0" fontId="8" fillId="68" borderId="69" xfId="8" applyFont="1" applyFill="1" applyBorder="1" applyAlignment="1">
      <alignment horizontal="left" vertical="center"/>
    </xf>
    <xf numFmtId="0" fontId="50" fillId="41" borderId="44" xfId="8" applyFont="1" applyFill="1" applyBorder="1" applyAlignment="1">
      <alignment horizontal="left" vertical="center"/>
    </xf>
    <xf numFmtId="2" fontId="55" fillId="41" borderId="14" xfId="18" applyNumberFormat="1" applyFont="1" applyFill="1" applyBorder="1" applyAlignment="1">
      <alignment horizontal="left" vertical="center"/>
    </xf>
    <xf numFmtId="0" fontId="47" fillId="49" borderId="44" xfId="8" applyFont="1" applyFill="1" applyBorder="1" applyAlignment="1">
      <alignment horizontal="left" vertical="center"/>
    </xf>
    <xf numFmtId="0" fontId="24" fillId="62" borderId="151" xfId="8" applyFont="1" applyFill="1" applyBorder="1" applyAlignment="1">
      <alignment horizontal="center" vertical="center"/>
    </xf>
    <xf numFmtId="0" fontId="24" fillId="62" borderId="152" xfId="8" applyFont="1" applyFill="1" applyBorder="1" applyAlignment="1">
      <alignment horizontal="center" vertical="center"/>
    </xf>
    <xf numFmtId="0" fontId="31" fillId="49" borderId="139" xfId="8" applyFont="1" applyFill="1" applyBorder="1" applyAlignment="1">
      <alignment horizontal="left" vertical="center"/>
    </xf>
    <xf numFmtId="0" fontId="127" fillId="43" borderId="151" xfId="8" applyFont="1" applyFill="1" applyBorder="1" applyAlignment="1">
      <alignment horizontal="center" vertical="center"/>
    </xf>
    <xf numFmtId="0" fontId="127" fillId="43" borderId="153" xfId="8" applyFont="1" applyFill="1" applyBorder="1" applyAlignment="1">
      <alignment horizontal="center" vertical="center"/>
    </xf>
    <xf numFmtId="0" fontId="63" fillId="58" borderId="47" xfId="8" applyFont="1" applyFill="1" applyBorder="1" applyAlignment="1">
      <alignment vertical="center"/>
    </xf>
    <xf numFmtId="0" fontId="31" fillId="65" borderId="139" xfId="8" applyFont="1" applyFill="1" applyBorder="1" applyAlignment="1">
      <alignment horizontal="left" vertical="center"/>
    </xf>
    <xf numFmtId="0" fontId="58" fillId="58" borderId="47" xfId="8" applyFont="1" applyFill="1" applyBorder="1" applyAlignment="1">
      <alignment horizontal="left" vertical="center"/>
    </xf>
    <xf numFmtId="0" fontId="49" fillId="87" borderId="64" xfId="8" applyFont="1" applyFill="1" applyBorder="1" applyAlignment="1">
      <alignment horizontal="left" vertical="center"/>
    </xf>
    <xf numFmtId="0" fontId="24" fillId="62" borderId="5" xfId="8" applyFont="1" applyFill="1" applyBorder="1" applyAlignment="1">
      <alignment horizontal="center" vertical="center"/>
    </xf>
    <xf numFmtId="0" fontId="8" fillId="73" borderId="47" xfId="8" applyFont="1" applyFill="1" applyBorder="1" applyAlignment="1">
      <alignment vertical="center" wrapText="1"/>
    </xf>
    <xf numFmtId="0" fontId="127" fillId="43" borderId="20" xfId="8" applyFont="1" applyFill="1" applyBorder="1" applyAlignment="1">
      <alignment horizontal="center" vertical="center"/>
    </xf>
    <xf numFmtId="0" fontId="127" fillId="43" borderId="154" xfId="8" applyFont="1" applyFill="1" applyBorder="1" applyAlignment="1">
      <alignment horizontal="center" vertical="center"/>
    </xf>
    <xf numFmtId="0" fontId="58" fillId="86" borderId="139" xfId="8" applyFont="1" applyFill="1" applyBorder="1" applyAlignment="1">
      <alignment horizontal="left" vertical="center"/>
    </xf>
    <xf numFmtId="0" fontId="51" fillId="71" borderId="47" xfId="8" applyFont="1" applyFill="1" applyBorder="1" applyAlignment="1">
      <alignment vertical="center"/>
    </xf>
    <xf numFmtId="0" fontId="49" fillId="54" borderId="64" xfId="8" applyFont="1" applyFill="1" applyBorder="1" applyAlignment="1">
      <alignment horizontal="left" vertical="center"/>
    </xf>
    <xf numFmtId="0" fontId="46" fillId="55" borderId="139" xfId="9" applyFont="1" applyFill="1" applyBorder="1" applyAlignment="1">
      <alignment horizontal="left" vertical="center"/>
    </xf>
    <xf numFmtId="0" fontId="8" fillId="56" borderId="139" xfId="8" applyFont="1" applyFill="1" applyBorder="1" applyAlignment="1">
      <alignment horizontal="left" vertical="center"/>
    </xf>
    <xf numFmtId="0" fontId="85" fillId="49" borderId="44" xfId="8" applyFont="1" applyFill="1" applyBorder="1" applyAlignment="1">
      <alignment vertical="center" wrapText="1"/>
    </xf>
    <xf numFmtId="0" fontId="50" fillId="63" borderId="139" xfId="8" applyFont="1" applyFill="1" applyBorder="1" applyAlignment="1">
      <alignment horizontal="left" vertical="center"/>
    </xf>
    <xf numFmtId="0" fontId="50" fillId="58" borderId="69" xfId="8" applyFont="1" applyFill="1" applyBorder="1" applyAlignment="1">
      <alignment horizontal="left" vertical="center"/>
    </xf>
    <xf numFmtId="0" fontId="128" fillId="62" borderId="141" xfId="8" applyFont="1" applyFill="1" applyBorder="1" applyAlignment="1">
      <alignment horizontal="center" vertical="center"/>
    </xf>
    <xf numFmtId="0" fontId="128" fillId="62" borderId="142" xfId="8" applyFont="1" applyFill="1" applyBorder="1" applyAlignment="1">
      <alignment horizontal="center" vertical="center"/>
    </xf>
    <xf numFmtId="0" fontId="129" fillId="43" borderId="141" xfId="8" applyFont="1" applyFill="1" applyBorder="1" applyAlignment="1">
      <alignment horizontal="center" vertical="center"/>
    </xf>
    <xf numFmtId="0" fontId="129" fillId="43" borderId="143" xfId="8" applyFont="1" applyFill="1" applyBorder="1" applyAlignment="1">
      <alignment horizontal="center" vertical="center"/>
    </xf>
    <xf numFmtId="0" fontId="128" fillId="62" borderId="151" xfId="8" applyFont="1" applyFill="1" applyBorder="1" applyAlignment="1">
      <alignment horizontal="center" vertical="center"/>
    </xf>
    <xf numFmtId="0" fontId="128" fillId="62" borderId="152" xfId="8" applyFont="1" applyFill="1" applyBorder="1" applyAlignment="1">
      <alignment horizontal="center" vertical="center"/>
    </xf>
    <xf numFmtId="0" fontId="129" fillId="43" borderId="151" xfId="8" applyFont="1" applyFill="1" applyBorder="1" applyAlignment="1">
      <alignment horizontal="center" vertical="center"/>
    </xf>
    <xf numFmtId="0" fontId="129" fillId="43" borderId="153" xfId="8" applyFont="1" applyFill="1" applyBorder="1" applyAlignment="1">
      <alignment horizontal="center" vertical="center"/>
    </xf>
    <xf numFmtId="0" fontId="126" fillId="43" borderId="151" xfId="8" applyFont="1" applyFill="1" applyBorder="1" applyAlignment="1">
      <alignment horizontal="center" vertical="center" wrapText="1"/>
    </xf>
    <xf numFmtId="0" fontId="126" fillId="43" borderId="153" xfId="8" applyFont="1" applyFill="1" applyBorder="1" applyAlignment="1">
      <alignment horizontal="center" vertical="center" wrapText="1"/>
    </xf>
    <xf numFmtId="0" fontId="129" fillId="43" borderId="155" xfId="8" applyFont="1" applyFill="1" applyBorder="1" applyAlignment="1">
      <alignment horizontal="center" vertical="center"/>
    </xf>
    <xf numFmtId="0" fontId="129" fillId="43" borderId="157" xfId="8" applyFont="1" applyFill="1" applyBorder="1" applyAlignment="1">
      <alignment horizontal="center" vertical="center"/>
    </xf>
    <xf numFmtId="0" fontId="130" fillId="43" borderId="20" xfId="8" applyFont="1" applyFill="1" applyBorder="1" applyAlignment="1">
      <alignment horizontal="center" vertical="center"/>
    </xf>
    <xf numFmtId="0" fontId="130" fillId="43" borderId="154" xfId="8" applyFont="1" applyFill="1" applyBorder="1" applyAlignment="1">
      <alignment horizontal="center" vertical="center"/>
    </xf>
    <xf numFmtId="0" fontId="128" fillId="62" borderId="20" xfId="8" applyFont="1" applyFill="1" applyBorder="1" applyAlignment="1">
      <alignment horizontal="center" vertical="center"/>
    </xf>
    <xf numFmtId="0" fontId="128" fillId="62" borderId="5" xfId="8" applyFont="1" applyFill="1" applyBorder="1" applyAlignment="1">
      <alignment horizontal="center" vertical="center"/>
    </xf>
    <xf numFmtId="0" fontId="128" fillId="62" borderId="155" xfId="8" applyFont="1" applyFill="1" applyBorder="1" applyAlignment="1">
      <alignment horizontal="center" vertical="center"/>
    </xf>
    <xf numFmtId="0" fontId="128" fillId="62" borderId="156" xfId="8" applyFont="1" applyFill="1" applyBorder="1" applyAlignment="1">
      <alignment horizontal="center" vertical="center"/>
    </xf>
    <xf numFmtId="0" fontId="131" fillId="62" borderId="151" xfId="8" applyFont="1" applyFill="1" applyBorder="1" applyAlignment="1">
      <alignment horizontal="center" vertical="center" wrapText="1"/>
    </xf>
    <xf numFmtId="0" fontId="131" fillId="62" borderId="152" xfId="8" applyFont="1" applyFill="1" applyBorder="1" applyAlignment="1">
      <alignment horizontal="center" vertical="center" wrapText="1"/>
    </xf>
    <xf numFmtId="0" fontId="132" fillId="43" borderId="141" xfId="8" applyFont="1" applyFill="1" applyBorder="1" applyAlignment="1">
      <alignment horizontal="center" vertical="center"/>
    </xf>
    <xf numFmtId="0" fontId="132" fillId="43" borderId="143" xfId="8" applyFont="1" applyFill="1" applyBorder="1" applyAlignment="1">
      <alignment horizontal="center" vertical="center"/>
    </xf>
    <xf numFmtId="0" fontId="19" fillId="24" borderId="0" xfId="0" applyFont="1" applyFill="1" applyAlignment="1">
      <alignment vertical="center" wrapText="1"/>
    </xf>
    <xf numFmtId="0" fontId="19" fillId="24" borderId="0" xfId="0" applyFont="1" applyFill="1" applyAlignment="1">
      <alignment horizontal="center" vertical="center" wrapText="1"/>
    </xf>
    <xf numFmtId="0" fontId="52" fillId="66" borderId="44" xfId="11" applyFill="1" applyBorder="1" applyAlignment="1">
      <alignment vertical="center"/>
    </xf>
    <xf numFmtId="0" fontId="52" fillId="66" borderId="4" xfId="11" applyFill="1" applyBorder="1" applyAlignment="1">
      <alignment vertical="center"/>
    </xf>
    <xf numFmtId="0" fontId="52" fillId="66" borderId="2" xfId="11" applyFill="1" applyAlignment="1">
      <alignment vertical="center"/>
    </xf>
    <xf numFmtId="0" fontId="52" fillId="66" borderId="6" xfId="11" applyFill="1" applyBorder="1" applyAlignment="1">
      <alignment vertical="center"/>
    </xf>
    <xf numFmtId="0" fontId="19" fillId="90" borderId="0" xfId="0" applyFont="1" applyFill="1" applyAlignment="1">
      <alignment horizontal="center" vertical="center" wrapText="1"/>
    </xf>
    <xf numFmtId="0" fontId="19" fillId="90" borderId="6" xfId="0" applyFont="1" applyFill="1" applyBorder="1" applyAlignment="1">
      <alignment horizontal="center" vertical="center" wrapText="1"/>
    </xf>
    <xf numFmtId="0" fontId="31" fillId="91" borderId="23" xfId="0" applyFont="1" applyFill="1" applyBorder="1" applyAlignment="1">
      <alignment horizontal="center" vertical="center" wrapText="1"/>
    </xf>
    <xf numFmtId="0" fontId="31" fillId="91" borderId="6" xfId="0" applyFont="1" applyFill="1" applyBorder="1" applyAlignment="1">
      <alignment horizontal="center" vertical="center" wrapText="1"/>
    </xf>
    <xf numFmtId="0" fontId="133" fillId="62" borderId="2" xfId="8" applyFont="1" applyFill="1" applyAlignment="1">
      <alignment horizontal="center" vertical="center"/>
    </xf>
    <xf numFmtId="0" fontId="19" fillId="24" borderId="5" xfId="0" applyFont="1" applyFill="1" applyBorder="1" applyAlignment="1">
      <alignment horizontal="center" vertical="center" wrapText="1"/>
    </xf>
    <xf numFmtId="0" fontId="19" fillId="24" borderId="15" xfId="0" applyFont="1" applyFill="1" applyBorder="1" applyAlignment="1">
      <alignment horizontal="center" vertical="center" wrapText="1"/>
    </xf>
    <xf numFmtId="0" fontId="19" fillId="24" borderId="14" xfId="0" applyFont="1" applyFill="1" applyBorder="1" applyAlignment="1">
      <alignment horizontal="left" vertical="center" wrapText="1"/>
    </xf>
    <xf numFmtId="0" fontId="19" fillId="24" borderId="14" xfId="0" applyFont="1" applyFill="1" applyBorder="1" applyAlignment="1">
      <alignment horizontal="center" vertical="center" wrapText="1"/>
    </xf>
    <xf numFmtId="2" fontId="68" fillId="48" borderId="54" xfId="0" applyNumberFormat="1" applyFont="1" applyFill="1" applyBorder="1" applyAlignment="1">
      <alignment horizontal="center" vertical="center" wrapText="1"/>
    </xf>
    <xf numFmtId="1" fontId="133" fillId="62" borderId="27" xfId="0" applyNumberFormat="1" applyFont="1" applyFill="1" applyBorder="1" applyAlignment="1">
      <alignment horizontal="center" vertical="center" wrapText="1"/>
    </xf>
    <xf numFmtId="1" fontId="68" fillId="48" borderId="24" xfId="0" applyNumberFormat="1" applyFont="1" applyFill="1" applyBorder="1" applyAlignment="1">
      <alignment horizontal="center" vertical="center" wrapText="1"/>
    </xf>
    <xf numFmtId="2" fontId="68" fillId="48" borderId="53" xfId="0" applyNumberFormat="1" applyFont="1" applyFill="1" applyBorder="1" applyAlignment="1">
      <alignment horizontal="center" vertical="center" wrapText="1"/>
    </xf>
    <xf numFmtId="2" fontId="68" fillId="48" borderId="19" xfId="0" applyNumberFormat="1" applyFont="1" applyFill="1" applyBorder="1" applyAlignment="1">
      <alignment horizontal="center" vertical="center" wrapText="1"/>
    </xf>
    <xf numFmtId="1" fontId="68" fillId="48" borderId="0" xfId="0" applyNumberFormat="1" applyFont="1" applyFill="1" applyAlignment="1">
      <alignment horizontal="center" vertical="center" wrapText="1"/>
    </xf>
    <xf numFmtId="1" fontId="133" fillId="62" borderId="33" xfId="0" applyNumberFormat="1" applyFont="1" applyFill="1" applyBorder="1" applyAlignment="1">
      <alignment horizontal="center" vertical="center" wrapText="1"/>
    </xf>
    <xf numFmtId="0" fontId="46" fillId="48" borderId="43" xfId="0" applyFont="1" applyFill="1" applyBorder="1" applyAlignment="1">
      <alignment horizontal="right" vertical="center" wrapText="1"/>
    </xf>
    <xf numFmtId="1" fontId="133" fillId="62" borderId="42" xfId="0" applyNumberFormat="1" applyFont="1" applyFill="1" applyBorder="1" applyAlignment="1">
      <alignment horizontal="center" vertical="center" wrapText="1"/>
    </xf>
    <xf numFmtId="1" fontId="133" fillId="62" borderId="51" xfId="0" applyNumberFormat="1" applyFont="1" applyFill="1" applyBorder="1" applyAlignment="1">
      <alignment horizontal="center" vertical="center" wrapText="1"/>
    </xf>
    <xf numFmtId="1" fontId="134" fillId="62" borderId="51" xfId="0" applyNumberFormat="1" applyFont="1" applyFill="1" applyBorder="1" applyAlignment="1">
      <alignment horizontal="center" vertical="center" wrapText="1"/>
    </xf>
    <xf numFmtId="0" fontId="8" fillId="68" borderId="43" xfId="0" applyFont="1" applyFill="1" applyBorder="1" applyAlignment="1">
      <alignment horizontal="right" vertical="center" wrapText="1"/>
    </xf>
    <xf numFmtId="1" fontId="57" fillId="68" borderId="24" xfId="0" applyNumberFormat="1" applyFont="1" applyFill="1" applyBorder="1" applyAlignment="1">
      <alignment horizontal="center" vertical="center" wrapText="1"/>
    </xf>
    <xf numFmtId="2" fontId="57" fillId="68" borderId="6" xfId="0" applyNumberFormat="1" applyFont="1" applyFill="1" applyBorder="1" applyAlignment="1">
      <alignment horizontal="center" vertical="center" wrapText="1"/>
    </xf>
    <xf numFmtId="1" fontId="57" fillId="68" borderId="0" xfId="0" applyNumberFormat="1" applyFont="1" applyFill="1" applyAlignment="1">
      <alignment horizontal="center" vertical="center" wrapText="1"/>
    </xf>
    <xf numFmtId="1" fontId="57" fillId="68" borderId="5" xfId="0" applyNumberFormat="1" applyFont="1" applyFill="1" applyBorder="1" applyAlignment="1">
      <alignment horizontal="center" vertical="center" wrapText="1"/>
    </xf>
    <xf numFmtId="2" fontId="57" fillId="68" borderId="19" xfId="0" applyNumberFormat="1" applyFont="1" applyFill="1" applyBorder="1" applyAlignment="1">
      <alignment horizontal="center" vertical="center" wrapText="1"/>
    </xf>
    <xf numFmtId="1" fontId="133" fillId="62" borderId="22" xfId="0" applyNumberFormat="1" applyFont="1" applyFill="1" applyBorder="1" applyAlignment="1">
      <alignment horizontal="center" vertical="center" wrapText="1"/>
    </xf>
    <xf numFmtId="2" fontId="55" fillId="68" borderId="52" xfId="0" applyNumberFormat="1" applyFont="1" applyFill="1" applyBorder="1" applyAlignment="1">
      <alignment horizontal="right" vertical="center" wrapText="1"/>
    </xf>
    <xf numFmtId="0" fontId="52" fillId="66" borderId="5" xfId="11" applyFill="1" applyBorder="1" applyAlignment="1">
      <alignment vertical="center"/>
    </xf>
    <xf numFmtId="0" fontId="8" fillId="68" borderId="25" xfId="0" applyFont="1" applyFill="1" applyBorder="1" applyAlignment="1">
      <alignment horizontal="right" vertical="center" wrapText="1"/>
    </xf>
    <xf numFmtId="0" fontId="52" fillId="66" borderId="7" xfId="11" applyFill="1" applyBorder="1" applyAlignment="1">
      <alignment vertical="center"/>
    </xf>
    <xf numFmtId="0" fontId="52" fillId="66" borderId="14" xfId="11" applyFill="1" applyBorder="1" applyAlignment="1">
      <alignment vertical="center"/>
    </xf>
    <xf numFmtId="0" fontId="52" fillId="66" borderId="8" xfId="11" applyFill="1" applyBorder="1" applyAlignment="1">
      <alignment vertical="center"/>
    </xf>
    <xf numFmtId="0" fontId="50" fillId="41" borderId="49" xfId="0" applyFont="1" applyFill="1" applyBorder="1" applyAlignment="1">
      <alignment horizontal="right" vertical="center" wrapText="1"/>
    </xf>
    <xf numFmtId="2" fontId="57" fillId="41" borderId="19" xfId="0" applyNumberFormat="1" applyFont="1" applyFill="1" applyBorder="1" applyAlignment="1">
      <alignment horizontal="center" vertical="center" wrapText="1"/>
    </xf>
    <xf numFmtId="2" fontId="55" fillId="41" borderId="50" xfId="0" applyNumberFormat="1" applyFont="1" applyFill="1" applyBorder="1" applyAlignment="1">
      <alignment horizontal="right" vertical="center" wrapText="1"/>
    </xf>
    <xf numFmtId="0" fontId="66" fillId="49" borderId="49" xfId="0" applyFont="1" applyFill="1" applyBorder="1" applyAlignment="1">
      <alignment horizontal="right" vertical="center" wrapText="1"/>
    </xf>
    <xf numFmtId="1" fontId="64" fillId="49" borderId="48" xfId="0" applyNumberFormat="1" applyFont="1" applyFill="1" applyBorder="1" applyAlignment="1">
      <alignment horizontal="center" vertical="center" wrapText="1"/>
    </xf>
    <xf numFmtId="2" fontId="64" fillId="49" borderId="31" xfId="0" applyNumberFormat="1" applyFont="1" applyFill="1" applyBorder="1" applyAlignment="1">
      <alignment horizontal="center" vertical="center" wrapText="1"/>
    </xf>
    <xf numFmtId="1" fontId="64" fillId="49" borderId="47" xfId="0" applyNumberFormat="1" applyFont="1" applyFill="1" applyBorder="1" applyAlignment="1">
      <alignment horizontal="center" vertical="center" wrapText="1"/>
    </xf>
    <xf numFmtId="1" fontId="64" fillId="49" borderId="30" xfId="0" applyNumberFormat="1" applyFont="1" applyFill="1" applyBorder="1" applyAlignment="1">
      <alignment horizontal="center" vertical="center" wrapText="1"/>
    </xf>
    <xf numFmtId="2" fontId="64" fillId="49" borderId="28" xfId="0" applyNumberFormat="1" applyFont="1" applyFill="1" applyBorder="1" applyAlignment="1">
      <alignment horizontal="center" vertical="center" wrapText="1"/>
    </xf>
    <xf numFmtId="1" fontId="64" fillId="49" borderId="29" xfId="0" applyNumberFormat="1" applyFont="1" applyFill="1" applyBorder="1" applyAlignment="1">
      <alignment horizontal="center" vertical="center" wrapText="1"/>
    </xf>
    <xf numFmtId="0" fontId="65" fillId="49" borderId="41" xfId="0" applyFont="1" applyFill="1" applyBorder="1" applyAlignment="1">
      <alignment horizontal="right" vertical="center" wrapText="1"/>
    </xf>
    <xf numFmtId="1" fontId="64" fillId="49" borderId="24" xfId="0" applyNumberFormat="1" applyFont="1" applyFill="1" applyBorder="1" applyAlignment="1">
      <alignment horizontal="center" vertical="center" wrapText="1"/>
    </xf>
    <xf numFmtId="2" fontId="64" fillId="49" borderId="6" xfId="0" applyNumberFormat="1" applyFont="1" applyFill="1" applyBorder="1" applyAlignment="1">
      <alignment horizontal="center" vertical="center" wrapText="1"/>
    </xf>
    <xf numFmtId="1" fontId="64" fillId="49" borderId="0" xfId="0" applyNumberFormat="1" applyFont="1" applyFill="1" applyAlignment="1">
      <alignment horizontal="center" vertical="center" wrapText="1"/>
    </xf>
    <xf numFmtId="1" fontId="64" fillId="49" borderId="5" xfId="0" applyNumberFormat="1" applyFont="1" applyFill="1" applyBorder="1" applyAlignment="1">
      <alignment horizontal="center" vertical="center" wrapText="1"/>
    </xf>
    <xf numFmtId="2" fontId="64" fillId="49" borderId="19" xfId="0" applyNumberFormat="1" applyFont="1" applyFill="1" applyBorder="1" applyAlignment="1">
      <alignment horizontal="center" vertical="center" wrapText="1"/>
    </xf>
    <xf numFmtId="1" fontId="64" fillId="49" borderId="18" xfId="0" applyNumberFormat="1" applyFont="1" applyFill="1" applyBorder="1" applyAlignment="1">
      <alignment horizontal="center" vertical="center" wrapText="1"/>
    </xf>
    <xf numFmtId="0" fontId="61" fillId="49" borderId="40" xfId="0" applyFont="1" applyFill="1" applyBorder="1" applyAlignment="1">
      <alignment horizontal="right" vertical="center" wrapText="1"/>
    </xf>
    <xf numFmtId="1" fontId="64" fillId="49" borderId="39" xfId="0" applyNumberFormat="1" applyFont="1" applyFill="1" applyBorder="1" applyAlignment="1">
      <alignment horizontal="center" vertical="center" wrapText="1"/>
    </xf>
    <xf numFmtId="2" fontId="64" fillId="49" borderId="37" xfId="0" applyNumberFormat="1" applyFont="1" applyFill="1" applyBorder="1" applyAlignment="1">
      <alignment horizontal="center" vertical="center" wrapText="1"/>
    </xf>
    <xf numFmtId="1" fontId="64" fillId="49" borderId="38" xfId="0" applyNumberFormat="1" applyFont="1" applyFill="1" applyBorder="1" applyAlignment="1">
      <alignment horizontal="center" vertical="center" wrapText="1"/>
    </xf>
    <xf numFmtId="1" fontId="64" fillId="49" borderId="36" xfId="0" applyNumberFormat="1" applyFont="1" applyFill="1" applyBorder="1" applyAlignment="1">
      <alignment horizontal="center" vertical="center" wrapText="1"/>
    </xf>
    <xf numFmtId="2" fontId="64" fillId="49" borderId="34" xfId="0" applyNumberFormat="1" applyFont="1" applyFill="1" applyBorder="1" applyAlignment="1">
      <alignment horizontal="center" vertical="center" wrapText="1"/>
    </xf>
    <xf numFmtId="1" fontId="64" fillId="49" borderId="35" xfId="0" applyNumberFormat="1" applyFont="1" applyFill="1" applyBorder="1" applyAlignment="1">
      <alignment horizontal="center" vertical="center" wrapText="1"/>
    </xf>
    <xf numFmtId="0" fontId="31" fillId="49" borderId="43" xfId="0" applyFont="1" applyFill="1" applyBorder="1" applyAlignment="1">
      <alignment horizontal="right" vertical="center" wrapText="1"/>
    </xf>
    <xf numFmtId="1" fontId="57" fillId="49" borderId="24" xfId="0" applyNumberFormat="1" applyFont="1" applyFill="1" applyBorder="1" applyAlignment="1">
      <alignment horizontal="center" vertical="center" wrapText="1"/>
    </xf>
    <xf numFmtId="2" fontId="57" fillId="49" borderId="6" xfId="0" applyNumberFormat="1" applyFont="1" applyFill="1" applyBorder="1" applyAlignment="1">
      <alignment horizontal="center" vertical="center" wrapText="1"/>
    </xf>
    <xf numFmtId="1" fontId="57" fillId="49" borderId="0" xfId="0" applyNumberFormat="1" applyFont="1" applyFill="1" applyAlignment="1">
      <alignment horizontal="center" vertical="center" wrapText="1"/>
    </xf>
    <xf numFmtId="1" fontId="57" fillId="49" borderId="5" xfId="0" applyNumberFormat="1" applyFont="1" applyFill="1" applyBorder="1" applyAlignment="1">
      <alignment horizontal="center" vertical="center" wrapText="1"/>
    </xf>
    <xf numFmtId="2" fontId="57" fillId="49" borderId="19" xfId="0" applyNumberFormat="1" applyFont="1" applyFill="1" applyBorder="1" applyAlignment="1">
      <alignment horizontal="center" vertical="center" wrapText="1"/>
    </xf>
    <xf numFmtId="0" fontId="63" fillId="58" borderId="32" xfId="0" applyFont="1" applyFill="1" applyBorder="1" applyAlignment="1">
      <alignment vertical="center" wrapText="1"/>
    </xf>
    <xf numFmtId="1" fontId="60" fillId="58" borderId="24" xfId="0" applyNumberFormat="1" applyFont="1" applyFill="1" applyBorder="1" applyAlignment="1">
      <alignment horizontal="center" vertical="center" wrapText="1"/>
    </xf>
    <xf numFmtId="2" fontId="60" fillId="58" borderId="6" xfId="0" applyNumberFormat="1" applyFont="1" applyFill="1" applyBorder="1" applyAlignment="1">
      <alignment horizontal="center" vertical="center" wrapText="1"/>
    </xf>
    <xf numFmtId="1" fontId="60" fillId="58" borderId="0" xfId="0" applyNumberFormat="1" applyFont="1" applyFill="1" applyAlignment="1">
      <alignment horizontal="center" vertical="center" wrapText="1"/>
    </xf>
    <xf numFmtId="1" fontId="60" fillId="58" borderId="5" xfId="0" applyNumberFormat="1" applyFont="1" applyFill="1" applyBorder="1" applyAlignment="1">
      <alignment horizontal="center" vertical="center" wrapText="1"/>
    </xf>
    <xf numFmtId="2" fontId="60" fillId="58" borderId="19" xfId="0" applyNumberFormat="1" applyFont="1" applyFill="1" applyBorder="1" applyAlignment="1">
      <alignment horizontal="center" vertical="center" wrapText="1"/>
    </xf>
    <xf numFmtId="1" fontId="60" fillId="58" borderId="18" xfId="0" applyNumberFormat="1" applyFont="1" applyFill="1" applyBorder="1" applyAlignment="1">
      <alignment horizontal="center" vertical="center" wrapText="1"/>
    </xf>
    <xf numFmtId="0" fontId="63" fillId="58" borderId="41" xfId="0" applyFont="1" applyFill="1" applyBorder="1" applyAlignment="1">
      <alignment vertical="center" wrapText="1"/>
    </xf>
    <xf numFmtId="0" fontId="62" fillId="65" borderId="41" xfId="0" applyFont="1" applyFill="1" applyBorder="1" applyAlignment="1">
      <alignment horizontal="right" vertical="center" wrapText="1"/>
    </xf>
    <xf numFmtId="0" fontId="61" fillId="65" borderId="41" xfId="0" applyFont="1" applyFill="1" applyBorder="1" applyAlignment="1">
      <alignment horizontal="right" vertical="center" wrapText="1"/>
    </xf>
    <xf numFmtId="0" fontId="31" fillId="65" borderId="40" xfId="0" applyFont="1" applyFill="1" applyBorder="1" applyAlignment="1">
      <alignment horizontal="right" vertical="center" wrapText="1"/>
    </xf>
    <xf numFmtId="1" fontId="60" fillId="58" borderId="39" xfId="0" applyNumberFormat="1" applyFont="1" applyFill="1" applyBorder="1" applyAlignment="1">
      <alignment horizontal="center" vertical="center" wrapText="1"/>
    </xf>
    <xf numFmtId="2" fontId="60" fillId="58" borderId="37" xfId="0" applyNumberFormat="1" applyFont="1" applyFill="1" applyBorder="1" applyAlignment="1">
      <alignment horizontal="center" vertical="center" wrapText="1"/>
    </xf>
    <xf numFmtId="1" fontId="60" fillId="58" borderId="38" xfId="0" applyNumberFormat="1" applyFont="1" applyFill="1" applyBorder="1" applyAlignment="1">
      <alignment horizontal="center" vertical="center" wrapText="1"/>
    </xf>
    <xf numFmtId="1" fontId="60" fillId="58" borderId="36" xfId="0" applyNumberFormat="1" applyFont="1" applyFill="1" applyBorder="1" applyAlignment="1">
      <alignment horizontal="center" vertical="center" wrapText="1"/>
    </xf>
    <xf numFmtId="2" fontId="60" fillId="58" borderId="34" xfId="0" applyNumberFormat="1" applyFont="1" applyFill="1" applyBorder="1" applyAlignment="1">
      <alignment horizontal="center" vertical="center" wrapText="1"/>
    </xf>
    <xf numFmtId="1" fontId="60" fillId="58" borderId="35" xfId="0" applyNumberFormat="1" applyFont="1" applyFill="1" applyBorder="1" applyAlignment="1">
      <alignment horizontal="center" vertical="center" wrapText="1"/>
    </xf>
    <xf numFmtId="0" fontId="58" fillId="58" borderId="32" xfId="0" applyFont="1" applyFill="1" applyBorder="1" applyAlignment="1">
      <alignment vertical="center" wrapText="1"/>
    </xf>
    <xf numFmtId="1" fontId="57" fillId="58" borderId="24" xfId="0" applyNumberFormat="1" applyFont="1" applyFill="1" applyBorder="1" applyAlignment="1">
      <alignment horizontal="center" vertical="center" wrapText="1"/>
    </xf>
    <xf numFmtId="2" fontId="57" fillId="58" borderId="6" xfId="0" applyNumberFormat="1" applyFont="1" applyFill="1" applyBorder="1" applyAlignment="1">
      <alignment horizontal="center" vertical="center" wrapText="1"/>
    </xf>
    <xf numFmtId="1" fontId="57" fillId="58" borderId="0" xfId="0" applyNumberFormat="1" applyFont="1" applyFill="1" applyAlignment="1">
      <alignment horizontal="center" vertical="center" wrapText="1"/>
    </xf>
    <xf numFmtId="1" fontId="57" fillId="58" borderId="5" xfId="0" applyNumberFormat="1" applyFont="1" applyFill="1" applyBorder="1" applyAlignment="1">
      <alignment horizontal="center" vertical="center" wrapText="1"/>
    </xf>
    <xf numFmtId="2" fontId="57" fillId="58" borderId="19" xfId="0" applyNumberFormat="1" applyFont="1" applyFill="1" applyBorder="1" applyAlignment="1">
      <alignment horizontal="center" vertical="center" wrapText="1"/>
    </xf>
    <xf numFmtId="1" fontId="57" fillId="58" borderId="18" xfId="0" applyNumberFormat="1" applyFont="1" applyFill="1" applyBorder="1" applyAlignment="1">
      <alignment horizontal="center" vertical="center" wrapText="1"/>
    </xf>
    <xf numFmtId="0" fontId="58" fillId="58" borderId="26" xfId="0" applyFont="1" applyFill="1" applyBorder="1" applyAlignment="1">
      <alignment vertical="center" wrapText="1"/>
    </xf>
    <xf numFmtId="165" fontId="57" fillId="58" borderId="6" xfId="0" applyNumberFormat="1" applyFont="1" applyFill="1" applyBorder="1" applyAlignment="1">
      <alignment horizontal="center" vertical="center" wrapText="1"/>
    </xf>
    <xf numFmtId="165" fontId="57" fillId="58" borderId="19" xfId="0" applyNumberFormat="1" applyFont="1" applyFill="1" applyBorder="1" applyAlignment="1">
      <alignment horizontal="center" vertical="center" wrapText="1"/>
    </xf>
    <xf numFmtId="164" fontId="24" fillId="43" borderId="22" xfId="0" applyNumberFormat="1" applyFont="1" applyFill="1" applyBorder="1" applyAlignment="1">
      <alignment horizontal="center" vertical="center" wrapText="1"/>
    </xf>
    <xf numFmtId="0" fontId="133" fillId="62" borderId="22" xfId="0" applyFont="1" applyFill="1" applyBorder="1" applyAlignment="1">
      <alignment horizontal="center" vertical="center" wrapText="1"/>
    </xf>
    <xf numFmtId="0" fontId="50" fillId="58" borderId="25" xfId="0" applyFont="1" applyFill="1" applyBorder="1" applyAlignment="1">
      <alignment horizontal="right" vertical="center"/>
    </xf>
    <xf numFmtId="166" fontId="57" fillId="63" borderId="24" xfId="0" applyNumberFormat="1" applyFont="1" applyFill="1" applyBorder="1" applyAlignment="1">
      <alignment horizontal="left" vertical="center"/>
    </xf>
    <xf numFmtId="165" fontId="55" fillId="63" borderId="6" xfId="0" applyNumberFormat="1" applyFont="1" applyFill="1" applyBorder="1" applyAlignment="1">
      <alignment horizontal="left" vertical="center"/>
    </xf>
    <xf numFmtId="166" fontId="57" fillId="63" borderId="0" xfId="0" applyNumberFormat="1" applyFont="1" applyFill="1" applyAlignment="1">
      <alignment horizontal="center" vertical="center" wrapText="1"/>
    </xf>
    <xf numFmtId="165" fontId="55" fillId="63" borderId="6" xfId="0" applyNumberFormat="1" applyFont="1" applyFill="1" applyBorder="1" applyAlignment="1">
      <alignment horizontal="left" vertical="center" wrapText="1"/>
    </xf>
    <xf numFmtId="165" fontId="55" fillId="63" borderId="2" xfId="0" applyNumberFormat="1" applyFont="1" applyFill="1" applyBorder="1" applyAlignment="1">
      <alignment horizontal="left" vertical="center" wrapText="1"/>
    </xf>
    <xf numFmtId="166" fontId="57" fillId="63" borderId="47" xfId="0" applyNumberFormat="1" applyFont="1" applyFill="1" applyBorder="1" applyAlignment="1">
      <alignment horizontal="center" vertical="center" wrapText="1"/>
    </xf>
    <xf numFmtId="166" fontId="57" fillId="63" borderId="31" xfId="0" applyNumberFormat="1" applyFont="1" applyFill="1" applyBorder="1" applyAlignment="1">
      <alignment horizontal="center" vertical="center" wrapText="1"/>
    </xf>
    <xf numFmtId="0" fontId="50" fillId="54" borderId="5" xfId="0" applyFont="1" applyFill="1" applyBorder="1" applyAlignment="1">
      <alignment horizontal="right" vertical="center"/>
    </xf>
    <xf numFmtId="0" fontId="56" fillId="60" borderId="0" xfId="0" applyFont="1" applyFill="1" applyAlignment="1">
      <alignment vertical="center"/>
    </xf>
    <xf numFmtId="0" fontId="56" fillId="60" borderId="2" xfId="0" applyFont="1" applyFill="1" applyBorder="1" applyAlignment="1">
      <alignment vertical="center"/>
    </xf>
    <xf numFmtId="0" fontId="56" fillId="60" borderId="6" xfId="0" applyFont="1" applyFill="1" applyBorder="1" applyAlignment="1">
      <alignment vertical="center"/>
    </xf>
    <xf numFmtId="0" fontId="31" fillId="22" borderId="5" xfId="0" applyFont="1" applyFill="1" applyBorder="1" applyAlignment="1">
      <alignment vertical="center" wrapText="1"/>
    </xf>
    <xf numFmtId="0" fontId="8" fillId="22" borderId="0" xfId="0" applyFont="1" applyFill="1" applyAlignment="1">
      <alignment vertical="center"/>
    </xf>
    <xf numFmtId="0" fontId="8" fillId="22" borderId="0" xfId="0" applyFont="1" applyFill="1" applyAlignment="1">
      <alignment vertical="center" wrapText="1"/>
    </xf>
    <xf numFmtId="0" fontId="8" fillId="22" borderId="2" xfId="0" applyFont="1" applyFill="1" applyBorder="1" applyAlignment="1">
      <alignment vertical="center"/>
    </xf>
    <xf numFmtId="0" fontId="46" fillId="22" borderId="2" xfId="0" applyFont="1" applyFill="1" applyBorder="1" applyAlignment="1">
      <alignment vertical="center"/>
    </xf>
    <xf numFmtId="0" fontId="52" fillId="22" borderId="2" xfId="11" applyFill="1" applyAlignment="1">
      <alignment vertical="center"/>
    </xf>
    <xf numFmtId="0" fontId="52" fillId="22" borderId="6" xfId="11" applyFill="1" applyBorder="1" applyAlignment="1">
      <alignment vertical="center"/>
    </xf>
    <xf numFmtId="0" fontId="46" fillId="22" borderId="2" xfId="8" applyFont="1" applyFill="1" applyAlignment="1">
      <alignment vertical="center"/>
    </xf>
    <xf numFmtId="0" fontId="46" fillId="22" borderId="14" xfId="8" applyFont="1" applyFill="1" applyBorder="1" applyAlignment="1">
      <alignment vertical="center"/>
    </xf>
    <xf numFmtId="0" fontId="52" fillId="22" borderId="14" xfId="11" applyFill="1" applyBorder="1" applyAlignment="1">
      <alignment vertical="center"/>
    </xf>
    <xf numFmtId="0" fontId="52" fillId="22" borderId="8" xfId="11" applyFill="1" applyBorder="1" applyAlignment="1">
      <alignment vertical="center"/>
    </xf>
    <xf numFmtId="0" fontId="135" fillId="0" borderId="0" xfId="0" applyFont="1" applyAlignment="1">
      <alignment horizontal="center" vertical="center"/>
    </xf>
    <xf numFmtId="0" fontId="136" fillId="0" borderId="0" xfId="0" applyFont="1" applyAlignment="1">
      <alignment horizontal="center" vertical="center" wrapText="1"/>
    </xf>
    <xf numFmtId="0" fontId="8" fillId="52" borderId="61" xfId="8" applyFont="1" applyFill="1" applyBorder="1" applyAlignment="1">
      <alignment horizontal="right" vertical="center"/>
    </xf>
    <xf numFmtId="2" fontId="55" fillId="53" borderId="103" xfId="18" applyNumberFormat="1" applyFont="1" applyFill="1" applyBorder="1" applyAlignment="1">
      <alignment horizontal="right" vertical="center"/>
    </xf>
    <xf numFmtId="0" fontId="49" fillId="92" borderId="87" xfId="8" applyFont="1" applyFill="1" applyBorder="1" applyAlignment="1">
      <alignment horizontal="right" vertical="center"/>
    </xf>
    <xf numFmtId="0" fontId="46" fillId="93" borderId="61" xfId="8" applyFont="1" applyFill="1" applyBorder="1" applyAlignment="1">
      <alignment horizontal="right" vertical="center"/>
    </xf>
    <xf numFmtId="0" fontId="50" fillId="94" borderId="61" xfId="8" applyFont="1" applyFill="1" applyBorder="1" applyAlignment="1">
      <alignment horizontal="right" vertical="center" wrapText="1"/>
    </xf>
    <xf numFmtId="0" fontId="6" fillId="0" borderId="2" xfId="5" applyFont="1" applyAlignment="1">
      <alignment vertical="center"/>
    </xf>
    <xf numFmtId="0" fontId="28" fillId="0" borderId="2" xfId="5" applyFont="1" applyAlignment="1">
      <alignment vertical="center"/>
    </xf>
    <xf numFmtId="0" fontId="27" fillId="8" borderId="2" xfId="5" applyFont="1" applyFill="1" applyAlignment="1">
      <alignment horizontal="center" vertical="center" wrapText="1"/>
    </xf>
    <xf numFmtId="0" fontId="28" fillId="0" borderId="2" xfId="5" applyFont="1" applyAlignment="1">
      <alignment vertical="center" wrapText="1"/>
    </xf>
    <xf numFmtId="0" fontId="27" fillId="3" borderId="2" xfId="5" applyFont="1" applyFill="1" applyAlignment="1">
      <alignment horizontal="center" vertical="center" wrapText="1"/>
    </xf>
    <xf numFmtId="0" fontId="31" fillId="97" borderId="2" xfId="5" applyFont="1" applyFill="1" applyAlignment="1">
      <alignment horizontal="center" vertical="center"/>
    </xf>
    <xf numFmtId="0" fontId="31" fillId="97" borderId="2" xfId="5" applyFont="1" applyFill="1" applyAlignment="1">
      <alignment vertical="center" wrapText="1"/>
    </xf>
    <xf numFmtId="0" fontId="31" fillId="97" borderId="2" xfId="5" applyFont="1" applyFill="1" applyAlignment="1">
      <alignment horizontal="center" vertical="center" wrapText="1"/>
    </xf>
    <xf numFmtId="0" fontId="78" fillId="30" borderId="2" xfId="5" applyFont="1" applyFill="1" applyAlignment="1">
      <alignment vertical="center" wrapText="1"/>
    </xf>
    <xf numFmtId="0" fontId="78" fillId="0" borderId="2" xfId="5" applyFont="1" applyAlignment="1">
      <alignment vertical="center" wrapText="1"/>
    </xf>
    <xf numFmtId="0" fontId="119" fillId="0" borderId="2" xfId="5" applyFont="1" applyAlignment="1">
      <alignment vertical="center" wrapText="1"/>
    </xf>
    <xf numFmtId="0" fontId="24" fillId="47" borderId="158" xfId="5" applyFont="1" applyFill="1" applyBorder="1" applyAlignment="1">
      <alignment horizontal="center" vertical="center"/>
    </xf>
    <xf numFmtId="0" fontId="27" fillId="100" borderId="2" xfId="5" applyFont="1" applyFill="1" applyAlignment="1">
      <alignment horizontal="center" vertical="center" wrapText="1"/>
    </xf>
    <xf numFmtId="0" fontId="78" fillId="30" borderId="2" xfId="5" applyFont="1" applyFill="1" applyAlignment="1">
      <alignment horizontal="left" vertical="center" wrapText="1"/>
    </xf>
    <xf numFmtId="0" fontId="119" fillId="30" borderId="2" xfId="5" applyFont="1" applyFill="1" applyAlignment="1">
      <alignment horizontal="right" vertical="center" wrapText="1"/>
    </xf>
    <xf numFmtId="0" fontId="40" fillId="47" borderId="86" xfId="5" applyFont="1" applyFill="1" applyBorder="1" applyAlignment="1">
      <alignment horizontal="center" vertical="center" wrapText="1"/>
    </xf>
    <xf numFmtId="0" fontId="48" fillId="47" borderId="86" xfId="5" applyFont="1" applyFill="1" applyBorder="1" applyAlignment="1">
      <alignment vertical="center" wrapText="1"/>
    </xf>
    <xf numFmtId="0" fontId="24" fillId="47" borderId="159" xfId="5" applyFont="1" applyFill="1" applyBorder="1" applyAlignment="1">
      <alignment horizontal="center" vertical="center"/>
    </xf>
    <xf numFmtId="0" fontId="119" fillId="97" borderId="2" xfId="5" applyFont="1" applyFill="1" applyAlignment="1">
      <alignment vertical="center" wrapText="1"/>
    </xf>
    <xf numFmtId="0" fontId="40" fillId="47" borderId="158" xfId="5" applyFont="1" applyFill="1" applyBorder="1" applyAlignment="1">
      <alignment horizontal="center" vertical="center"/>
    </xf>
    <xf numFmtId="0" fontId="40" fillId="0" borderId="2" xfId="5" applyFont="1" applyAlignment="1">
      <alignment vertical="center" wrapText="1"/>
    </xf>
    <xf numFmtId="0" fontId="40" fillId="30" borderId="2" xfId="5" applyFont="1" applyFill="1" applyAlignment="1">
      <alignment vertical="center" wrapText="1"/>
    </xf>
    <xf numFmtId="0" fontId="40" fillId="97" borderId="2" xfId="5" applyFont="1" applyFill="1" applyAlignment="1">
      <alignment horizontal="center" vertical="center" wrapText="1"/>
    </xf>
    <xf numFmtId="0" fontId="24" fillId="47" borderId="161" xfId="5" applyFont="1" applyFill="1" applyBorder="1" applyAlignment="1">
      <alignment horizontal="center" vertical="center"/>
    </xf>
    <xf numFmtId="0" fontId="40" fillId="47" borderId="162" xfId="5" applyFont="1" applyFill="1" applyBorder="1" applyAlignment="1">
      <alignment horizontal="center" vertical="center"/>
    </xf>
    <xf numFmtId="0" fontId="137" fillId="47" borderId="163" xfId="5" applyFont="1" applyFill="1" applyBorder="1" applyAlignment="1">
      <alignment horizontal="center" vertical="center"/>
    </xf>
    <xf numFmtId="0" fontId="138" fillId="30" borderId="2" xfId="5" applyFont="1" applyFill="1" applyAlignment="1">
      <alignment vertical="center" wrapText="1"/>
    </xf>
    <xf numFmtId="0" fontId="88" fillId="30" borderId="2" xfId="5" applyFont="1" applyFill="1" applyAlignment="1">
      <alignment vertical="center" wrapText="1"/>
    </xf>
    <xf numFmtId="0" fontId="48" fillId="30" borderId="2" xfId="5" applyFont="1" applyFill="1" applyAlignment="1">
      <alignment vertical="center" wrapText="1"/>
    </xf>
    <xf numFmtId="0" fontId="40" fillId="30" borderId="2" xfId="5" applyFont="1" applyFill="1" applyAlignment="1">
      <alignment horizontal="right" vertical="center" wrapText="1"/>
    </xf>
    <xf numFmtId="0" fontId="28" fillId="30" borderId="2" xfId="5" applyFont="1" applyFill="1" applyAlignment="1">
      <alignment vertical="center" wrapText="1"/>
    </xf>
    <xf numFmtId="0" fontId="6" fillId="95" borderId="2" xfId="5" applyFont="1" applyFill="1" applyAlignment="1">
      <alignment vertical="center"/>
    </xf>
    <xf numFmtId="0" fontId="19" fillId="0" borderId="2" xfId="5" applyFont="1" applyAlignment="1">
      <alignment vertical="center"/>
    </xf>
    <xf numFmtId="0" fontId="22" fillId="0" borderId="2" xfId="5" applyFont="1" applyAlignment="1">
      <alignment vertical="center"/>
    </xf>
    <xf numFmtId="0" fontId="8" fillId="2" borderId="2" xfId="5" applyFont="1" applyFill="1" applyAlignment="1">
      <alignment vertical="center"/>
    </xf>
    <xf numFmtId="0" fontId="18" fillId="2" borderId="2" xfId="5" applyFont="1" applyFill="1" applyAlignment="1">
      <alignment horizontal="right" vertical="center"/>
    </xf>
    <xf numFmtId="0" fontId="18" fillId="2" borderId="2" xfId="5" applyFont="1" applyFill="1" applyAlignment="1">
      <alignment vertical="center"/>
    </xf>
    <xf numFmtId="0" fontId="8" fillId="11" borderId="2" xfId="5" applyFont="1" applyFill="1" applyAlignment="1">
      <alignment vertical="center"/>
    </xf>
    <xf numFmtId="0" fontId="18" fillId="11" borderId="2" xfId="5" applyFont="1" applyFill="1" applyAlignment="1">
      <alignment horizontal="right" vertical="center"/>
    </xf>
    <xf numFmtId="0" fontId="18" fillId="11" borderId="2" xfId="5" applyFont="1" applyFill="1" applyAlignment="1">
      <alignment vertical="center"/>
    </xf>
    <xf numFmtId="0" fontId="143" fillId="104" borderId="2" xfId="20" applyFont="1" applyFill="1" applyAlignment="1">
      <alignment horizontal="left" vertical="center"/>
    </xf>
    <xf numFmtId="0" fontId="143" fillId="30" borderId="2" xfId="20" applyFont="1" applyFill="1" applyAlignment="1">
      <alignment horizontal="left" vertical="center"/>
    </xf>
    <xf numFmtId="0" fontId="143" fillId="106" borderId="2" xfId="20" applyFont="1" applyFill="1" applyAlignment="1">
      <alignment horizontal="left" vertical="center"/>
    </xf>
    <xf numFmtId="1" fontId="78" fillId="30" borderId="167" xfId="5" applyNumberFormat="1" applyFont="1" applyFill="1" applyBorder="1" applyAlignment="1">
      <alignment horizontal="center" vertical="center" wrapText="1"/>
    </xf>
    <xf numFmtId="1" fontId="28" fillId="30" borderId="167" xfId="5" applyNumberFormat="1" applyFont="1" applyFill="1" applyBorder="1" applyAlignment="1">
      <alignment horizontal="center" vertical="center" wrapText="1"/>
    </xf>
    <xf numFmtId="1" fontId="88" fillId="30" borderId="167" xfId="5" applyNumberFormat="1" applyFont="1" applyFill="1" applyBorder="1" applyAlignment="1">
      <alignment horizontal="left" vertical="center" wrapText="1"/>
    </xf>
    <xf numFmtId="1" fontId="111" fillId="30" borderId="167" xfId="5" applyNumberFormat="1" applyFont="1" applyFill="1" applyBorder="1" applyAlignment="1">
      <alignment horizontal="left" vertical="center" wrapText="1"/>
    </xf>
    <xf numFmtId="1" fontId="138" fillId="30" borderId="167" xfId="5" applyNumberFormat="1" applyFont="1" applyFill="1" applyBorder="1" applyAlignment="1">
      <alignment horizontal="left" vertical="center" wrapText="1"/>
    </xf>
    <xf numFmtId="0" fontId="27" fillId="109" borderId="2" xfId="5" applyFont="1" applyFill="1" applyAlignment="1">
      <alignment horizontal="center" vertical="center" wrapText="1"/>
    </xf>
    <xf numFmtId="0" fontId="19" fillId="3" borderId="2" xfId="5" applyFont="1" applyFill="1" applyAlignment="1">
      <alignment horizontal="center" vertical="center" wrapText="1"/>
    </xf>
    <xf numFmtId="0" fontId="47" fillId="49" borderId="62" xfId="5" applyFont="1" applyFill="1" applyBorder="1" applyAlignment="1">
      <alignment horizontal="right" vertical="center" wrapText="1"/>
    </xf>
    <xf numFmtId="1" fontId="78" fillId="43" borderId="167" xfId="5" applyNumberFormat="1" applyFont="1" applyFill="1" applyBorder="1" applyAlignment="1">
      <alignment horizontal="center" vertical="center" wrapText="1"/>
    </xf>
    <xf numFmtId="1" fontId="31" fillId="0" borderId="2" xfId="5" applyNumberFormat="1" applyFont="1" applyAlignment="1">
      <alignment horizontal="center" vertical="center" wrapText="1"/>
    </xf>
    <xf numFmtId="0" fontId="31" fillId="0" borderId="2" xfId="5" applyFont="1" applyAlignment="1">
      <alignment vertical="center" wrapText="1"/>
    </xf>
    <xf numFmtId="0" fontId="46" fillId="48" borderId="62" xfId="5" applyFont="1" applyFill="1" applyBorder="1" applyAlignment="1">
      <alignment horizontal="right" vertical="center" wrapText="1"/>
    </xf>
    <xf numFmtId="0" fontId="8" fillId="68" borderId="61" xfId="5" applyFont="1" applyFill="1" applyBorder="1" applyAlignment="1">
      <alignment horizontal="right" vertical="center" wrapText="1"/>
    </xf>
    <xf numFmtId="0" fontId="31" fillId="49" borderId="61" xfId="5" applyFont="1" applyFill="1" applyBorder="1" applyAlignment="1">
      <alignment horizontal="right" vertical="center" wrapText="1"/>
    </xf>
    <xf numFmtId="0" fontId="8" fillId="71" borderId="2" xfId="5" applyFont="1" applyFill="1" applyAlignment="1">
      <alignment horizontal="right" vertical="center" wrapText="1"/>
    </xf>
    <xf numFmtId="0" fontId="8" fillId="73" borderId="2" xfId="5" applyFont="1" applyFill="1" applyAlignment="1">
      <alignment horizontal="right" vertical="center" wrapText="1"/>
    </xf>
    <xf numFmtId="0" fontId="8" fillId="68" borderId="2" xfId="5" applyFont="1" applyFill="1" applyAlignment="1">
      <alignment horizontal="right" vertical="center" wrapText="1"/>
    </xf>
    <xf numFmtId="0" fontId="8" fillId="41" borderId="2" xfId="5" applyFont="1" applyFill="1" applyAlignment="1">
      <alignment horizontal="right" vertical="center" wrapText="1"/>
    </xf>
    <xf numFmtId="0" fontId="49" fillId="54" borderId="87" xfId="5" applyFont="1" applyFill="1" applyBorder="1" applyAlignment="1">
      <alignment horizontal="right" vertical="center" wrapText="1"/>
    </xf>
    <xf numFmtId="0" fontId="46" fillId="55" borderId="61" xfId="5" applyFont="1" applyFill="1" applyBorder="1" applyAlignment="1">
      <alignment horizontal="right" vertical="center" wrapText="1"/>
    </xf>
    <xf numFmtId="0" fontId="8" fillId="56" borderId="61" xfId="5" applyFont="1" applyFill="1" applyBorder="1" applyAlignment="1">
      <alignment horizontal="right" vertical="center" wrapText="1"/>
    </xf>
    <xf numFmtId="0" fontId="46" fillId="48" borderId="61" xfId="5" applyFont="1" applyFill="1" applyBorder="1" applyAlignment="1">
      <alignment horizontal="right" vertical="center" wrapText="1"/>
    </xf>
    <xf numFmtId="0" fontId="70" fillId="2" borderId="2" xfId="5" applyFont="1" applyFill="1" applyAlignment="1">
      <alignment vertical="center"/>
    </xf>
    <xf numFmtId="0" fontId="70" fillId="11" borderId="2" xfId="5" applyFont="1" applyFill="1" applyAlignment="1">
      <alignment vertical="center"/>
    </xf>
    <xf numFmtId="0" fontId="141" fillId="30" borderId="2" xfId="8" applyFont="1" applyFill="1" applyAlignment="1">
      <alignment horizontal="center" vertical="center" wrapText="1"/>
    </xf>
    <xf numFmtId="0" fontId="19" fillId="109" borderId="2" xfId="5" applyFont="1" applyFill="1" applyAlignment="1">
      <alignment horizontal="center" vertical="center" wrapText="1"/>
    </xf>
    <xf numFmtId="1" fontId="78" fillId="43" borderId="2" xfId="5" applyNumberFormat="1" applyFont="1" applyFill="1" applyAlignment="1">
      <alignment horizontal="center" vertical="center" wrapText="1"/>
    </xf>
    <xf numFmtId="1" fontId="8" fillId="0" borderId="2" xfId="5" applyNumberFormat="1" applyFont="1" applyAlignment="1">
      <alignment vertical="center" wrapText="1"/>
    </xf>
    <xf numFmtId="0" fontId="31" fillId="73" borderId="2" xfId="5" applyFont="1" applyFill="1" applyAlignment="1">
      <alignment vertical="center" wrapText="1"/>
    </xf>
    <xf numFmtId="0" fontId="8" fillId="73" borderId="2" xfId="5" applyFont="1" applyFill="1" applyAlignment="1">
      <alignment vertical="center" wrapText="1"/>
    </xf>
    <xf numFmtId="0" fontId="8" fillId="71" borderId="2" xfId="5" applyFont="1" applyFill="1" applyAlignment="1">
      <alignment vertical="center" wrapText="1"/>
    </xf>
    <xf numFmtId="0" fontId="8" fillId="49" borderId="2" xfId="5" applyFont="1" applyFill="1" applyAlignment="1">
      <alignment vertical="center" wrapText="1"/>
    </xf>
    <xf numFmtId="0" fontId="147" fillId="49" borderId="2" xfId="5" applyFont="1" applyFill="1" applyAlignment="1">
      <alignment vertical="center" wrapText="1"/>
    </xf>
    <xf numFmtId="0" fontId="8" fillId="63" borderId="2" xfId="5" applyFont="1" applyFill="1" applyAlignment="1">
      <alignment vertical="center" wrapText="1"/>
    </xf>
    <xf numFmtId="0" fontId="19" fillId="100" borderId="2" xfId="5" applyFont="1" applyFill="1" applyAlignment="1">
      <alignment horizontal="center" vertical="center" wrapText="1"/>
    </xf>
    <xf numFmtId="0" fontId="8" fillId="100" borderId="2" xfId="5" applyFont="1" applyFill="1" applyAlignment="1">
      <alignment vertical="center"/>
    </xf>
    <xf numFmtId="0" fontId="139" fillId="110" borderId="2" xfId="21" applyFont="1" applyFill="1" applyAlignment="1">
      <alignment horizontal="center" vertical="center"/>
    </xf>
    <xf numFmtId="0" fontId="148" fillId="111" borderId="88" xfId="22" applyFont="1" applyFill="1" applyBorder="1" applyAlignment="1">
      <alignment horizontal="center" vertical="center"/>
    </xf>
    <xf numFmtId="0" fontId="4" fillId="0" borderId="2" xfId="23"/>
    <xf numFmtId="0" fontId="4" fillId="0" borderId="2" xfId="24"/>
    <xf numFmtId="0" fontId="4" fillId="30" borderId="2" xfId="23" applyFill="1"/>
    <xf numFmtId="0" fontId="150" fillId="52" borderId="2" xfId="23" applyFont="1" applyFill="1" applyAlignment="1">
      <alignment horizontal="center" vertical="center"/>
    </xf>
    <xf numFmtId="0" fontId="148" fillId="112" borderId="88" xfId="22" applyFont="1" applyFill="1" applyBorder="1" applyAlignment="1">
      <alignment horizontal="center" vertical="center"/>
    </xf>
    <xf numFmtId="0" fontId="151" fillId="30" borderId="2" xfId="16" applyFont="1" applyFill="1" applyAlignment="1">
      <alignment horizontal="center" vertical="center"/>
    </xf>
    <xf numFmtId="0" fontId="152" fillId="32" borderId="2" xfId="21" applyFont="1" applyFill="1" applyAlignment="1">
      <alignment horizontal="center" vertical="center"/>
    </xf>
    <xf numFmtId="0" fontId="153" fillId="112" borderId="2" xfId="21" applyFont="1" applyFill="1" applyAlignment="1">
      <alignment horizontal="left" vertical="center"/>
    </xf>
    <xf numFmtId="0" fontId="152" fillId="105" borderId="2" xfId="21" quotePrefix="1" applyFont="1" applyFill="1" applyAlignment="1">
      <alignment horizontal="center" vertical="center"/>
    </xf>
    <xf numFmtId="0" fontId="149" fillId="30" borderId="2" xfId="23" applyFont="1" applyFill="1" applyAlignment="1">
      <alignment horizontal="left" vertical="center" wrapText="1"/>
    </xf>
    <xf numFmtId="0" fontId="149" fillId="0" borderId="2" xfId="23" applyFont="1" applyAlignment="1">
      <alignment horizontal="left" vertical="center" wrapText="1"/>
    </xf>
    <xf numFmtId="0" fontId="154" fillId="112" borderId="2" xfId="21" applyFont="1" applyFill="1" applyAlignment="1">
      <alignment horizontal="right" vertical="center"/>
    </xf>
    <xf numFmtId="0" fontId="154" fillId="112" borderId="2" xfId="21" applyFont="1" applyFill="1" applyAlignment="1">
      <alignment horizontal="left" vertical="center"/>
    </xf>
    <xf numFmtId="0" fontId="4" fillId="30" borderId="2" xfId="24" applyFill="1"/>
    <xf numFmtId="0" fontId="4" fillId="0" borderId="2" xfId="23" applyAlignment="1">
      <alignment vertical="center"/>
    </xf>
    <xf numFmtId="0" fontId="4" fillId="30" borderId="2" xfId="23" applyFill="1" applyAlignment="1">
      <alignment vertical="center"/>
    </xf>
    <xf numFmtId="0" fontId="155" fillId="30" borderId="2" xfId="21" applyFont="1" applyFill="1" applyAlignment="1" applyProtection="1">
      <alignment horizontal="left" vertical="center"/>
      <protection locked="0"/>
    </xf>
    <xf numFmtId="0" fontId="156" fillId="30" borderId="2" xfId="21" applyFont="1" applyFill="1" applyAlignment="1">
      <alignment vertical="center" wrapText="1"/>
    </xf>
    <xf numFmtId="0" fontId="157" fillId="0" borderId="2" xfId="23" applyFont="1" applyAlignment="1">
      <alignment vertical="center"/>
    </xf>
    <xf numFmtId="0" fontId="155" fillId="30" borderId="2" xfId="21" applyFont="1" applyFill="1" applyAlignment="1">
      <alignment horizontal="left"/>
    </xf>
    <xf numFmtId="0" fontId="140" fillId="0" borderId="2" xfId="23" applyFont="1"/>
    <xf numFmtId="0" fontId="158" fillId="0" borderId="2" xfId="21" applyFont="1" applyAlignment="1">
      <alignment horizontal="center" vertical="center"/>
    </xf>
    <xf numFmtId="0" fontId="152" fillId="32" borderId="2" xfId="23" applyFont="1" applyFill="1" applyAlignment="1">
      <alignment horizontal="center" vertical="center"/>
    </xf>
    <xf numFmtId="0" fontId="4" fillId="112" borderId="2" xfId="23" applyFill="1" applyAlignment="1">
      <alignment vertical="center"/>
    </xf>
    <xf numFmtId="0" fontId="140" fillId="112" borderId="2" xfId="23" applyFont="1" applyFill="1" applyAlignment="1">
      <alignment horizontal="center" vertical="center"/>
    </xf>
    <xf numFmtId="0" fontId="156" fillId="97" borderId="2" xfId="21" applyFont="1" applyFill="1" applyAlignment="1">
      <alignment vertical="center" wrapText="1"/>
    </xf>
    <xf numFmtId="0" fontId="149" fillId="30" borderId="2" xfId="23" applyFont="1" applyFill="1" applyAlignment="1">
      <alignment wrapText="1"/>
    </xf>
    <xf numFmtId="0" fontId="149" fillId="0" borderId="2" xfId="23" applyFont="1" applyAlignment="1">
      <alignment wrapText="1"/>
    </xf>
    <xf numFmtId="0" fontId="148" fillId="111" borderId="2" xfId="22" applyFont="1" applyFill="1" applyAlignment="1">
      <alignment horizontal="center" vertical="center"/>
    </xf>
    <xf numFmtId="0" fontId="158" fillId="0" borderId="2" xfId="21" applyFont="1" applyAlignment="1">
      <alignment vertical="center"/>
    </xf>
    <xf numFmtId="0" fontId="162" fillId="0" borderId="2" xfId="23" applyFont="1"/>
    <xf numFmtId="0" fontId="163" fillId="0" borderId="2" xfId="21" applyFont="1" applyAlignment="1">
      <alignment horizontal="center" vertical="center"/>
    </xf>
    <xf numFmtId="0" fontId="164" fillId="30" borderId="2" xfId="23" applyFont="1" applyFill="1" applyAlignment="1">
      <alignment vertical="center"/>
    </xf>
    <xf numFmtId="0" fontId="52" fillId="0" borderId="2" xfId="25" applyFont="1" applyAlignment="1">
      <alignment vertical="center"/>
    </xf>
    <xf numFmtId="0" fontId="52" fillId="0" borderId="2" xfId="25" applyFont="1" applyAlignment="1">
      <alignment vertical="center" wrapText="1"/>
    </xf>
    <xf numFmtId="0" fontId="97" fillId="130" borderId="2" xfId="25" applyFont="1" applyFill="1" applyAlignment="1">
      <alignment horizontal="right" vertical="center" wrapText="1"/>
    </xf>
    <xf numFmtId="0" fontId="19" fillId="95" borderId="2" xfId="25" applyFont="1" applyFill="1" applyAlignment="1">
      <alignment horizontal="center" vertical="center" wrapText="1"/>
    </xf>
    <xf numFmtId="0" fontId="97" fillId="11" borderId="2" xfId="25" applyFont="1" applyFill="1" applyAlignment="1">
      <alignment horizontal="center" vertical="center" wrapText="1"/>
    </xf>
    <xf numFmtId="0" fontId="19" fillId="131" borderId="2" xfId="25" applyFont="1" applyFill="1" applyAlignment="1">
      <alignment horizontal="center" vertical="center" wrapText="1"/>
    </xf>
    <xf numFmtId="0" fontId="27" fillId="131" borderId="2" xfId="25" applyFont="1" applyFill="1" applyAlignment="1">
      <alignment horizontal="center" vertical="center" wrapText="1"/>
    </xf>
    <xf numFmtId="0" fontId="52" fillId="30" borderId="2" xfId="25" applyFont="1" applyFill="1" applyAlignment="1">
      <alignment vertical="center"/>
    </xf>
    <xf numFmtId="0" fontId="52" fillId="30" borderId="2" xfId="25" applyFont="1" applyFill="1" applyAlignment="1">
      <alignment horizontal="left" vertical="center"/>
    </xf>
    <xf numFmtId="0" fontId="97" fillId="30" borderId="2" xfId="25" applyFont="1" applyFill="1" applyAlignment="1">
      <alignment vertical="center" wrapText="1"/>
    </xf>
    <xf numFmtId="0" fontId="97" fillId="30" borderId="2" xfId="25" applyFont="1" applyFill="1" applyAlignment="1">
      <alignment vertical="center"/>
    </xf>
    <xf numFmtId="0" fontId="97" fillId="25" borderId="2" xfId="25" applyFont="1" applyFill="1" applyAlignment="1">
      <alignment horizontal="center" vertical="center" wrapText="1"/>
    </xf>
    <xf numFmtId="0" fontId="10" fillId="132" borderId="167" xfId="25" applyFont="1" applyFill="1" applyBorder="1" applyAlignment="1">
      <alignment horizontal="center" vertical="center" wrapText="1"/>
    </xf>
    <xf numFmtId="0" fontId="24" fillId="132" borderId="167" xfId="25" applyFont="1" applyFill="1" applyBorder="1" applyAlignment="1">
      <alignment horizontal="center" vertical="center" wrapText="1"/>
    </xf>
    <xf numFmtId="0" fontId="27" fillId="133" borderId="2" xfId="25" applyFont="1" applyFill="1" applyAlignment="1">
      <alignment horizontal="left" vertical="center"/>
    </xf>
    <xf numFmtId="0" fontId="27" fillId="133" borderId="2" xfId="25" applyFont="1" applyFill="1" applyAlignment="1">
      <alignment horizontal="center" vertical="center" wrapText="1"/>
    </xf>
    <xf numFmtId="0" fontId="27" fillId="133" borderId="2" xfId="25" applyFont="1" applyFill="1" applyAlignment="1">
      <alignment horizontal="center" vertical="center"/>
    </xf>
    <xf numFmtId="0" fontId="19" fillId="95" borderId="2" xfId="25" applyFont="1" applyFill="1" applyAlignment="1">
      <alignment horizontal="left" vertical="center" wrapText="1"/>
    </xf>
    <xf numFmtId="0" fontId="27" fillId="95" borderId="2" xfId="25" applyFont="1" applyFill="1" applyAlignment="1">
      <alignment horizontal="left" vertical="center"/>
    </xf>
    <xf numFmtId="0" fontId="19" fillId="95" borderId="2" xfId="25" applyFont="1" applyFill="1" applyAlignment="1">
      <alignment horizontal="left" vertical="center"/>
    </xf>
    <xf numFmtId="0" fontId="27" fillId="134" borderId="2" xfId="25" applyFont="1" applyFill="1" applyAlignment="1">
      <alignment horizontal="center" vertical="center" wrapText="1"/>
    </xf>
    <xf numFmtId="0" fontId="27" fillId="134" borderId="2" xfId="25" applyFont="1" applyFill="1" applyAlignment="1">
      <alignment horizontal="left" vertical="center" wrapText="1"/>
    </xf>
    <xf numFmtId="0" fontId="52" fillId="0" borderId="2" xfId="25" applyFont="1" applyAlignment="1">
      <alignment horizontal="left" vertical="center"/>
    </xf>
    <xf numFmtId="0" fontId="27" fillId="95" borderId="2" xfId="25" applyFont="1" applyFill="1" applyAlignment="1">
      <alignment horizontal="center" vertical="center" wrapText="1"/>
    </xf>
    <xf numFmtId="0" fontId="52" fillId="30" borderId="2" xfId="25" applyFont="1" applyFill="1" applyAlignment="1">
      <alignment vertical="center" wrapText="1"/>
    </xf>
    <xf numFmtId="0" fontId="40" fillId="30" borderId="2" xfId="25" applyFont="1" applyFill="1" applyAlignment="1">
      <alignment vertical="center" wrapText="1"/>
    </xf>
    <xf numFmtId="0" fontId="40" fillId="30" borderId="2" xfId="25" applyFont="1" applyFill="1" applyAlignment="1">
      <alignment vertical="center"/>
    </xf>
    <xf numFmtId="0" fontId="97" fillId="0" borderId="2" xfId="25" applyFont="1" applyAlignment="1">
      <alignment vertical="center"/>
    </xf>
    <xf numFmtId="0" fontId="40" fillId="90" borderId="2" xfId="25" applyFont="1" applyFill="1" applyAlignment="1">
      <alignment horizontal="centerContinuous" vertical="center" wrapText="1"/>
    </xf>
    <xf numFmtId="0" fontId="16" fillId="90" borderId="2" xfId="25" applyFont="1" applyFill="1" applyAlignment="1">
      <alignment horizontal="centerContinuous" vertical="center" wrapText="1"/>
    </xf>
    <xf numFmtId="0" fontId="31" fillId="81" borderId="160" xfId="8" applyFont="1" applyFill="1" applyBorder="1" applyAlignment="1">
      <alignment horizontal="centerContinuous" vertical="center" wrapText="1"/>
    </xf>
    <xf numFmtId="0" fontId="16" fillId="96" borderId="85" xfId="8" applyFont="1" applyFill="1" applyBorder="1" applyAlignment="1">
      <alignment horizontal="centerContinuous" vertical="center" wrapText="1"/>
    </xf>
    <xf numFmtId="0" fontId="16" fillId="99" borderId="2" xfId="25" applyFont="1" applyFill="1" applyAlignment="1">
      <alignment horizontal="centerContinuous" vertical="center" wrapText="1"/>
    </xf>
    <xf numFmtId="0" fontId="31" fillId="93" borderId="160" xfId="8" applyFont="1" applyFill="1" applyBorder="1" applyAlignment="1">
      <alignment horizontal="centerContinuous" vertical="center" wrapText="1"/>
    </xf>
    <xf numFmtId="0" fontId="40" fillId="135" borderId="2" xfId="25" applyFont="1" applyFill="1" applyAlignment="1">
      <alignment horizontal="centerContinuous" vertical="center" wrapText="1"/>
    </xf>
    <xf numFmtId="0" fontId="16" fillId="135" borderId="2" xfId="25" applyFont="1" applyFill="1" applyAlignment="1">
      <alignment horizontal="centerContinuous" vertical="center" wrapText="1"/>
    </xf>
    <xf numFmtId="0" fontId="16" fillId="136" borderId="85" xfId="8" applyFont="1" applyFill="1" applyBorder="1" applyAlignment="1">
      <alignment horizontal="centerContinuous" vertical="center" wrapText="1"/>
    </xf>
    <xf numFmtId="0" fontId="40" fillId="98" borderId="2" xfId="25" applyFont="1" applyFill="1" applyAlignment="1">
      <alignment horizontal="centerContinuous" vertical="center" wrapText="1"/>
    </xf>
    <xf numFmtId="0" fontId="16" fillId="48" borderId="160" xfId="8" applyFont="1" applyFill="1" applyBorder="1" applyAlignment="1">
      <alignment horizontal="centerContinuous" vertical="center" wrapText="1"/>
    </xf>
    <xf numFmtId="0" fontId="16" fillId="48" borderId="85" xfId="8" applyFont="1" applyFill="1" applyBorder="1" applyAlignment="1">
      <alignment horizontal="centerContinuous" vertical="center" wrapText="1"/>
    </xf>
    <xf numFmtId="0" fontId="31" fillId="105" borderId="160" xfId="8" applyFont="1" applyFill="1" applyBorder="1" applyAlignment="1">
      <alignment horizontal="centerContinuous" vertical="center" wrapText="1"/>
    </xf>
    <xf numFmtId="0" fontId="31" fillId="105" borderId="85" xfId="8" applyFont="1" applyFill="1" applyBorder="1" applyAlignment="1">
      <alignment horizontal="centerContinuous" vertical="center" wrapText="1"/>
    </xf>
    <xf numFmtId="0" fontId="16" fillId="96" borderId="160" xfId="8" applyFont="1" applyFill="1" applyBorder="1" applyAlignment="1">
      <alignment horizontal="centerContinuous" vertical="center" wrapText="1"/>
    </xf>
    <xf numFmtId="0" fontId="31" fillId="32" borderId="160" xfId="8" applyFont="1" applyFill="1" applyBorder="1" applyAlignment="1">
      <alignment horizontal="centerContinuous" vertical="center" wrapText="1"/>
    </xf>
    <xf numFmtId="0" fontId="31" fillId="32" borderId="85" xfId="8" applyFont="1" applyFill="1" applyBorder="1" applyAlignment="1">
      <alignment horizontal="centerContinuous" vertical="center" wrapText="1"/>
    </xf>
    <xf numFmtId="0" fontId="16" fillId="116" borderId="160" xfId="8" applyFont="1" applyFill="1" applyBorder="1" applyAlignment="1">
      <alignment horizontal="centerContinuous" vertical="center" wrapText="1"/>
    </xf>
    <xf numFmtId="0" fontId="16" fillId="105" borderId="85" xfId="8" applyFont="1" applyFill="1" applyBorder="1" applyAlignment="1">
      <alignment horizontal="centerContinuous" vertical="center" wrapText="1"/>
    </xf>
    <xf numFmtId="0" fontId="31" fillId="116" borderId="160" xfId="8" applyFont="1" applyFill="1" applyBorder="1" applyAlignment="1">
      <alignment horizontal="centerContinuous" vertical="center" wrapText="1"/>
    </xf>
    <xf numFmtId="0" fontId="16" fillId="116" borderId="85" xfId="8" applyFont="1" applyFill="1" applyBorder="1" applyAlignment="1">
      <alignment horizontal="centerContinuous" vertical="center" wrapText="1"/>
    </xf>
    <xf numFmtId="0" fontId="16" fillId="93" borderId="85" xfId="8" applyFont="1" applyFill="1" applyBorder="1" applyAlignment="1">
      <alignment horizontal="centerContinuous" vertical="center" wrapText="1"/>
    </xf>
    <xf numFmtId="0" fontId="97" fillId="137" borderId="2" xfId="25" applyFont="1" applyFill="1" applyAlignment="1">
      <alignment horizontal="right" vertical="center" wrapText="1"/>
    </xf>
    <xf numFmtId="0" fontId="18" fillId="137" borderId="2" xfId="25" applyFont="1" applyFill="1" applyAlignment="1">
      <alignment horizontal="right" vertical="center" wrapText="1"/>
    </xf>
    <xf numFmtId="0" fontId="97" fillId="130" borderId="2" xfId="25" applyFont="1" applyFill="1" applyAlignment="1">
      <alignment vertical="center" wrapText="1"/>
    </xf>
    <xf numFmtId="0" fontId="97" fillId="0" borderId="2" xfId="25" applyFont="1" applyAlignment="1">
      <alignment vertical="center" wrapText="1"/>
    </xf>
    <xf numFmtId="0" fontId="97" fillId="130" borderId="2" xfId="25" applyFont="1" applyFill="1" applyAlignment="1">
      <alignment horizontal="center" vertical="center" wrapText="1"/>
    </xf>
    <xf numFmtId="0" fontId="52" fillId="138" borderId="2" xfId="25" applyFont="1" applyFill="1" applyAlignment="1">
      <alignment vertical="center"/>
    </xf>
    <xf numFmtId="0" fontId="52" fillId="102" borderId="2" xfId="25" applyFont="1" applyFill="1" applyAlignment="1">
      <alignment vertical="center"/>
    </xf>
    <xf numFmtId="0" fontId="12" fillId="102" borderId="2" xfId="25" applyFont="1" applyFill="1" applyAlignment="1">
      <alignment vertical="center"/>
    </xf>
    <xf numFmtId="0" fontId="52" fillId="139" borderId="2" xfId="25" applyFont="1" applyFill="1" applyAlignment="1">
      <alignment vertical="center"/>
    </xf>
    <xf numFmtId="0" fontId="165" fillId="139" borderId="2" xfId="25" applyFont="1" applyFill="1" applyAlignment="1">
      <alignment vertical="center"/>
    </xf>
    <xf numFmtId="0" fontId="21" fillId="95" borderId="2" xfId="25" applyFont="1" applyFill="1" applyAlignment="1">
      <alignment vertical="center"/>
    </xf>
    <xf numFmtId="0" fontId="8" fillId="30" borderId="2" xfId="5" applyFont="1" applyFill="1" applyAlignment="1">
      <alignment horizontal="left" vertical="center" wrapText="1"/>
    </xf>
    <xf numFmtId="0" fontId="8" fillId="0" borderId="2" xfId="5" applyFont="1" applyAlignment="1">
      <alignment horizontal="left" vertical="center" wrapText="1"/>
    </xf>
    <xf numFmtId="0" fontId="16" fillId="140" borderId="2" xfId="5" applyFont="1" applyFill="1" applyAlignment="1">
      <alignment horizontal="center" vertical="center"/>
    </xf>
    <xf numFmtId="0" fontId="31" fillId="0" borderId="2" xfId="5" applyFont="1" applyAlignment="1">
      <alignment horizontal="center" vertical="center"/>
    </xf>
    <xf numFmtId="0" fontId="16" fillId="141" borderId="2" xfId="5" applyFont="1" applyFill="1" applyAlignment="1">
      <alignment horizontal="center" vertical="center"/>
    </xf>
    <xf numFmtId="0" fontId="10" fillId="142" borderId="2" xfId="5" applyFont="1" applyFill="1" applyAlignment="1">
      <alignment horizontal="center" vertical="center" wrapText="1"/>
    </xf>
    <xf numFmtId="0" fontId="10" fillId="142" borderId="2" xfId="5" applyFont="1" applyFill="1" applyAlignment="1">
      <alignment horizontal="left" vertical="center" wrapText="1"/>
    </xf>
    <xf numFmtId="0" fontId="10" fillId="143" borderId="2" xfId="5" applyFont="1" applyFill="1" applyAlignment="1">
      <alignment horizontal="center" vertical="center" wrapText="1"/>
    </xf>
    <xf numFmtId="0" fontId="10" fillId="143" borderId="2" xfId="5" applyFont="1" applyFill="1" applyAlignment="1">
      <alignment horizontal="left" vertical="center" wrapText="1"/>
    </xf>
    <xf numFmtId="0" fontId="10" fillId="144" borderId="2" xfId="5" applyFont="1" applyFill="1" applyAlignment="1">
      <alignment horizontal="center" vertical="center" wrapText="1"/>
    </xf>
    <xf numFmtId="0" fontId="10" fillId="144" borderId="2" xfId="5" applyFont="1" applyFill="1" applyAlignment="1">
      <alignment horizontal="left" vertical="center" wrapText="1"/>
    </xf>
    <xf numFmtId="0" fontId="10" fillId="145" borderId="2" xfId="5" applyFont="1" applyFill="1" applyAlignment="1">
      <alignment horizontal="center" vertical="center" wrapText="1"/>
    </xf>
    <xf numFmtId="0" fontId="10" fillId="145" borderId="2" xfId="5" applyFont="1" applyFill="1" applyAlignment="1">
      <alignment horizontal="left" vertical="center" wrapText="1"/>
    </xf>
    <xf numFmtId="0" fontId="19" fillId="146" borderId="2" xfId="5" applyFont="1" applyFill="1" applyAlignment="1">
      <alignment horizontal="center" vertical="center" wrapText="1"/>
    </xf>
    <xf numFmtId="0" fontId="19" fillId="146" borderId="2" xfId="5" applyFont="1" applyFill="1" applyAlignment="1">
      <alignment horizontal="left" vertical="center" wrapText="1"/>
    </xf>
    <xf numFmtId="0" fontId="19" fillId="31" borderId="2" xfId="5" applyFont="1" applyFill="1" applyAlignment="1">
      <alignment horizontal="center" vertical="center" wrapText="1"/>
    </xf>
    <xf numFmtId="0" fontId="19" fillId="31" borderId="2" xfId="5" applyFont="1" applyFill="1" applyAlignment="1">
      <alignment horizontal="left" vertical="center" wrapText="1"/>
    </xf>
    <xf numFmtId="0" fontId="10" fillId="23" borderId="2" xfId="5" applyFont="1" applyFill="1" applyAlignment="1">
      <alignment horizontal="center" vertical="center" wrapText="1"/>
    </xf>
    <xf numFmtId="0" fontId="10" fillId="23" borderId="2" xfId="5" applyFont="1" applyFill="1" applyAlignment="1">
      <alignment horizontal="left" vertical="center" wrapText="1"/>
    </xf>
    <xf numFmtId="0" fontId="10" fillId="147" borderId="2" xfId="5" applyFont="1" applyFill="1" applyAlignment="1">
      <alignment horizontal="center" vertical="center" wrapText="1"/>
    </xf>
    <xf numFmtId="0" fontId="10" fillId="147" borderId="2" xfId="5" applyFont="1" applyFill="1" applyAlignment="1">
      <alignment horizontal="left" vertical="center" wrapText="1"/>
    </xf>
    <xf numFmtId="0" fontId="10" fillId="148" borderId="2" xfId="5" applyFont="1" applyFill="1" applyAlignment="1">
      <alignment horizontal="center" vertical="center" wrapText="1"/>
    </xf>
    <xf numFmtId="0" fontId="10" fillId="148" borderId="2" xfId="5" applyFont="1" applyFill="1" applyAlignment="1">
      <alignment horizontal="left" vertical="center" wrapText="1"/>
    </xf>
    <xf numFmtId="0" fontId="10" fillId="149" borderId="2" xfId="5" applyFont="1" applyFill="1" applyAlignment="1">
      <alignment horizontal="center" vertical="center" wrapText="1"/>
    </xf>
    <xf numFmtId="0" fontId="10" fillId="149" borderId="2" xfId="5" applyFont="1" applyFill="1" applyAlignment="1">
      <alignment horizontal="left" vertical="center" wrapText="1"/>
    </xf>
    <xf numFmtId="0" fontId="10" fillId="150" borderId="2" xfId="5" applyFont="1" applyFill="1" applyAlignment="1">
      <alignment horizontal="center" vertical="center" wrapText="1"/>
    </xf>
    <xf numFmtId="0" fontId="10" fillId="150" borderId="2" xfId="5" applyFont="1" applyFill="1" applyAlignment="1">
      <alignment horizontal="left" vertical="center" wrapText="1"/>
    </xf>
    <xf numFmtId="0" fontId="10" fillId="134" borderId="2" xfId="5" applyFont="1" applyFill="1" applyAlignment="1">
      <alignment horizontal="center" vertical="center" wrapText="1"/>
    </xf>
    <xf numFmtId="0" fontId="10" fillId="134" borderId="2" xfId="5" applyFont="1" applyFill="1" applyAlignment="1">
      <alignment horizontal="left" vertical="center" wrapText="1"/>
    </xf>
    <xf numFmtId="0" fontId="19" fillId="151" borderId="2" xfId="5" applyFont="1" applyFill="1" applyAlignment="1">
      <alignment horizontal="center" vertical="center" wrapText="1"/>
    </xf>
    <xf numFmtId="0" fontId="19" fillId="151" borderId="2" xfId="5" applyFont="1" applyFill="1" applyAlignment="1">
      <alignment horizontal="left" vertical="center" wrapText="1"/>
    </xf>
    <xf numFmtId="0" fontId="10" fillId="152" borderId="2" xfId="5" applyFont="1" applyFill="1" applyAlignment="1">
      <alignment horizontal="center" vertical="center" wrapText="1"/>
    </xf>
    <xf numFmtId="0" fontId="10" fillId="152" borderId="2" xfId="5" applyFont="1" applyFill="1" applyAlignment="1">
      <alignment horizontal="left" vertical="center" wrapText="1"/>
    </xf>
    <xf numFmtId="0" fontId="27" fillId="153" borderId="2" xfId="5" applyFont="1" applyFill="1" applyAlignment="1">
      <alignment horizontal="center" vertical="center"/>
    </xf>
    <xf numFmtId="0" fontId="55" fillId="0" borderId="2" xfId="16" applyFont="1"/>
    <xf numFmtId="0" fontId="55" fillId="0" borderId="2" xfId="16" applyFont="1" applyAlignment="1">
      <alignment horizontal="left"/>
    </xf>
    <xf numFmtId="0" fontId="25" fillId="0" borderId="2" xfId="25"/>
    <xf numFmtId="0" fontId="55" fillId="0" borderId="12" xfId="16" applyFont="1" applyBorder="1" applyAlignment="1">
      <alignment horizontal="left" vertical="center"/>
    </xf>
    <xf numFmtId="0" fontId="55" fillId="0" borderId="12" xfId="16" applyFont="1" applyBorder="1" applyAlignment="1">
      <alignment horizontal="right" vertical="center"/>
    </xf>
    <xf numFmtId="0" fontId="55" fillId="0" borderId="12" xfId="16" applyFont="1" applyBorder="1" applyAlignment="1">
      <alignment vertical="center"/>
    </xf>
    <xf numFmtId="0" fontId="9" fillId="145" borderId="139" xfId="25" applyFont="1" applyFill="1" applyBorder="1" applyAlignment="1">
      <alignment horizontal="left" vertical="center"/>
    </xf>
    <xf numFmtId="0" fontId="9" fillId="145" borderId="139" xfId="25" applyFont="1" applyFill="1" applyBorder="1" applyAlignment="1">
      <alignment horizontal="center" vertical="center"/>
    </xf>
    <xf numFmtId="174" fontId="10" fillId="145" borderId="168" xfId="25" applyNumberFormat="1" applyFont="1" applyFill="1" applyBorder="1" applyAlignment="1">
      <alignment horizontal="center" vertical="center"/>
    </xf>
    <xf numFmtId="174" fontId="9" fillId="145" borderId="105" xfId="25" applyNumberFormat="1" applyFont="1" applyFill="1" applyBorder="1" applyAlignment="1">
      <alignment horizontal="center" vertical="center"/>
    </xf>
    <xf numFmtId="0" fontId="9" fillId="145" borderId="38" xfId="25" applyFont="1" applyFill="1" applyBorder="1" applyAlignment="1">
      <alignment horizontal="left" vertical="center"/>
    </xf>
    <xf numFmtId="0" fontId="9" fillId="145" borderId="38" xfId="25" applyFont="1" applyFill="1" applyBorder="1" applyAlignment="1">
      <alignment horizontal="center" vertical="center"/>
    </xf>
    <xf numFmtId="0" fontId="9" fillId="145" borderId="2" xfId="25" applyFont="1" applyFill="1" applyAlignment="1">
      <alignment horizontal="left" vertical="center"/>
    </xf>
    <xf numFmtId="0" fontId="9" fillId="145" borderId="2" xfId="25" applyFont="1" applyFill="1" applyAlignment="1">
      <alignment horizontal="center" vertical="center"/>
    </xf>
    <xf numFmtId="0" fontId="9" fillId="0" borderId="169" xfId="25" applyFont="1" applyBorder="1" applyAlignment="1">
      <alignment horizontal="center" vertical="center"/>
    </xf>
    <xf numFmtId="0" fontId="10" fillId="2" borderId="2" xfId="25" applyFont="1" applyFill="1" applyAlignment="1">
      <alignment horizontal="center" vertical="center"/>
    </xf>
    <xf numFmtId="0" fontId="10" fillId="0" borderId="170" xfId="25" applyFont="1" applyBorder="1" applyAlignment="1">
      <alignment horizontal="center" vertical="center"/>
    </xf>
    <xf numFmtId="0" fontId="10" fillId="0" borderId="169" xfId="25" applyFont="1" applyBorder="1" applyAlignment="1">
      <alignment horizontal="center" vertical="center"/>
    </xf>
    <xf numFmtId="0" fontId="57" fillId="53" borderId="6" xfId="16" applyFont="1" applyFill="1" applyBorder="1" applyAlignment="1">
      <alignment horizontal="centerContinuous" vertical="center"/>
    </xf>
    <xf numFmtId="0" fontId="166" fillId="0" borderId="171" xfId="25" applyFont="1" applyBorder="1" applyAlignment="1">
      <alignment horizontal="center" vertical="center"/>
    </xf>
    <xf numFmtId="0" fontId="10" fillId="2" borderId="2" xfId="25" applyFont="1" applyFill="1" applyAlignment="1">
      <alignment horizontal="left" vertical="center"/>
    </xf>
    <xf numFmtId="174" fontId="10" fillId="2" borderId="2" xfId="25" applyNumberFormat="1" applyFont="1" applyFill="1" applyAlignment="1">
      <alignment horizontal="center" vertical="center"/>
    </xf>
    <xf numFmtId="0" fontId="10" fillId="142" borderId="2" xfId="25" applyFont="1" applyFill="1" applyAlignment="1">
      <alignment horizontal="center" vertical="center"/>
    </xf>
    <xf numFmtId="0" fontId="167" fillId="154" borderId="5" xfId="16" applyFont="1" applyFill="1" applyBorder="1" applyAlignment="1">
      <alignment horizontal="centerContinuous" vertical="center"/>
    </xf>
    <xf numFmtId="0" fontId="10" fillId="142" borderId="2" xfId="25" applyFont="1" applyFill="1" applyAlignment="1">
      <alignment horizontal="left" vertical="center"/>
    </xf>
    <xf numFmtId="174" fontId="10" fillId="142" borderId="2" xfId="25" applyNumberFormat="1" applyFont="1" applyFill="1" applyAlignment="1">
      <alignment horizontal="center" vertical="center"/>
    </xf>
    <xf numFmtId="0" fontId="10" fillId="143" borderId="2" xfId="25" applyFont="1" applyFill="1" applyAlignment="1">
      <alignment horizontal="center" vertical="center"/>
    </xf>
    <xf numFmtId="0" fontId="57" fillId="155" borderId="2" xfId="16" applyFont="1" applyFill="1" applyAlignment="1">
      <alignment horizontal="centerContinuous" vertical="center"/>
    </xf>
    <xf numFmtId="0" fontId="10" fillId="143" borderId="2" xfId="25" applyFont="1" applyFill="1" applyAlignment="1">
      <alignment horizontal="left" vertical="center"/>
    </xf>
    <xf numFmtId="174" fontId="10" fillId="143" borderId="2" xfId="25" applyNumberFormat="1" applyFont="1" applyFill="1" applyAlignment="1">
      <alignment horizontal="center" vertical="center"/>
    </xf>
    <xf numFmtId="0" fontId="10" fillId="144" borderId="2" xfId="25" applyFont="1" applyFill="1" applyAlignment="1">
      <alignment horizontal="center" vertical="center"/>
    </xf>
    <xf numFmtId="0" fontId="10" fillId="144" borderId="2" xfId="25" applyFont="1" applyFill="1" applyAlignment="1">
      <alignment horizontal="left" vertical="center"/>
    </xf>
    <xf numFmtId="174" fontId="10" fillId="144" borderId="2" xfId="25" applyNumberFormat="1" applyFont="1" applyFill="1" applyAlignment="1">
      <alignment horizontal="center" vertical="center"/>
    </xf>
    <xf numFmtId="0" fontId="9" fillId="0" borderId="169" xfId="25" applyFont="1" applyBorder="1" applyAlignment="1">
      <alignment horizontal="left" vertical="center"/>
    </xf>
    <xf numFmtId="0" fontId="10" fillId="145" borderId="2" xfId="25" applyFont="1" applyFill="1" applyAlignment="1">
      <alignment horizontal="center" vertical="center"/>
    </xf>
    <xf numFmtId="0" fontId="10" fillId="145" borderId="2" xfId="25" applyFont="1" applyFill="1" applyAlignment="1">
      <alignment horizontal="left" vertical="center"/>
    </xf>
    <xf numFmtId="174" fontId="10" fillId="145" borderId="2" xfId="25" applyNumberFormat="1" applyFont="1" applyFill="1" applyAlignment="1">
      <alignment horizontal="center" vertical="center"/>
    </xf>
    <xf numFmtId="0" fontId="19" fillId="146" borderId="2" xfId="25" applyFont="1" applyFill="1" applyAlignment="1">
      <alignment horizontal="center" vertical="center"/>
    </xf>
    <xf numFmtId="0" fontId="19" fillId="0" borderId="170" xfId="25" applyFont="1" applyBorder="1" applyAlignment="1">
      <alignment horizontal="center" vertical="center"/>
    </xf>
    <xf numFmtId="0" fontId="19" fillId="146" borderId="2" xfId="25" applyFont="1" applyFill="1" applyAlignment="1">
      <alignment horizontal="left" vertical="center"/>
    </xf>
    <xf numFmtId="174" fontId="19" fillId="146" borderId="2" xfId="25" applyNumberFormat="1" applyFont="1" applyFill="1" applyAlignment="1">
      <alignment horizontal="center" vertical="center"/>
    </xf>
    <xf numFmtId="0" fontId="19" fillId="31" borderId="2" xfId="25" applyFont="1" applyFill="1" applyAlignment="1">
      <alignment horizontal="center" vertical="center"/>
    </xf>
    <xf numFmtId="0" fontId="19" fillId="31" borderId="2" xfId="25" applyFont="1" applyFill="1" applyAlignment="1">
      <alignment horizontal="left" vertical="center"/>
    </xf>
    <xf numFmtId="174" fontId="19" fillId="31" borderId="2" xfId="25" applyNumberFormat="1" applyFont="1" applyFill="1" applyAlignment="1">
      <alignment horizontal="center" vertical="center"/>
    </xf>
    <xf numFmtId="0" fontId="10" fillId="23" borderId="2" xfId="25" applyFont="1" applyFill="1" applyAlignment="1">
      <alignment horizontal="center" vertical="center"/>
    </xf>
    <xf numFmtId="0" fontId="10" fillId="23" borderId="2" xfId="25" applyFont="1" applyFill="1" applyAlignment="1">
      <alignment horizontal="left" vertical="center"/>
    </xf>
    <xf numFmtId="174" fontId="10" fillId="23" borderId="2" xfId="25" applyNumberFormat="1" applyFont="1" applyFill="1" applyAlignment="1">
      <alignment horizontal="center" vertical="center"/>
    </xf>
    <xf numFmtId="0" fontId="10" fillId="145" borderId="139" xfId="25" applyFont="1" applyFill="1" applyBorder="1" applyAlignment="1">
      <alignment horizontal="center" vertical="center"/>
    </xf>
    <xf numFmtId="0" fontId="10" fillId="147" borderId="2" xfId="25" applyFont="1" applyFill="1" applyAlignment="1">
      <alignment horizontal="center" vertical="center"/>
    </xf>
    <xf numFmtId="0" fontId="10" fillId="147" borderId="2" xfId="25" applyFont="1" applyFill="1" applyAlignment="1">
      <alignment horizontal="left" vertical="center"/>
    </xf>
    <xf numFmtId="174" fontId="10" fillId="147" borderId="2" xfId="25" applyNumberFormat="1" applyFont="1" applyFill="1" applyAlignment="1">
      <alignment horizontal="center" vertical="center"/>
    </xf>
    <xf numFmtId="0" fontId="10" fillId="148" borderId="2" xfId="25" applyFont="1" applyFill="1" applyAlignment="1">
      <alignment horizontal="center" vertical="center"/>
    </xf>
    <xf numFmtId="0" fontId="10" fillId="148" borderId="2" xfId="25" applyFont="1" applyFill="1" applyAlignment="1">
      <alignment horizontal="left" vertical="center"/>
    </xf>
    <xf numFmtId="174" fontId="10" fillId="148" borderId="2" xfId="25" applyNumberFormat="1" applyFont="1" applyFill="1" applyAlignment="1">
      <alignment horizontal="center" vertical="center"/>
    </xf>
    <xf numFmtId="0" fontId="10" fillId="149" borderId="2" xfId="25" applyFont="1" applyFill="1" applyAlignment="1">
      <alignment horizontal="center" vertical="center"/>
    </xf>
    <xf numFmtId="0" fontId="10" fillId="149" borderId="2" xfId="25" applyFont="1" applyFill="1" applyAlignment="1">
      <alignment horizontal="left" vertical="center"/>
    </xf>
    <xf numFmtId="174" fontId="10" fillId="149" borderId="2" xfId="25" applyNumberFormat="1" applyFont="1" applyFill="1" applyAlignment="1">
      <alignment horizontal="center" vertical="center"/>
    </xf>
    <xf numFmtId="0" fontId="10" fillId="2" borderId="139" xfId="25" applyFont="1" applyFill="1" applyBorder="1" applyAlignment="1">
      <alignment horizontal="center" vertical="center"/>
    </xf>
    <xf numFmtId="0" fontId="10" fillId="150" borderId="139" xfId="25" applyFont="1" applyFill="1" applyBorder="1" applyAlignment="1">
      <alignment horizontal="center" vertical="center"/>
    </xf>
    <xf numFmtId="0" fontId="10" fillId="150" borderId="2" xfId="25" applyFont="1" applyFill="1" applyAlignment="1">
      <alignment horizontal="left" vertical="center"/>
    </xf>
    <xf numFmtId="174" fontId="10" fillId="150" borderId="2" xfId="25" applyNumberFormat="1" applyFont="1" applyFill="1" applyAlignment="1">
      <alignment horizontal="center" vertical="center"/>
    </xf>
    <xf numFmtId="0" fontId="10" fillId="150" borderId="2" xfId="25" applyFont="1" applyFill="1" applyAlignment="1">
      <alignment horizontal="center" vertical="center"/>
    </xf>
    <xf numFmtId="0" fontId="10" fillId="134" borderId="2" xfId="25" applyFont="1" applyFill="1" applyAlignment="1">
      <alignment horizontal="center" vertical="center"/>
    </xf>
    <xf numFmtId="0" fontId="10" fillId="134" borderId="2" xfId="25" applyFont="1" applyFill="1" applyAlignment="1">
      <alignment horizontal="left" vertical="center"/>
    </xf>
    <xf numFmtId="174" fontId="10" fillId="134" borderId="2" xfId="25" applyNumberFormat="1" applyFont="1" applyFill="1" applyAlignment="1">
      <alignment horizontal="center" vertical="center"/>
    </xf>
    <xf numFmtId="0" fontId="19" fillId="151" borderId="2" xfId="25" applyFont="1" applyFill="1" applyAlignment="1">
      <alignment horizontal="center" vertical="center"/>
    </xf>
    <xf numFmtId="0" fontId="19" fillId="151" borderId="2" xfId="25" applyFont="1" applyFill="1" applyAlignment="1">
      <alignment horizontal="left" vertical="center"/>
    </xf>
    <xf numFmtId="174" fontId="19" fillId="151" borderId="2" xfId="25" applyNumberFormat="1" applyFont="1" applyFill="1" applyAlignment="1">
      <alignment horizontal="center" vertical="center"/>
    </xf>
    <xf numFmtId="0" fontId="10" fillId="152" borderId="2" xfId="25" applyFont="1" applyFill="1" applyAlignment="1">
      <alignment horizontal="center" vertical="center"/>
    </xf>
    <xf numFmtId="0" fontId="10" fillId="152" borderId="2" xfId="25" applyFont="1" applyFill="1" applyAlignment="1">
      <alignment horizontal="left" vertical="center"/>
    </xf>
    <xf numFmtId="174" fontId="10" fillId="152" borderId="2" xfId="25" applyNumberFormat="1" applyFont="1" applyFill="1" applyAlignment="1">
      <alignment horizontal="center" vertical="center"/>
    </xf>
    <xf numFmtId="0" fontId="168" fillId="145" borderId="2" xfId="25" applyFont="1" applyFill="1" applyAlignment="1">
      <alignment horizontal="center" vertical="center"/>
    </xf>
    <xf numFmtId="0" fontId="168" fillId="145" borderId="6" xfId="25" applyFont="1" applyFill="1" applyBorder="1" applyAlignment="1">
      <alignment horizontal="center" vertical="center"/>
    </xf>
    <xf numFmtId="0" fontId="168" fillId="0" borderId="6" xfId="25" applyFont="1" applyBorder="1" applyAlignment="1">
      <alignment horizontal="center" vertical="center"/>
    </xf>
    <xf numFmtId="0" fontId="168" fillId="145" borderId="5" xfId="25" applyFont="1" applyFill="1" applyBorder="1" applyAlignment="1">
      <alignment horizontal="center" vertical="center"/>
    </xf>
    <xf numFmtId="0" fontId="10" fillId="145" borderId="6" xfId="25" applyFont="1" applyFill="1" applyBorder="1" applyAlignment="1">
      <alignment horizontal="center" vertical="center"/>
    </xf>
    <xf numFmtId="0" fontId="10" fillId="145" borderId="6" xfId="25" applyFont="1" applyFill="1" applyBorder="1" applyAlignment="1">
      <alignment horizontal="centerContinuous" vertical="center"/>
    </xf>
    <xf numFmtId="0" fontId="10" fillId="145" borderId="2" xfId="25" applyFont="1" applyFill="1" applyAlignment="1">
      <alignment horizontal="centerContinuous" vertical="center"/>
    </xf>
    <xf numFmtId="0" fontId="10" fillId="145" borderId="5" xfId="25" applyFont="1" applyFill="1" applyBorder="1" applyAlignment="1">
      <alignment horizontal="centerContinuous" vertical="center"/>
    </xf>
    <xf numFmtId="0" fontId="10" fillId="91" borderId="2" xfId="25" applyFont="1" applyFill="1" applyAlignment="1">
      <alignment horizontal="center" vertical="center"/>
    </xf>
    <xf numFmtId="0" fontId="10" fillId="91" borderId="6" xfId="25" applyFont="1" applyFill="1" applyBorder="1" applyAlignment="1">
      <alignment horizontal="center" vertical="center"/>
    </xf>
    <xf numFmtId="0" fontId="10" fillId="91" borderId="168" xfId="25" applyFont="1" applyFill="1" applyBorder="1" applyAlignment="1">
      <alignment horizontal="center" vertical="center"/>
    </xf>
    <xf numFmtId="0" fontId="169" fillId="145" borderId="2" xfId="25" applyFont="1" applyFill="1" applyAlignment="1">
      <alignment horizontal="left" vertical="center"/>
    </xf>
    <xf numFmtId="0" fontId="170" fillId="145" borderId="2" xfId="25" applyFont="1" applyFill="1" applyAlignment="1">
      <alignment horizontal="left" vertical="center"/>
    </xf>
    <xf numFmtId="0" fontId="9" fillId="145" borderId="11" xfId="25" applyFont="1" applyFill="1" applyBorder="1" applyAlignment="1">
      <alignment horizontal="center" vertical="center"/>
    </xf>
    <xf numFmtId="0" fontId="9" fillId="145" borderId="12" xfId="25" applyFont="1" applyFill="1" applyBorder="1" applyAlignment="1">
      <alignment horizontal="center" vertical="center"/>
    </xf>
    <xf numFmtId="0" fontId="10" fillId="145" borderId="12" xfId="25" applyFont="1" applyFill="1" applyBorder="1" applyAlignment="1">
      <alignment horizontal="left" vertical="center"/>
    </xf>
    <xf numFmtId="0" fontId="10" fillId="145" borderId="12" xfId="25" applyFont="1" applyFill="1" applyBorder="1" applyAlignment="1">
      <alignment horizontal="center" vertical="center"/>
    </xf>
    <xf numFmtId="0" fontId="55" fillId="0" borderId="13" xfId="16" applyFont="1" applyBorder="1"/>
    <xf numFmtId="0" fontId="9" fillId="145" borderId="21" xfId="25" applyFont="1" applyFill="1" applyBorder="1" applyAlignment="1">
      <alignment horizontal="center" vertical="center"/>
    </xf>
    <xf numFmtId="0" fontId="55" fillId="0" borderId="20" xfId="16" applyFont="1" applyBorder="1"/>
    <xf numFmtId="0" fontId="35" fillId="121" borderId="74" xfId="25" applyFont="1" applyFill="1" applyBorder="1" applyAlignment="1">
      <alignment horizontal="right" vertical="center"/>
    </xf>
    <xf numFmtId="0" fontId="35" fillId="121" borderId="88" xfId="25" applyFont="1" applyFill="1" applyBorder="1" applyAlignment="1">
      <alignment horizontal="center" vertical="center"/>
    </xf>
    <xf numFmtId="0" fontId="46" fillId="121" borderId="75" xfId="25" applyFont="1" applyFill="1" applyBorder="1" applyAlignment="1">
      <alignment horizontal="center" vertical="center"/>
    </xf>
    <xf numFmtId="0" fontId="9" fillId="145" borderId="2" xfId="25" applyFont="1" applyFill="1" applyAlignment="1">
      <alignment horizontal="center" vertical="center" wrapText="1"/>
    </xf>
    <xf numFmtId="0" fontId="28" fillId="0" borderId="2" xfId="5" applyFont="1"/>
    <xf numFmtId="0" fontId="8" fillId="0" borderId="2" xfId="26" applyFont="1" applyAlignment="1">
      <alignment vertical="center"/>
    </xf>
    <xf numFmtId="0" fontId="28" fillId="30" borderId="2" xfId="5" applyFont="1" applyFill="1"/>
    <xf numFmtId="0" fontId="8" fillId="30" borderId="2" xfId="26" applyFont="1" applyFill="1" applyAlignment="1">
      <alignment horizontal="left" vertical="center"/>
    </xf>
    <xf numFmtId="0" fontId="8" fillId="30" borderId="2" xfId="26" applyFont="1" applyFill="1" applyAlignment="1">
      <alignment vertical="center"/>
    </xf>
    <xf numFmtId="0" fontId="31" fillId="30" borderId="2" xfId="26" applyFont="1" applyFill="1" applyAlignment="1">
      <alignment horizontal="right" vertical="center"/>
    </xf>
    <xf numFmtId="0" fontId="70" fillId="30" borderId="2" xfId="26" applyFont="1" applyFill="1" applyAlignment="1">
      <alignment vertical="center"/>
    </xf>
    <xf numFmtId="0" fontId="17" fillId="30" borderId="2" xfId="26" applyFont="1" applyFill="1" applyAlignment="1">
      <alignment vertical="center"/>
    </xf>
    <xf numFmtId="0" fontId="70" fillId="30" borderId="2" xfId="5" applyFont="1" applyFill="1" applyAlignment="1">
      <alignment horizontal="left" vertical="center"/>
    </xf>
    <xf numFmtId="0" fontId="18" fillId="11" borderId="2" xfId="5" applyFont="1" applyFill="1" applyAlignment="1">
      <alignment horizontal="right" vertical="center" wrapText="1"/>
    </xf>
    <xf numFmtId="0" fontId="18" fillId="30" borderId="2" xfId="5" applyFont="1" applyFill="1" applyAlignment="1">
      <alignment horizontal="center" vertical="center"/>
    </xf>
    <xf numFmtId="0" fontId="6" fillId="153" borderId="2" xfId="5" applyFont="1" applyFill="1" applyAlignment="1">
      <alignment horizontal="left" vertical="center"/>
    </xf>
    <xf numFmtId="0" fontId="6" fillId="153" borderId="2" xfId="5" applyFont="1" applyFill="1" applyAlignment="1">
      <alignment horizontal="center" vertical="center" wrapText="1"/>
    </xf>
    <xf numFmtId="0" fontId="18" fillId="156" borderId="2" xfId="26" applyFont="1" applyFill="1" applyAlignment="1">
      <alignment vertical="center"/>
    </xf>
    <xf numFmtId="0" fontId="171" fillId="156" borderId="2" xfId="26" applyFont="1" applyFill="1" applyAlignment="1">
      <alignment horizontal="left" vertical="center"/>
    </xf>
    <xf numFmtId="0" fontId="27" fillId="121" borderId="2" xfId="5" applyFont="1" applyFill="1" applyAlignment="1">
      <alignment horizontal="center" vertical="center" wrapText="1"/>
    </xf>
    <xf numFmtId="0" fontId="172" fillId="30" borderId="2" xfId="27" applyFont="1" applyFill="1"/>
    <xf numFmtId="0" fontId="172" fillId="0" borderId="2" xfId="27" applyFont="1"/>
    <xf numFmtId="0" fontId="173" fillId="30" borderId="2" xfId="27" applyFont="1" applyFill="1"/>
    <xf numFmtId="0" fontId="172" fillId="157" borderId="2" xfId="27" applyFont="1" applyFill="1" applyAlignment="1">
      <alignment horizontal="right" vertical="center"/>
    </xf>
    <xf numFmtId="0" fontId="172" fillId="0" borderId="2" xfId="28" applyFont="1" applyAlignment="1" applyProtection="1"/>
    <xf numFmtId="0" fontId="175" fillId="30" borderId="2" xfId="27" applyFont="1" applyFill="1"/>
    <xf numFmtId="0" fontId="155" fillId="30" borderId="2" xfId="29" applyFont="1" applyFill="1" applyAlignment="1" applyProtection="1">
      <alignment vertical="center"/>
      <protection locked="0"/>
    </xf>
    <xf numFmtId="0" fontId="39" fillId="30" borderId="2" xfId="27" applyFont="1" applyFill="1" applyAlignment="1">
      <alignment vertical="center"/>
    </xf>
    <xf numFmtId="0" fontId="10" fillId="32" borderId="3" xfId="5" applyFont="1" applyFill="1" applyBorder="1" applyAlignment="1">
      <alignment horizontal="center" vertical="center"/>
    </xf>
    <xf numFmtId="0" fontId="11" fillId="32" borderId="4" xfId="5" applyFont="1" applyFill="1" applyBorder="1" applyAlignment="1">
      <alignment horizontal="center" vertical="center"/>
    </xf>
    <xf numFmtId="0" fontId="70" fillId="137" borderId="3" xfId="5" applyFont="1" applyFill="1" applyBorder="1" applyAlignment="1">
      <alignment vertical="center"/>
    </xf>
    <xf numFmtId="0" fontId="11" fillId="137" borderId="44" xfId="5" applyFont="1" applyFill="1" applyBorder="1" applyAlignment="1">
      <alignment horizontal="right" vertical="center"/>
    </xf>
    <xf numFmtId="0" fontId="11" fillId="137" borderId="44" xfId="5" applyFont="1" applyFill="1" applyBorder="1" applyAlignment="1">
      <alignment horizontal="center" vertical="center"/>
    </xf>
    <xf numFmtId="0" fontId="11" fillId="137" borderId="4" xfId="5" applyFont="1" applyFill="1" applyBorder="1" applyAlignment="1">
      <alignment horizontal="center" vertical="center"/>
    </xf>
    <xf numFmtId="0" fontId="10" fillId="42" borderId="5" xfId="5" applyFont="1" applyFill="1" applyBorder="1" applyAlignment="1">
      <alignment horizontal="center" vertical="center" wrapText="1"/>
    </xf>
    <xf numFmtId="0" fontId="8" fillId="0" borderId="6" xfId="5" applyFont="1" applyBorder="1" applyAlignment="1">
      <alignment vertical="center" wrapText="1"/>
    </xf>
    <xf numFmtId="0" fontId="8" fillId="0" borderId="5" xfId="5" applyFont="1" applyBorder="1" applyAlignment="1">
      <alignment vertical="center"/>
    </xf>
    <xf numFmtId="0" fontId="52" fillId="158" borderId="2" xfId="5" applyFont="1" applyFill="1" applyAlignment="1">
      <alignment horizontal="right" vertical="center"/>
    </xf>
    <xf numFmtId="0" fontId="176" fillId="31" borderId="2" xfId="5" applyFont="1" applyFill="1" applyAlignment="1">
      <alignment horizontal="center" vertical="center"/>
    </xf>
    <xf numFmtId="0" fontId="52" fillId="158" borderId="2" xfId="5" applyFont="1" applyFill="1" applyAlignment="1">
      <alignment vertical="center"/>
    </xf>
    <xf numFmtId="0" fontId="52" fillId="158" borderId="6" xfId="5" applyFont="1" applyFill="1" applyBorder="1" applyAlignment="1">
      <alignment vertical="center"/>
    </xf>
    <xf numFmtId="0" fontId="52" fillId="30" borderId="2" xfId="5" applyFont="1" applyFill="1" applyAlignment="1">
      <alignment horizontal="right" vertical="center"/>
    </xf>
    <xf numFmtId="0" fontId="9" fillId="109" borderId="2" xfId="5" applyFont="1" applyFill="1" applyAlignment="1">
      <alignment horizontal="center" vertical="center"/>
    </xf>
    <xf numFmtId="0" fontId="52" fillId="30" borderId="2" xfId="5" applyFont="1" applyFill="1" applyAlignment="1">
      <alignment vertical="center"/>
    </xf>
    <xf numFmtId="0" fontId="52" fillId="30" borderId="6" xfId="5" applyFont="1" applyFill="1" applyBorder="1" applyAlignment="1">
      <alignment vertical="center"/>
    </xf>
    <xf numFmtId="0" fontId="9" fillId="134" borderId="2" xfId="5" applyFont="1" applyFill="1" applyAlignment="1">
      <alignment horizontal="center" vertical="center"/>
    </xf>
    <xf numFmtId="0" fontId="9" fillId="159" borderId="2" xfId="5" applyFont="1" applyFill="1" applyAlignment="1">
      <alignment horizontal="center" vertical="center"/>
    </xf>
    <xf numFmtId="0" fontId="9" fillId="160" borderId="2" xfId="5" applyFont="1" applyFill="1" applyAlignment="1">
      <alignment horizontal="center" vertical="center"/>
    </xf>
    <xf numFmtId="0" fontId="176" fillId="3" borderId="2" xfId="5" applyFont="1" applyFill="1" applyAlignment="1">
      <alignment horizontal="center" vertical="center"/>
    </xf>
    <xf numFmtId="0" fontId="8" fillId="0" borderId="7" xfId="5" applyFont="1" applyBorder="1" applyAlignment="1">
      <alignment vertical="center"/>
    </xf>
    <xf numFmtId="0" fontId="22" fillId="0" borderId="14" xfId="5" applyFont="1" applyBorder="1" applyAlignment="1">
      <alignment vertical="center"/>
    </xf>
    <xf numFmtId="0" fontId="22" fillId="0" borderId="8" xfId="5" applyFont="1" applyBorder="1" applyAlignment="1">
      <alignment vertical="center"/>
    </xf>
    <xf numFmtId="0" fontId="8" fillId="0" borderId="8" xfId="5" applyFont="1" applyBorder="1" applyAlignment="1">
      <alignment vertical="center"/>
    </xf>
    <xf numFmtId="0" fontId="8" fillId="0" borderId="14" xfId="5" applyFont="1" applyBorder="1" applyAlignment="1">
      <alignment vertical="center"/>
    </xf>
    <xf numFmtId="0" fontId="10" fillId="22" borderId="2" xfId="5" applyFont="1" applyFill="1" applyAlignment="1">
      <alignment horizontal="center" vertical="center"/>
    </xf>
    <xf numFmtId="0" fontId="10" fillId="22" borderId="2" xfId="5" applyFont="1" applyFill="1" applyAlignment="1">
      <alignment horizontal="left" vertical="center"/>
    </xf>
    <xf numFmtId="0" fontId="10" fillId="22" borderId="5" xfId="5" applyFont="1" applyFill="1" applyBorder="1" applyAlignment="1">
      <alignment horizontal="center" vertical="center"/>
    </xf>
    <xf numFmtId="0" fontId="52" fillId="158" borderId="6" xfId="5" applyFont="1" applyFill="1" applyBorder="1" applyAlignment="1">
      <alignment horizontal="left" vertical="center"/>
    </xf>
    <xf numFmtId="0" fontId="52" fillId="158" borderId="2" xfId="5" applyFont="1" applyFill="1" applyAlignment="1">
      <alignment horizontal="left" vertical="center"/>
    </xf>
    <xf numFmtId="0" fontId="10" fillId="137" borderId="6" xfId="5" applyFont="1" applyFill="1" applyBorder="1" applyAlignment="1">
      <alignment horizontal="center" vertical="center"/>
    </xf>
    <xf numFmtId="0" fontId="10" fillId="137" borderId="2" xfId="5" applyFont="1" applyFill="1" applyAlignment="1">
      <alignment horizontal="center" vertical="center"/>
    </xf>
    <xf numFmtId="0" fontId="10" fillId="137" borderId="5" xfId="5" applyFont="1" applyFill="1" applyBorder="1" applyAlignment="1">
      <alignment horizontal="center" vertical="center"/>
    </xf>
    <xf numFmtId="0" fontId="22" fillId="0" borderId="7" xfId="5" applyFont="1" applyBorder="1" applyAlignment="1">
      <alignment vertical="center"/>
    </xf>
    <xf numFmtId="0" fontId="176" fillId="22" borderId="2" xfId="5" applyFont="1" applyFill="1" applyAlignment="1">
      <alignment horizontal="center" vertical="center"/>
    </xf>
    <xf numFmtId="0" fontId="97" fillId="158" borderId="2" xfId="5" applyFont="1" applyFill="1" applyAlignment="1">
      <alignment horizontal="right" vertical="center"/>
    </xf>
    <xf numFmtId="0" fontId="52" fillId="158" borderId="5" xfId="5" applyFont="1" applyFill="1" applyBorder="1" applyAlignment="1">
      <alignment vertical="center"/>
    </xf>
    <xf numFmtId="0" fontId="52" fillId="158" borderId="5" xfId="5" applyFont="1" applyFill="1" applyBorder="1" applyAlignment="1">
      <alignment horizontal="center" vertical="center"/>
    </xf>
    <xf numFmtId="0" fontId="9" fillId="59" borderId="2" xfId="5" applyFont="1" applyFill="1" applyAlignment="1">
      <alignment horizontal="center" vertical="center"/>
    </xf>
    <xf numFmtId="0" fontId="9" fillId="164" borderId="2" xfId="5" applyFont="1" applyFill="1" applyAlignment="1">
      <alignment horizontal="center" vertical="center"/>
    </xf>
    <xf numFmtId="0" fontId="97" fillId="30" borderId="2" xfId="5" applyFont="1" applyFill="1" applyAlignment="1">
      <alignment horizontal="right" vertical="center"/>
    </xf>
    <xf numFmtId="0" fontId="52" fillId="30" borderId="5" xfId="5" applyFont="1" applyFill="1" applyBorder="1" applyAlignment="1">
      <alignment vertical="center"/>
    </xf>
    <xf numFmtId="0" fontId="9" fillId="49" borderId="2" xfId="5" applyFont="1" applyFill="1" applyAlignment="1">
      <alignment horizontal="center" vertical="center"/>
    </xf>
    <xf numFmtId="0" fontId="9" fillId="58" borderId="2" xfId="5" applyFont="1" applyFill="1" applyAlignment="1">
      <alignment horizontal="center" vertical="center"/>
    </xf>
    <xf numFmtId="0" fontId="11" fillId="130" borderId="6" xfId="5" applyFont="1" applyFill="1" applyBorder="1" applyAlignment="1">
      <alignment horizontal="center" vertical="center"/>
    </xf>
    <xf numFmtId="0" fontId="11" fillId="130" borderId="2" xfId="5" applyFont="1" applyFill="1" applyAlignment="1">
      <alignment horizontal="center" vertical="center"/>
    </xf>
    <xf numFmtId="0" fontId="11" fillId="137" borderId="2" xfId="5" applyFont="1" applyFill="1" applyAlignment="1">
      <alignment horizontal="center" vertical="center"/>
    </xf>
    <xf numFmtId="0" fontId="11" fillId="130" borderId="5" xfId="5" applyFont="1" applyFill="1" applyBorder="1" applyAlignment="1">
      <alignment horizontal="center" vertical="center"/>
    </xf>
    <xf numFmtId="0" fontId="177" fillId="0" borderId="2" xfId="4" applyFont="1" applyAlignment="1">
      <alignment horizontal="center" vertical="center"/>
    </xf>
    <xf numFmtId="0" fontId="12" fillId="57" borderId="2" xfId="4" applyFont="1" applyFill="1" applyAlignment="1">
      <alignment horizontal="center" vertical="center"/>
    </xf>
    <xf numFmtId="0" fontId="24" fillId="57" borderId="2" xfId="4" applyFont="1" applyFill="1" applyAlignment="1">
      <alignment horizontal="right" vertical="center"/>
    </xf>
    <xf numFmtId="0" fontId="30" fillId="166" borderId="1" xfId="2" applyFont="1" applyFill="1" applyAlignment="1">
      <alignment horizontal="center" vertical="center"/>
    </xf>
    <xf numFmtId="0" fontId="19" fillId="167" borderId="1" xfId="2" applyFont="1" applyFill="1" applyAlignment="1">
      <alignment horizontal="center" vertical="center"/>
    </xf>
    <xf numFmtId="0" fontId="19" fillId="168" borderId="1" xfId="2" applyFont="1" applyFill="1" applyAlignment="1">
      <alignment horizontal="center" vertical="center"/>
    </xf>
    <xf numFmtId="0" fontId="16" fillId="167" borderId="1" xfId="2" applyFont="1" applyFill="1" applyAlignment="1">
      <alignment horizontal="center" vertical="center"/>
    </xf>
    <xf numFmtId="0" fontId="178" fillId="170" borderId="2" xfId="8" applyFont="1" applyFill="1" applyProtection="1">
      <protection hidden="1"/>
    </xf>
    <xf numFmtId="0" fontId="140" fillId="170" borderId="2" xfId="30" applyFont="1" applyFill="1"/>
    <xf numFmtId="0" fontId="178" fillId="170" borderId="2" xfId="8" applyFont="1" applyFill="1" applyAlignment="1">
      <alignment vertical="center"/>
    </xf>
    <xf numFmtId="0" fontId="45" fillId="0" borderId="2" xfId="8"/>
    <xf numFmtId="0" fontId="178" fillId="44" borderId="2" xfId="8" applyFont="1" applyFill="1" applyProtection="1">
      <protection hidden="1"/>
    </xf>
    <xf numFmtId="0" fontId="179" fillId="44" borderId="2" xfId="8" applyFont="1" applyFill="1" applyAlignment="1">
      <alignment vertical="center"/>
    </xf>
    <xf numFmtId="0" fontId="140" fillId="44" borderId="2" xfId="30" applyFont="1" applyFill="1"/>
    <xf numFmtId="0" fontId="178" fillId="44" borderId="2" xfId="8" applyFont="1" applyFill="1" applyAlignment="1">
      <alignment vertical="center"/>
    </xf>
    <xf numFmtId="0" fontId="180" fillId="44" borderId="2" xfId="8" applyFont="1" applyFill="1" applyAlignment="1" applyProtection="1">
      <alignment vertical="center"/>
      <protection hidden="1"/>
    </xf>
    <xf numFmtId="0" fontId="181" fillId="44" borderId="2" xfId="8" applyFont="1" applyFill="1" applyAlignment="1">
      <alignment vertical="center"/>
    </xf>
    <xf numFmtId="0" fontId="182" fillId="44" borderId="2" xfId="8" applyFont="1" applyFill="1" applyAlignment="1">
      <alignment vertical="center"/>
    </xf>
    <xf numFmtId="0" fontId="183" fillId="44" borderId="2" xfId="8" applyFont="1" applyFill="1" applyAlignment="1">
      <alignment vertical="center"/>
    </xf>
    <xf numFmtId="0" fontId="45" fillId="30" borderId="2" xfId="8" applyFill="1" applyProtection="1">
      <protection hidden="1"/>
    </xf>
    <xf numFmtId="0" fontId="184" fillId="30" borderId="2" xfId="8" applyFont="1" applyFill="1" applyAlignment="1">
      <alignment vertical="center"/>
    </xf>
    <xf numFmtId="0" fontId="185" fillId="30" borderId="2" xfId="30" applyFont="1" applyFill="1"/>
    <xf numFmtId="0" fontId="45" fillId="30" borderId="2" xfId="8" applyFill="1" applyAlignment="1">
      <alignment vertical="center"/>
    </xf>
    <xf numFmtId="0" fontId="45" fillId="166" borderId="2" xfId="8" applyFill="1" applyProtection="1">
      <protection hidden="1"/>
    </xf>
    <xf numFmtId="0" fontId="184" fillId="166" borderId="2" xfId="8" applyFont="1" applyFill="1" applyAlignment="1">
      <alignment vertical="center"/>
    </xf>
    <xf numFmtId="0" fontId="185" fillId="166" borderId="2" xfId="30" applyFont="1" applyFill="1"/>
    <xf numFmtId="0" fontId="45" fillId="166" borderId="2" xfId="8" applyFill="1" applyAlignment="1">
      <alignment vertical="center"/>
    </xf>
    <xf numFmtId="0" fontId="186" fillId="102" borderId="2" xfId="8" applyFont="1" applyFill="1" applyAlignment="1">
      <alignment vertical="center"/>
    </xf>
    <xf numFmtId="0" fontId="186" fillId="102" borderId="2" xfId="8" applyFont="1" applyFill="1" applyAlignment="1">
      <alignment horizontal="right" vertical="center"/>
    </xf>
    <xf numFmtId="0" fontId="45" fillId="102" borderId="2" xfId="8" applyFill="1" applyAlignment="1">
      <alignment vertical="center"/>
    </xf>
    <xf numFmtId="0" fontId="186" fillId="102" borderId="2" xfId="8" applyFont="1" applyFill="1" applyAlignment="1">
      <alignment horizontal="left" vertical="center"/>
    </xf>
    <xf numFmtId="0" fontId="186" fillId="102" borderId="2" xfId="8" applyFont="1" applyFill="1" applyAlignment="1">
      <alignment horizontal="left" vertical="center" wrapText="1"/>
    </xf>
    <xf numFmtId="0" fontId="187" fillId="166" borderId="2" xfId="8" applyFont="1" applyFill="1" applyAlignment="1">
      <alignment vertical="center"/>
    </xf>
    <xf numFmtId="0" fontId="187" fillId="166" borderId="2" xfId="8" applyFont="1" applyFill="1" applyAlignment="1">
      <alignment horizontal="right" vertical="center"/>
    </xf>
    <xf numFmtId="0" fontId="188" fillId="166" borderId="2" xfId="8" applyFont="1" applyFill="1" applyAlignment="1">
      <alignment vertical="center"/>
    </xf>
    <xf numFmtId="0" fontId="189" fillId="166" borderId="2" xfId="8" applyFont="1" applyFill="1" applyProtection="1">
      <protection hidden="1"/>
    </xf>
    <xf numFmtId="0" fontId="190" fillId="166" borderId="2" xfId="30" applyFont="1" applyFill="1"/>
    <xf numFmtId="0" fontId="189" fillId="166" borderId="2" xfId="8" applyFont="1" applyFill="1" applyAlignment="1">
      <alignment vertical="center"/>
    </xf>
    <xf numFmtId="0" fontId="186" fillId="166" borderId="2" xfId="8" applyFont="1" applyFill="1" applyAlignment="1">
      <alignment vertical="center"/>
    </xf>
    <xf numFmtId="0" fontId="186" fillId="166" borderId="2" xfId="8" applyFont="1" applyFill="1" applyAlignment="1">
      <alignment horizontal="right" vertical="center"/>
    </xf>
    <xf numFmtId="0" fontId="191" fillId="166" borderId="2" xfId="20" applyFont="1" applyFill="1" applyAlignment="1">
      <alignment vertical="center"/>
    </xf>
    <xf numFmtId="0" fontId="45" fillId="0" borderId="2" xfId="8" applyAlignment="1">
      <alignment vertical="center"/>
    </xf>
    <xf numFmtId="0" fontId="192" fillId="166" borderId="2" xfId="8" applyFont="1" applyFill="1" applyAlignment="1">
      <alignment vertical="center"/>
    </xf>
    <xf numFmtId="0" fontId="193" fillId="166" borderId="2" xfId="8" applyFont="1" applyFill="1" applyProtection="1">
      <protection hidden="1"/>
    </xf>
    <xf numFmtId="0" fontId="194" fillId="166" borderId="2" xfId="8" applyFont="1" applyFill="1" applyAlignment="1">
      <alignment vertical="center"/>
    </xf>
    <xf numFmtId="0" fontId="195" fillId="166" borderId="2" xfId="30" applyFont="1" applyFill="1"/>
    <xf numFmtId="0" fontId="196" fillId="166" borderId="2" xfId="31" applyFont="1" applyFill="1" applyAlignment="1">
      <alignment horizontal="left" vertical="center"/>
    </xf>
    <xf numFmtId="0" fontId="197" fillId="166" borderId="2" xfId="8" applyFont="1" applyFill="1" applyAlignment="1">
      <alignment vertical="center"/>
    </xf>
    <xf numFmtId="0" fontId="194" fillId="166" borderId="2" xfId="8" applyFont="1" applyFill="1" applyAlignment="1">
      <alignment horizontal="center" vertical="center"/>
    </xf>
    <xf numFmtId="0" fontId="193" fillId="166" borderId="2" xfId="8" applyFont="1" applyFill="1" applyAlignment="1">
      <alignment vertical="center"/>
    </xf>
    <xf numFmtId="175" fontId="198" fillId="166" borderId="139" xfId="29" applyNumberFormat="1" applyFont="1" applyFill="1" applyBorder="1" applyAlignment="1">
      <alignment horizontal="center" vertical="center"/>
    </xf>
    <xf numFmtId="176" fontId="199" fillId="171" borderId="172" xfId="32" applyNumberFormat="1" applyFont="1" applyFill="1" applyBorder="1" applyAlignment="1" applyProtection="1">
      <alignment horizontal="center" vertical="center"/>
      <protection locked="0"/>
    </xf>
    <xf numFmtId="177" fontId="200" fillId="172" borderId="173" xfId="8" applyNumberFormat="1" applyFont="1" applyFill="1" applyBorder="1" applyAlignment="1">
      <alignment horizontal="center" vertical="center"/>
    </xf>
    <xf numFmtId="0" fontId="201" fillId="166" borderId="2" xfId="8" applyFont="1" applyFill="1" applyAlignment="1">
      <alignment horizontal="right" vertical="center"/>
    </xf>
    <xf numFmtId="0" fontId="192" fillId="166" borderId="2" xfId="8" applyFont="1" applyFill="1" applyAlignment="1">
      <alignment horizontal="center" vertical="center"/>
    </xf>
    <xf numFmtId="0" fontId="202" fillId="166" borderId="2" xfId="32" applyFont="1" applyFill="1" applyAlignment="1">
      <alignment horizontal="left" vertical="center"/>
    </xf>
    <xf numFmtId="0" fontId="203" fillId="166" borderId="2" xfId="32" applyFont="1" applyFill="1" applyAlignment="1">
      <alignment horizontal="left" vertical="center"/>
    </xf>
    <xf numFmtId="0" fontId="204" fillId="166" borderId="2" xfId="32" applyFont="1" applyFill="1" applyAlignment="1">
      <alignment horizontal="left" vertical="center"/>
    </xf>
    <xf numFmtId="0" fontId="205" fillId="166" borderId="2" xfId="32" applyFont="1" applyFill="1" applyAlignment="1">
      <alignment horizontal="left" vertical="center"/>
    </xf>
    <xf numFmtId="0" fontId="206" fillId="166" borderId="2" xfId="32" applyFont="1" applyFill="1" applyAlignment="1">
      <alignment horizontal="left" vertical="center"/>
    </xf>
    <xf numFmtId="0" fontId="207" fillId="166" borderId="2" xfId="32" applyFont="1" applyFill="1" applyAlignment="1">
      <alignment horizontal="left" vertical="center"/>
    </xf>
    <xf numFmtId="0" fontId="208" fillId="166" borderId="2" xfId="32" applyFont="1" applyFill="1" applyAlignment="1">
      <alignment horizontal="left" vertical="center"/>
    </xf>
    <xf numFmtId="0" fontId="209" fillId="166" borderId="2" xfId="32" applyFont="1" applyFill="1" applyAlignment="1">
      <alignment horizontal="left" vertical="center"/>
    </xf>
    <xf numFmtId="0" fontId="210" fillId="166" borderId="2" xfId="32" applyFont="1" applyFill="1" applyAlignment="1">
      <alignment horizontal="left" vertical="center"/>
    </xf>
    <xf numFmtId="0" fontId="211" fillId="166" borderId="2" xfId="8" applyFont="1" applyFill="1" applyAlignment="1">
      <alignment vertical="center"/>
    </xf>
    <xf numFmtId="0" fontId="212" fillId="104" borderId="2" xfId="8" applyFont="1" applyFill="1" applyAlignment="1">
      <alignment horizontal="center" vertical="center"/>
    </xf>
    <xf numFmtId="0" fontId="213" fillId="104" borderId="2" xfId="8" applyFont="1" applyFill="1" applyAlignment="1">
      <alignment horizontal="center" vertical="center"/>
    </xf>
    <xf numFmtId="0" fontId="214" fillId="104" borderId="2" xfId="8" applyFont="1" applyFill="1" applyAlignment="1">
      <alignment horizontal="center" vertical="center"/>
    </xf>
    <xf numFmtId="0" fontId="215" fillId="104" borderId="2" xfId="8" applyFont="1" applyFill="1" applyAlignment="1">
      <alignment horizontal="center" vertical="center"/>
    </xf>
    <xf numFmtId="0" fontId="216" fillId="104" borderId="2" xfId="8" applyFont="1" applyFill="1" applyAlignment="1">
      <alignment horizontal="center" vertical="center"/>
    </xf>
    <xf numFmtId="0" fontId="217" fillId="104" borderId="2" xfId="8" applyFont="1" applyFill="1" applyAlignment="1">
      <alignment horizontal="center" vertical="center"/>
    </xf>
    <xf numFmtId="0" fontId="218" fillId="104" borderId="2" xfId="8" applyFont="1" applyFill="1" applyAlignment="1">
      <alignment horizontal="center" vertical="center"/>
    </xf>
    <xf numFmtId="0" fontId="219" fillId="104" borderId="2" xfId="8" applyFont="1" applyFill="1" applyAlignment="1">
      <alignment horizontal="center" vertical="center"/>
    </xf>
    <xf numFmtId="0" fontId="220" fillId="104" borderId="2" xfId="8" applyFont="1" applyFill="1" applyAlignment="1">
      <alignment horizontal="center" vertical="center"/>
    </xf>
    <xf numFmtId="0" fontId="221" fillId="104" borderId="2" xfId="8" applyFont="1" applyFill="1" applyAlignment="1">
      <alignment horizontal="center" vertical="center"/>
    </xf>
    <xf numFmtId="0" fontId="222" fillId="104" borderId="2" xfId="8" applyFont="1" applyFill="1" applyAlignment="1">
      <alignment horizontal="center" vertical="center"/>
    </xf>
    <xf numFmtId="0" fontId="223" fillId="104" borderId="2" xfId="8" applyFont="1" applyFill="1" applyAlignment="1">
      <alignment horizontal="center" vertical="center"/>
    </xf>
    <xf numFmtId="0" fontId="224" fillId="104" borderId="2" xfId="8" applyFont="1" applyFill="1" applyAlignment="1">
      <alignment horizontal="center" vertical="center"/>
    </xf>
    <xf numFmtId="0" fontId="225" fillId="104" borderId="2" xfId="8" applyFont="1" applyFill="1" applyAlignment="1">
      <alignment horizontal="center" vertical="center"/>
    </xf>
    <xf numFmtId="0" fontId="226" fillId="104" borderId="2" xfId="8" applyFont="1" applyFill="1" applyAlignment="1">
      <alignment horizontal="center" vertical="center"/>
    </xf>
    <xf numFmtId="0" fontId="227" fillId="104" borderId="2" xfId="8" applyFont="1" applyFill="1" applyAlignment="1">
      <alignment horizontal="center" vertical="center"/>
    </xf>
    <xf numFmtId="0" fontId="228" fillId="104" borderId="2" xfId="8" applyFont="1" applyFill="1" applyAlignment="1">
      <alignment horizontal="center" vertical="center"/>
    </xf>
    <xf numFmtId="0" fontId="229" fillId="104" borderId="2" xfId="8" applyFont="1" applyFill="1" applyAlignment="1">
      <alignment horizontal="center" vertical="center"/>
    </xf>
    <xf numFmtId="0" fontId="3" fillId="166" borderId="2" xfId="30" applyFill="1"/>
    <xf numFmtId="0" fontId="230" fillId="30" borderId="20" xfId="8" applyFont="1" applyFill="1" applyBorder="1" applyAlignment="1">
      <alignment horizontal="center" vertical="center"/>
    </xf>
    <xf numFmtId="0" fontId="231" fillId="0" borderId="105" xfId="33" applyFont="1" applyBorder="1" applyAlignment="1">
      <alignment horizontal="center" vertical="center"/>
    </xf>
    <xf numFmtId="0" fontId="232" fillId="173" borderId="20" xfId="8" applyFont="1" applyFill="1" applyBorder="1" applyAlignment="1">
      <alignment horizontal="center" vertical="center"/>
    </xf>
    <xf numFmtId="0" fontId="232" fillId="174" borderId="20" xfId="8" applyFont="1" applyFill="1" applyBorder="1" applyAlignment="1">
      <alignment horizontal="center" vertical="center"/>
    </xf>
    <xf numFmtId="0" fontId="233" fillId="166" borderId="2" xfId="8" applyFont="1" applyFill="1" applyAlignment="1" applyProtection="1">
      <alignment horizontal="left" vertical="center"/>
      <protection hidden="1"/>
    </xf>
    <xf numFmtId="0" fontId="234" fillId="166" borderId="2" xfId="8" applyFont="1" applyFill="1" applyProtection="1">
      <protection hidden="1"/>
    </xf>
    <xf numFmtId="0" fontId="235" fillId="166" borderId="2" xfId="30" applyFont="1" applyFill="1" applyAlignment="1">
      <alignment vertical="center"/>
    </xf>
    <xf numFmtId="0" fontId="236" fillId="166" borderId="2" xfId="30" applyFont="1" applyFill="1" applyAlignment="1">
      <alignment vertical="center"/>
    </xf>
    <xf numFmtId="0" fontId="233" fillId="166" borderId="2" xfId="8" applyFont="1" applyFill="1" applyAlignment="1" applyProtection="1">
      <alignment vertical="center"/>
      <protection hidden="1"/>
    </xf>
    <xf numFmtId="0" fontId="237" fillId="166" borderId="2" xfId="30" applyFont="1" applyFill="1"/>
    <xf numFmtId="0" fontId="233" fillId="166" borderId="2" xfId="32" applyFont="1" applyFill="1" applyAlignment="1">
      <alignment horizontal="left" vertical="center"/>
    </xf>
    <xf numFmtId="0" fontId="238" fillId="166" borderId="2" xfId="32" applyFont="1" applyFill="1" applyAlignment="1">
      <alignment horizontal="left" vertical="center"/>
    </xf>
    <xf numFmtId="0" fontId="235" fillId="166" borderId="2" xfId="32" applyFont="1" applyFill="1" applyAlignment="1">
      <alignment horizontal="left" vertical="center"/>
    </xf>
    <xf numFmtId="0" fontId="240" fillId="166" borderId="2" xfId="34" applyFont="1" applyFill="1" applyBorder="1" applyAlignment="1">
      <alignment vertical="center"/>
    </xf>
    <xf numFmtId="0" fontId="241" fillId="102" borderId="3" xfId="8" applyFont="1" applyFill="1" applyBorder="1" applyAlignment="1">
      <alignment vertical="center"/>
    </xf>
    <xf numFmtId="0" fontId="241" fillId="102" borderId="44" xfId="8" applyFont="1" applyFill="1" applyBorder="1" applyAlignment="1">
      <alignment vertical="center"/>
    </xf>
    <xf numFmtId="0" fontId="172" fillId="102" borderId="44" xfId="8" applyFont="1" applyFill="1" applyBorder="1" applyAlignment="1">
      <alignment vertical="center"/>
    </xf>
    <xf numFmtId="0" fontId="172" fillId="102" borderId="4" xfId="8" applyFont="1" applyFill="1" applyBorder="1" applyAlignment="1">
      <alignment vertical="center"/>
    </xf>
    <xf numFmtId="0" fontId="172" fillId="102" borderId="5" xfId="8" applyFont="1" applyFill="1" applyBorder="1" applyAlignment="1">
      <alignment vertical="center"/>
    </xf>
    <xf numFmtId="0" fontId="242" fillId="102" borderId="2" xfId="8" applyFont="1" applyFill="1" applyAlignment="1">
      <alignment horizontal="left" vertical="center"/>
    </xf>
    <xf numFmtId="0" fontId="172" fillId="102" borderId="2" xfId="8" applyFont="1" applyFill="1" applyAlignment="1">
      <alignment vertical="center"/>
    </xf>
    <xf numFmtId="0" fontId="172" fillId="102" borderId="6" xfId="8" applyFont="1" applyFill="1" applyBorder="1" applyAlignment="1">
      <alignment vertical="center"/>
    </xf>
    <xf numFmtId="0" fontId="243" fillId="102" borderId="2" xfId="8" applyFont="1" applyFill="1" applyAlignment="1">
      <alignment horizontal="left" vertical="center"/>
    </xf>
    <xf numFmtId="0" fontId="244" fillId="102" borderId="2" xfId="8" applyFont="1" applyFill="1" applyAlignment="1">
      <alignment horizontal="left" vertical="center"/>
    </xf>
    <xf numFmtId="0" fontId="172" fillId="102" borderId="8" xfId="8" applyFont="1" applyFill="1" applyBorder="1" applyAlignment="1">
      <alignment vertical="center"/>
    </xf>
    <xf numFmtId="0" fontId="246" fillId="166" borderId="2" xfId="20" applyFont="1" applyFill="1" applyAlignment="1">
      <alignment vertical="center"/>
    </xf>
    <xf numFmtId="0" fontId="247" fillId="166" borderId="2" xfId="20" applyFont="1" applyFill="1" applyAlignment="1">
      <alignment vertical="center"/>
    </xf>
    <xf numFmtId="0" fontId="248" fillId="166" borderId="2" xfId="8" applyFont="1" applyFill="1" applyAlignment="1">
      <alignment horizontal="center" vertical="center"/>
    </xf>
    <xf numFmtId="0" fontId="249" fillId="166" borderId="2" xfId="32" applyFont="1" applyFill="1" applyAlignment="1">
      <alignment horizontal="left" vertical="top"/>
    </xf>
    <xf numFmtId="0" fontId="250" fillId="102" borderId="2" xfId="8" applyFont="1" applyFill="1" applyAlignment="1">
      <alignment vertical="center"/>
    </xf>
    <xf numFmtId="0" fontId="45" fillId="102" borderId="2" xfId="8" applyFill="1" applyProtection="1">
      <protection hidden="1"/>
    </xf>
    <xf numFmtId="0" fontId="251" fillId="102" borderId="2" xfId="8" applyFont="1" applyFill="1" applyAlignment="1">
      <alignment vertical="center"/>
    </xf>
    <xf numFmtId="178" fontId="252" fillId="102" borderId="2" xfId="8" applyNumberFormat="1" applyFont="1" applyFill="1" applyAlignment="1">
      <alignment vertical="center"/>
    </xf>
    <xf numFmtId="0" fontId="251" fillId="102" borderId="2" xfId="8" applyFont="1" applyFill="1" applyAlignment="1">
      <alignment horizontal="left" vertical="center"/>
    </xf>
    <xf numFmtId="0" fontId="253" fillId="175" borderId="2" xfId="8" applyFont="1" applyFill="1" applyAlignment="1">
      <alignment horizontal="center" vertical="center"/>
    </xf>
    <xf numFmtId="0" fontId="254" fillId="52" borderId="21" xfId="8" applyFont="1" applyFill="1" applyBorder="1" applyAlignment="1">
      <alignment horizontal="center" vertical="center"/>
    </xf>
    <xf numFmtId="0" fontId="254" fillId="52" borderId="2" xfId="8" applyFont="1" applyFill="1" applyAlignment="1">
      <alignment horizontal="center" vertical="center"/>
    </xf>
    <xf numFmtId="0" fontId="255" fillId="166" borderId="2" xfId="8" applyFont="1" applyFill="1" applyAlignment="1">
      <alignment vertical="center"/>
    </xf>
    <xf numFmtId="0" fontId="255" fillId="166" borderId="20" xfId="8" applyFont="1" applyFill="1" applyBorder="1" applyAlignment="1">
      <alignment vertical="center"/>
    </xf>
    <xf numFmtId="0" fontId="256" fillId="102" borderId="2" xfId="8" applyFont="1" applyFill="1" applyAlignment="1">
      <alignment horizontal="center" vertical="center"/>
    </xf>
    <xf numFmtId="0" fontId="257" fillId="102" borderId="2" xfId="8" applyFont="1" applyFill="1" applyAlignment="1">
      <alignment horizontal="center" vertical="center"/>
    </xf>
    <xf numFmtId="0" fontId="255" fillId="176" borderId="2" xfId="8" applyFont="1" applyFill="1" applyAlignment="1">
      <alignment vertical="center"/>
    </xf>
    <xf numFmtId="0" fontId="45" fillId="176" borderId="2" xfId="8" applyFill="1" applyAlignment="1">
      <alignment vertical="center"/>
    </xf>
    <xf numFmtId="0" fontId="255" fillId="166" borderId="2" xfId="8" applyFont="1" applyFill="1" applyAlignment="1">
      <alignment horizontal="right" vertical="center"/>
    </xf>
    <xf numFmtId="0" fontId="259" fillId="166" borderId="2" xfId="35" applyFont="1" applyFill="1" applyAlignment="1" applyProtection="1">
      <alignment vertical="center"/>
    </xf>
    <xf numFmtId="0" fontId="255" fillId="166" borderId="2" xfId="36" applyFont="1" applyFill="1" applyAlignment="1">
      <alignment vertical="center"/>
    </xf>
    <xf numFmtId="0" fontId="255" fillId="166" borderId="2" xfId="20" applyFont="1" applyFill="1" applyAlignment="1">
      <alignment horizontal="center" vertical="top"/>
    </xf>
    <xf numFmtId="0" fontId="246" fillId="166" borderId="2" xfId="8" applyFont="1" applyFill="1" applyAlignment="1">
      <alignment vertical="center"/>
    </xf>
    <xf numFmtId="0" fontId="260" fillId="166" borderId="2" xfId="8" applyFont="1" applyFill="1" applyProtection="1">
      <protection hidden="1"/>
    </xf>
    <xf numFmtId="0" fontId="261" fillId="166" borderId="2" xfId="8" applyFont="1" applyFill="1" applyAlignment="1">
      <alignment vertical="center"/>
    </xf>
    <xf numFmtId="0" fontId="262" fillId="166" borderId="2" xfId="8" applyFont="1" applyFill="1" applyAlignment="1">
      <alignment vertical="center"/>
    </xf>
    <xf numFmtId="0" fontId="182" fillId="166" borderId="2" xfId="8" applyFont="1" applyFill="1" applyAlignment="1">
      <alignment vertical="center"/>
    </xf>
    <xf numFmtId="0" fontId="263" fillId="166" borderId="2" xfId="8" applyFont="1" applyFill="1" applyAlignment="1">
      <alignment horizontal="center" vertical="center"/>
    </xf>
    <xf numFmtId="0" fontId="260" fillId="166" borderId="2" xfId="20" applyFont="1" applyFill="1" applyAlignment="1">
      <alignment vertical="center"/>
    </xf>
    <xf numFmtId="0" fontId="255" fillId="166" borderId="2" xfId="20" applyFont="1" applyFill="1" applyAlignment="1">
      <alignment horizontal="center" vertical="center"/>
    </xf>
    <xf numFmtId="0" fontId="140" fillId="166" borderId="2" xfId="30" applyFont="1" applyFill="1"/>
    <xf numFmtId="0" fontId="178" fillId="166" borderId="2" xfId="8" applyFont="1" applyFill="1" applyAlignment="1">
      <alignment vertical="center"/>
    </xf>
    <xf numFmtId="0" fontId="16" fillId="44" borderId="3" xfId="5" applyFont="1" applyFill="1" applyBorder="1" applyAlignment="1">
      <alignment horizontal="right" vertical="center"/>
    </xf>
    <xf numFmtId="0" fontId="16" fillId="44" borderId="4" xfId="5" applyFont="1" applyFill="1" applyBorder="1" applyAlignment="1">
      <alignment horizontal="center" vertical="center"/>
    </xf>
    <xf numFmtId="0" fontId="16" fillId="44" borderId="5" xfId="5" applyFont="1" applyFill="1" applyBorder="1" applyAlignment="1">
      <alignment horizontal="right" vertical="center"/>
    </xf>
    <xf numFmtId="0" fontId="16" fillId="44" borderId="6" xfId="5" applyFont="1" applyFill="1" applyBorder="1" applyAlignment="1">
      <alignment horizontal="center" vertical="center"/>
    </xf>
    <xf numFmtId="0" fontId="16" fillId="44" borderId="7" xfId="5" applyFont="1" applyFill="1" applyBorder="1" applyAlignment="1">
      <alignment horizontal="right" vertical="center"/>
    </xf>
    <xf numFmtId="0" fontId="16" fillId="44" borderId="8" xfId="5" applyFont="1" applyFill="1" applyBorder="1" applyAlignment="1">
      <alignment horizontal="center" vertical="center"/>
    </xf>
    <xf numFmtId="0" fontId="264" fillId="102" borderId="2" xfId="8" applyFont="1" applyFill="1" applyAlignment="1">
      <alignment horizontal="left" vertical="center"/>
    </xf>
    <xf numFmtId="0" fontId="8" fillId="22" borderId="2" xfId="39" applyFont="1" applyFill="1" applyAlignment="1">
      <alignment horizontal="left" vertical="center"/>
    </xf>
    <xf numFmtId="0" fontId="31" fillId="0" borderId="2" xfId="25" applyFont="1" applyAlignment="1">
      <alignment vertical="center" wrapText="1"/>
    </xf>
    <xf numFmtId="0" fontId="31" fillId="0" borderId="2" xfId="25" applyFont="1" applyAlignment="1">
      <alignment horizontal="right" vertical="center" wrapText="1"/>
    </xf>
    <xf numFmtId="0" fontId="8" fillId="0" borderId="2" xfId="25" applyFont="1" applyAlignment="1">
      <alignment vertical="center"/>
    </xf>
    <xf numFmtId="0" fontId="8" fillId="0" borderId="2" xfId="25" applyFont="1" applyAlignment="1">
      <alignment horizontal="right" vertical="center" wrapText="1"/>
    </xf>
    <xf numFmtId="0" fontId="8" fillId="0" borderId="2" xfId="25" applyFont="1" applyAlignment="1">
      <alignment vertical="center" wrapText="1"/>
    </xf>
    <xf numFmtId="0" fontId="97" fillId="0" borderId="2" xfId="25" applyFont="1" applyAlignment="1">
      <alignment horizontal="right" vertical="center" wrapText="1"/>
    </xf>
    <xf numFmtId="0" fontId="8" fillId="0" borderId="2" xfId="25" applyFont="1" applyAlignment="1">
      <alignment horizontal="left" vertical="center" wrapText="1"/>
    </xf>
    <xf numFmtId="0" fontId="68" fillId="182" borderId="8" xfId="21" applyFont="1" applyFill="1" applyBorder="1" applyAlignment="1">
      <alignment horizontal="center" vertical="center"/>
    </xf>
    <xf numFmtId="0" fontId="8" fillId="0" borderId="2" xfId="42" applyFont="1" applyAlignment="1">
      <alignment horizontal="center" vertical="center" wrapText="1"/>
    </xf>
    <xf numFmtId="0" fontId="8" fillId="0" borderId="2" xfId="42" applyFont="1" applyAlignment="1">
      <alignment horizontal="left" vertical="center" wrapText="1"/>
    </xf>
    <xf numFmtId="0" fontId="8" fillId="0" borderId="2" xfId="42" applyFont="1" applyAlignment="1">
      <alignment vertical="center" wrapText="1"/>
    </xf>
    <xf numFmtId="0" fontId="70" fillId="0" borderId="2" xfId="42" applyFont="1" applyAlignment="1">
      <alignment vertical="center"/>
    </xf>
    <xf numFmtId="0" fontId="19" fillId="133" borderId="181" xfId="42" applyFont="1" applyFill="1" applyBorder="1" applyAlignment="1">
      <alignment horizontal="center" vertical="center" wrapText="1"/>
    </xf>
    <xf numFmtId="0" fontId="19" fillId="133" borderId="182" xfId="42" applyFont="1" applyFill="1" applyBorder="1" applyAlignment="1">
      <alignment horizontal="left" vertical="center" wrapText="1"/>
    </xf>
    <xf numFmtId="0" fontId="19" fillId="133" borderId="182" xfId="42" applyFont="1" applyFill="1" applyBorder="1" applyAlignment="1">
      <alignment vertical="center" wrapText="1"/>
    </xf>
    <xf numFmtId="0" fontId="19" fillId="133" borderId="183" xfId="42" applyFont="1" applyFill="1" applyBorder="1" applyAlignment="1">
      <alignment vertical="center" wrapText="1"/>
    </xf>
    <xf numFmtId="0" fontId="8" fillId="0" borderId="184" xfId="42" applyFont="1" applyBorder="1" applyAlignment="1">
      <alignment horizontal="center" vertical="center" wrapText="1"/>
    </xf>
    <xf numFmtId="0" fontId="8" fillId="0" borderId="9" xfId="42" applyFont="1" applyBorder="1" applyAlignment="1">
      <alignment horizontal="left" vertical="center" wrapText="1"/>
    </xf>
    <xf numFmtId="0" fontId="8" fillId="0" borderId="9" xfId="42" applyFont="1" applyBorder="1" applyAlignment="1">
      <alignment vertical="center" wrapText="1"/>
    </xf>
    <xf numFmtId="0" fontId="8" fillId="0" borderId="185" xfId="42" applyFont="1" applyBorder="1" applyAlignment="1">
      <alignment vertical="center" wrapText="1"/>
    </xf>
    <xf numFmtId="0" fontId="8" fillId="0" borderId="186" xfId="42" applyFont="1" applyBorder="1" applyAlignment="1">
      <alignment horizontal="center" vertical="center" wrapText="1"/>
    </xf>
    <xf numFmtId="0" fontId="8" fillId="0" borderId="187" xfId="42" applyFont="1" applyBorder="1" applyAlignment="1">
      <alignment horizontal="left" vertical="center" wrapText="1"/>
    </xf>
    <xf numFmtId="0" fontId="8" fillId="0" borderId="187" xfId="42" applyFont="1" applyBorder="1" applyAlignment="1">
      <alignment vertical="center" wrapText="1"/>
    </xf>
    <xf numFmtId="0" fontId="8" fillId="0" borderId="188" xfId="42" applyFont="1" applyBorder="1" applyAlignment="1">
      <alignment vertical="center" wrapText="1"/>
    </xf>
    <xf numFmtId="0" fontId="12" fillId="0" borderId="2" xfId="25" applyFont="1" applyAlignment="1">
      <alignment horizontal="right" vertical="center" wrapText="1"/>
    </xf>
    <xf numFmtId="0" fontId="40" fillId="0" borderId="2" xfId="25" applyFont="1" applyAlignment="1">
      <alignment horizontal="left" vertical="center"/>
    </xf>
    <xf numFmtId="0" fontId="8" fillId="0" borderId="2" xfId="42" applyFont="1" applyAlignment="1">
      <alignment vertical="center"/>
    </xf>
    <xf numFmtId="0" fontId="24" fillId="0" borderId="2" xfId="25" applyFont="1" applyAlignment="1">
      <alignment horizontal="right" vertical="center"/>
    </xf>
    <xf numFmtId="0" fontId="24" fillId="0" borderId="2" xfId="42" applyFont="1" applyAlignment="1">
      <alignment horizontal="left" vertical="center"/>
    </xf>
    <xf numFmtId="0" fontId="8" fillId="0" borderId="2" xfId="42" applyFont="1" applyAlignment="1">
      <alignment horizontal="left" vertical="center"/>
    </xf>
    <xf numFmtId="0" fontId="25" fillId="0" borderId="2" xfId="25" applyAlignment="1">
      <alignment vertical="center"/>
    </xf>
    <xf numFmtId="0" fontId="31" fillId="183" borderId="6" xfId="21" applyFont="1" applyFill="1" applyBorder="1" applyAlignment="1">
      <alignment horizontal="center" vertical="center"/>
    </xf>
    <xf numFmtId="0" fontId="52" fillId="0" borderId="2" xfId="43"/>
    <xf numFmtId="0" fontId="26" fillId="0" borderId="2" xfId="42" applyAlignment="1">
      <alignment vertical="center"/>
    </xf>
    <xf numFmtId="0" fontId="55" fillId="184" borderId="2" xfId="44" applyFont="1" applyFill="1" applyAlignment="1">
      <alignment horizontal="right" vertical="center" wrapText="1"/>
    </xf>
    <xf numFmtId="0" fontId="8" fillId="184" borderId="2" xfId="44" applyFont="1" applyFill="1" applyAlignment="1">
      <alignment horizontal="center" vertical="center"/>
    </xf>
    <xf numFmtId="0" fontId="67" fillId="185" borderId="2" xfId="44" applyFont="1" applyFill="1" applyAlignment="1">
      <alignment horizontal="right" vertical="center"/>
    </xf>
    <xf numFmtId="0" fontId="67" fillId="185" borderId="2" xfId="44" applyFont="1" applyFill="1" applyAlignment="1">
      <alignment horizontal="center" vertical="center"/>
    </xf>
    <xf numFmtId="0" fontId="55" fillId="186" borderId="2" xfId="44" applyFont="1" applyFill="1" applyAlignment="1">
      <alignment horizontal="right" vertical="center"/>
    </xf>
    <xf numFmtId="0" fontId="55" fillId="186" borderId="2" xfId="44" applyFont="1" applyFill="1" applyAlignment="1">
      <alignment horizontal="center" vertical="center"/>
    </xf>
    <xf numFmtId="0" fontId="67" fillId="187" borderId="2" xfId="44" applyFont="1" applyFill="1" applyAlignment="1">
      <alignment horizontal="right" vertical="center"/>
    </xf>
    <xf numFmtId="0" fontId="67" fillId="187" borderId="2" xfId="44" applyFont="1" applyFill="1" applyAlignment="1">
      <alignment horizontal="center" vertical="center"/>
    </xf>
    <xf numFmtId="0" fontId="28" fillId="131" borderId="2" xfId="42" applyFont="1" applyFill="1" applyAlignment="1">
      <alignment vertical="center"/>
    </xf>
    <xf numFmtId="0" fontId="30" fillId="131" borderId="2" xfId="42" applyFont="1" applyFill="1" applyAlignment="1">
      <alignment horizontal="center" vertical="center" wrapText="1"/>
    </xf>
    <xf numFmtId="0" fontId="268" fillId="68" borderId="2" xfId="45" applyFont="1" applyFill="1" applyAlignment="1">
      <alignment horizontal="center" vertical="center"/>
    </xf>
    <xf numFmtId="0" fontId="67" fillId="188" borderId="2" xfId="44" applyFont="1" applyFill="1" applyAlignment="1">
      <alignment horizontal="right" vertical="center"/>
    </xf>
    <xf numFmtId="0" fontId="46" fillId="188" borderId="2" xfId="44" applyFont="1" applyFill="1" applyAlignment="1">
      <alignment horizontal="center" vertical="center"/>
    </xf>
    <xf numFmtId="0" fontId="67" fillId="189" borderId="2" xfId="44" applyFont="1" applyFill="1" applyAlignment="1">
      <alignment horizontal="right" vertical="center"/>
    </xf>
    <xf numFmtId="0" fontId="67" fillId="189" borderId="2" xfId="44" applyFont="1" applyFill="1" applyAlignment="1">
      <alignment horizontal="center" vertical="center"/>
    </xf>
    <xf numFmtId="0" fontId="162" fillId="190" borderId="2" xfId="44" applyFont="1" applyFill="1" applyAlignment="1">
      <alignment horizontal="right" vertical="center"/>
    </xf>
    <xf numFmtId="0" fontId="162" fillId="190" borderId="2" xfId="44" applyFont="1" applyFill="1" applyAlignment="1">
      <alignment horizontal="center" vertical="center"/>
    </xf>
    <xf numFmtId="0" fontId="67" fillId="191" borderId="2" xfId="44" applyFont="1" applyFill="1" applyAlignment="1">
      <alignment horizontal="right" vertical="center"/>
    </xf>
    <xf numFmtId="0" fontId="67" fillId="191" borderId="2" xfId="44" applyFont="1" applyFill="1" applyAlignment="1">
      <alignment horizontal="center" vertical="center"/>
    </xf>
    <xf numFmtId="0" fontId="55" fillId="0" borderId="2" xfId="42" applyFont="1" applyAlignment="1">
      <alignment vertical="center" wrapText="1"/>
    </xf>
    <xf numFmtId="0" fontId="55" fillId="0" borderId="174" xfId="42" applyFont="1" applyBorder="1" applyAlignment="1">
      <alignment vertical="center" wrapText="1"/>
    </xf>
    <xf numFmtId="0" fontId="55" fillId="192" borderId="2" xfId="44" applyFont="1" applyFill="1" applyAlignment="1">
      <alignment horizontal="right" vertical="center"/>
    </xf>
    <xf numFmtId="0" fontId="8" fillId="192" borderId="2" xfId="44" applyFont="1" applyFill="1" applyAlignment="1">
      <alignment horizontal="center" vertical="center"/>
    </xf>
    <xf numFmtId="0" fontId="55" fillId="193" borderId="2" xfId="44" applyFont="1" applyFill="1" applyAlignment="1">
      <alignment horizontal="right" vertical="center"/>
    </xf>
    <xf numFmtId="0" fontId="55" fillId="193" borderId="2" xfId="44" applyFont="1" applyFill="1" applyAlignment="1">
      <alignment horizontal="center" vertical="center"/>
    </xf>
    <xf numFmtId="0" fontId="55" fillId="194" borderId="2" xfId="44" applyFont="1" applyFill="1" applyAlignment="1">
      <alignment horizontal="right" vertical="center"/>
    </xf>
    <xf numFmtId="0" fontId="55" fillId="194" borderId="2" xfId="44" applyFont="1" applyFill="1" applyAlignment="1">
      <alignment horizontal="center" vertical="center"/>
    </xf>
    <xf numFmtId="0" fontId="51" fillId="0" borderId="2" xfId="42" applyFont="1" applyAlignment="1">
      <alignment vertical="center" wrapText="1"/>
    </xf>
    <xf numFmtId="0" fontId="51" fillId="0" borderId="2" xfId="42" applyFont="1" applyAlignment="1">
      <alignment horizontal="left" vertical="center" wrapText="1"/>
    </xf>
    <xf numFmtId="0" fontId="51" fillId="0" borderId="2" xfId="42" applyFont="1" applyAlignment="1">
      <alignment horizontal="left" vertical="center"/>
    </xf>
    <xf numFmtId="0" fontId="136" fillId="0" borderId="2" xfId="42" applyFont="1" applyAlignment="1">
      <alignment horizontal="left" vertical="center" wrapText="1"/>
    </xf>
    <xf numFmtId="0" fontId="28" fillId="22" borderId="2" xfId="45" applyFont="1" applyFill="1" applyAlignment="1">
      <alignment horizontal="right" vertical="center"/>
    </xf>
    <xf numFmtId="0" fontId="67" fillId="195" borderId="2" xfId="44" applyFont="1" applyFill="1" applyAlignment="1">
      <alignment horizontal="right" vertical="center"/>
    </xf>
    <xf numFmtId="0" fontId="46" fillId="195" borderId="2" xfId="44" applyFont="1" applyFill="1" applyAlignment="1">
      <alignment horizontal="center" vertical="center"/>
    </xf>
    <xf numFmtId="0" fontId="67" fillId="196" borderId="2" xfId="44" applyFont="1" applyFill="1" applyAlignment="1">
      <alignment horizontal="right" vertical="center"/>
    </xf>
    <xf numFmtId="0" fontId="67" fillId="196" borderId="2" xfId="44" applyFont="1" applyFill="1" applyAlignment="1">
      <alignment horizontal="center" vertical="center"/>
    </xf>
    <xf numFmtId="0" fontId="55" fillId="197" borderId="2" xfId="44" applyFont="1" applyFill="1" applyAlignment="1">
      <alignment horizontal="right" vertical="center"/>
    </xf>
    <xf numFmtId="0" fontId="55" fillId="197" borderId="2" xfId="44" applyFont="1" applyFill="1" applyAlignment="1">
      <alignment horizontal="center" vertical="center"/>
    </xf>
    <xf numFmtId="0" fontId="31" fillId="0" borderId="2" xfId="42" applyFont="1" applyAlignment="1">
      <alignment horizontal="left" vertical="center"/>
    </xf>
    <xf numFmtId="0" fontId="30" fillId="24" borderId="2" xfId="42" applyFont="1" applyFill="1" applyAlignment="1">
      <alignment horizontal="center" vertical="center" wrapText="1"/>
    </xf>
    <xf numFmtId="0" fontId="15" fillId="180" borderId="2" xfId="42" applyFont="1" applyFill="1" applyAlignment="1">
      <alignment horizontal="center" vertical="center" wrapText="1"/>
    </xf>
    <xf numFmtId="0" fontId="19" fillId="31" borderId="2" xfId="42" applyFont="1" applyFill="1" applyAlignment="1">
      <alignment horizontal="center" vertical="center" wrapText="1"/>
    </xf>
    <xf numFmtId="0" fontId="267" fillId="181" borderId="2" xfId="42" applyFont="1" applyFill="1" applyAlignment="1">
      <alignment horizontal="center" vertical="center" wrapText="1"/>
    </xf>
    <xf numFmtId="0" fontId="8" fillId="42" borderId="175" xfId="42" applyFont="1" applyFill="1" applyBorder="1" applyAlignment="1">
      <alignment horizontal="center" vertical="center" wrapText="1"/>
    </xf>
    <xf numFmtId="0" fontId="8" fillId="145" borderId="176" xfId="42" applyFont="1" applyFill="1" applyBorder="1" applyAlignment="1">
      <alignment horizontal="left" vertical="center" wrapText="1"/>
    </xf>
    <xf numFmtId="0" fontId="8" fillId="2" borderId="176" xfId="42" applyFont="1" applyFill="1" applyBorder="1" applyAlignment="1">
      <alignment vertical="center" wrapText="1"/>
    </xf>
    <xf numFmtId="0" fontId="8" fillId="148" borderId="176" xfId="42" applyFont="1" applyFill="1" applyBorder="1" applyAlignment="1">
      <alignment vertical="center" wrapText="1"/>
    </xf>
    <xf numFmtId="0" fontId="8" fillId="145" borderId="176" xfId="42" applyFont="1" applyFill="1" applyBorder="1" applyAlignment="1">
      <alignment horizontal="center" vertical="center" wrapText="1"/>
    </xf>
    <xf numFmtId="0" fontId="8" fillId="148" borderId="177" xfId="42" applyFont="1" applyFill="1" applyBorder="1" applyAlignment="1">
      <alignment horizontal="center" vertical="center" wrapText="1"/>
    </xf>
    <xf numFmtId="0" fontId="8" fillId="42" borderId="178" xfId="42" applyFont="1" applyFill="1" applyBorder="1" applyAlignment="1">
      <alignment horizontal="center" vertical="center" wrapText="1"/>
    </xf>
    <xf numFmtId="0" fontId="8" fillId="145" borderId="179" xfId="42" applyFont="1" applyFill="1" applyBorder="1" applyAlignment="1">
      <alignment horizontal="left" vertical="center" wrapText="1"/>
    </xf>
    <xf numFmtId="0" fontId="8" fillId="2" borderId="179" xfId="42" applyFont="1" applyFill="1" applyBorder="1" applyAlignment="1">
      <alignment vertical="center" wrapText="1"/>
    </xf>
    <xf numFmtId="0" fontId="8" fillId="148" borderId="179" xfId="42" applyFont="1" applyFill="1" applyBorder="1" applyAlignment="1">
      <alignment vertical="center" wrapText="1"/>
    </xf>
    <xf numFmtId="0" fontId="8" fillId="145" borderId="179" xfId="42" applyFont="1" applyFill="1" applyBorder="1" applyAlignment="1">
      <alignment horizontal="center" vertical="center" wrapText="1"/>
    </xf>
    <xf numFmtId="0" fontId="8" fillId="148" borderId="180" xfId="42" applyFont="1" applyFill="1" applyBorder="1" applyAlignment="1">
      <alignment horizontal="center" vertical="center" wrapText="1"/>
    </xf>
    <xf numFmtId="0" fontId="24" fillId="0" borderId="2" xfId="45" applyFont="1" applyAlignment="1">
      <alignment horizontal="right" vertical="center" wrapText="1"/>
    </xf>
    <xf numFmtId="0" fontId="24" fillId="0" borderId="2" xfId="45" applyFont="1" applyAlignment="1">
      <alignment vertical="center" wrapText="1"/>
    </xf>
    <xf numFmtId="0" fontId="97" fillId="0" borderId="2" xfId="45" applyFont="1" applyAlignment="1">
      <alignment horizontal="right" vertical="center" wrapText="1"/>
    </xf>
    <xf numFmtId="0" fontId="52" fillId="0" borderId="2" xfId="45" applyFont="1" applyAlignment="1">
      <alignment vertical="center"/>
    </xf>
    <xf numFmtId="0" fontId="52" fillId="0" borderId="2" xfId="45" applyFont="1" applyAlignment="1">
      <alignment vertical="center" wrapText="1"/>
    </xf>
    <xf numFmtId="0" fontId="78" fillId="0" borderId="2" xfId="45" applyFont="1" applyAlignment="1">
      <alignment horizontal="center" vertical="center" wrapText="1"/>
    </xf>
    <xf numFmtId="0" fontId="97" fillId="0" borderId="2" xfId="45" applyFont="1" applyAlignment="1">
      <alignment horizontal="right" vertical="center"/>
    </xf>
    <xf numFmtId="0" fontId="78" fillId="0" borderId="2" xfId="45" applyFont="1" applyAlignment="1">
      <alignment vertical="center" wrapText="1"/>
    </xf>
    <xf numFmtId="0" fontId="52" fillId="0" borderId="2" xfId="45" applyFont="1" applyAlignment="1">
      <alignment horizontal="right" vertical="center"/>
    </xf>
    <xf numFmtId="0" fontId="24" fillId="0" borderId="2" xfId="45" applyFont="1" applyAlignment="1">
      <alignment vertical="center"/>
    </xf>
    <xf numFmtId="0" fontId="40" fillId="0" borderId="2" xfId="45" applyFont="1" applyAlignment="1">
      <alignment horizontal="right" vertical="center"/>
    </xf>
    <xf numFmtId="0" fontId="24" fillId="0" borderId="2" xfId="45" applyFont="1" applyAlignment="1">
      <alignment horizontal="right" vertical="center"/>
    </xf>
    <xf numFmtId="0" fontId="78" fillId="0" borderId="2" xfId="45" applyFont="1" applyAlignment="1">
      <alignment vertical="center"/>
    </xf>
    <xf numFmtId="0" fontId="78" fillId="0" borderId="2" xfId="45" applyFont="1" applyAlignment="1">
      <alignment horizontal="right" vertical="center"/>
    </xf>
    <xf numFmtId="0" fontId="97" fillId="0" borderId="2" xfId="45" applyFont="1" applyAlignment="1">
      <alignment vertical="center"/>
    </xf>
    <xf numFmtId="0" fontId="31" fillId="0" borderId="2" xfId="45" applyFont="1" applyAlignment="1">
      <alignment horizontal="right" vertical="center"/>
    </xf>
    <xf numFmtId="0" fontId="8" fillId="0" borderId="2" xfId="45" applyFont="1" applyAlignment="1">
      <alignment vertical="center"/>
    </xf>
    <xf numFmtId="0" fontId="31" fillId="0" borderId="2" xfId="45" applyFont="1" applyAlignment="1">
      <alignment vertical="center"/>
    </xf>
    <xf numFmtId="0" fontId="8" fillId="0" borderId="2" xfId="45" applyFont="1" applyAlignment="1">
      <alignment horizontal="left" vertical="center"/>
    </xf>
    <xf numFmtId="0" fontId="26" fillId="0" borderId="2" xfId="42" applyAlignment="1">
      <alignment horizontal="left" vertical="center"/>
    </xf>
    <xf numFmtId="0" fontId="28" fillId="0" borderId="2" xfId="42" applyFont="1" applyAlignment="1">
      <alignment vertical="center"/>
    </xf>
    <xf numFmtId="0" fontId="55" fillId="0" borderId="189" xfId="42" applyFont="1" applyBorder="1" applyAlignment="1">
      <alignment vertical="center" wrapText="1"/>
    </xf>
    <xf numFmtId="0" fontId="55" fillId="0" borderId="190" xfId="42" applyFont="1" applyBorder="1" applyAlignment="1">
      <alignment vertical="center" wrapText="1"/>
    </xf>
    <xf numFmtId="0" fontId="39" fillId="30" borderId="2" xfId="27" applyFont="1" applyFill="1" applyAlignment="1">
      <alignment horizontal="right" vertical="center"/>
    </xf>
    <xf numFmtId="0" fontId="175" fillId="102" borderId="5" xfId="8" applyFont="1" applyFill="1" applyBorder="1" applyAlignment="1">
      <alignment horizontal="center" vertical="center"/>
    </xf>
    <xf numFmtId="0" fontId="175" fillId="102" borderId="2" xfId="8" applyFont="1" applyFill="1" applyAlignment="1">
      <alignment horizontal="center" vertical="center"/>
    </xf>
    <xf numFmtId="0" fontId="175" fillId="102" borderId="7" xfId="8" applyFont="1" applyFill="1" applyBorder="1" applyAlignment="1">
      <alignment horizontal="center" vertical="center"/>
    </xf>
    <xf numFmtId="0" fontId="175" fillId="102" borderId="14" xfId="8" applyFont="1" applyFill="1" applyBorder="1" applyAlignment="1">
      <alignment horizontal="center" vertical="center"/>
    </xf>
    <xf numFmtId="0" fontId="265" fillId="102" borderId="2" xfId="8" applyFont="1" applyFill="1" applyAlignment="1">
      <alignment horizontal="left" vertical="center" wrapText="1"/>
    </xf>
    <xf numFmtId="0" fontId="186" fillId="102" borderId="2" xfId="8" applyFont="1" applyFill="1" applyAlignment="1">
      <alignment horizontal="left" vertical="center" wrapText="1"/>
    </xf>
    <xf numFmtId="0" fontId="52" fillId="158" borderId="5" xfId="5" applyFont="1" applyFill="1" applyBorder="1" applyAlignment="1">
      <alignment horizontal="center" vertical="center"/>
    </xf>
    <xf numFmtId="0" fontId="97" fillId="158" borderId="2" xfId="5" applyFont="1" applyFill="1" applyAlignment="1">
      <alignment horizontal="right" vertical="center"/>
    </xf>
    <xf numFmtId="0" fontId="9" fillId="41" borderId="2" xfId="5" applyFont="1" applyFill="1" applyAlignment="1">
      <alignment horizontal="center" vertical="center"/>
    </xf>
    <xf numFmtId="0" fontId="18" fillId="32" borderId="3" xfId="5" applyFont="1" applyFill="1" applyBorder="1" applyAlignment="1">
      <alignment horizontal="center" vertical="center"/>
    </xf>
    <xf numFmtId="0" fontId="18" fillId="32" borderId="44" xfId="5" applyFont="1" applyFill="1" applyBorder="1" applyAlignment="1">
      <alignment horizontal="center" vertical="center"/>
    </xf>
    <xf numFmtId="0" fontId="18" fillId="32" borderId="4" xfId="5" applyFont="1" applyFill="1" applyBorder="1" applyAlignment="1">
      <alignment horizontal="center" vertical="center"/>
    </xf>
    <xf numFmtId="0" fontId="52" fillId="30" borderId="6" xfId="5" applyFont="1" applyFill="1" applyBorder="1" applyAlignment="1">
      <alignment horizontal="left" vertical="center"/>
    </xf>
    <xf numFmtId="0" fontId="10" fillId="161" borderId="5" xfId="5" applyFont="1" applyFill="1" applyBorder="1" applyAlignment="1">
      <alignment horizontal="center" vertical="center"/>
    </xf>
    <xf numFmtId="0" fontId="10" fillId="161" borderId="2" xfId="5" applyFont="1" applyFill="1" applyAlignment="1">
      <alignment horizontal="center" vertical="center"/>
    </xf>
    <xf numFmtId="0" fontId="52" fillId="158" borderId="2" xfId="5" applyFont="1" applyFill="1" applyAlignment="1">
      <alignment horizontal="left" vertical="center"/>
    </xf>
    <xf numFmtId="0" fontId="10" fillId="163" borderId="5" xfId="5" applyFont="1" applyFill="1" applyBorder="1" applyAlignment="1">
      <alignment horizontal="center" vertical="center"/>
    </xf>
    <xf numFmtId="0" fontId="10" fillId="163" borderId="2" xfId="5" applyFont="1" applyFill="1" applyAlignment="1">
      <alignment horizontal="center" vertical="center" wrapText="1"/>
    </xf>
    <xf numFmtId="0" fontId="10" fillId="163" borderId="2" xfId="5" applyFont="1" applyFill="1" applyAlignment="1">
      <alignment horizontal="center" vertical="center"/>
    </xf>
    <xf numFmtId="0" fontId="176" fillId="48" borderId="2" xfId="5" applyFont="1" applyFill="1" applyAlignment="1">
      <alignment horizontal="center" vertical="center"/>
    </xf>
    <xf numFmtId="0" fontId="52" fillId="158" borderId="6" xfId="5" applyFont="1" applyFill="1" applyBorder="1" applyAlignment="1">
      <alignment horizontal="left" vertical="center"/>
    </xf>
    <xf numFmtId="0" fontId="9" fillId="85" borderId="2" xfId="5" applyFont="1" applyFill="1" applyAlignment="1">
      <alignment horizontal="center" vertical="center"/>
    </xf>
    <xf numFmtId="0" fontId="176" fillId="72" borderId="2" xfId="5" applyFont="1" applyFill="1" applyAlignment="1">
      <alignment horizontal="center" vertical="center"/>
    </xf>
    <xf numFmtId="0" fontId="9" fillId="49" borderId="2" xfId="5" applyFont="1" applyFill="1" applyAlignment="1">
      <alignment horizontal="center" vertical="center"/>
    </xf>
    <xf numFmtId="0" fontId="9" fillId="160" borderId="2" xfId="5" applyFont="1" applyFill="1" applyAlignment="1">
      <alignment horizontal="center" vertical="center"/>
    </xf>
    <xf numFmtId="0" fontId="9" fillId="163" borderId="2" xfId="5" applyFont="1" applyFill="1" applyAlignment="1">
      <alignment horizontal="center" vertical="center"/>
    </xf>
    <xf numFmtId="0" fontId="9" fillId="62" borderId="2" xfId="5" applyFont="1" applyFill="1" applyAlignment="1">
      <alignment horizontal="center" vertical="center"/>
    </xf>
    <xf numFmtId="0" fontId="176" fillId="31" borderId="2" xfId="5" applyFont="1" applyFill="1" applyAlignment="1">
      <alignment horizontal="center" vertical="center"/>
    </xf>
    <xf numFmtId="0" fontId="10" fillId="109" borderId="5" xfId="5" applyFont="1" applyFill="1" applyBorder="1" applyAlignment="1">
      <alignment horizontal="center" vertical="center"/>
    </xf>
    <xf numFmtId="0" fontId="10" fillId="109" borderId="2" xfId="5" applyFont="1" applyFill="1" applyAlignment="1">
      <alignment horizontal="center" vertical="center"/>
    </xf>
    <xf numFmtId="0" fontId="10" fillId="85" borderId="5" xfId="5" applyFont="1" applyFill="1" applyBorder="1" applyAlignment="1">
      <alignment horizontal="center" vertical="center"/>
    </xf>
    <xf numFmtId="0" fontId="10" fillId="85" borderId="2" xfId="5" applyFont="1" applyFill="1" applyAlignment="1">
      <alignment horizontal="center" vertical="center"/>
    </xf>
    <xf numFmtId="0" fontId="9" fillId="59" borderId="2" xfId="5" applyFont="1" applyFill="1" applyAlignment="1">
      <alignment horizontal="center" vertical="center"/>
    </xf>
    <xf numFmtId="0" fontId="9" fillId="134" borderId="2" xfId="5" applyFont="1" applyFill="1" applyAlignment="1">
      <alignment horizontal="center" vertical="center"/>
    </xf>
    <xf numFmtId="0" fontId="9" fillId="165" borderId="2" xfId="5" applyFont="1" applyFill="1" applyAlignment="1">
      <alignment horizontal="center" vertical="center"/>
    </xf>
    <xf numFmtId="0" fontId="176" fillId="133" borderId="2" xfId="5" applyFont="1" applyFill="1" applyAlignment="1">
      <alignment horizontal="center" vertical="center"/>
    </xf>
    <xf numFmtId="0" fontId="9" fillId="164" borderId="2" xfId="5" applyFont="1" applyFill="1" applyAlignment="1">
      <alignment horizontal="center" vertical="center"/>
    </xf>
    <xf numFmtId="0" fontId="9" fillId="21" borderId="2" xfId="5" applyFont="1" applyFill="1" applyAlignment="1">
      <alignment horizontal="center" vertical="center"/>
    </xf>
    <xf numFmtId="0" fontId="9" fillId="57" borderId="2" xfId="5" applyFont="1" applyFill="1" applyAlignment="1">
      <alignment horizontal="center" vertical="center"/>
    </xf>
    <xf numFmtId="0" fontId="9" fillId="147" borderId="2" xfId="5" applyFont="1" applyFill="1" applyAlignment="1">
      <alignment horizontal="center" vertical="center"/>
    </xf>
    <xf numFmtId="0" fontId="19" fillId="48" borderId="5" xfId="5" applyFont="1" applyFill="1" applyBorder="1" applyAlignment="1">
      <alignment horizontal="center" vertical="center"/>
    </xf>
    <xf numFmtId="0" fontId="19" fillId="48" borderId="2" xfId="5" applyFont="1" applyFill="1" applyAlignment="1">
      <alignment horizontal="center" vertical="center"/>
    </xf>
    <xf numFmtId="0" fontId="9" fillId="73" borderId="2" xfId="5" applyFont="1" applyFill="1" applyAlignment="1">
      <alignment horizontal="center" vertical="center"/>
    </xf>
    <xf numFmtId="0" fontId="10" fillId="58" borderId="2" xfId="5" applyFont="1" applyFill="1" applyAlignment="1">
      <alignment horizontal="center" vertical="center"/>
    </xf>
    <xf numFmtId="0" fontId="8" fillId="0" borderId="6" xfId="5" applyFont="1" applyBorder="1" applyAlignment="1">
      <alignment horizontal="left" vertical="center" wrapText="1"/>
    </xf>
    <xf numFmtId="0" fontId="8" fillId="0" borderId="8" xfId="5" applyFont="1" applyBorder="1" applyAlignment="1">
      <alignment horizontal="left" vertical="center" wrapText="1"/>
    </xf>
    <xf numFmtId="0" fontId="6" fillId="95" borderId="2" xfId="5" applyFont="1" applyFill="1" applyAlignment="1">
      <alignment horizontal="center" vertical="center" wrapText="1"/>
    </xf>
    <xf numFmtId="0" fontId="8" fillId="30" borderId="2" xfId="5" applyFont="1" applyFill="1" applyAlignment="1">
      <alignment horizontal="left" vertical="center" wrapText="1"/>
    </xf>
    <xf numFmtId="0" fontId="31" fillId="0" borderId="2" xfId="5" applyFont="1" applyAlignment="1">
      <alignment horizontal="center" vertical="center" wrapText="1"/>
    </xf>
    <xf numFmtId="0" fontId="47" fillId="49" borderId="46" xfId="8" applyFont="1" applyFill="1" applyBorder="1" applyAlignment="1">
      <alignment horizontal="center" vertical="center"/>
    </xf>
    <xf numFmtId="0" fontId="47" fillId="49" borderId="17" xfId="8" applyFont="1" applyFill="1" applyBorder="1" applyAlignment="1">
      <alignment horizontal="center" vertical="center"/>
    </xf>
    <xf numFmtId="0" fontId="8" fillId="30" borderId="2" xfId="5" applyFont="1" applyFill="1" applyAlignment="1">
      <alignment horizontal="center" vertical="center" wrapText="1"/>
    </xf>
    <xf numFmtId="0" fontId="46" fillId="93" borderId="46" xfId="5" applyFont="1" applyFill="1" applyBorder="1" applyAlignment="1">
      <alignment horizontal="center" vertical="center" wrapText="1"/>
    </xf>
    <xf numFmtId="0" fontId="46" fillId="93" borderId="17" xfId="5" applyFont="1" applyFill="1" applyBorder="1" applyAlignment="1">
      <alignment horizontal="center" vertical="center" wrapText="1"/>
    </xf>
    <xf numFmtId="0" fontId="10" fillId="42" borderId="5" xfId="5" applyFont="1" applyFill="1" applyBorder="1" applyAlignment="1">
      <alignment horizontal="center" vertical="center" wrapText="1"/>
    </xf>
    <xf numFmtId="0" fontId="10" fillId="42" borderId="7" xfId="5" applyFont="1" applyFill="1" applyBorder="1" applyAlignment="1">
      <alignment horizontal="center" vertical="center" wrapText="1"/>
    </xf>
    <xf numFmtId="0" fontId="10" fillId="162" borderId="5" xfId="5" applyFont="1" applyFill="1" applyBorder="1" applyAlignment="1">
      <alignment horizontal="center" vertical="center"/>
    </xf>
    <xf numFmtId="0" fontId="10" fillId="162" borderId="2" xfId="5" applyFont="1" applyFill="1" applyAlignment="1">
      <alignment horizontal="center" vertical="center"/>
    </xf>
    <xf numFmtId="0" fontId="10" fillId="160" borderId="5" xfId="5" applyFont="1" applyFill="1" applyBorder="1" applyAlignment="1">
      <alignment horizontal="center" vertical="center"/>
    </xf>
    <xf numFmtId="0" fontId="10" fillId="160" borderId="2" xfId="5" applyFont="1" applyFill="1" applyAlignment="1">
      <alignment horizontal="center" vertical="center"/>
    </xf>
    <xf numFmtId="0" fontId="10" fillId="58" borderId="5" xfId="5" applyFont="1" applyFill="1" applyBorder="1" applyAlignment="1">
      <alignment horizontal="center" vertical="center"/>
    </xf>
    <xf numFmtId="0" fontId="8" fillId="50" borderId="46" xfId="5" applyFont="1" applyFill="1" applyBorder="1" applyAlignment="1">
      <alignment horizontal="center" vertical="center" wrapText="1"/>
    </xf>
    <xf numFmtId="0" fontId="8" fillId="50" borderId="17" xfId="5" applyFont="1" applyFill="1" applyBorder="1" applyAlignment="1">
      <alignment horizontal="center" vertical="center" wrapText="1"/>
    </xf>
    <xf numFmtId="0" fontId="8" fillId="52" borderId="46" xfId="5" applyFont="1" applyFill="1" applyBorder="1" applyAlignment="1">
      <alignment horizontal="center" vertical="center" wrapText="1"/>
    </xf>
    <xf numFmtId="0" fontId="8" fillId="52" borderId="17" xfId="5" applyFont="1" applyFill="1" applyBorder="1" applyAlignment="1">
      <alignment horizontal="center" vertical="center" wrapText="1"/>
    </xf>
    <xf numFmtId="0" fontId="46" fillId="96" borderId="46" xfId="5" applyFont="1" applyFill="1" applyBorder="1" applyAlignment="1">
      <alignment horizontal="center" vertical="center" wrapText="1"/>
    </xf>
    <xf numFmtId="0" fontId="46" fillId="96" borderId="17" xfId="5" applyFont="1" applyFill="1" applyBorder="1" applyAlignment="1">
      <alignment horizontal="center" vertical="center" wrapText="1"/>
    </xf>
    <xf numFmtId="0" fontId="46" fillId="92" borderId="46" xfId="5" applyFont="1" applyFill="1" applyBorder="1" applyAlignment="1">
      <alignment horizontal="center" vertical="center" wrapText="1"/>
    </xf>
    <xf numFmtId="0" fontId="46" fillId="92" borderId="17" xfId="5" applyFont="1" applyFill="1" applyBorder="1" applyAlignment="1">
      <alignment horizontal="center" vertical="center" wrapText="1"/>
    </xf>
    <xf numFmtId="0" fontId="47" fillId="57" borderId="46" xfId="8" applyFont="1" applyFill="1" applyBorder="1" applyAlignment="1">
      <alignment horizontal="center" vertical="center"/>
    </xf>
    <xf numFmtId="0" fontId="47" fillId="57" borderId="17" xfId="8" applyFont="1" applyFill="1" applyBorder="1" applyAlignment="1">
      <alignment horizontal="center" vertical="center"/>
    </xf>
    <xf numFmtId="0" fontId="8" fillId="98" borderId="46" xfId="8" applyFont="1" applyFill="1" applyBorder="1" applyAlignment="1">
      <alignment horizontal="center" vertical="center" wrapText="1"/>
    </xf>
    <xf numFmtId="0" fontId="8" fillId="98" borderId="17" xfId="8" applyFont="1" applyFill="1" applyBorder="1" applyAlignment="1">
      <alignment horizontal="center" vertical="center" wrapText="1"/>
    </xf>
    <xf numFmtId="0" fontId="49" fillId="90" borderId="46" xfId="8" applyFont="1" applyFill="1" applyBorder="1" applyAlignment="1">
      <alignment horizontal="center" vertical="center"/>
    </xf>
    <xf numFmtId="0" fontId="49" fillId="90" borderId="17" xfId="8" applyFont="1" applyFill="1" applyBorder="1" applyAlignment="1">
      <alignment horizontal="center" vertical="center"/>
    </xf>
    <xf numFmtId="0" fontId="46" fillId="99" borderId="46" xfId="9" applyFont="1" applyFill="1" applyBorder="1" applyAlignment="1">
      <alignment horizontal="center" vertical="center" wrapText="1"/>
    </xf>
    <xf numFmtId="0" fontId="46" fillId="99" borderId="17" xfId="9" applyFont="1" applyFill="1" applyBorder="1" applyAlignment="1">
      <alignment horizontal="center" vertical="center" wrapText="1"/>
    </xf>
    <xf numFmtId="0" fontId="8" fillId="101" borderId="46" xfId="5" applyFont="1" applyFill="1" applyBorder="1" applyAlignment="1">
      <alignment horizontal="center" vertical="center" wrapText="1"/>
    </xf>
    <xf numFmtId="0" fontId="8" fillId="101" borderId="17" xfId="5" applyFont="1" applyFill="1" applyBorder="1" applyAlignment="1">
      <alignment horizontal="center" vertical="center" wrapText="1"/>
    </xf>
    <xf numFmtId="0" fontId="8" fillId="94" borderId="46" xfId="5" applyFont="1" applyFill="1" applyBorder="1" applyAlignment="1">
      <alignment horizontal="center" vertical="center" wrapText="1"/>
    </xf>
    <xf numFmtId="0" fontId="8" fillId="94" borderId="17" xfId="5" applyFont="1" applyFill="1" applyBorder="1" applyAlignment="1">
      <alignment horizontal="center" vertical="center" wrapText="1"/>
    </xf>
    <xf numFmtId="0" fontId="69" fillId="57" borderId="46" xfId="5" applyFont="1" applyFill="1" applyBorder="1" applyAlignment="1">
      <alignment horizontal="center" vertical="center" wrapText="1"/>
    </xf>
    <xf numFmtId="0" fontId="69" fillId="57" borderId="17" xfId="5" applyFont="1" applyFill="1" applyBorder="1" applyAlignment="1">
      <alignment horizontal="center" vertical="center" wrapText="1"/>
    </xf>
    <xf numFmtId="0" fontId="31" fillId="0" borderId="2" xfId="5" applyFont="1" applyAlignment="1">
      <alignment horizontal="right" vertical="center" wrapText="1"/>
    </xf>
    <xf numFmtId="0" fontId="8" fillId="0" borderId="2" xfId="5" applyFont="1" applyAlignment="1">
      <alignment horizontal="left" vertical="center" wrapText="1"/>
    </xf>
    <xf numFmtId="0" fontId="27" fillId="3" borderId="2" xfId="5" applyFont="1" applyFill="1" applyAlignment="1">
      <alignment horizontal="center" vertical="center" wrapText="1"/>
    </xf>
    <xf numFmtId="0" fontId="8" fillId="30" borderId="2" xfId="26" applyFont="1" applyFill="1" applyAlignment="1">
      <alignment horizontal="left" vertical="center" wrapText="1"/>
    </xf>
    <xf numFmtId="0" fontId="19" fillId="138" borderId="2" xfId="25" applyFont="1" applyFill="1" applyAlignment="1">
      <alignment horizontal="center" vertical="center" wrapText="1"/>
    </xf>
    <xf numFmtId="0" fontId="18" fillId="137" borderId="38" xfId="25" applyFont="1" applyFill="1" applyBorder="1" applyAlignment="1">
      <alignment horizontal="center" vertical="center" wrapText="1"/>
    </xf>
    <xf numFmtId="0" fontId="11" fillId="12" borderId="2" xfId="5" applyFont="1" applyFill="1" applyAlignment="1">
      <alignment horizontal="left" vertical="center" wrapText="1"/>
    </xf>
    <xf numFmtId="0" fontId="17" fillId="7" borderId="2" xfId="5" applyFont="1" applyFill="1" applyAlignment="1">
      <alignment horizontal="center" vertical="center" wrapText="1"/>
    </xf>
    <xf numFmtId="0" fontId="11" fillId="2" borderId="2" xfId="5" applyFont="1" applyFill="1" applyAlignment="1">
      <alignment horizontal="left" vertical="center" wrapText="1"/>
    </xf>
    <xf numFmtId="0" fontId="11" fillId="11" borderId="2" xfId="5" applyFont="1" applyFill="1" applyAlignment="1">
      <alignment horizontal="center" vertical="center"/>
    </xf>
    <xf numFmtId="0" fontId="18" fillId="12" borderId="2" xfId="5" applyFont="1" applyFill="1" applyAlignment="1">
      <alignment horizontal="center" vertical="center" wrapText="1"/>
    </xf>
    <xf numFmtId="0" fontId="18" fillId="40" borderId="2" xfId="5" applyFont="1" applyFill="1" applyAlignment="1">
      <alignment horizontal="center" vertical="center" wrapText="1"/>
    </xf>
    <xf numFmtId="0" fontId="11" fillId="2" borderId="2" xfId="5" applyFont="1" applyFill="1" applyAlignment="1">
      <alignment vertical="center" wrapText="1"/>
    </xf>
    <xf numFmtId="0" fontId="11" fillId="11" borderId="2" xfId="5" applyFont="1" applyFill="1" applyAlignment="1">
      <alignment horizontal="left" vertical="center" wrapText="1"/>
    </xf>
    <xf numFmtId="0" fontId="16" fillId="18" borderId="2" xfId="5" applyFont="1" applyFill="1" applyAlignment="1">
      <alignment horizontal="center" vertical="center" wrapText="1"/>
    </xf>
    <xf numFmtId="0" fontId="16" fillId="18" borderId="2" xfId="5" applyFont="1" applyFill="1" applyAlignment="1">
      <alignment horizontal="right" vertical="center" wrapText="1"/>
    </xf>
    <xf numFmtId="0" fontId="17" fillId="7" borderId="2" xfId="5" applyFont="1" applyFill="1" applyAlignment="1">
      <alignment horizontal="left" vertical="center" wrapText="1"/>
    </xf>
    <xf numFmtId="0" fontId="11" fillId="11" borderId="2" xfId="4" applyFont="1" applyFill="1" applyAlignment="1">
      <alignment horizontal="left" vertical="center" wrapText="1"/>
    </xf>
    <xf numFmtId="0" fontId="11" fillId="12" borderId="2" xfId="4" applyFont="1" applyFill="1" applyAlignment="1">
      <alignment horizontal="left" vertical="center" wrapText="1"/>
    </xf>
    <xf numFmtId="0" fontId="11" fillId="11" borderId="2" xfId="4" applyFont="1" applyFill="1" applyAlignment="1">
      <alignment horizontal="center" vertical="center"/>
    </xf>
    <xf numFmtId="0" fontId="18" fillId="12" borderId="2" xfId="4" applyFont="1" applyFill="1" applyAlignment="1">
      <alignment horizontal="center" vertical="center" wrapText="1"/>
    </xf>
    <xf numFmtId="0" fontId="18" fillId="21" borderId="2" xfId="4" applyFont="1" applyFill="1" applyAlignment="1">
      <alignment horizontal="center" vertical="center" wrapText="1"/>
    </xf>
    <xf numFmtId="0" fontId="16" fillId="18" borderId="2" xfId="4" applyFont="1" applyFill="1" applyAlignment="1">
      <alignment horizontal="right" vertical="center" wrapText="1"/>
    </xf>
    <xf numFmtId="0" fontId="11" fillId="2" borderId="2" xfId="4" applyFont="1" applyFill="1" applyAlignment="1">
      <alignment horizontal="left" vertical="center" wrapText="1"/>
    </xf>
    <xf numFmtId="0" fontId="16" fillId="19" borderId="2" xfId="4" applyFont="1" applyFill="1" applyAlignment="1">
      <alignment horizontal="right" vertical="center" wrapText="1"/>
    </xf>
    <xf numFmtId="0" fontId="17" fillId="7" borderId="2" xfId="4" applyFont="1" applyFill="1" applyAlignment="1">
      <alignment horizontal="left" vertical="center" wrapText="1"/>
    </xf>
    <xf numFmtId="0" fontId="17" fillId="7" borderId="2" xfId="4" applyFont="1" applyFill="1" applyAlignment="1">
      <alignment horizontal="center" vertical="center" wrapText="1"/>
    </xf>
    <xf numFmtId="0" fontId="16" fillId="18" borderId="2" xfId="4" applyFont="1" applyFill="1" applyAlignment="1">
      <alignment horizontal="right" vertical="center"/>
    </xf>
    <xf numFmtId="0" fontId="17" fillId="7" borderId="1" xfId="2" applyFont="1" applyFill="1" applyAlignment="1">
      <alignment horizontal="left" vertical="center" wrapText="1"/>
    </xf>
    <xf numFmtId="0" fontId="11" fillId="2" borderId="1" xfId="2" applyFont="1" applyFill="1" applyAlignment="1">
      <alignment horizontal="left" vertical="center" wrapText="1"/>
    </xf>
    <xf numFmtId="0" fontId="11" fillId="12" borderId="1" xfId="2" applyFont="1" applyFill="1" applyAlignment="1">
      <alignment horizontal="left" vertical="center" wrapText="1"/>
    </xf>
    <xf numFmtId="0" fontId="11" fillId="11" borderId="1" xfId="2" applyFont="1" applyFill="1" applyAlignment="1">
      <alignment horizontal="left" vertical="center" wrapText="1"/>
    </xf>
    <xf numFmtId="0" fontId="18" fillId="21" borderId="1" xfId="2" applyFont="1" applyFill="1" applyAlignment="1">
      <alignment horizontal="center" vertical="center" wrapText="1"/>
    </xf>
    <xf numFmtId="0" fontId="16" fillId="15" borderId="1" xfId="2" applyFont="1" applyFill="1" applyAlignment="1">
      <alignment horizontal="right" vertical="center" wrapText="1"/>
    </xf>
    <xf numFmtId="0" fontId="16" fillId="15" borderId="1" xfId="2" applyFont="1" applyFill="1" applyAlignment="1">
      <alignment horizontal="right" vertical="center"/>
    </xf>
    <xf numFmtId="0" fontId="16" fillId="14" borderId="1" xfId="2" applyFont="1" applyFill="1" applyAlignment="1">
      <alignment horizontal="right" vertical="center" wrapText="1"/>
    </xf>
    <xf numFmtId="0" fontId="18" fillId="12" borderId="1" xfId="2" applyFont="1" applyFill="1" applyAlignment="1">
      <alignment horizontal="center" vertical="center" wrapText="1"/>
    </xf>
    <xf numFmtId="0" fontId="11" fillId="11" borderId="1" xfId="2" applyFont="1" applyFill="1" applyAlignment="1">
      <alignment horizontal="center" vertical="center"/>
    </xf>
    <xf numFmtId="0" fontId="18" fillId="16" borderId="1" xfId="2" applyFont="1" applyFill="1" applyAlignment="1">
      <alignment horizontal="center" vertical="center" wrapText="1"/>
    </xf>
    <xf numFmtId="0" fontId="15" fillId="169" borderId="2" xfId="5" applyFont="1" applyFill="1" applyAlignment="1">
      <alignment horizontal="right" vertical="center" wrapText="1"/>
    </xf>
    <xf numFmtId="0" fontId="48" fillId="47" borderId="85" xfId="5" applyFont="1" applyFill="1" applyBorder="1" applyAlignment="1">
      <alignment horizontal="left" vertical="center" wrapText="1"/>
    </xf>
    <xf numFmtId="0" fontId="48" fillId="47" borderId="139" xfId="5" applyFont="1" applyFill="1" applyBorder="1" applyAlignment="1">
      <alignment horizontal="left" vertical="center" wrapText="1"/>
    </xf>
    <xf numFmtId="0" fontId="48" fillId="47" borderId="160" xfId="5" applyFont="1" applyFill="1" applyBorder="1" applyAlignment="1">
      <alignment horizontal="left" vertical="center" wrapText="1"/>
    </xf>
    <xf numFmtId="0" fontId="141" fillId="103" borderId="46" xfId="8" applyFont="1" applyFill="1" applyBorder="1" applyAlignment="1">
      <alignment horizontal="center" vertical="center" wrapText="1"/>
    </xf>
    <xf numFmtId="0" fontId="141" fillId="103" borderId="22" xfId="8" applyFont="1" applyFill="1" applyBorder="1" applyAlignment="1">
      <alignment horizontal="center" vertical="center" wrapText="1"/>
    </xf>
    <xf numFmtId="0" fontId="141" fillId="103" borderId="17" xfId="8" applyFont="1" applyFill="1" applyBorder="1" applyAlignment="1">
      <alignment horizontal="center" vertical="center" wrapText="1"/>
    </xf>
    <xf numFmtId="0" fontId="144" fillId="99" borderId="46" xfId="8" applyFont="1" applyFill="1" applyBorder="1" applyAlignment="1">
      <alignment horizontal="center" vertical="center" wrapText="1"/>
    </xf>
    <xf numFmtId="0" fontId="144" fillId="99" borderId="22" xfId="8" applyFont="1" applyFill="1" applyBorder="1" applyAlignment="1">
      <alignment horizontal="center" vertical="center" wrapText="1"/>
    </xf>
    <xf numFmtId="0" fontId="144" fillId="99" borderId="17" xfId="8" applyFont="1" applyFill="1" applyBorder="1" applyAlignment="1">
      <alignment horizontal="center" vertical="center" wrapText="1"/>
    </xf>
    <xf numFmtId="0" fontId="141" fillId="98" borderId="46" xfId="8" applyFont="1" applyFill="1" applyBorder="1" applyAlignment="1">
      <alignment horizontal="center" vertical="center" wrapText="1"/>
    </xf>
    <xf numFmtId="0" fontId="141" fillId="98" borderId="22" xfId="8" applyFont="1" applyFill="1" applyBorder="1" applyAlignment="1">
      <alignment horizontal="center" vertical="center" wrapText="1"/>
    </xf>
    <xf numFmtId="0" fontId="141" fillId="98" borderId="17" xfId="8" applyFont="1" applyFill="1" applyBorder="1" applyAlignment="1">
      <alignment horizontal="center" vertical="center" wrapText="1"/>
    </xf>
    <xf numFmtId="0" fontId="141" fillId="94" borderId="46" xfId="8" applyFont="1" applyFill="1" applyBorder="1" applyAlignment="1">
      <alignment horizontal="center" vertical="center" wrapText="1"/>
    </xf>
    <xf numFmtId="0" fontId="141" fillId="94" borderId="22" xfId="8" applyFont="1" applyFill="1" applyBorder="1" applyAlignment="1">
      <alignment horizontal="center" vertical="center" wrapText="1"/>
    </xf>
    <xf numFmtId="0" fontId="141" fillId="94" borderId="17" xfId="8" applyFont="1" applyFill="1" applyBorder="1" applyAlignment="1">
      <alignment horizontal="center" vertical="center" wrapText="1"/>
    </xf>
    <xf numFmtId="0" fontId="141" fillId="105" borderId="46" xfId="8" applyFont="1" applyFill="1" applyBorder="1" applyAlignment="1">
      <alignment horizontal="center" vertical="center" wrapText="1"/>
    </xf>
    <xf numFmtId="0" fontId="141" fillId="105" borderId="22" xfId="8" applyFont="1" applyFill="1" applyBorder="1" applyAlignment="1">
      <alignment horizontal="center" vertical="center" wrapText="1"/>
    </xf>
    <xf numFmtId="0" fontId="141" fillId="105" borderId="17" xfId="8" applyFont="1" applyFill="1" applyBorder="1" applyAlignment="1">
      <alignment horizontal="center" vertical="center" wrapText="1"/>
    </xf>
    <xf numFmtId="0" fontId="145" fillId="57" borderId="46" xfId="8" applyFont="1" applyFill="1" applyBorder="1" applyAlignment="1">
      <alignment horizontal="center" vertical="center" wrapText="1"/>
    </xf>
    <xf numFmtId="0" fontId="145" fillId="57" borderId="22" xfId="8" applyFont="1" applyFill="1" applyBorder="1" applyAlignment="1">
      <alignment horizontal="center" vertical="center" wrapText="1"/>
    </xf>
    <xf numFmtId="0" fontId="145" fillId="57" borderId="17" xfId="8" applyFont="1" applyFill="1" applyBorder="1" applyAlignment="1">
      <alignment horizontal="center" vertical="center" wrapText="1"/>
    </xf>
    <xf numFmtId="0" fontId="141" fillId="50" borderId="46" xfId="8" applyFont="1" applyFill="1" applyBorder="1" applyAlignment="1">
      <alignment horizontal="center" vertical="center" wrapText="1"/>
    </xf>
    <xf numFmtId="0" fontId="141" fillId="50" borderId="22" xfId="8" applyFont="1" applyFill="1" applyBorder="1" applyAlignment="1">
      <alignment horizontal="center" vertical="center" wrapText="1"/>
    </xf>
    <xf numFmtId="0" fontId="141" fillId="50" borderId="17" xfId="8" applyFont="1" applyFill="1" applyBorder="1" applyAlignment="1">
      <alignment horizontal="center" vertical="center" wrapText="1"/>
    </xf>
    <xf numFmtId="0" fontId="141" fillId="107" borderId="46" xfId="8" applyFont="1" applyFill="1" applyBorder="1" applyAlignment="1">
      <alignment horizontal="center" vertical="center" wrapText="1"/>
    </xf>
    <xf numFmtId="0" fontId="141" fillId="107" borderId="22" xfId="8" applyFont="1" applyFill="1" applyBorder="1" applyAlignment="1">
      <alignment horizontal="center" vertical="center" wrapText="1"/>
    </xf>
    <xf numFmtId="0" fontId="141" fillId="107" borderId="17" xfId="8" applyFont="1" applyFill="1" applyBorder="1" applyAlignment="1">
      <alignment horizontal="center" vertical="center" wrapText="1"/>
    </xf>
    <xf numFmtId="0" fontId="141" fillId="32" borderId="46" xfId="8" applyFont="1" applyFill="1" applyBorder="1" applyAlignment="1">
      <alignment horizontal="center" vertical="center" wrapText="1"/>
    </xf>
    <xf numFmtId="0" fontId="141" fillId="32" borderId="22" xfId="8" applyFont="1" applyFill="1" applyBorder="1" applyAlignment="1">
      <alignment horizontal="center" vertical="center" wrapText="1"/>
    </xf>
    <xf numFmtId="0" fontId="141" fillId="32" borderId="17" xfId="8" applyFont="1" applyFill="1" applyBorder="1" applyAlignment="1">
      <alignment horizontal="center" vertical="center" wrapText="1"/>
    </xf>
    <xf numFmtId="0" fontId="144" fillId="96" borderId="46" xfId="8" applyFont="1" applyFill="1" applyBorder="1" applyAlignment="1">
      <alignment horizontal="center" vertical="center" wrapText="1"/>
    </xf>
    <xf numFmtId="0" fontId="144" fillId="96" borderId="22" xfId="8" applyFont="1" applyFill="1" applyBorder="1" applyAlignment="1">
      <alignment horizontal="center" vertical="center" wrapText="1"/>
    </xf>
    <xf numFmtId="0" fontId="144" fillId="96" borderId="17" xfId="8" applyFont="1" applyFill="1" applyBorder="1" applyAlignment="1">
      <alignment horizontal="center" vertical="center" wrapText="1"/>
    </xf>
    <xf numFmtId="0" fontId="144" fillId="90" borderId="46" xfId="8" applyFont="1" applyFill="1" applyBorder="1" applyAlignment="1">
      <alignment horizontal="center" vertical="center" wrapText="1"/>
    </xf>
    <xf numFmtId="0" fontId="144" fillId="90" borderId="22" xfId="8" applyFont="1" applyFill="1" applyBorder="1" applyAlignment="1">
      <alignment horizontal="center" vertical="center" wrapText="1"/>
    </xf>
    <xf numFmtId="0" fontId="144" fillId="90" borderId="17" xfId="8" applyFont="1" applyFill="1" applyBorder="1" applyAlignment="1">
      <alignment horizontal="center" vertical="center" wrapText="1"/>
    </xf>
    <xf numFmtId="0" fontId="146" fillId="103" borderId="46" xfId="8" applyFont="1" applyFill="1" applyBorder="1" applyAlignment="1">
      <alignment horizontal="center" vertical="center" wrapText="1"/>
    </xf>
    <xf numFmtId="0" fontId="146" fillId="103" borderId="22" xfId="8" applyFont="1" applyFill="1" applyBorder="1" applyAlignment="1">
      <alignment horizontal="center" vertical="center" wrapText="1"/>
    </xf>
    <xf numFmtId="0" fontId="146" fillId="103" borderId="17" xfId="8" applyFont="1" applyFill="1" applyBorder="1" applyAlignment="1">
      <alignment horizontal="center" vertical="center" wrapText="1"/>
    </xf>
    <xf numFmtId="0" fontId="144" fillId="93" borderId="46" xfId="8" applyFont="1" applyFill="1" applyBorder="1" applyAlignment="1">
      <alignment horizontal="center" vertical="center" wrapText="1"/>
    </xf>
    <xf numFmtId="0" fontId="144" fillId="93" borderId="22" xfId="8" applyFont="1" applyFill="1" applyBorder="1" applyAlignment="1">
      <alignment horizontal="center" vertical="center" wrapText="1"/>
    </xf>
    <xf numFmtId="0" fontId="144" fillId="93" borderId="17" xfId="8" applyFont="1" applyFill="1" applyBorder="1" applyAlignment="1">
      <alignment horizontal="center" vertical="center" wrapText="1"/>
    </xf>
    <xf numFmtId="0" fontId="141" fillId="101" borderId="46" xfId="8" applyFont="1" applyFill="1" applyBorder="1" applyAlignment="1">
      <alignment horizontal="center" vertical="center" wrapText="1"/>
    </xf>
    <xf numFmtId="0" fontId="141" fillId="101" borderId="22" xfId="8" applyFont="1" applyFill="1" applyBorder="1" applyAlignment="1">
      <alignment horizontal="center" vertical="center" wrapText="1"/>
    </xf>
    <xf numFmtId="0" fontId="141" fillId="101" borderId="17" xfId="8" applyFont="1" applyFill="1" applyBorder="1" applyAlignment="1">
      <alignment horizontal="center" vertical="center" wrapText="1"/>
    </xf>
    <xf numFmtId="0" fontId="8" fillId="0" borderId="2" xfId="5" applyFont="1" applyAlignment="1">
      <alignment horizontal="center" vertical="center" wrapText="1"/>
    </xf>
    <xf numFmtId="0" fontId="8" fillId="0" borderId="6" xfId="5" applyFont="1" applyBorder="1" applyAlignment="1">
      <alignment horizontal="center" vertical="center" wrapText="1"/>
    </xf>
    <xf numFmtId="0" fontId="8" fillId="98" borderId="22" xfId="8" applyFont="1" applyFill="1" applyBorder="1" applyAlignment="1">
      <alignment horizontal="center" vertical="center" wrapText="1"/>
    </xf>
    <xf numFmtId="0" fontId="47" fillId="57" borderId="22" xfId="8" applyFont="1" applyFill="1" applyBorder="1" applyAlignment="1">
      <alignment horizontal="center" vertical="center"/>
    </xf>
    <xf numFmtId="1" fontId="31" fillId="50" borderId="164" xfId="5" applyNumberFormat="1" applyFont="1" applyFill="1" applyBorder="1" applyAlignment="1">
      <alignment horizontal="center" vertical="center" wrapText="1"/>
    </xf>
    <xf numFmtId="1" fontId="31" fillId="50" borderId="165" xfId="5" applyNumberFormat="1" applyFont="1" applyFill="1" applyBorder="1" applyAlignment="1">
      <alignment horizontal="center" vertical="center" wrapText="1"/>
    </xf>
    <xf numFmtId="1" fontId="31" fillId="50" borderId="166" xfId="5" applyNumberFormat="1" applyFont="1" applyFill="1" applyBorder="1" applyAlignment="1">
      <alignment horizontal="center" vertical="center" wrapText="1"/>
    </xf>
    <xf numFmtId="0" fontId="16" fillId="92" borderId="46" xfId="5" applyFont="1" applyFill="1" applyBorder="1" applyAlignment="1">
      <alignment horizontal="center" vertical="center" wrapText="1"/>
    </xf>
    <xf numFmtId="0" fontId="16" fillId="92" borderId="22" xfId="5" applyFont="1" applyFill="1" applyBorder="1" applyAlignment="1">
      <alignment horizontal="center" vertical="center" wrapText="1"/>
    </xf>
    <xf numFmtId="0" fontId="16" fillId="92" borderId="17" xfId="5" applyFont="1" applyFill="1" applyBorder="1" applyAlignment="1">
      <alignment horizontal="center" vertical="center" wrapText="1"/>
    </xf>
    <xf numFmtId="1" fontId="16" fillId="37" borderId="164" xfId="5" applyNumberFormat="1" applyFont="1" applyFill="1" applyBorder="1" applyAlignment="1">
      <alignment horizontal="center" vertical="center" wrapText="1"/>
    </xf>
    <xf numFmtId="1" fontId="16" fillId="37" borderId="165" xfId="5" applyNumberFormat="1" applyFont="1" applyFill="1" applyBorder="1" applyAlignment="1">
      <alignment horizontal="center" vertical="center" wrapText="1"/>
    </xf>
    <xf numFmtId="1" fontId="16" fillId="37" borderId="166" xfId="5" applyNumberFormat="1" applyFont="1" applyFill="1" applyBorder="1" applyAlignment="1">
      <alignment horizontal="center" vertical="center" wrapText="1"/>
    </xf>
    <xf numFmtId="0" fontId="31" fillId="101" borderId="46" xfId="5" applyFont="1" applyFill="1" applyBorder="1" applyAlignment="1">
      <alignment horizontal="center" vertical="center" wrapText="1"/>
    </xf>
    <xf numFmtId="0" fontId="31" fillId="101" borderId="22" xfId="5" applyFont="1" applyFill="1" applyBorder="1" applyAlignment="1">
      <alignment horizontal="center" vertical="center" wrapText="1"/>
    </xf>
    <xf numFmtId="0" fontId="31" fillId="101" borderId="17" xfId="5" applyFont="1" applyFill="1" applyBorder="1" applyAlignment="1">
      <alignment horizontal="center" vertical="center" wrapText="1"/>
    </xf>
    <xf numFmtId="0" fontId="8" fillId="107" borderId="46" xfId="5" applyFont="1" applyFill="1" applyBorder="1" applyAlignment="1">
      <alignment horizontal="center" vertical="center" wrapText="1"/>
    </xf>
    <xf numFmtId="0" fontId="8" fillId="107" borderId="22" xfId="5" applyFont="1" applyFill="1" applyBorder="1" applyAlignment="1">
      <alignment horizontal="center" vertical="center" wrapText="1"/>
    </xf>
    <xf numFmtId="0" fontId="8" fillId="107" borderId="17" xfId="5" applyFont="1" applyFill="1" applyBorder="1" applyAlignment="1">
      <alignment horizontal="center" vertical="center" wrapText="1"/>
    </xf>
    <xf numFmtId="0" fontId="49" fillId="90" borderId="22" xfId="8" applyFont="1" applyFill="1" applyBorder="1" applyAlignment="1">
      <alignment horizontal="center" vertical="center"/>
    </xf>
    <xf numFmtId="0" fontId="46" fillId="99" borderId="22" xfId="9" applyFont="1" applyFill="1" applyBorder="1" applyAlignment="1">
      <alignment horizontal="center" vertical="center" wrapText="1"/>
    </xf>
    <xf numFmtId="0" fontId="47" fillId="49" borderId="22" xfId="8" applyFont="1" applyFill="1" applyBorder="1" applyAlignment="1">
      <alignment horizontal="center" vertical="center"/>
    </xf>
    <xf numFmtId="0" fontId="8" fillId="50" borderId="22" xfId="5" applyFont="1" applyFill="1" applyBorder="1" applyAlignment="1">
      <alignment horizontal="center" vertical="center" wrapText="1"/>
    </xf>
    <xf numFmtId="1" fontId="16" fillId="96" borderId="164" xfId="5" applyNumberFormat="1" applyFont="1" applyFill="1" applyBorder="1" applyAlignment="1">
      <alignment horizontal="center" vertical="center" wrapText="1"/>
    </xf>
    <xf numFmtId="1" fontId="16" fillId="96" borderId="165" xfId="5" applyNumberFormat="1" applyFont="1" applyFill="1" applyBorder="1" applyAlignment="1">
      <alignment horizontal="center" vertical="center" wrapText="1"/>
    </xf>
    <xf numFmtId="1" fontId="16" fillId="96" borderId="166" xfId="5" applyNumberFormat="1" applyFont="1" applyFill="1" applyBorder="1" applyAlignment="1">
      <alignment horizontal="center" vertical="center" wrapText="1"/>
    </xf>
    <xf numFmtId="1" fontId="16" fillId="108" borderId="164" xfId="5" applyNumberFormat="1" applyFont="1" applyFill="1" applyBorder="1" applyAlignment="1">
      <alignment horizontal="center" vertical="center" wrapText="1"/>
    </xf>
    <xf numFmtId="1" fontId="16" fillId="108" borderId="165" xfId="5" applyNumberFormat="1" applyFont="1" applyFill="1" applyBorder="1" applyAlignment="1">
      <alignment horizontal="center" vertical="center" wrapText="1"/>
    </xf>
    <xf numFmtId="1" fontId="16" fillId="108" borderId="166" xfId="5" applyNumberFormat="1" applyFont="1" applyFill="1" applyBorder="1" applyAlignment="1">
      <alignment horizontal="center" vertical="center" wrapText="1"/>
    </xf>
    <xf numFmtId="0" fontId="8" fillId="52" borderId="22" xfId="5" applyFont="1" applyFill="1" applyBorder="1" applyAlignment="1">
      <alignment horizontal="center" vertical="center" wrapText="1"/>
    </xf>
    <xf numFmtId="1" fontId="28" fillId="103" borderId="164" xfId="5" applyNumberFormat="1" applyFont="1" applyFill="1" applyBorder="1" applyAlignment="1">
      <alignment horizontal="center" vertical="center" wrapText="1"/>
    </xf>
    <xf numFmtId="1" fontId="28" fillId="103" borderId="165" xfId="5" applyNumberFormat="1" applyFont="1" applyFill="1" applyBorder="1" applyAlignment="1">
      <alignment horizontal="center" vertical="center" wrapText="1"/>
    </xf>
    <xf numFmtId="1" fontId="28" fillId="103" borderId="166" xfId="5" applyNumberFormat="1" applyFont="1" applyFill="1" applyBorder="1" applyAlignment="1">
      <alignment horizontal="center" vertical="center" wrapText="1"/>
    </xf>
    <xf numFmtId="1" fontId="138" fillId="103" borderId="164" xfId="5" applyNumberFormat="1" applyFont="1" applyFill="1" applyBorder="1" applyAlignment="1">
      <alignment horizontal="left" vertical="center" wrapText="1"/>
    </xf>
    <xf numFmtId="1" fontId="138" fillId="103" borderId="165" xfId="5" applyNumberFormat="1" applyFont="1" applyFill="1" applyBorder="1" applyAlignment="1">
      <alignment horizontal="left" vertical="center" wrapText="1"/>
    </xf>
    <xf numFmtId="1" fontId="138" fillId="103" borderId="166" xfId="5" applyNumberFormat="1" applyFont="1" applyFill="1" applyBorder="1" applyAlignment="1">
      <alignment horizontal="left" vertical="center" wrapText="1"/>
    </xf>
    <xf numFmtId="1" fontId="78" fillId="103" borderId="164" xfId="5" applyNumberFormat="1" applyFont="1" applyFill="1" applyBorder="1" applyAlignment="1">
      <alignment horizontal="center" vertical="center" wrapText="1"/>
    </xf>
    <xf numFmtId="1" fontId="78" fillId="103" borderId="165" xfId="5" applyNumberFormat="1" applyFont="1" applyFill="1" applyBorder="1" applyAlignment="1">
      <alignment horizontal="center" vertical="center" wrapText="1"/>
    </xf>
    <xf numFmtId="1" fontId="78" fillId="103" borderId="166" xfId="5" applyNumberFormat="1" applyFont="1" applyFill="1" applyBorder="1" applyAlignment="1">
      <alignment horizontal="center" vertical="center" wrapText="1"/>
    </xf>
    <xf numFmtId="1" fontId="88" fillId="103" borderId="164" xfId="5" applyNumberFormat="1" applyFont="1" applyFill="1" applyBorder="1" applyAlignment="1">
      <alignment horizontal="left" vertical="center" wrapText="1"/>
    </xf>
    <xf numFmtId="1" fontId="88" fillId="103" borderId="165" xfId="5" applyNumberFormat="1" applyFont="1" applyFill="1" applyBorder="1" applyAlignment="1">
      <alignment horizontal="left" vertical="center" wrapText="1"/>
    </xf>
    <xf numFmtId="1" fontId="88" fillId="103" borderId="166" xfId="5" applyNumberFormat="1" applyFont="1" applyFill="1" applyBorder="1" applyAlignment="1">
      <alignment horizontal="left" vertical="center" wrapText="1"/>
    </xf>
    <xf numFmtId="0" fontId="139" fillId="93" borderId="46" xfId="8" applyFont="1" applyFill="1" applyBorder="1" applyAlignment="1">
      <alignment horizontal="center" vertical="center" wrapText="1"/>
    </xf>
    <xf numFmtId="0" fontId="139" fillId="93" borderId="22" xfId="8" applyFont="1" applyFill="1" applyBorder="1" applyAlignment="1">
      <alignment horizontal="center" vertical="center" wrapText="1"/>
    </xf>
    <xf numFmtId="0" fontId="139" fillId="93" borderId="17" xfId="8" applyFont="1" applyFill="1" applyBorder="1" applyAlignment="1">
      <alignment horizontal="center" vertical="center" wrapText="1"/>
    </xf>
    <xf numFmtId="1" fontId="141" fillId="120" borderId="46" xfId="21" applyNumberFormat="1" applyFont="1" applyFill="1" applyBorder="1" applyAlignment="1" applyProtection="1">
      <alignment horizontal="center" vertical="center" wrapText="1"/>
      <protection hidden="1"/>
    </xf>
    <xf numFmtId="1" fontId="141" fillId="120" borderId="22" xfId="21" applyNumberFormat="1" applyFont="1" applyFill="1" applyBorder="1" applyAlignment="1" applyProtection="1">
      <alignment horizontal="center" vertical="center" wrapText="1"/>
      <protection hidden="1"/>
    </xf>
    <xf numFmtId="1" fontId="141" fillId="120" borderId="17" xfId="21" applyNumberFormat="1" applyFont="1" applyFill="1" applyBorder="1" applyAlignment="1" applyProtection="1">
      <alignment horizontal="center" vertical="center" wrapText="1"/>
      <protection hidden="1"/>
    </xf>
    <xf numFmtId="1" fontId="141" fillId="50" borderId="46" xfId="21" applyNumberFormat="1" applyFont="1" applyFill="1" applyBorder="1" applyAlignment="1" applyProtection="1">
      <alignment horizontal="center" vertical="center" wrapText="1"/>
      <protection hidden="1"/>
    </xf>
    <xf numFmtId="1" fontId="141" fillId="50" borderId="22" xfId="21" applyNumberFormat="1" applyFont="1" applyFill="1" applyBorder="1" applyAlignment="1" applyProtection="1">
      <alignment horizontal="center" vertical="center" wrapText="1"/>
      <protection hidden="1"/>
    </xf>
    <xf numFmtId="1" fontId="141" fillId="50" borderId="17" xfId="21" applyNumberFormat="1" applyFont="1" applyFill="1" applyBorder="1" applyAlignment="1" applyProtection="1">
      <alignment horizontal="center" vertical="center" wrapText="1"/>
      <protection hidden="1"/>
    </xf>
    <xf numFmtId="1" fontId="141" fillId="123" borderId="46" xfId="21" applyNumberFormat="1" applyFont="1" applyFill="1" applyBorder="1" applyAlignment="1" applyProtection="1">
      <alignment horizontal="center" vertical="center" wrapText="1"/>
      <protection hidden="1"/>
    </xf>
    <xf numFmtId="1" fontId="141" fillId="123" borderId="22" xfId="21" applyNumberFormat="1" applyFont="1" applyFill="1" applyBorder="1" applyAlignment="1" applyProtection="1">
      <alignment horizontal="center" vertical="center" wrapText="1"/>
      <protection hidden="1"/>
    </xf>
    <xf numFmtId="1" fontId="141" fillId="123" borderId="17" xfId="21" applyNumberFormat="1" applyFont="1" applyFill="1" applyBorder="1" applyAlignment="1" applyProtection="1">
      <alignment horizontal="center" vertical="center" wrapText="1"/>
      <protection hidden="1"/>
    </xf>
    <xf numFmtId="1" fontId="141" fillId="124" borderId="46" xfId="21" applyNumberFormat="1" applyFont="1" applyFill="1" applyBorder="1" applyAlignment="1" applyProtection="1">
      <alignment horizontal="center" vertical="center" wrapText="1"/>
      <protection hidden="1"/>
    </xf>
    <xf numFmtId="1" fontId="141" fillId="124" borderId="22" xfId="21" applyNumberFormat="1" applyFont="1" applyFill="1" applyBorder="1" applyAlignment="1" applyProtection="1">
      <alignment horizontal="center" vertical="center" wrapText="1"/>
      <protection hidden="1"/>
    </xf>
    <xf numFmtId="1" fontId="141" fillId="124" borderId="17" xfId="21" applyNumberFormat="1" applyFont="1" applyFill="1" applyBorder="1" applyAlignment="1" applyProtection="1">
      <alignment horizontal="center" vertical="center" wrapText="1"/>
      <protection hidden="1"/>
    </xf>
    <xf numFmtId="1" fontId="141" fillId="98" borderId="46" xfId="21" applyNumberFormat="1" applyFont="1" applyFill="1" applyBorder="1" applyAlignment="1" applyProtection="1">
      <alignment horizontal="center" vertical="center" wrapText="1"/>
      <protection hidden="1"/>
    </xf>
    <xf numFmtId="1" fontId="141" fillId="98" borderId="22" xfId="21" applyNumberFormat="1" applyFont="1" applyFill="1" applyBorder="1" applyAlignment="1" applyProtection="1">
      <alignment horizontal="center" vertical="center" wrapText="1"/>
      <protection hidden="1"/>
    </xf>
    <xf numFmtId="1" fontId="141" fillId="98" borderId="17" xfId="21" applyNumberFormat="1" applyFont="1" applyFill="1" applyBorder="1" applyAlignment="1" applyProtection="1">
      <alignment horizontal="center" vertical="center" wrapText="1"/>
      <protection hidden="1"/>
    </xf>
    <xf numFmtId="1" fontId="144" fillId="96" borderId="46" xfId="21" applyNumberFormat="1" applyFont="1" applyFill="1" applyBorder="1" applyAlignment="1" applyProtection="1">
      <alignment horizontal="center" vertical="center" wrapText="1"/>
      <protection hidden="1"/>
    </xf>
    <xf numFmtId="1" fontId="144" fillId="96" borderId="22" xfId="21" applyNumberFormat="1" applyFont="1" applyFill="1" applyBorder="1" applyAlignment="1" applyProtection="1">
      <alignment horizontal="center" vertical="center" wrapText="1"/>
      <protection hidden="1"/>
    </xf>
    <xf numFmtId="1" fontId="144" fillId="96" borderId="17" xfId="21" applyNumberFormat="1" applyFont="1" applyFill="1" applyBorder="1" applyAlignment="1" applyProtection="1">
      <alignment horizontal="center" vertical="center" wrapText="1"/>
      <protection hidden="1"/>
    </xf>
    <xf numFmtId="1" fontId="144" fillId="122" borderId="46" xfId="21" applyNumberFormat="1" applyFont="1" applyFill="1" applyBorder="1" applyAlignment="1" applyProtection="1">
      <alignment horizontal="center" vertical="center" wrapText="1"/>
      <protection hidden="1"/>
    </xf>
    <xf numFmtId="1" fontId="144" fillId="122" borderId="22" xfId="21" applyNumberFormat="1" applyFont="1" applyFill="1" applyBorder="1" applyAlignment="1" applyProtection="1">
      <alignment horizontal="center" vertical="center" wrapText="1"/>
      <protection hidden="1"/>
    </xf>
    <xf numFmtId="1" fontId="144" fillId="122" borderId="17" xfId="21" applyNumberFormat="1" applyFont="1" applyFill="1" applyBorder="1" applyAlignment="1" applyProtection="1">
      <alignment horizontal="center" vertical="center" wrapText="1"/>
      <protection hidden="1"/>
    </xf>
    <xf numFmtId="1" fontId="141" fillId="53" borderId="46" xfId="21" applyNumberFormat="1" applyFont="1" applyFill="1" applyBorder="1" applyAlignment="1" applyProtection="1">
      <alignment horizontal="center" vertical="center" wrapText="1"/>
      <protection hidden="1"/>
    </xf>
    <xf numFmtId="1" fontId="141" fillId="53" borderId="22" xfId="21" applyNumberFormat="1" applyFont="1" applyFill="1" applyBorder="1" applyAlignment="1" applyProtection="1">
      <alignment horizontal="center" vertical="center" wrapText="1"/>
      <protection hidden="1"/>
    </xf>
    <xf numFmtId="1" fontId="141" fillId="53" borderId="17" xfId="21" applyNumberFormat="1" applyFont="1" applyFill="1" applyBorder="1" applyAlignment="1" applyProtection="1">
      <alignment horizontal="center" vertical="center" wrapText="1"/>
      <protection hidden="1"/>
    </xf>
    <xf numFmtId="0" fontId="139" fillId="117" borderId="46" xfId="8" applyFont="1" applyFill="1" applyBorder="1" applyAlignment="1">
      <alignment horizontal="center" vertical="center" wrapText="1"/>
    </xf>
    <xf numFmtId="0" fontId="139" fillId="117" borderId="22" xfId="8" applyFont="1" applyFill="1" applyBorder="1" applyAlignment="1">
      <alignment horizontal="center" vertical="center" wrapText="1"/>
    </xf>
    <xf numFmtId="0" fontId="139" fillId="117" borderId="17" xfId="8" applyFont="1" applyFill="1" applyBorder="1" applyAlignment="1">
      <alignment horizontal="center" vertical="center" wrapText="1"/>
    </xf>
    <xf numFmtId="0" fontId="160" fillId="118" borderId="46" xfId="8" applyFont="1" applyFill="1" applyBorder="1" applyAlignment="1">
      <alignment horizontal="center" vertical="center" wrapText="1"/>
    </xf>
    <xf numFmtId="0" fontId="160" fillId="118" borderId="22" xfId="8" applyFont="1" applyFill="1" applyBorder="1" applyAlignment="1">
      <alignment horizontal="center" vertical="center" wrapText="1"/>
    </xf>
    <xf numFmtId="0" fontId="160" fillId="118" borderId="17" xfId="8" applyFont="1" applyFill="1" applyBorder="1" applyAlignment="1">
      <alignment horizontal="center" vertical="center" wrapText="1"/>
    </xf>
    <xf numFmtId="0" fontId="141" fillId="102" borderId="46" xfId="8" applyFont="1" applyFill="1" applyBorder="1" applyAlignment="1">
      <alignment horizontal="center" vertical="center" wrapText="1"/>
    </xf>
    <xf numFmtId="0" fontId="141" fillId="102" borderId="22" xfId="8" applyFont="1" applyFill="1" applyBorder="1" applyAlignment="1">
      <alignment horizontal="center" vertical="center" wrapText="1"/>
    </xf>
    <xf numFmtId="0" fontId="141" fillId="102" borderId="17" xfId="8" applyFont="1" applyFill="1" applyBorder="1" applyAlignment="1">
      <alignment horizontal="center" vertical="center" wrapText="1"/>
    </xf>
    <xf numFmtId="0" fontId="160" fillId="105" borderId="46" xfId="8" applyFont="1" applyFill="1" applyBorder="1" applyAlignment="1">
      <alignment horizontal="center" vertical="center" wrapText="1"/>
    </xf>
    <xf numFmtId="0" fontId="160" fillId="105" borderId="22" xfId="8" applyFont="1" applyFill="1" applyBorder="1" applyAlignment="1">
      <alignment horizontal="center" vertical="center" wrapText="1"/>
    </xf>
    <xf numFmtId="0" fontId="160" fillId="105" borderId="17" xfId="8" applyFont="1" applyFill="1" applyBorder="1" applyAlignment="1">
      <alignment horizontal="center" vertical="center" wrapText="1"/>
    </xf>
    <xf numFmtId="0" fontId="141" fillId="128" borderId="46" xfId="8" applyFont="1" applyFill="1" applyBorder="1" applyAlignment="1">
      <alignment horizontal="center" vertical="center" wrapText="1"/>
    </xf>
    <xf numFmtId="0" fontId="141" fillId="128" borderId="22" xfId="8" applyFont="1" applyFill="1" applyBorder="1" applyAlignment="1">
      <alignment horizontal="center" vertical="center" wrapText="1"/>
    </xf>
    <xf numFmtId="0" fontId="141" fillId="128" borderId="17" xfId="8" applyFont="1" applyFill="1" applyBorder="1" applyAlignment="1">
      <alignment horizontal="center" vertical="center" wrapText="1"/>
    </xf>
    <xf numFmtId="0" fontId="141" fillId="115" borderId="46" xfId="8" applyFont="1" applyFill="1" applyBorder="1" applyAlignment="1">
      <alignment horizontal="center" vertical="center" wrapText="1"/>
    </xf>
    <xf numFmtId="0" fontId="141" fillId="115" borderId="22" xfId="8" applyFont="1" applyFill="1" applyBorder="1" applyAlignment="1">
      <alignment horizontal="center" vertical="center" wrapText="1"/>
    </xf>
    <xf numFmtId="0" fontId="141" fillId="115" borderId="17" xfId="8" applyFont="1" applyFill="1" applyBorder="1" applyAlignment="1">
      <alignment horizontal="center" vertical="center" wrapText="1"/>
    </xf>
    <xf numFmtId="1" fontId="144" fillId="119" borderId="46" xfId="21" applyNumberFormat="1" applyFont="1" applyFill="1" applyBorder="1" applyAlignment="1" applyProtection="1">
      <alignment horizontal="center" vertical="center" wrapText="1"/>
      <protection hidden="1"/>
    </xf>
    <xf numFmtId="1" fontId="144" fillId="119" borderId="22" xfId="21" applyNumberFormat="1" applyFont="1" applyFill="1" applyBorder="1" applyAlignment="1" applyProtection="1">
      <alignment horizontal="center" vertical="center" wrapText="1"/>
      <protection hidden="1"/>
    </xf>
    <xf numFmtId="1" fontId="144" fillId="119" borderId="17" xfId="21" applyNumberFormat="1" applyFont="1" applyFill="1" applyBorder="1" applyAlignment="1" applyProtection="1">
      <alignment horizontal="center" vertical="center" wrapText="1"/>
      <protection hidden="1"/>
    </xf>
    <xf numFmtId="1" fontId="141" fillId="105" borderId="46" xfId="21" applyNumberFormat="1" applyFont="1" applyFill="1" applyBorder="1" applyAlignment="1" applyProtection="1">
      <alignment horizontal="center" vertical="center" wrapText="1"/>
      <protection hidden="1"/>
    </xf>
    <xf numFmtId="1" fontId="141" fillId="105" borderId="22" xfId="21" applyNumberFormat="1" applyFont="1" applyFill="1" applyBorder="1" applyAlignment="1" applyProtection="1">
      <alignment horizontal="center" vertical="center" wrapText="1"/>
      <protection hidden="1"/>
    </xf>
    <xf numFmtId="1" fontId="141" fillId="105" borderId="17" xfId="21" applyNumberFormat="1" applyFont="1" applyFill="1" applyBorder="1" applyAlignment="1" applyProtection="1">
      <alignment horizontal="center" vertical="center" wrapText="1"/>
      <protection hidden="1"/>
    </xf>
    <xf numFmtId="1" fontId="144" fillId="93" borderId="46" xfId="21" applyNumberFormat="1" applyFont="1" applyFill="1" applyBorder="1" applyAlignment="1" applyProtection="1">
      <alignment horizontal="center" vertical="center" wrapText="1"/>
      <protection hidden="1"/>
    </xf>
    <xf numFmtId="1" fontId="144" fillId="93" borderId="22" xfId="21" applyNumberFormat="1" applyFont="1" applyFill="1" applyBorder="1" applyAlignment="1" applyProtection="1">
      <alignment horizontal="center" vertical="center" wrapText="1"/>
      <protection hidden="1"/>
    </xf>
    <xf numFmtId="1" fontId="144" fillId="93" borderId="17" xfId="21" applyNumberFormat="1" applyFont="1" applyFill="1" applyBorder="1" applyAlignment="1" applyProtection="1">
      <alignment horizontal="center" vertical="center" wrapText="1"/>
      <protection hidden="1"/>
    </xf>
    <xf numFmtId="1" fontId="144" fillId="116" borderId="46" xfId="21" applyNumberFormat="1" applyFont="1" applyFill="1" applyBorder="1" applyAlignment="1" applyProtection="1">
      <alignment horizontal="center" vertical="center" wrapText="1"/>
      <protection hidden="1"/>
    </xf>
    <xf numFmtId="1" fontId="144" fillId="116" borderId="22" xfId="21" applyNumberFormat="1" applyFont="1" applyFill="1" applyBorder="1" applyAlignment="1" applyProtection="1">
      <alignment horizontal="center" vertical="center" wrapText="1"/>
      <protection hidden="1"/>
    </xf>
    <xf numFmtId="1" fontId="144" fillId="116" borderId="17" xfId="21" applyNumberFormat="1" applyFont="1" applyFill="1" applyBorder="1" applyAlignment="1" applyProtection="1">
      <alignment horizontal="center" vertical="center" wrapText="1"/>
      <protection hidden="1"/>
    </xf>
    <xf numFmtId="1" fontId="144" fillId="113" borderId="46" xfId="21" applyNumberFormat="1" applyFont="1" applyFill="1" applyBorder="1" applyAlignment="1" applyProtection="1">
      <alignment horizontal="center" vertical="center" wrapText="1"/>
      <protection hidden="1"/>
    </xf>
    <xf numFmtId="1" fontId="144" fillId="113" borderId="22" xfId="21" applyNumberFormat="1" applyFont="1" applyFill="1" applyBorder="1" applyAlignment="1" applyProtection="1">
      <alignment horizontal="center" vertical="center" wrapText="1"/>
      <protection hidden="1"/>
    </xf>
    <xf numFmtId="1" fontId="144" fillId="113" borderId="17" xfId="21" applyNumberFormat="1" applyFont="1" applyFill="1" applyBorder="1" applyAlignment="1" applyProtection="1">
      <alignment horizontal="center" vertical="center" wrapText="1"/>
      <protection hidden="1"/>
    </xf>
    <xf numFmtId="1" fontId="141" fillId="121" borderId="46" xfId="21" applyNumberFormat="1" applyFont="1" applyFill="1" applyBorder="1" applyAlignment="1" applyProtection="1">
      <alignment horizontal="center" vertical="center" wrapText="1"/>
      <protection hidden="1"/>
    </xf>
    <xf numFmtId="1" fontId="141" fillId="121" borderId="22" xfId="21" applyNumberFormat="1" applyFont="1" applyFill="1" applyBorder="1" applyAlignment="1" applyProtection="1">
      <alignment horizontal="center" vertical="center" wrapText="1"/>
      <protection hidden="1"/>
    </xf>
    <xf numFmtId="1" fontId="141" fillId="121" borderId="17" xfId="21" applyNumberFormat="1" applyFont="1" applyFill="1" applyBorder="1" applyAlignment="1" applyProtection="1">
      <alignment horizontal="center" vertical="center" wrapText="1"/>
      <protection hidden="1"/>
    </xf>
    <xf numFmtId="0" fontId="141" fillId="118" borderId="46" xfId="8" applyFont="1" applyFill="1" applyBorder="1" applyAlignment="1">
      <alignment horizontal="center" vertical="center" wrapText="1"/>
    </xf>
    <xf numFmtId="0" fontId="141" fillId="118" borderId="22" xfId="8" applyFont="1" applyFill="1" applyBorder="1" applyAlignment="1">
      <alignment horizontal="center" vertical="center" wrapText="1"/>
    </xf>
    <xf numFmtId="0" fontId="141" fillId="118" borderId="17" xfId="8" applyFont="1" applyFill="1" applyBorder="1" applyAlignment="1">
      <alignment horizontal="center" vertical="center" wrapText="1"/>
    </xf>
    <xf numFmtId="0" fontId="144" fillId="117" borderId="46" xfId="8" applyFont="1" applyFill="1" applyBorder="1" applyAlignment="1">
      <alignment horizontal="center" vertical="center" wrapText="1"/>
    </xf>
    <xf numFmtId="0" fontId="144" fillId="117" borderId="22" xfId="8" applyFont="1" applyFill="1" applyBorder="1" applyAlignment="1">
      <alignment horizontal="center" vertical="center" wrapText="1"/>
    </xf>
    <xf numFmtId="0" fontId="144" fillId="117" borderId="17" xfId="8" applyFont="1" applyFill="1" applyBorder="1" applyAlignment="1">
      <alignment horizontal="center" vertical="center" wrapText="1"/>
    </xf>
    <xf numFmtId="0" fontId="159" fillId="116" borderId="46" xfId="8" applyFont="1" applyFill="1" applyBorder="1" applyAlignment="1">
      <alignment horizontal="center" vertical="center" wrapText="1"/>
    </xf>
    <xf numFmtId="0" fontId="159" fillId="116" borderId="22" xfId="8" applyFont="1" applyFill="1" applyBorder="1" applyAlignment="1">
      <alignment horizontal="center" vertical="center" wrapText="1"/>
    </xf>
    <xf numFmtId="0" fontId="159" fillId="116" borderId="17" xfId="8" applyFont="1" applyFill="1" applyBorder="1" applyAlignment="1">
      <alignment horizontal="center" vertical="center" wrapText="1"/>
    </xf>
    <xf numFmtId="0" fontId="139" fillId="96" borderId="46" xfId="8" applyFont="1" applyFill="1" applyBorder="1" applyAlignment="1">
      <alignment horizontal="center" vertical="center" wrapText="1"/>
    </xf>
    <xf numFmtId="0" fontId="139" fillId="96" borderId="22" xfId="8" applyFont="1" applyFill="1" applyBorder="1" applyAlignment="1">
      <alignment horizontal="center" vertical="center" wrapText="1"/>
    </xf>
    <xf numFmtId="0" fontId="139" fillId="96" borderId="17" xfId="8" applyFont="1" applyFill="1" applyBorder="1" applyAlignment="1">
      <alignment horizontal="center" vertical="center" wrapText="1"/>
    </xf>
    <xf numFmtId="0" fontId="161" fillId="127" borderId="46" xfId="8" applyFont="1" applyFill="1" applyBorder="1" applyAlignment="1">
      <alignment horizontal="center" vertical="center" wrapText="1"/>
    </xf>
    <xf numFmtId="0" fontId="161" fillId="127" borderId="22" xfId="8" applyFont="1" applyFill="1" applyBorder="1" applyAlignment="1">
      <alignment horizontal="center" vertical="center" wrapText="1"/>
    </xf>
    <xf numFmtId="0" fontId="161" fillId="127" borderId="17" xfId="8" applyFont="1" applyFill="1" applyBorder="1" applyAlignment="1">
      <alignment horizontal="center" vertical="center" wrapText="1"/>
    </xf>
    <xf numFmtId="0" fontId="141" fillId="114" borderId="46" xfId="8" applyFont="1" applyFill="1" applyBorder="1" applyAlignment="1">
      <alignment horizontal="center" vertical="center" wrapText="1"/>
    </xf>
    <xf numFmtId="0" fontId="141" fillId="114" borderId="22" xfId="8" applyFont="1" applyFill="1" applyBorder="1" applyAlignment="1">
      <alignment horizontal="center" vertical="center" wrapText="1"/>
    </xf>
    <xf numFmtId="0" fontId="141" fillId="114" borderId="17" xfId="8" applyFont="1" applyFill="1" applyBorder="1" applyAlignment="1">
      <alignment horizontal="center" vertical="center" wrapText="1"/>
    </xf>
    <xf numFmtId="0" fontId="144" fillId="113" borderId="46" xfId="8" applyFont="1" applyFill="1" applyBorder="1" applyAlignment="1">
      <alignment horizontal="center" vertical="center" wrapText="1"/>
    </xf>
    <xf numFmtId="0" fontId="144" fillId="113" borderId="22" xfId="8" applyFont="1" applyFill="1" applyBorder="1" applyAlignment="1">
      <alignment horizontal="center" vertical="center" wrapText="1"/>
    </xf>
    <xf numFmtId="0" fontId="144" fillId="113" borderId="17" xfId="8" applyFont="1" applyFill="1" applyBorder="1" applyAlignment="1">
      <alignment horizontal="center" vertical="center" wrapText="1"/>
    </xf>
    <xf numFmtId="0" fontId="141" fillId="121" borderId="46" xfId="8" applyFont="1" applyFill="1" applyBorder="1" applyAlignment="1">
      <alignment horizontal="center" vertical="center" wrapText="1"/>
    </xf>
    <xf numFmtId="0" fontId="141" fillId="121" borderId="22" xfId="8" applyFont="1" applyFill="1" applyBorder="1" applyAlignment="1">
      <alignment horizontal="center" vertical="center" wrapText="1"/>
    </xf>
    <xf numFmtId="0" fontId="141" fillId="121" borderId="17" xfId="8" applyFont="1" applyFill="1" applyBorder="1" applyAlignment="1">
      <alignment horizontal="center" vertical="center" wrapText="1"/>
    </xf>
    <xf numFmtId="0" fontId="141" fillId="123" borderId="46" xfId="8" applyFont="1" applyFill="1" applyBorder="1" applyAlignment="1">
      <alignment horizontal="center" vertical="center" wrapText="1"/>
    </xf>
    <xf numFmtId="0" fontId="141" fillId="123" borderId="22" xfId="8" applyFont="1" applyFill="1" applyBorder="1" applyAlignment="1">
      <alignment horizontal="center" vertical="center" wrapText="1"/>
    </xf>
    <xf numFmtId="0" fontId="141" fillId="123" borderId="17" xfId="8" applyFont="1" applyFill="1" applyBorder="1" applyAlignment="1">
      <alignment horizontal="center" vertical="center" wrapText="1"/>
    </xf>
    <xf numFmtId="0" fontId="141" fillId="124" borderId="46" xfId="8" applyFont="1" applyFill="1" applyBorder="1" applyAlignment="1">
      <alignment horizontal="center" vertical="center" wrapText="1"/>
    </xf>
    <xf numFmtId="0" fontId="141" fillId="124" borderId="22" xfId="8" applyFont="1" applyFill="1" applyBorder="1" applyAlignment="1">
      <alignment horizontal="center" vertical="center" wrapText="1"/>
    </xf>
    <xf numFmtId="0" fontId="141" fillId="124" borderId="17" xfId="8" applyFont="1" applyFill="1" applyBorder="1" applyAlignment="1">
      <alignment horizontal="center" vertical="center" wrapText="1"/>
    </xf>
    <xf numFmtId="0" fontId="144" fillId="122" borderId="46" xfId="8" applyFont="1" applyFill="1" applyBorder="1" applyAlignment="1">
      <alignment horizontal="center" vertical="center" wrapText="1"/>
    </xf>
    <xf numFmtId="0" fontId="144" fillId="122" borderId="22" xfId="8" applyFont="1" applyFill="1" applyBorder="1" applyAlignment="1">
      <alignment horizontal="center" vertical="center" wrapText="1"/>
    </xf>
    <xf numFmtId="0" fontId="144" fillId="122" borderId="17" xfId="8" applyFont="1" applyFill="1" applyBorder="1" applyAlignment="1">
      <alignment horizontal="center" vertical="center" wrapText="1"/>
    </xf>
    <xf numFmtId="0" fontId="141" fillId="53" borderId="46" xfId="8" applyFont="1" applyFill="1" applyBorder="1" applyAlignment="1">
      <alignment horizontal="center" vertical="center" wrapText="1"/>
    </xf>
    <xf numFmtId="0" fontId="141" fillId="53" borderId="22" xfId="8" applyFont="1" applyFill="1" applyBorder="1" applyAlignment="1">
      <alignment horizontal="center" vertical="center" wrapText="1"/>
    </xf>
    <xf numFmtId="0" fontId="141" fillId="53" borderId="17" xfId="8" applyFont="1" applyFill="1" applyBorder="1" applyAlignment="1">
      <alignment horizontal="center" vertical="center" wrapText="1"/>
    </xf>
    <xf numFmtId="0" fontId="141" fillId="120" borderId="46" xfId="8" applyFont="1" applyFill="1" applyBorder="1" applyAlignment="1">
      <alignment horizontal="center" vertical="center" wrapText="1"/>
    </xf>
    <xf numFmtId="0" fontId="141" fillId="120" borderId="22" xfId="8" applyFont="1" applyFill="1" applyBorder="1" applyAlignment="1">
      <alignment horizontal="center" vertical="center" wrapText="1"/>
    </xf>
    <xf numFmtId="0" fontId="141" fillId="120" borderId="17" xfId="8" applyFont="1" applyFill="1" applyBorder="1" applyAlignment="1">
      <alignment horizontal="center" vertical="center" wrapText="1"/>
    </xf>
    <xf numFmtId="0" fontId="141" fillId="129" borderId="46" xfId="8" applyFont="1" applyFill="1" applyBorder="1" applyAlignment="1">
      <alignment horizontal="center" vertical="center" wrapText="1"/>
    </xf>
    <xf numFmtId="0" fontId="141" fillId="129" borderId="22" xfId="8" applyFont="1" applyFill="1" applyBorder="1" applyAlignment="1">
      <alignment horizontal="center" vertical="center" wrapText="1"/>
    </xf>
    <xf numFmtId="0" fontId="141" fillId="129" borderId="17" xfId="8" applyFont="1" applyFill="1" applyBorder="1" applyAlignment="1">
      <alignment horizontal="center" vertical="center" wrapText="1"/>
    </xf>
    <xf numFmtId="0" fontId="144" fillId="125" borderId="46" xfId="8" applyFont="1" applyFill="1" applyBorder="1" applyAlignment="1">
      <alignment horizontal="center" vertical="center" wrapText="1"/>
    </xf>
    <xf numFmtId="0" fontId="144" fillId="125" borderId="22" xfId="8" applyFont="1" applyFill="1" applyBorder="1" applyAlignment="1">
      <alignment horizontal="center" vertical="center" wrapText="1"/>
    </xf>
    <xf numFmtId="0" fontId="144" fillId="125" borderId="17" xfId="8" applyFont="1" applyFill="1" applyBorder="1" applyAlignment="1">
      <alignment horizontal="center" vertical="center" wrapText="1"/>
    </xf>
    <xf numFmtId="0" fontId="144" fillId="119" borderId="46" xfId="8" applyFont="1" applyFill="1" applyBorder="1" applyAlignment="1">
      <alignment horizontal="center" vertical="center" wrapText="1"/>
    </xf>
    <xf numFmtId="0" fontId="144" fillId="119" borderId="22" xfId="8" applyFont="1" applyFill="1" applyBorder="1" applyAlignment="1">
      <alignment horizontal="center" vertical="center" wrapText="1"/>
    </xf>
    <xf numFmtId="0" fontId="144" fillId="119" borderId="17" xfId="8" applyFont="1" applyFill="1" applyBorder="1" applyAlignment="1">
      <alignment horizontal="center" vertical="center" wrapText="1"/>
    </xf>
    <xf numFmtId="1" fontId="144" fillId="125" borderId="46" xfId="21" applyNumberFormat="1" applyFont="1" applyFill="1" applyBorder="1" applyAlignment="1" applyProtection="1">
      <alignment horizontal="center" vertical="center" wrapText="1"/>
      <protection hidden="1"/>
    </xf>
    <xf numFmtId="1" fontId="144" fillId="125" borderId="22" xfId="21" applyNumberFormat="1" applyFont="1" applyFill="1" applyBorder="1" applyAlignment="1" applyProtection="1">
      <alignment horizontal="center" vertical="center" wrapText="1"/>
      <protection hidden="1"/>
    </xf>
    <xf numFmtId="1" fontId="144" fillId="125" borderId="17" xfId="21" applyNumberFormat="1" applyFont="1" applyFill="1" applyBorder="1" applyAlignment="1" applyProtection="1">
      <alignment horizontal="center" vertical="center" wrapText="1"/>
      <protection hidden="1"/>
    </xf>
    <xf numFmtId="0" fontId="156" fillId="97" borderId="2" xfId="21" applyFont="1" applyFill="1" applyAlignment="1">
      <alignment horizontal="center" vertical="center" wrapText="1"/>
    </xf>
    <xf numFmtId="0" fontId="144" fillId="116" borderId="46" xfId="8" applyFont="1" applyFill="1" applyBorder="1" applyAlignment="1">
      <alignment horizontal="center" vertical="center" wrapText="1"/>
    </xf>
    <xf numFmtId="0" fontId="144" fillId="116" borderId="22" xfId="8" applyFont="1" applyFill="1" applyBorder="1" applyAlignment="1">
      <alignment horizontal="center" vertical="center" wrapText="1"/>
    </xf>
    <xf numFmtId="0" fontId="144" fillId="116" borderId="17" xfId="8" applyFont="1" applyFill="1" applyBorder="1" applyAlignment="1">
      <alignment horizontal="center" vertical="center" wrapText="1"/>
    </xf>
    <xf numFmtId="0" fontId="139" fillId="116" borderId="46" xfId="8" applyFont="1" applyFill="1" applyBorder="1" applyAlignment="1">
      <alignment horizontal="center" vertical="center" wrapText="1"/>
    </xf>
    <xf numFmtId="0" fontId="139" fillId="116" borderId="22" xfId="8" applyFont="1" applyFill="1" applyBorder="1" applyAlignment="1">
      <alignment horizontal="center" vertical="center" wrapText="1"/>
    </xf>
    <xf numFmtId="0" fontId="139" fillId="116" borderId="17" xfId="8" applyFont="1" applyFill="1" applyBorder="1" applyAlignment="1">
      <alignment horizontal="center" vertical="center" wrapText="1"/>
    </xf>
    <xf numFmtId="0" fontId="144" fillId="126" borderId="46" xfId="8" applyFont="1" applyFill="1" applyBorder="1" applyAlignment="1">
      <alignment horizontal="center" vertical="center" wrapText="1"/>
    </xf>
    <xf numFmtId="0" fontId="144" fillId="126" borderId="22" xfId="8" applyFont="1" applyFill="1" applyBorder="1" applyAlignment="1">
      <alignment horizontal="center" vertical="center" wrapText="1"/>
    </xf>
    <xf numFmtId="0" fontId="144" fillId="126" borderId="17" xfId="8" applyFont="1" applyFill="1" applyBorder="1" applyAlignment="1">
      <alignment horizontal="center" vertical="center" wrapText="1"/>
    </xf>
    <xf numFmtId="1" fontId="141" fillId="94" borderId="46" xfId="21" applyNumberFormat="1" applyFont="1" applyFill="1" applyBorder="1" applyAlignment="1" applyProtection="1">
      <alignment horizontal="center" vertical="center" wrapText="1"/>
      <protection hidden="1"/>
    </xf>
    <xf numFmtId="1" fontId="141" fillId="94" borderId="22" xfId="21" applyNumberFormat="1" applyFont="1" applyFill="1" applyBorder="1" applyAlignment="1" applyProtection="1">
      <alignment horizontal="center" vertical="center" wrapText="1"/>
      <protection hidden="1"/>
    </xf>
    <xf numFmtId="1" fontId="141" fillId="94" borderId="17" xfId="21" applyNumberFormat="1" applyFont="1" applyFill="1" applyBorder="1" applyAlignment="1" applyProtection="1">
      <alignment horizontal="center" vertical="center" wrapText="1"/>
      <protection hidden="1"/>
    </xf>
    <xf numFmtId="2" fontId="57" fillId="68" borderId="19" xfId="0" applyNumberFormat="1" applyFont="1" applyFill="1" applyBorder="1" applyAlignment="1">
      <alignment horizontal="center" vertical="center" wrapText="1"/>
    </xf>
    <xf numFmtId="1" fontId="57" fillId="68" borderId="18" xfId="0" applyNumberFormat="1" applyFont="1" applyFill="1" applyBorder="1" applyAlignment="1">
      <alignment horizontal="center" vertical="center" wrapText="1"/>
    </xf>
    <xf numFmtId="1" fontId="57" fillId="41" borderId="0" xfId="0" applyNumberFormat="1" applyFont="1" applyFill="1" applyAlignment="1">
      <alignment horizontal="center" vertical="center" wrapText="1"/>
    </xf>
    <xf numFmtId="2" fontId="57" fillId="41" borderId="6" xfId="0" applyNumberFormat="1" applyFont="1" applyFill="1" applyBorder="1" applyAlignment="1">
      <alignment horizontal="center" vertical="center" wrapText="1"/>
    </xf>
    <xf numFmtId="1" fontId="57" fillId="41" borderId="5" xfId="0" applyNumberFormat="1" applyFont="1" applyFill="1" applyBorder="1" applyAlignment="1">
      <alignment horizontal="center" vertical="center" wrapText="1"/>
    </xf>
    <xf numFmtId="0" fontId="18" fillId="30" borderId="2" xfId="0" applyFont="1" applyFill="1" applyBorder="1" applyAlignment="1">
      <alignment horizontal="center" vertical="center" wrapText="1"/>
    </xf>
    <xf numFmtId="0" fontId="18" fillId="30" borderId="6" xfId="0" applyFont="1" applyFill="1" applyBorder="1" applyAlignment="1">
      <alignment horizontal="center" vertical="center" wrapText="1"/>
    </xf>
    <xf numFmtId="168" fontId="12" fillId="57" borderId="0" xfId="0" applyNumberFormat="1" applyFont="1" applyFill="1" applyAlignment="1">
      <alignment horizontal="center" vertical="center" wrapText="1"/>
    </xf>
    <xf numFmtId="168" fontId="12" fillId="57" borderId="2" xfId="0" applyNumberFormat="1" applyFont="1" applyFill="1" applyBorder="1" applyAlignment="1">
      <alignment horizontal="center" vertical="center" wrapText="1"/>
    </xf>
    <xf numFmtId="1" fontId="68" fillId="48" borderId="55" xfId="0" applyNumberFormat="1" applyFont="1" applyFill="1" applyBorder="1" applyAlignment="1">
      <alignment horizontal="center" vertical="center" wrapText="1"/>
    </xf>
    <xf numFmtId="1" fontId="68" fillId="48" borderId="24" xfId="0" applyNumberFormat="1" applyFont="1" applyFill="1" applyBorder="1" applyAlignment="1">
      <alignment horizontal="center" vertical="center" wrapText="1"/>
    </xf>
    <xf numFmtId="2" fontId="68" fillId="48" borderId="56" xfId="0" applyNumberFormat="1" applyFont="1" applyFill="1" applyBorder="1" applyAlignment="1">
      <alignment horizontal="center" vertical="center" wrapText="1"/>
    </xf>
    <xf numFmtId="2" fontId="68" fillId="48" borderId="53" xfId="0" applyNumberFormat="1" applyFont="1" applyFill="1" applyBorder="1" applyAlignment="1">
      <alignment horizontal="center" vertical="center" wrapText="1"/>
    </xf>
    <xf numFmtId="1" fontId="68" fillId="48" borderId="44" xfId="0" applyNumberFormat="1" applyFont="1" applyFill="1" applyBorder="1" applyAlignment="1">
      <alignment horizontal="center" vertical="center" wrapText="1"/>
    </xf>
    <xf numFmtId="1" fontId="68" fillId="48" borderId="0" xfId="0" applyNumberFormat="1" applyFont="1" applyFill="1" applyAlignment="1">
      <alignment horizontal="center" vertical="center" wrapText="1"/>
    </xf>
    <xf numFmtId="2" fontId="68" fillId="48" borderId="54" xfId="0" applyNumberFormat="1" applyFont="1" applyFill="1" applyBorder="1" applyAlignment="1">
      <alignment horizontal="center" vertical="center" wrapText="1"/>
    </xf>
    <xf numFmtId="2" fontId="68" fillId="48" borderId="19" xfId="0" applyNumberFormat="1" applyFont="1" applyFill="1" applyBorder="1" applyAlignment="1">
      <alignment horizontal="center" vertical="center" wrapText="1"/>
    </xf>
    <xf numFmtId="1" fontId="40" fillId="43" borderId="22" xfId="0" applyNumberFormat="1" applyFont="1" applyFill="1" applyBorder="1" applyAlignment="1">
      <alignment horizontal="center" vertical="center" wrapText="1"/>
    </xf>
    <xf numFmtId="1" fontId="40" fillId="43" borderId="33" xfId="0" applyNumberFormat="1" applyFont="1" applyFill="1" applyBorder="1" applyAlignment="1">
      <alignment horizontal="center" vertical="center" wrapText="1"/>
    </xf>
    <xf numFmtId="1" fontId="133" fillId="62" borderId="27" xfId="0" applyNumberFormat="1" applyFont="1" applyFill="1" applyBorder="1" applyAlignment="1">
      <alignment horizontal="center" vertical="center" wrapText="1"/>
    </xf>
    <xf numFmtId="1" fontId="133" fillId="62" borderId="33" xfId="0" applyNumberFormat="1" applyFont="1" applyFill="1" applyBorder="1" applyAlignment="1">
      <alignment horizontal="center" vertical="center" wrapText="1"/>
    </xf>
    <xf numFmtId="1" fontId="40" fillId="43" borderId="27" xfId="0" applyNumberFormat="1" applyFont="1" applyFill="1" applyBorder="1" applyAlignment="1">
      <alignment horizontal="center" vertical="center" wrapText="1"/>
    </xf>
    <xf numFmtId="0" fontId="24" fillId="62" borderId="144" xfId="8" applyFont="1" applyFill="1" applyBorder="1" applyAlignment="1">
      <alignment horizontal="center" vertical="center"/>
    </xf>
    <xf numFmtId="0" fontId="24" fillId="62" borderId="66" xfId="8" applyFont="1" applyFill="1" applyBorder="1" applyAlignment="1">
      <alignment horizontal="center" vertical="center"/>
    </xf>
    <xf numFmtId="0" fontId="24" fillId="62" borderId="145" xfId="8" applyFont="1" applyFill="1" applyBorder="1" applyAlignment="1">
      <alignment horizontal="center" vertical="center"/>
    </xf>
    <xf numFmtId="0" fontId="24" fillId="62" borderId="147" xfId="8" applyFont="1" applyFill="1" applyBorder="1" applyAlignment="1">
      <alignment horizontal="center" vertical="center"/>
    </xf>
    <xf numFmtId="0" fontId="127" fillId="43" borderId="144" xfId="8" applyFont="1" applyFill="1" applyBorder="1" applyAlignment="1">
      <alignment horizontal="center" vertical="center"/>
    </xf>
    <xf numFmtId="0" fontId="127" fillId="43" borderId="66" xfId="8" applyFont="1" applyFill="1" applyBorder="1" applyAlignment="1">
      <alignment horizontal="center" vertical="center"/>
    </xf>
    <xf numFmtId="0" fontId="127" fillId="43" borderId="146" xfId="8" applyFont="1" applyFill="1" applyBorder="1" applyAlignment="1">
      <alignment horizontal="center" vertical="center"/>
    </xf>
    <xf numFmtId="0" fontId="127" fillId="43" borderId="148" xfId="8" applyFont="1" applyFill="1" applyBorder="1" applyAlignment="1">
      <alignment horizontal="center" vertical="center"/>
    </xf>
    <xf numFmtId="0" fontId="24" fillId="62" borderId="101" xfId="8" applyFont="1" applyFill="1" applyBorder="1" applyAlignment="1">
      <alignment horizontal="center" vertical="center"/>
    </xf>
    <xf numFmtId="0" fontId="24" fillId="62" borderId="102" xfId="8" applyFont="1" applyFill="1" applyBorder="1" applyAlignment="1">
      <alignment horizontal="center" vertical="center"/>
    </xf>
    <xf numFmtId="0" fontId="24" fillId="62" borderId="135" xfId="8" applyFont="1" applyFill="1" applyBorder="1" applyAlignment="1">
      <alignment horizontal="center" vertical="center"/>
    </xf>
    <xf numFmtId="0" fontId="24" fillId="62" borderId="149" xfId="8" applyFont="1" applyFill="1" applyBorder="1" applyAlignment="1">
      <alignment horizontal="center" vertical="center"/>
    </xf>
    <xf numFmtId="0" fontId="127" fillId="43" borderId="101" xfId="8" applyFont="1" applyFill="1" applyBorder="1" applyAlignment="1">
      <alignment horizontal="center" vertical="center"/>
    </xf>
    <xf numFmtId="0" fontId="127" fillId="43" borderId="102" xfId="8" applyFont="1" applyFill="1" applyBorder="1" applyAlignment="1">
      <alignment horizontal="center" vertical="center"/>
    </xf>
    <xf numFmtId="0" fontId="127" fillId="43" borderId="136" xfId="8" applyFont="1" applyFill="1" applyBorder="1" applyAlignment="1">
      <alignment horizontal="center" vertical="center"/>
    </xf>
    <xf numFmtId="0" fontId="127" fillId="43" borderId="150" xfId="8" applyFont="1" applyFill="1" applyBorder="1" applyAlignment="1">
      <alignment horizontal="center" vertical="center"/>
    </xf>
    <xf numFmtId="0" fontId="24" fillId="62" borderId="20" xfId="8" applyFont="1" applyFill="1" applyBorder="1" applyAlignment="1">
      <alignment horizontal="center" vertical="center"/>
    </xf>
    <xf numFmtId="0" fontId="24" fillId="62" borderId="5" xfId="8" applyFont="1" applyFill="1" applyBorder="1" applyAlignment="1">
      <alignment horizontal="center" vertical="center"/>
    </xf>
    <xf numFmtId="0" fontId="127" fillId="43" borderId="20" xfId="8" applyFont="1" applyFill="1" applyBorder="1" applyAlignment="1">
      <alignment horizontal="center" vertical="center"/>
    </xf>
    <xf numFmtId="0" fontId="127" fillId="43" borderId="154" xfId="8" applyFont="1" applyFill="1" applyBorder="1" applyAlignment="1">
      <alignment horizontal="center" vertical="center"/>
    </xf>
    <xf numFmtId="0" fontId="121" fillId="89" borderId="5" xfId="12" applyFont="1" applyFill="1" applyBorder="1" applyAlignment="1">
      <alignment horizontal="center" vertical="center" wrapText="1"/>
    </xf>
    <xf numFmtId="0" fontId="121" fillId="89" borderId="2" xfId="12" applyFont="1" applyFill="1" applyAlignment="1">
      <alignment horizontal="center" vertical="center" wrapText="1"/>
    </xf>
    <xf numFmtId="0" fontId="71" fillId="59" borderId="5" xfId="8" applyFont="1" applyFill="1" applyBorder="1" applyAlignment="1">
      <alignment horizontal="center" vertical="center"/>
    </xf>
    <xf numFmtId="0" fontId="71" fillId="59" borderId="6" xfId="8" applyFont="1" applyFill="1" applyBorder="1" applyAlignment="1">
      <alignment horizontal="center" vertical="center"/>
    </xf>
    <xf numFmtId="0" fontId="123" fillId="22" borderId="0" xfId="0" applyFont="1" applyFill="1" applyAlignment="1">
      <alignment horizontal="center" vertical="center" wrapText="1"/>
    </xf>
    <xf numFmtId="0" fontId="123" fillId="22" borderId="14" xfId="0" applyFont="1" applyFill="1" applyBorder="1" applyAlignment="1">
      <alignment horizontal="center" vertical="center" wrapText="1"/>
    </xf>
    <xf numFmtId="0" fontId="124" fillId="54" borderId="20" xfId="8" applyFont="1" applyFill="1" applyBorder="1" applyAlignment="1">
      <alignment horizontal="center" vertical="center"/>
    </xf>
    <xf numFmtId="0" fontId="124" fillId="54" borderId="6" xfId="8" applyFont="1" applyFill="1" applyBorder="1" applyAlignment="1">
      <alignment horizontal="center" vertical="center"/>
    </xf>
    <xf numFmtId="0" fontId="86" fillId="22" borderId="125" xfId="8" applyFont="1" applyFill="1" applyBorder="1" applyAlignment="1">
      <alignment horizontal="center" vertical="center" wrapText="1"/>
    </xf>
    <xf numFmtId="0" fontId="86" fillId="22" borderId="129" xfId="8" applyFont="1" applyFill="1" applyBorder="1" applyAlignment="1">
      <alignment horizontal="center" vertical="center" wrapText="1"/>
    </xf>
    <xf numFmtId="0" fontId="86" fillId="22" borderId="20" xfId="8" applyFont="1" applyFill="1" applyBorder="1" applyAlignment="1">
      <alignment horizontal="center" vertical="center" wrapText="1"/>
    </xf>
    <xf numFmtId="0" fontId="86" fillId="22" borderId="126" xfId="8" applyFont="1" applyFill="1" applyBorder="1" applyAlignment="1">
      <alignment horizontal="center" vertical="center" wrapText="1"/>
    </xf>
    <xf numFmtId="0" fontId="126" fillId="22" borderId="125" xfId="8" applyFont="1" applyFill="1" applyBorder="1" applyAlignment="1">
      <alignment horizontal="center" vertical="center" wrapText="1"/>
    </xf>
    <xf numFmtId="0" fontId="126" fillId="22" borderId="129" xfId="8" applyFont="1" applyFill="1" applyBorder="1" applyAlignment="1">
      <alignment horizontal="center" vertical="center" wrapText="1"/>
    </xf>
    <xf numFmtId="0" fontId="126" fillId="22" borderId="20" xfId="8" applyFont="1" applyFill="1" applyBorder="1" applyAlignment="1">
      <alignment horizontal="center" vertical="center" wrapText="1"/>
    </xf>
    <xf numFmtId="0" fontId="126" fillId="22" borderId="126" xfId="8" applyFont="1" applyFill="1" applyBorder="1" applyAlignment="1">
      <alignment horizontal="center" vertical="center" wrapText="1"/>
    </xf>
    <xf numFmtId="168" fontId="24" fillId="62" borderId="20" xfId="8" applyNumberFormat="1" applyFont="1" applyFill="1" applyBorder="1" applyAlignment="1">
      <alignment horizontal="center" vertical="center"/>
    </xf>
    <xf numFmtId="168" fontId="24" fillId="62" borderId="126" xfId="8" applyNumberFormat="1" applyFont="1" applyFill="1" applyBorder="1" applyAlignment="1">
      <alignment horizontal="center" vertical="center"/>
    </xf>
    <xf numFmtId="168" fontId="127" fillId="62" borderId="20" xfId="8" applyNumberFormat="1" applyFont="1" applyFill="1" applyBorder="1" applyAlignment="1">
      <alignment horizontal="center" vertical="center"/>
    </xf>
    <xf numFmtId="168" fontId="127" fillId="62" borderId="126" xfId="8" applyNumberFormat="1" applyFont="1" applyFill="1" applyBorder="1" applyAlignment="1">
      <alignment horizontal="center" vertical="center"/>
    </xf>
    <xf numFmtId="0" fontId="28" fillId="22" borderId="125" xfId="8" applyFont="1" applyFill="1" applyBorder="1" applyAlignment="1">
      <alignment horizontal="center" vertical="center" wrapText="1"/>
    </xf>
    <xf numFmtId="0" fontId="28" fillId="22" borderId="124" xfId="8" applyFont="1" applyFill="1" applyBorder="1" applyAlignment="1">
      <alignment horizontal="center" vertical="center" wrapText="1"/>
    </xf>
    <xf numFmtId="0" fontId="52" fillId="41" borderId="44" xfId="11" applyFill="1" applyBorder="1" applyAlignment="1">
      <alignment horizontal="center" vertical="center"/>
    </xf>
    <xf numFmtId="0" fontId="52" fillId="41" borderId="4" xfId="11" applyFill="1" applyBorder="1" applyAlignment="1">
      <alignment horizontal="center" vertical="center"/>
    </xf>
    <xf numFmtId="0" fontId="52" fillId="41" borderId="14" xfId="11" applyFill="1" applyBorder="1" applyAlignment="1">
      <alignment horizontal="center" vertical="center"/>
    </xf>
    <xf numFmtId="0" fontId="52" fillId="41" borderId="8" xfId="11" applyFill="1" applyBorder="1" applyAlignment="1">
      <alignment horizontal="center" vertical="center"/>
    </xf>
    <xf numFmtId="0" fontId="52" fillId="64" borderId="44" xfId="11" applyFill="1" applyBorder="1" applyAlignment="1">
      <alignment horizontal="center" vertical="center" wrapText="1"/>
    </xf>
    <xf numFmtId="0" fontId="52" fillId="64" borderId="4" xfId="11" applyFill="1" applyBorder="1" applyAlignment="1">
      <alignment horizontal="center" vertical="center" wrapText="1"/>
    </xf>
    <xf numFmtId="0" fontId="52" fillId="64" borderId="2" xfId="11" applyFill="1" applyAlignment="1">
      <alignment horizontal="center" vertical="center" wrapText="1"/>
    </xf>
    <xf numFmtId="0" fontId="52" fillId="64" borderId="6" xfId="11" applyFill="1" applyBorder="1" applyAlignment="1">
      <alignment horizontal="center" vertical="center" wrapText="1"/>
    </xf>
    <xf numFmtId="1" fontId="57" fillId="41" borderId="24" xfId="0" applyNumberFormat="1" applyFont="1" applyFill="1" applyBorder="1" applyAlignment="1">
      <alignment horizontal="center" vertical="center" wrapText="1"/>
    </xf>
    <xf numFmtId="1" fontId="57" fillId="41" borderId="18" xfId="0" applyNumberFormat="1" applyFont="1" applyFill="1" applyBorder="1" applyAlignment="1">
      <alignment horizontal="center" vertical="center" wrapText="1"/>
    </xf>
    <xf numFmtId="2" fontId="57" fillId="41" borderId="19" xfId="0" applyNumberFormat="1" applyFont="1" applyFill="1" applyBorder="1" applyAlignment="1">
      <alignment horizontal="center" vertical="center" wrapText="1"/>
    </xf>
    <xf numFmtId="1" fontId="133" fillId="62" borderId="22" xfId="0" applyNumberFormat="1" applyFont="1" applyFill="1" applyBorder="1" applyAlignment="1">
      <alignment horizontal="center" vertical="center" wrapText="1"/>
    </xf>
    <xf numFmtId="1" fontId="133" fillId="62" borderId="17" xfId="0" applyNumberFormat="1" applyFont="1" applyFill="1" applyBorder="1" applyAlignment="1">
      <alignment horizontal="center" vertical="center" wrapText="1"/>
    </xf>
    <xf numFmtId="1" fontId="24" fillId="43" borderId="22" xfId="0" applyNumberFormat="1" applyFont="1" applyFill="1" applyBorder="1" applyAlignment="1">
      <alignment horizontal="center" vertical="center" wrapText="1"/>
    </xf>
    <xf numFmtId="1" fontId="24" fillId="43" borderId="33" xfId="0" applyNumberFormat="1" applyFont="1" applyFill="1" applyBorder="1" applyAlignment="1">
      <alignment horizontal="center" vertical="center" wrapText="1"/>
    </xf>
    <xf numFmtId="0" fontId="52" fillId="67" borderId="44" xfId="11" applyFill="1" applyBorder="1" applyAlignment="1">
      <alignment horizontal="center" vertical="center" wrapText="1"/>
    </xf>
    <xf numFmtId="0" fontId="52" fillId="67" borderId="4" xfId="11" applyFill="1" applyBorder="1" applyAlignment="1">
      <alignment horizontal="center" vertical="center" wrapText="1"/>
    </xf>
    <xf numFmtId="0" fontId="52" fillId="67" borderId="2" xfId="11" applyFill="1" applyAlignment="1">
      <alignment horizontal="center" vertical="center" wrapText="1"/>
    </xf>
    <xf numFmtId="0" fontId="52" fillId="67" borderId="6" xfId="11" applyFill="1" applyBorder="1" applyAlignment="1">
      <alignment horizontal="center" vertical="center" wrapText="1"/>
    </xf>
    <xf numFmtId="0" fontId="52" fillId="67" borderId="14" xfId="11" applyFill="1" applyBorder="1" applyAlignment="1">
      <alignment horizontal="center" vertical="center" wrapText="1"/>
    </xf>
    <xf numFmtId="0" fontId="52" fillId="67" borderId="8" xfId="11" applyFill="1" applyBorder="1" applyAlignment="1">
      <alignment horizontal="center" vertical="center" wrapText="1"/>
    </xf>
    <xf numFmtId="1" fontId="57" fillId="68" borderId="24" xfId="0" applyNumberFormat="1" applyFont="1" applyFill="1" applyBorder="1" applyAlignment="1">
      <alignment horizontal="center" vertical="center" wrapText="1"/>
    </xf>
    <xf numFmtId="2" fontId="57" fillId="68" borderId="6" xfId="0" applyNumberFormat="1" applyFont="1" applyFill="1" applyBorder="1" applyAlignment="1">
      <alignment horizontal="center" vertical="center" wrapText="1"/>
    </xf>
    <xf numFmtId="1" fontId="57" fillId="68" borderId="0" xfId="0" applyNumberFormat="1" applyFont="1" applyFill="1" applyAlignment="1">
      <alignment horizontal="center" vertical="center" wrapText="1"/>
    </xf>
    <xf numFmtId="1" fontId="57" fillId="68" borderId="5" xfId="0" applyNumberFormat="1" applyFont="1" applyFill="1" applyBorder="1" applyAlignment="1">
      <alignment horizontal="center" vertical="center" wrapText="1"/>
    </xf>
    <xf numFmtId="1" fontId="24" fillId="43" borderId="27" xfId="0" applyNumberFormat="1" applyFont="1" applyFill="1" applyBorder="1" applyAlignment="1">
      <alignment horizontal="center" vertical="center" wrapText="1"/>
    </xf>
    <xf numFmtId="0" fontId="19" fillId="24" borderId="2" xfId="0" applyFont="1" applyFill="1" applyBorder="1" applyAlignment="1">
      <alignment horizontal="center" vertical="center" wrapText="1"/>
    </xf>
    <xf numFmtId="0" fontId="19" fillId="24" borderId="20" xfId="0" applyFont="1" applyFill="1" applyBorder="1" applyAlignment="1">
      <alignment horizontal="center" vertical="center" wrapText="1"/>
    </xf>
    <xf numFmtId="0" fontId="19" fillId="24" borderId="6" xfId="0" applyFont="1" applyFill="1" applyBorder="1" applyAlignment="1">
      <alignment horizontal="center" vertical="center" wrapText="1"/>
    </xf>
    <xf numFmtId="0" fontId="46" fillId="48" borderId="49" xfId="0" applyFont="1" applyFill="1" applyBorder="1" applyAlignment="1">
      <alignment horizontal="right" vertical="center" wrapText="1"/>
    </xf>
    <xf numFmtId="0" fontId="46" fillId="48" borderId="40" xfId="0" applyFont="1" applyFill="1" applyBorder="1" applyAlignment="1">
      <alignment horizontal="right" vertical="center" wrapText="1"/>
    </xf>
    <xf numFmtId="0" fontId="89" fillId="74" borderId="79" xfId="15" applyFont="1" applyFill="1" applyBorder="1" applyAlignment="1">
      <alignment horizontal="center" vertical="center" wrapText="1"/>
    </xf>
    <xf numFmtId="0" fontId="89" fillId="74" borderId="57" xfId="15" applyFont="1" applyFill="1" applyBorder="1" applyAlignment="1">
      <alignment horizontal="center" vertical="center" wrapText="1"/>
    </xf>
    <xf numFmtId="0" fontId="86" fillId="0" borderId="75" xfId="8" applyFont="1" applyBorder="1" applyAlignment="1">
      <alignment horizontal="center" vertical="center" wrapText="1"/>
    </xf>
    <xf numFmtId="0" fontId="86" fillId="0" borderId="74" xfId="8" applyFont="1" applyBorder="1" applyAlignment="1">
      <alignment horizontal="center" vertical="center" wrapText="1"/>
    </xf>
    <xf numFmtId="168" fontId="24" fillId="62" borderId="21" xfId="8" applyNumberFormat="1" applyFont="1" applyFill="1" applyBorder="1" applyAlignment="1">
      <alignment horizontal="center" vertical="center"/>
    </xf>
    <xf numFmtId="0" fontId="28" fillId="22" borderId="78" xfId="8" applyFont="1" applyFill="1" applyBorder="1" applyAlignment="1">
      <alignment horizontal="center" vertical="center" wrapText="1"/>
    </xf>
    <xf numFmtId="0" fontId="28" fillId="22" borderId="77" xfId="8" applyFont="1" applyFill="1" applyBorder="1" applyAlignment="1">
      <alignment horizontal="center" vertical="center" wrapText="1"/>
    </xf>
    <xf numFmtId="0" fontId="27" fillId="24" borderId="3" xfId="0" applyFont="1" applyFill="1" applyBorder="1" applyAlignment="1">
      <alignment horizontal="center" vertical="center" wrapText="1"/>
    </xf>
    <xf numFmtId="0" fontId="73" fillId="54" borderId="5" xfId="0" applyFont="1" applyFill="1" applyBorder="1" applyAlignment="1">
      <alignment horizontal="center" vertical="center" wrapText="1"/>
    </xf>
    <xf numFmtId="0" fontId="27" fillId="24" borderId="5" xfId="0" applyFont="1" applyFill="1" applyBorder="1" applyAlignment="1">
      <alignment horizontal="center" vertical="center" wrapText="1"/>
    </xf>
    <xf numFmtId="0" fontId="46" fillId="54" borderId="5" xfId="11" applyFont="1" applyFill="1" applyBorder="1" applyAlignment="1">
      <alignment horizontal="center" vertical="center"/>
    </xf>
    <xf numFmtId="0" fontId="46" fillId="54" borderId="2" xfId="11" applyFont="1" applyFill="1" applyAlignment="1">
      <alignment horizontal="center" vertical="center"/>
    </xf>
    <xf numFmtId="0" fontId="12" fillId="22" borderId="0" xfId="0" applyFont="1" applyFill="1" applyAlignment="1">
      <alignment horizontal="right" vertical="center" wrapText="1"/>
    </xf>
    <xf numFmtId="0" fontId="27" fillId="24" borderId="0" xfId="0" applyFont="1" applyFill="1" applyAlignment="1">
      <alignment horizontal="right" vertical="center" wrapText="1"/>
    </xf>
    <xf numFmtId="168" fontId="12" fillId="69" borderId="0" xfId="0" applyNumberFormat="1" applyFont="1" applyFill="1" applyAlignment="1">
      <alignment horizontal="center" vertical="center" wrapText="1"/>
    </xf>
    <xf numFmtId="168" fontId="27" fillId="24" borderId="0" xfId="0" applyNumberFormat="1" applyFont="1" applyFill="1" applyAlignment="1">
      <alignment horizontal="center" vertical="center" wrapText="1"/>
    </xf>
    <xf numFmtId="0" fontId="72" fillId="0" borderId="0" xfId="0" applyFont="1" applyAlignment="1">
      <alignment horizontal="right" vertical="center" wrapText="1"/>
    </xf>
    <xf numFmtId="169" fontId="72" fillId="69" borderId="0" xfId="0" applyNumberFormat="1" applyFont="1" applyFill="1" applyAlignment="1">
      <alignment horizontal="center" vertical="center" wrapText="1"/>
    </xf>
    <xf numFmtId="169" fontId="27" fillId="24" borderId="0" xfId="0" applyNumberFormat="1" applyFont="1" applyFill="1" applyAlignment="1">
      <alignment horizontal="center" vertical="center" wrapText="1"/>
    </xf>
    <xf numFmtId="0" fontId="70" fillId="66" borderId="0" xfId="0" applyFont="1" applyFill="1" applyAlignment="1">
      <alignment horizontal="right" vertical="center" wrapText="1"/>
    </xf>
    <xf numFmtId="168" fontId="18" fillId="66" borderId="0" xfId="0" applyNumberFormat="1" applyFont="1" applyFill="1" applyAlignment="1">
      <alignment horizontal="center" vertical="center" wrapText="1"/>
    </xf>
    <xf numFmtId="168" fontId="130" fillId="57" borderId="2" xfId="0" applyNumberFormat="1" applyFont="1" applyFill="1" applyBorder="1" applyAlignment="1">
      <alignment horizontal="center" vertical="center" wrapText="1"/>
    </xf>
    <xf numFmtId="168" fontId="130" fillId="57" borderId="6" xfId="0" applyNumberFormat="1" applyFont="1" applyFill="1" applyBorder="1" applyAlignment="1">
      <alignment horizontal="center" vertical="center" wrapText="1"/>
    </xf>
    <xf numFmtId="0" fontId="81" fillId="0" borderId="75" xfId="8" applyFont="1" applyBorder="1" applyAlignment="1">
      <alignment horizontal="center" vertical="center" wrapText="1"/>
    </xf>
    <xf numFmtId="0" fontId="81" fillId="0" borderId="74" xfId="8" applyFont="1" applyBorder="1" applyAlignment="1">
      <alignment horizontal="center" vertical="center" wrapText="1"/>
    </xf>
    <xf numFmtId="168" fontId="78" fillId="62" borderId="71" xfId="8" applyNumberFormat="1" applyFont="1" applyFill="1" applyBorder="1" applyAlignment="1">
      <alignment horizontal="center" vertical="center"/>
    </xf>
    <xf numFmtId="168" fontId="78" fillId="62" borderId="70" xfId="8" applyNumberFormat="1" applyFont="1" applyFill="1" applyBorder="1" applyAlignment="1">
      <alignment horizontal="center" vertical="center"/>
    </xf>
    <xf numFmtId="0" fontId="28" fillId="22" borderId="66" xfId="8" applyFont="1" applyFill="1" applyBorder="1" applyAlignment="1">
      <alignment horizontal="center" vertical="center" wrapText="1"/>
    </xf>
    <xf numFmtId="0" fontId="28" fillId="22" borderId="65" xfId="8" applyFont="1" applyFill="1" applyBorder="1" applyAlignment="1">
      <alignment horizontal="center" vertical="center" wrapText="1"/>
    </xf>
    <xf numFmtId="0" fontId="6" fillId="24" borderId="75" xfId="6" applyFont="1" applyFill="1" applyBorder="1" applyAlignment="1">
      <alignment horizontal="center" vertical="center" wrapText="1"/>
    </xf>
    <xf numFmtId="0" fontId="6" fillId="24" borderId="88" xfId="6" applyFont="1" applyFill="1" applyBorder="1" applyAlignment="1">
      <alignment horizontal="center" vertical="center" wrapText="1"/>
    </xf>
    <xf numFmtId="0" fontId="96" fillId="83" borderId="88" xfId="16" applyFont="1" applyFill="1" applyBorder="1" applyAlignment="1">
      <alignment horizontal="center" vertical="center"/>
    </xf>
    <xf numFmtId="0" fontId="96" fillId="83" borderId="74" xfId="16" applyFont="1" applyFill="1" applyBorder="1" applyAlignment="1">
      <alignment horizontal="center" vertical="center"/>
    </xf>
    <xf numFmtId="0" fontId="95" fillId="81" borderId="20" xfId="6" applyFont="1" applyFill="1" applyBorder="1" applyAlignment="1">
      <alignment horizontal="center" vertical="center" wrapText="1"/>
    </xf>
    <xf numFmtId="0" fontId="95" fillId="81" borderId="2" xfId="6" applyFont="1" applyFill="1" applyAlignment="1">
      <alignment horizontal="center" vertical="center" wrapText="1"/>
    </xf>
    <xf numFmtId="0" fontId="95" fillId="81" borderId="2" xfId="16" applyFont="1" applyFill="1" applyAlignment="1">
      <alignment horizontal="center" vertical="center" wrapText="1"/>
    </xf>
    <xf numFmtId="0" fontId="95" fillId="81" borderId="21" xfId="16" applyFont="1" applyFill="1" applyBorder="1" applyAlignment="1">
      <alignment horizontal="center" vertical="center" wrapText="1"/>
    </xf>
    <xf numFmtId="0" fontId="86" fillId="76" borderId="44" xfId="6" applyFont="1" applyFill="1" applyBorder="1" applyAlignment="1">
      <alignment horizontal="center" vertical="center" wrapText="1"/>
    </xf>
    <xf numFmtId="0" fontId="86" fillId="76" borderId="4" xfId="6" applyFont="1" applyFill="1" applyBorder="1" applyAlignment="1">
      <alignment horizontal="center" vertical="center" wrapText="1"/>
    </xf>
    <xf numFmtId="0" fontId="52" fillId="64" borderId="44" xfId="10" applyFill="1" applyBorder="1" applyAlignment="1">
      <alignment horizontal="center" vertical="center" wrapText="1"/>
    </xf>
    <xf numFmtId="0" fontId="52" fillId="64" borderId="84" xfId="10" applyFill="1" applyBorder="1" applyAlignment="1">
      <alignment horizontal="center" vertical="center" wrapText="1"/>
    </xf>
    <xf numFmtId="0" fontId="52" fillId="64" borderId="2" xfId="10" applyFill="1" applyAlignment="1">
      <alignment horizontal="center" vertical="center" wrapText="1"/>
    </xf>
    <xf numFmtId="0" fontId="52" fillId="64" borderId="21" xfId="10" applyFill="1" applyBorder="1" applyAlignment="1">
      <alignment horizontal="center" vertical="center" wrapText="1"/>
    </xf>
    <xf numFmtId="0" fontId="52" fillId="67" borderId="44" xfId="10" applyFill="1" applyBorder="1" applyAlignment="1">
      <alignment horizontal="center" vertical="center" wrapText="1"/>
    </xf>
    <xf numFmtId="0" fontId="52" fillId="67" borderId="84" xfId="10" applyFill="1" applyBorder="1" applyAlignment="1">
      <alignment horizontal="center" vertical="center" wrapText="1"/>
    </xf>
    <xf numFmtId="0" fontId="52" fillId="67" borderId="2" xfId="10" applyFill="1" applyAlignment="1">
      <alignment horizontal="center" vertical="center" wrapText="1"/>
    </xf>
    <xf numFmtId="0" fontId="52" fillId="67" borderId="21" xfId="10" applyFill="1" applyBorder="1" applyAlignment="1">
      <alignment horizontal="center" vertical="center" wrapText="1"/>
    </xf>
    <xf numFmtId="0" fontId="52" fillId="78" borderId="44" xfId="10" applyFill="1" applyBorder="1" applyAlignment="1">
      <alignment horizontal="center" vertical="center" wrapText="1"/>
    </xf>
    <xf numFmtId="0" fontId="52" fillId="78" borderId="84" xfId="10" applyFill="1" applyBorder="1" applyAlignment="1">
      <alignment horizontal="center" vertical="center" wrapText="1"/>
    </xf>
    <xf numFmtId="0" fontId="52" fillId="78" borderId="2" xfId="10" applyFill="1" applyAlignment="1">
      <alignment horizontal="center" vertical="center" wrapText="1"/>
    </xf>
    <xf numFmtId="0" fontId="52" fillId="78" borderId="21" xfId="10" applyFill="1" applyBorder="1" applyAlignment="1">
      <alignment horizontal="center" vertical="center" wrapText="1"/>
    </xf>
    <xf numFmtId="0" fontId="52" fillId="75" borderId="44" xfId="10" applyFill="1" applyBorder="1" applyAlignment="1">
      <alignment horizontal="center" vertical="center" wrapText="1"/>
    </xf>
    <xf numFmtId="0" fontId="52" fillId="75" borderId="84" xfId="10" applyFill="1" applyBorder="1" applyAlignment="1">
      <alignment horizontal="center" vertical="center" wrapText="1"/>
    </xf>
    <xf numFmtId="0" fontId="52" fillId="75" borderId="2" xfId="10" applyFill="1" applyAlignment="1">
      <alignment horizontal="center" vertical="center" wrapText="1"/>
    </xf>
    <xf numFmtId="0" fontId="52" fillId="75" borderId="21" xfId="10" applyFill="1" applyBorder="1" applyAlignment="1">
      <alignment horizontal="center" vertical="center" wrapText="1"/>
    </xf>
    <xf numFmtId="0" fontId="28" fillId="0" borderId="81" xfId="16" applyFont="1" applyBorder="1" applyAlignment="1">
      <alignment horizontal="center" vertical="center"/>
    </xf>
    <xf numFmtId="0" fontId="28" fillId="0" borderId="47" xfId="16" applyFont="1" applyBorder="1" applyAlignment="1">
      <alignment horizontal="center" vertical="center"/>
    </xf>
    <xf numFmtId="0" fontId="28" fillId="0" borderId="31" xfId="16" applyFont="1" applyBorder="1" applyAlignment="1">
      <alignment horizontal="center" vertical="center"/>
    </xf>
    <xf numFmtId="0" fontId="28" fillId="0" borderId="13" xfId="16" applyFont="1" applyBorder="1" applyAlignment="1">
      <alignment horizontal="center" vertical="center"/>
    </xf>
    <xf numFmtId="0" fontId="28" fillId="0" borderId="12" xfId="16" applyFont="1" applyBorder="1" applyAlignment="1">
      <alignment horizontal="center" vertical="center"/>
    </xf>
    <xf numFmtId="0" fontId="28" fillId="0" borderId="80" xfId="16" applyFont="1" applyBorder="1" applyAlignment="1">
      <alignment horizontal="center" vertical="center"/>
    </xf>
    <xf numFmtId="0" fontId="52" fillId="75" borderId="3" xfId="10" applyFill="1" applyBorder="1" applyAlignment="1">
      <alignment horizontal="center" vertical="center" wrapText="1"/>
    </xf>
    <xf numFmtId="0" fontId="52" fillId="75" borderId="5" xfId="10" applyFill="1" applyBorder="1" applyAlignment="1">
      <alignment horizontal="center" vertical="center" wrapText="1"/>
    </xf>
    <xf numFmtId="0" fontId="85" fillId="49" borderId="98" xfId="8" applyFont="1" applyFill="1" applyBorder="1" applyAlignment="1">
      <alignment horizontal="right" vertical="center" wrapText="1"/>
    </xf>
    <xf numFmtId="0" fontId="85" fillId="49" borderId="96" xfId="8" applyFont="1" applyFill="1" applyBorder="1" applyAlignment="1">
      <alignment horizontal="right" vertical="center" wrapText="1"/>
    </xf>
    <xf numFmtId="0" fontId="78" fillId="43" borderId="20" xfId="8" applyFont="1" applyFill="1" applyBorder="1" applyAlignment="1">
      <alignment horizontal="center" vertical="center"/>
    </xf>
    <xf numFmtId="9" fontId="55" fillId="0" borderId="84" xfId="6" applyNumberFormat="1" applyFont="1" applyBorder="1" applyAlignment="1">
      <alignment horizontal="center" vertical="center"/>
    </xf>
    <xf numFmtId="9" fontId="55" fillId="0" borderId="21" xfId="6" applyNumberFormat="1" applyFont="1" applyBorder="1" applyAlignment="1">
      <alignment horizontal="center" vertical="center"/>
    </xf>
    <xf numFmtId="2" fontId="57" fillId="0" borderId="97" xfId="6" applyNumberFormat="1" applyFont="1" applyBorder="1" applyAlignment="1">
      <alignment horizontal="center" vertical="center"/>
    </xf>
    <xf numFmtId="2" fontId="57" fillId="0" borderId="20" xfId="6" applyNumberFormat="1" applyFont="1" applyBorder="1" applyAlignment="1">
      <alignment horizontal="center" vertical="center"/>
    </xf>
    <xf numFmtId="2" fontId="55" fillId="0" borderId="4" xfId="6" applyNumberFormat="1" applyFont="1" applyBorder="1" applyAlignment="1">
      <alignment horizontal="center" vertical="center"/>
    </xf>
    <xf numFmtId="2" fontId="55" fillId="0" borderId="6" xfId="6" applyNumberFormat="1" applyFont="1" applyBorder="1" applyAlignment="1">
      <alignment horizontal="center" vertical="center"/>
    </xf>
    <xf numFmtId="0" fontId="52" fillId="61" borderId="3" xfId="10" applyFill="1" applyBorder="1" applyAlignment="1">
      <alignment horizontal="center" vertical="center" wrapText="1"/>
    </xf>
    <xf numFmtId="0" fontId="52" fillId="61" borderId="84" xfId="10" applyFill="1" applyBorder="1" applyAlignment="1">
      <alignment horizontal="center" vertical="center" wrapText="1"/>
    </xf>
    <xf numFmtId="0" fontId="52" fillId="61" borderId="5" xfId="10" applyFill="1" applyBorder="1" applyAlignment="1">
      <alignment horizontal="center" vertical="center" wrapText="1"/>
    </xf>
    <xf numFmtId="0" fontId="52" fillId="61" borderId="21" xfId="10" applyFill="1" applyBorder="1" applyAlignment="1">
      <alignment horizontal="center" vertical="center" wrapText="1"/>
    </xf>
    <xf numFmtId="0" fontId="52" fillId="61" borderId="7" xfId="10" applyFill="1" applyBorder="1" applyAlignment="1">
      <alignment horizontal="center" vertical="center" wrapText="1"/>
    </xf>
    <xf numFmtId="0" fontId="52" fillId="61" borderId="16" xfId="10" applyFill="1" applyBorder="1" applyAlignment="1">
      <alignment horizontal="center" vertical="center" wrapText="1"/>
    </xf>
    <xf numFmtId="0" fontId="73" fillId="54" borderId="94" xfId="12" applyFont="1" applyFill="1" applyBorder="1" applyAlignment="1">
      <alignment horizontal="center" vertical="center"/>
    </xf>
    <xf numFmtId="0" fontId="73" fillId="54" borderId="93" xfId="12" applyFont="1" applyFill="1" applyBorder="1" applyAlignment="1">
      <alignment horizontal="center" vertical="center"/>
    </xf>
    <xf numFmtId="0" fontId="73" fillId="54" borderId="92" xfId="12" applyFont="1" applyFill="1" applyBorder="1" applyAlignment="1">
      <alignment horizontal="center" vertical="center"/>
    </xf>
    <xf numFmtId="0" fontId="83" fillId="84" borderId="44" xfId="14" applyFill="1" applyBorder="1" applyAlignment="1">
      <alignment horizontal="left" vertical="center"/>
    </xf>
    <xf numFmtId="0" fontId="83" fillId="84" borderId="84" xfId="14" applyFill="1" applyBorder="1" applyAlignment="1">
      <alignment horizontal="left" vertical="center"/>
    </xf>
    <xf numFmtId="0" fontId="78" fillId="43" borderId="97" xfId="8" applyFont="1" applyFill="1" applyBorder="1" applyAlignment="1">
      <alignment horizontal="center" vertical="center"/>
    </xf>
    <xf numFmtId="0" fontId="52" fillId="78" borderId="3" xfId="10" applyFill="1" applyBorder="1" applyAlignment="1">
      <alignment horizontal="center" vertical="center" wrapText="1"/>
    </xf>
    <xf numFmtId="0" fontId="52" fillId="78" borderId="5" xfId="10" applyFill="1" applyBorder="1" applyAlignment="1">
      <alignment horizontal="center" vertical="center" wrapText="1"/>
    </xf>
    <xf numFmtId="0" fontId="52" fillId="78" borderId="7" xfId="10" applyFill="1" applyBorder="1" applyAlignment="1">
      <alignment horizontal="center" vertical="center" wrapText="1"/>
    </xf>
    <xf numFmtId="0" fontId="52" fillId="78" borderId="16" xfId="10" applyFill="1" applyBorder="1" applyAlignment="1">
      <alignment horizontal="center" vertical="center" wrapText="1"/>
    </xf>
    <xf numFmtId="0" fontId="8" fillId="73" borderId="100" xfId="8" applyFont="1" applyFill="1" applyBorder="1" applyAlignment="1">
      <alignment horizontal="right" vertical="center" wrapText="1"/>
    </xf>
    <xf numFmtId="0" fontId="8" fillId="73" borderId="96" xfId="8" applyFont="1" applyFill="1" applyBorder="1" applyAlignment="1">
      <alignment horizontal="right" vertical="center" wrapText="1"/>
    </xf>
    <xf numFmtId="0" fontId="51" fillId="71" borderId="100" xfId="8" applyFont="1" applyFill="1" applyBorder="1" applyAlignment="1">
      <alignment horizontal="right" vertical="center" wrapText="1"/>
    </xf>
    <xf numFmtId="0" fontId="51" fillId="71" borderId="99" xfId="8" applyFont="1" applyFill="1" applyBorder="1" applyAlignment="1">
      <alignment horizontal="right" vertical="center" wrapText="1"/>
    </xf>
    <xf numFmtId="0" fontId="78" fillId="43" borderId="15" xfId="8" applyFont="1" applyFill="1" applyBorder="1" applyAlignment="1">
      <alignment horizontal="center" vertical="center"/>
    </xf>
    <xf numFmtId="9" fontId="55" fillId="0" borderId="16" xfId="6" applyNumberFormat="1" applyFont="1" applyBorder="1" applyAlignment="1">
      <alignment horizontal="center" vertical="center"/>
    </xf>
    <xf numFmtId="2" fontId="57" fillId="0" borderId="15" xfId="6" applyNumberFormat="1" applyFont="1" applyBorder="1" applyAlignment="1">
      <alignment horizontal="center" vertical="center"/>
    </xf>
    <xf numFmtId="2" fontId="55" fillId="0" borderId="8" xfId="6" applyNumberFormat="1" applyFont="1" applyBorder="1" applyAlignment="1">
      <alignment horizontal="center" vertical="center"/>
    </xf>
    <xf numFmtId="0" fontId="78" fillId="43" borderId="101" xfId="8" applyFont="1" applyFill="1" applyBorder="1" applyAlignment="1">
      <alignment horizontal="center" vertical="center"/>
    </xf>
    <xf numFmtId="0" fontId="78" fillId="43" borderId="102" xfId="8" applyFont="1" applyFill="1" applyBorder="1" applyAlignment="1">
      <alignment horizontal="center" vertical="center"/>
    </xf>
    <xf numFmtId="0" fontId="52" fillId="41" borderId="3" xfId="10" applyFill="1" applyBorder="1" applyAlignment="1">
      <alignment horizontal="center" vertical="center"/>
    </xf>
    <xf numFmtId="0" fontId="52" fillId="41" borderId="84" xfId="10" applyFill="1" applyBorder="1" applyAlignment="1">
      <alignment horizontal="center" vertical="center"/>
    </xf>
    <xf numFmtId="0" fontId="52" fillId="41" borderId="7" xfId="10" applyFill="1" applyBorder="1" applyAlignment="1">
      <alignment horizontal="center" vertical="center"/>
    </xf>
    <xf numFmtId="0" fontId="52" fillId="41" borderId="16" xfId="10" applyFill="1" applyBorder="1" applyAlignment="1">
      <alignment horizontal="center" vertical="center"/>
    </xf>
    <xf numFmtId="0" fontId="52" fillId="64" borderId="3" xfId="10" applyFill="1" applyBorder="1" applyAlignment="1">
      <alignment horizontal="center" vertical="center" wrapText="1"/>
    </xf>
    <xf numFmtId="0" fontId="52" fillId="64" borderId="5" xfId="10" applyFill="1" applyBorder="1" applyAlignment="1">
      <alignment horizontal="center" vertical="center" wrapText="1"/>
    </xf>
    <xf numFmtId="0" fontId="63" fillId="58" borderId="100" xfId="8" applyFont="1" applyFill="1" applyBorder="1" applyAlignment="1">
      <alignment horizontal="right" vertical="center" wrapText="1"/>
    </xf>
    <xf numFmtId="0" fontId="63" fillId="58" borderId="96" xfId="8" applyFont="1" applyFill="1" applyBorder="1" applyAlignment="1">
      <alignment horizontal="right" vertical="center" wrapText="1"/>
    </xf>
    <xf numFmtId="0" fontId="73" fillId="88" borderId="20" xfId="12" applyFont="1" applyFill="1" applyBorder="1" applyAlignment="1">
      <alignment horizontal="center" vertical="center" wrapText="1"/>
    </xf>
    <xf numFmtId="0" fontId="81" fillId="22" borderId="117" xfId="8" applyFont="1" applyFill="1" applyBorder="1" applyAlignment="1">
      <alignment horizontal="center" vertical="center" wrapText="1"/>
    </xf>
    <xf numFmtId="0" fontId="81" fillId="22" borderId="116" xfId="8" applyFont="1" applyFill="1" applyBorder="1" applyAlignment="1">
      <alignment horizontal="center" vertical="center" wrapText="1"/>
    </xf>
    <xf numFmtId="0" fontId="81" fillId="22" borderId="113" xfId="8" applyFont="1" applyFill="1" applyBorder="1" applyAlignment="1">
      <alignment horizontal="center" vertical="center" wrapText="1"/>
    </xf>
    <xf numFmtId="0" fontId="81" fillId="22" borderId="112" xfId="8" applyFont="1" applyFill="1" applyBorder="1" applyAlignment="1">
      <alignment horizontal="center" vertical="center" wrapText="1"/>
    </xf>
    <xf numFmtId="169" fontId="69" fillId="69" borderId="115" xfId="8" applyNumberFormat="1" applyFont="1" applyFill="1" applyBorder="1" applyAlignment="1">
      <alignment horizontal="center" vertical="center"/>
    </xf>
    <xf numFmtId="169" fontId="69" fillId="69" borderId="111" xfId="8" applyNumberFormat="1" applyFont="1" applyFill="1" applyBorder="1" applyAlignment="1">
      <alignment horizontal="center" vertical="center"/>
    </xf>
    <xf numFmtId="0" fontId="69" fillId="0" borderId="115" xfId="8" applyFont="1" applyBorder="1" applyAlignment="1">
      <alignment horizontal="left" vertical="center"/>
    </xf>
    <xf numFmtId="0" fontId="69" fillId="0" borderId="114" xfId="8" applyFont="1" applyBorder="1" applyAlignment="1">
      <alignment horizontal="left" vertical="center"/>
    </xf>
    <xf numFmtId="0" fontId="69" fillId="0" borderId="111" xfId="8" applyFont="1" applyBorder="1" applyAlignment="1">
      <alignment horizontal="left" vertical="center"/>
    </xf>
    <xf numFmtId="0" fontId="69" fillId="0" borderId="110" xfId="8" applyFont="1" applyBorder="1" applyAlignment="1">
      <alignment horizontal="left" vertical="center"/>
    </xf>
    <xf numFmtId="168" fontId="78" fillId="62" borderId="109" xfId="8" applyNumberFormat="1" applyFont="1" applyFill="1" applyBorder="1" applyAlignment="1">
      <alignment horizontal="center" vertical="center"/>
    </xf>
    <xf numFmtId="168" fontId="78" fillId="62" borderId="108" xfId="8" applyNumberFormat="1" applyFont="1" applyFill="1" applyBorder="1" applyAlignment="1">
      <alignment horizontal="center" vertical="center"/>
    </xf>
    <xf numFmtId="168" fontId="8" fillId="66" borderId="14" xfId="8" applyNumberFormat="1" applyFont="1" applyFill="1" applyBorder="1" applyAlignment="1">
      <alignment horizontal="center" vertical="center"/>
    </xf>
    <xf numFmtId="0" fontId="8" fillId="66" borderId="14" xfId="8" applyFont="1" applyFill="1" applyBorder="1" applyAlignment="1">
      <alignment horizontal="left" vertical="center"/>
    </xf>
    <xf numFmtId="0" fontId="8" fillId="66" borderId="16" xfId="8" applyFont="1" applyFill="1" applyBorder="1" applyAlignment="1">
      <alignment horizontal="left" vertical="center"/>
    </xf>
    <xf numFmtId="0" fontId="112" fillId="22" borderId="20" xfId="8" applyFont="1" applyFill="1" applyBorder="1" applyAlignment="1">
      <alignment horizontal="center" vertical="center" wrapText="1"/>
    </xf>
    <xf numFmtId="0" fontId="112" fillId="22" borderId="21" xfId="8" applyFont="1" applyFill="1" applyBorder="1" applyAlignment="1">
      <alignment horizontal="center" vertical="center" wrapText="1"/>
    </xf>
    <xf numFmtId="0" fontId="52" fillId="67" borderId="3" xfId="10" applyFill="1" applyBorder="1" applyAlignment="1">
      <alignment horizontal="center" vertical="center" wrapText="1"/>
    </xf>
    <xf numFmtId="0" fontId="52" fillId="67" borderId="5" xfId="10" applyFill="1" applyBorder="1" applyAlignment="1">
      <alignment horizontal="center" vertical="center" wrapText="1"/>
    </xf>
    <xf numFmtId="0" fontId="52" fillId="67" borderId="7" xfId="10" applyFill="1" applyBorder="1" applyAlignment="1">
      <alignment horizontal="center" vertical="center" wrapText="1"/>
    </xf>
    <xf numFmtId="0" fontId="52" fillId="67" borderId="16" xfId="10" applyFill="1" applyBorder="1" applyAlignment="1">
      <alignment horizontal="center" vertical="center" wrapText="1"/>
    </xf>
    <xf numFmtId="0" fontId="73" fillId="88" borderId="75" xfId="12" applyFont="1" applyFill="1" applyBorder="1" applyAlignment="1">
      <alignment horizontal="center" vertical="center"/>
    </xf>
    <xf numFmtId="0" fontId="73" fillId="88" borderId="121" xfId="12" applyFont="1" applyFill="1" applyBorder="1" applyAlignment="1">
      <alignment horizontal="center" vertical="center"/>
    </xf>
    <xf numFmtId="168" fontId="24" fillId="69" borderId="120" xfId="8" applyNumberFormat="1" applyFont="1" applyFill="1" applyBorder="1" applyAlignment="1">
      <alignment horizontal="center" vertical="center"/>
    </xf>
    <xf numFmtId="168" fontId="24" fillId="69" borderId="119" xfId="8" applyNumberFormat="1" applyFont="1" applyFill="1" applyBorder="1" applyAlignment="1">
      <alignment horizontal="center" vertical="center"/>
    </xf>
    <xf numFmtId="0" fontId="24" fillId="22" borderId="119" xfId="8" applyFont="1" applyFill="1" applyBorder="1" applyAlignment="1">
      <alignment horizontal="left" vertical="center"/>
    </xf>
    <xf numFmtId="0" fontId="24" fillId="22" borderId="118" xfId="8" applyFont="1" applyFill="1" applyBorder="1" applyAlignment="1">
      <alignment horizontal="left" vertical="center"/>
    </xf>
    <xf numFmtId="0" fontId="85" fillId="57" borderId="98" xfId="8" applyFont="1" applyFill="1" applyBorder="1" applyAlignment="1">
      <alignment horizontal="right" vertical="center" wrapText="1"/>
    </xf>
    <xf numFmtId="0" fontId="85" fillId="57" borderId="96" xfId="8" applyFont="1" applyFill="1" applyBorder="1" applyAlignment="1">
      <alignment horizontal="right" vertical="center" wrapText="1"/>
    </xf>
    <xf numFmtId="0" fontId="24" fillId="62" borderId="97" xfId="8" applyFont="1" applyFill="1" applyBorder="1" applyAlignment="1">
      <alignment horizontal="center" vertical="center"/>
    </xf>
    <xf numFmtId="0" fontId="51" fillId="51" borderId="100" xfId="8" applyFont="1" applyFill="1" applyBorder="1" applyAlignment="1">
      <alignment horizontal="right" vertical="center" wrapText="1"/>
    </xf>
    <xf numFmtId="0" fontId="51" fillId="51" borderId="99" xfId="8" applyFont="1" applyFill="1" applyBorder="1" applyAlignment="1">
      <alignment horizontal="right" vertical="center" wrapText="1"/>
    </xf>
    <xf numFmtId="0" fontId="24" fillId="62" borderId="15" xfId="8" applyFont="1" applyFill="1" applyBorder="1" applyAlignment="1">
      <alignment horizontal="center" vertical="center"/>
    </xf>
    <xf numFmtId="0" fontId="8" fillId="50" borderId="100" xfId="8" applyFont="1" applyFill="1" applyBorder="1" applyAlignment="1">
      <alignment horizontal="right" vertical="center" wrapText="1"/>
    </xf>
    <xf numFmtId="0" fontId="8" fillId="50" borderId="96" xfId="8" applyFont="1" applyFill="1" applyBorder="1" applyAlignment="1">
      <alignment horizontal="right" vertical="center" wrapText="1"/>
    </xf>
    <xf numFmtId="0" fontId="120" fillId="22" borderId="125" xfId="8" applyFont="1" applyFill="1" applyBorder="1" applyAlignment="1">
      <alignment horizontal="center" vertical="center" wrapText="1"/>
    </xf>
    <xf numFmtId="0" fontId="120" fillId="22" borderId="124" xfId="8" applyFont="1" applyFill="1" applyBorder="1" applyAlignment="1">
      <alignment horizontal="center" vertical="center" wrapText="1"/>
    </xf>
    <xf numFmtId="0" fontId="122" fillId="49" borderId="79" xfId="10" applyFont="1" applyFill="1" applyBorder="1" applyAlignment="1">
      <alignment horizontal="center" vertical="center"/>
    </xf>
    <xf numFmtId="0" fontId="122" fillId="49" borderId="57" xfId="10" applyFont="1" applyFill="1" applyBorder="1" applyAlignment="1">
      <alignment horizontal="center" vertical="center"/>
    </xf>
    <xf numFmtId="0" fontId="73" fillId="89" borderId="131" xfId="12" applyFont="1" applyFill="1" applyBorder="1" applyAlignment="1">
      <alignment horizontal="center" vertical="center"/>
    </xf>
    <xf numFmtId="0" fontId="73" fillId="89" borderId="130" xfId="12" applyFont="1" applyFill="1" applyBorder="1" applyAlignment="1">
      <alignment horizontal="center" vertical="center"/>
    </xf>
    <xf numFmtId="0" fontId="121" fillId="89" borderId="20" xfId="12" applyFont="1" applyFill="1" applyBorder="1" applyAlignment="1">
      <alignment horizontal="center" vertical="center"/>
    </xf>
    <xf numFmtId="169" fontId="69" fillId="69" borderId="128" xfId="8" applyNumberFormat="1" applyFont="1" applyFill="1" applyBorder="1" applyAlignment="1">
      <alignment horizontal="center" vertical="center"/>
    </xf>
    <xf numFmtId="169" fontId="69" fillId="69" borderId="127" xfId="8" applyNumberFormat="1" applyFont="1" applyFill="1" applyBorder="1" applyAlignment="1">
      <alignment horizontal="center" vertical="center"/>
    </xf>
    <xf numFmtId="168" fontId="8" fillId="66" borderId="7" xfId="8" applyNumberFormat="1" applyFont="1" applyFill="1" applyBorder="1" applyAlignment="1">
      <alignment horizontal="center" vertical="center"/>
    </xf>
    <xf numFmtId="0" fontId="27" fillId="177" borderId="2" xfId="42" applyFont="1" applyFill="1" applyAlignment="1">
      <alignment horizontal="center" vertical="center" wrapText="1"/>
    </xf>
    <xf numFmtId="0" fontId="266" fillId="177" borderId="2" xfId="42" applyFont="1" applyFill="1" applyAlignment="1">
      <alignment horizontal="center" vertical="center" wrapText="1"/>
    </xf>
    <xf numFmtId="0" fontId="27" fillId="178" borderId="2" xfId="42" applyFont="1" applyFill="1" applyAlignment="1">
      <alignment horizontal="center" vertical="center" wrapText="1"/>
    </xf>
    <xf numFmtId="0" fontId="19" fillId="179" borderId="2" xfId="42" applyFont="1" applyFill="1" applyAlignment="1">
      <alignment horizontal="center" vertical="center" wrapText="1"/>
    </xf>
    <xf numFmtId="0" fontId="269" fillId="11" borderId="2" xfId="42" applyFont="1" applyFill="1" applyAlignment="1">
      <alignment horizontal="center" vertical="center"/>
    </xf>
  </cellXfs>
  <cellStyles count="46">
    <cellStyle name="Lien hypertexte 2" xfId="28" xr:uid="{8BEB17D2-04FF-4535-8BFA-CE165D2D907B}"/>
    <cellStyle name="Lien hypertexte 3 2" xfId="14" xr:uid="{EB9F1758-AB69-40A9-BBDC-17CB323A743A}"/>
    <cellStyle name="Lien hypertexte 4" xfId="34" xr:uid="{A16FA7E3-0F75-4FD8-A96B-58CA62BD17EA}"/>
    <cellStyle name="Lien hypertexte_PG Positionnement 2009 2" xfId="35" xr:uid="{D39633AD-E466-445F-AD02-7AAA8C980C74}"/>
    <cellStyle name="Normal" xfId="0" builtinId="0"/>
    <cellStyle name="Normal 10 2" xfId="32" xr:uid="{39661AA9-1927-46BC-AB1F-F6A97EC08E42}"/>
    <cellStyle name="Normal 10 2 2 2 2 3 2 3 2 2 4 2" xfId="23" xr:uid="{31B1396C-0826-4EA9-A60A-886259734929}"/>
    <cellStyle name="Normal 10 2 2 2 2 3 2 3 2 2 4 2 2" xfId="38" xr:uid="{13F7FEC6-AF85-4865-97DA-F60672636606}"/>
    <cellStyle name="Normal 10 2 2 2 2 3 2 3 2 2 4 2 2 2" xfId="45" xr:uid="{1C1C8186-21B3-4F03-8C71-72A4BA1A6C25}"/>
    <cellStyle name="Normal 10 2 2 2 2 3 2 3 2 2 4 2 3" xfId="41" xr:uid="{3CC0FE5C-4B07-4958-B326-9DBA94340D96}"/>
    <cellStyle name="Normal 11 2 3 2 3 2 2 4 2" xfId="24" xr:uid="{A53A699A-68E5-4788-8D6F-C7C322DD489C}"/>
    <cellStyle name="Normal 12 2" xfId="16" xr:uid="{7E3C5515-D6FC-4012-BD00-8F095080EC55}"/>
    <cellStyle name="Normal 14" xfId="10" xr:uid="{A45807FA-32A2-4B4B-99E1-70EA7BEEF68E}"/>
    <cellStyle name="Normal 15" xfId="11" xr:uid="{A5AA6850-4669-452A-9575-2F09F08C0C5F}"/>
    <cellStyle name="Normal 2" xfId="2" xr:uid="{00000000-0005-0000-0000-000001000000}"/>
    <cellStyle name="Normal 2 2" xfId="1" xr:uid="{00000000-0005-0000-0000-000002000000}"/>
    <cellStyle name="Normal 2 2 2" xfId="3" xr:uid="{00000000-0005-0000-0000-000003000000}"/>
    <cellStyle name="Normal 2 2 2 2" xfId="8" xr:uid="{412E8537-CDFA-4371-BCB9-FAE5D62CB4B6}"/>
    <cellStyle name="Normal 2 2 2 2 2" xfId="21" xr:uid="{B4A7E409-4387-4B5B-B094-32937F20DC4B}"/>
    <cellStyle name="Normal 2 2 2 2 2 3" xfId="37" xr:uid="{DF802AF5-435E-4A3C-A0CA-139C66887630}"/>
    <cellStyle name="Normal 2 2 2 2 2 3 2" xfId="42" xr:uid="{AB96BCD9-A55F-48A4-9ED8-45C1C68DA0A8}"/>
    <cellStyle name="Normal 2 2 3 2" xfId="5" xr:uid="{FE612B16-AC73-452A-91A3-1887EE3876A1}"/>
    <cellStyle name="Normal 2 2 4" xfId="25" xr:uid="{92118175-4157-4941-95BC-4E727DAA02A9}"/>
    <cellStyle name="Normal 2 2 5" xfId="40" xr:uid="{3A4FDDE8-F325-4E96-9F95-B37A54E2BE71}"/>
    <cellStyle name="Normal 2 2 5 2" xfId="43" xr:uid="{A2751314-67D2-44DB-995A-0A6D9E3C7BBF}"/>
    <cellStyle name="Normal 2 3" xfId="4" xr:uid="{DDB4F243-61D3-4DA2-B656-48BB4FD1AD18}"/>
    <cellStyle name="Normal 2 3 2" xfId="6" xr:uid="{BE79BE6E-EFB4-45BB-9558-8A8BB7E4404A}"/>
    <cellStyle name="Normal 2 3 2 2" xfId="7" xr:uid="{BD4AD234-BEB6-43FF-ABC7-9F915A95F766}"/>
    <cellStyle name="Normal 2 3 3" xfId="27" xr:uid="{18768F0A-0527-427D-A078-46B48CBAB9BD}"/>
    <cellStyle name="Normal 3" xfId="26" xr:uid="{D65800DE-AB79-422D-8058-97DCC0869943}"/>
    <cellStyle name="Normal 3 2 2" xfId="18" xr:uid="{E7989021-FC2A-47CE-B1EC-D9B843B68D94}"/>
    <cellStyle name="Normal 3 3 2" xfId="31" xr:uid="{782F5683-3714-420F-834E-F4806B4150C6}"/>
    <cellStyle name="Normal 4" xfId="44" xr:uid="{617CBBC4-B6BF-490C-8C10-AB1280E06E2F}"/>
    <cellStyle name="Normal 4 3 4 2 2 2" xfId="22" xr:uid="{1213DDE8-96F0-4188-842A-6EB085612C1F}"/>
    <cellStyle name="Normal 4 3 4 3" xfId="30" xr:uid="{2AD61D8F-9AB5-4092-B8B5-DB209424F0D2}"/>
    <cellStyle name="Normal 7 2" xfId="17" xr:uid="{73E0470F-148A-4F98-9E99-BC70EA03A269}"/>
    <cellStyle name="Normal_Comparer recettes 2009 OK 2 2" xfId="29" xr:uid="{2AD972A8-AC58-434B-96E6-BA27B6F6FF6A}"/>
    <cellStyle name="Normal_Comparer recettes 2009 OK 2 2 2 2" xfId="39" xr:uid="{64FB0277-F79A-46E9-98FE-9775ED679E52}"/>
    <cellStyle name="Normal_EFECTIF1 2" xfId="15" xr:uid="{E3D27BE2-3FF2-46D8-BBD0-156965107AAB}"/>
    <cellStyle name="Normal_Forum Marais 15 09 2001 3" xfId="13" xr:uid="{AC00E47B-7F09-4D83-ACE7-EF9E93BDBC21}"/>
    <cellStyle name="Normal_Forum Marais 15 09 2001_Fiche technique C2 Mars 2008 " xfId="33" xr:uid="{E5DD20CA-7436-4C15-9E02-96CE6DDE8724}"/>
    <cellStyle name="Normal_Gantt 27 janvier 2" xfId="36" xr:uid="{DC3F96DF-555D-4991-99FA-6CAD3596D013}"/>
    <cellStyle name="Normal_Marché 2002 filtre automatique 2" xfId="12" xr:uid="{8E9E7EFE-2EE4-49A6-8305-E7C0F7FA7967}"/>
    <cellStyle name="Normal_Menussuite" xfId="9" xr:uid="{2F93EC48-BC6F-433E-903A-73EB3E89BC3E}"/>
    <cellStyle name="Normal_Modèle de Positionnement 2003" xfId="19" xr:uid="{5E0B3EC5-FAB7-40F9-AD55-0DD3A8AAAA85}"/>
    <cellStyle name="Normal_space" xfId="20" xr:uid="{7CFFD2F9-3883-4510-A59C-83F74F7FD070}"/>
  </cellStyles>
  <dxfs count="45">
    <dxf>
      <font>
        <b/>
        <color rgb="FF7F6000"/>
      </font>
      <fill>
        <patternFill>
          <bgColor rgb="FFF4B183"/>
        </patternFill>
      </fill>
    </dxf>
    <dxf>
      <font>
        <b/>
        <color rgb="FFFFFFFF"/>
      </font>
      <fill>
        <patternFill>
          <bgColor rgb="FFC00000"/>
        </patternFill>
      </fill>
    </dxf>
    <dxf>
      <fill>
        <patternFill patternType="solid">
          <bgColor rgb="FFFFF2CC"/>
        </patternFill>
      </fill>
    </dxf>
    <dxf>
      <fill>
        <patternFill patternType="solid">
          <bgColor rgb="FFE2F0D9"/>
        </patternFill>
      </fill>
    </dxf>
    <dxf>
      <font>
        <b/>
      </font>
      <fill>
        <patternFill patternType="solid">
          <bgColor rgb="FFF4CCCC"/>
        </patternFill>
      </fill>
    </dxf>
    <dxf>
      <font>
        <strike val="0"/>
        <outline val="0"/>
        <shadow val="0"/>
        <u val="none"/>
        <vertAlign val="baseline"/>
        <name val="Calibri"/>
        <family val="2"/>
        <scheme val="none"/>
      </font>
      <alignment vertical="center" textRotation="0" indent="0" justifyLastLine="0" shrinkToFit="0" readingOrder="0"/>
    </dxf>
    <dxf>
      <font>
        <strike val="0"/>
        <outline val="0"/>
        <shadow val="0"/>
        <u val="none"/>
        <vertAlign val="baseline"/>
        <name val="Calibri"/>
        <family val="2"/>
        <scheme val="none"/>
      </font>
      <alignment vertical="center" textRotation="0" indent="0" justifyLastLine="0" shrinkToFit="0" readingOrder="0"/>
    </dxf>
    <dxf>
      <font>
        <strike val="0"/>
        <outline val="0"/>
        <shadow val="0"/>
        <u val="none"/>
        <vertAlign val="baseline"/>
        <name val="Calibri"/>
        <family val="2"/>
        <scheme val="none"/>
      </font>
      <alignment vertical="center" textRotation="0" indent="0" justifyLastLine="0" shrinkToFit="0" readingOrder="0"/>
    </dxf>
    <dxf>
      <font>
        <strike val="0"/>
        <outline val="0"/>
        <shadow val="0"/>
        <u val="none"/>
        <vertAlign val="baseline"/>
        <name val="Calibri"/>
        <family val="2"/>
        <scheme val="none"/>
      </font>
      <alignment vertical="center" textRotation="0" indent="0" justifyLastLine="0" shrinkToFit="0" readingOrder="0"/>
    </dxf>
    <dxf>
      <font>
        <b/>
        <strike val="0"/>
        <outline val="0"/>
        <shadow val="0"/>
        <u val="none"/>
        <vertAlign val="baseline"/>
        <name val="Calibri"/>
        <family val="2"/>
        <scheme val="none"/>
      </font>
      <alignment horizontal="center" vertical="center" textRotation="0" wrapText="1" indent="0" justifyLastLine="0" shrinkToFit="0" readingOrder="0"/>
    </dxf>
    <dxf>
      <font>
        <strike val="0"/>
        <outline val="0"/>
        <shadow val="0"/>
        <u val="none"/>
        <vertAlign val="baseline"/>
        <name val="Calibri"/>
        <family val="2"/>
        <scheme val="none"/>
      </font>
      <alignment vertical="center" textRotation="0" indent="0" justifyLastLine="0" shrinkToFit="0" readingOrder="0"/>
    </dxf>
    <dxf>
      <font>
        <strike val="0"/>
        <outline val="0"/>
        <shadow val="0"/>
        <u val="none"/>
        <vertAlign val="baseline"/>
        <name val="Calibri"/>
        <family val="2"/>
        <scheme val="none"/>
      </font>
      <alignment vertical="center" textRotation="0" indent="0" justifyLastLine="0" shrinkToFit="0" readingOrder="0"/>
    </dxf>
    <dxf>
      <font>
        <b/>
        <strike val="0"/>
        <outline val="0"/>
        <shadow val="0"/>
        <u val="none"/>
        <vertAlign val="baseline"/>
        <name val="Calibri"/>
        <family val="2"/>
        <scheme val="none"/>
      </font>
      <alignment horizontal="center" vertical="center" textRotation="0" wrapText="1" indent="0" justifyLastLine="0" shrinkToFit="0" readingOrder="0"/>
    </dxf>
    <dxf>
      <font>
        <strike val="0"/>
        <outline val="0"/>
        <shadow val="0"/>
        <u val="none"/>
        <vertAlign val="baseline"/>
        <name val="Calibri"/>
        <family val="2"/>
        <scheme val="none"/>
      </font>
      <alignment vertical="center" textRotation="0" indent="0" justifyLastLine="0" shrinkToFit="0" readingOrder="0"/>
    </dxf>
    <dxf>
      <font>
        <strike val="0"/>
        <outline val="0"/>
        <shadow val="0"/>
        <u val="none"/>
        <vertAlign val="baseline"/>
        <name val="Calibri"/>
        <family val="2"/>
        <scheme val="none"/>
      </font>
      <alignment vertical="center" textRotation="0" indent="0" justifyLastLine="0" shrinkToFit="0" readingOrder="0"/>
    </dxf>
    <dxf>
      <font>
        <strike val="0"/>
        <outline val="0"/>
        <shadow val="0"/>
        <u val="none"/>
        <vertAlign val="baseline"/>
        <sz val="14"/>
        <color rgb="FFFFFFFF"/>
        <name val="Calibri"/>
        <family val="2"/>
        <scheme val="none"/>
      </font>
      <fill>
        <patternFill patternType="solid">
          <fgColor indexed="64"/>
          <bgColor rgb="FFFF6600"/>
        </patternFill>
      </fill>
      <alignment vertical="center" textRotation="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b/>
        <strike val="0"/>
        <outline val="0"/>
        <shadow val="0"/>
        <u val="none"/>
        <vertAlign val="baseline"/>
        <sz val="12"/>
        <color rgb="FF000000"/>
        <name val="Calibri"/>
        <family val="2"/>
        <scheme val="none"/>
      </font>
      <fill>
        <patternFill patternType="solid">
          <fgColor indexed="64"/>
          <bgColor rgb="FFF4CCCC"/>
        </patternFill>
      </fill>
      <alignment horizontal="center" vertical="center" textRotation="0" wrapText="1"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b/>
        <strike val="0"/>
        <outline val="0"/>
        <shadow val="0"/>
        <u val="none"/>
        <vertAlign val="baseline"/>
        <sz val="12"/>
        <color rgb="FF000000"/>
        <name val="Calibri"/>
        <family val="2"/>
        <scheme val="none"/>
      </font>
      <fill>
        <patternFill patternType="solid">
          <fgColor indexed="64"/>
          <bgColor rgb="FFF4CCCC"/>
        </patternFill>
      </fill>
      <alignment horizontal="left" vertical="center" textRotation="0" wrapText="1"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name val="Calibri"/>
        <family val="2"/>
        <scheme val="none"/>
      </font>
      <alignment vertical="center" textRotation="0" wrapText="0" indent="0" justifyLastLine="0" shrinkToFit="0" readingOrder="0"/>
    </dxf>
    <dxf>
      <font>
        <strike val="0"/>
        <outline val="0"/>
        <shadow val="0"/>
        <u val="none"/>
        <vertAlign val="baseline"/>
        <sz val="14"/>
        <color rgb="FFFFFFFF"/>
        <name val="Calibri"/>
        <family val="2"/>
        <scheme val="none"/>
      </font>
      <alignment vertical="center" textRotation="0" wrapText="0" indent="0" justifyLastLine="0" shrinkToFit="0" readingOrder="0"/>
    </dxf>
  </dxfs>
  <tableStyles count="0" defaultTableStyle="TableStyleMedium2" defaultPivotStyle="PivotStyleLight16"/>
  <colors>
    <mruColors>
      <color rgb="FFF20000"/>
      <color rgb="FF409255"/>
      <color rgb="FFF89430"/>
      <color rgb="FF0066CC"/>
      <color rgb="FF99CCFF"/>
      <color rgb="FF00FF00"/>
      <color rgb="FFFFCC00"/>
      <color rgb="FF00CCFF"/>
      <color rgb="FFFF99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24</xdr:col>
      <xdr:colOff>381000</xdr:colOff>
      <xdr:row>99</xdr:row>
      <xdr:rowOff>155315</xdr:rowOff>
    </xdr:from>
    <xdr:to>
      <xdr:col>28</xdr:col>
      <xdr:colOff>130331</xdr:colOff>
      <xdr:row>104</xdr:row>
      <xdr:rowOff>450850</xdr:rowOff>
    </xdr:to>
    <xdr:pic>
      <xdr:nvPicPr>
        <xdr:cNvPr id="2" name="Picture 1">
          <a:extLst>
            <a:ext uri="{FF2B5EF4-FFF2-40B4-BE49-F238E27FC236}">
              <a16:creationId xmlns:a16="http://schemas.microsoft.com/office/drawing/2014/main" id="{2E846FCA-7D78-488D-BF3C-E8D0242DD2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83600" y="43960790"/>
          <a:ext cx="3102131" cy="2819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381000</xdr:colOff>
      <xdr:row>99</xdr:row>
      <xdr:rowOff>155315</xdr:rowOff>
    </xdr:from>
    <xdr:to>
      <xdr:col>27</xdr:col>
      <xdr:colOff>663731</xdr:colOff>
      <xdr:row>104</xdr:row>
      <xdr:rowOff>450850</xdr:rowOff>
    </xdr:to>
    <xdr:pic>
      <xdr:nvPicPr>
        <xdr:cNvPr id="3" name="Picture 1">
          <a:extLst>
            <a:ext uri="{FF2B5EF4-FFF2-40B4-BE49-F238E27FC236}">
              <a16:creationId xmlns:a16="http://schemas.microsoft.com/office/drawing/2014/main" id="{1C5CB982-2E47-4141-975C-9730285B63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12000" y="43960790"/>
          <a:ext cx="2797331" cy="2819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33</xdr:col>
      <xdr:colOff>847725</xdr:colOff>
      <xdr:row>8</xdr:row>
      <xdr:rowOff>190500</xdr:rowOff>
    </xdr:from>
    <xdr:to>
      <xdr:col>33</xdr:col>
      <xdr:colOff>1695863</xdr:colOff>
      <xdr:row>11</xdr:row>
      <xdr:rowOff>0</xdr:rowOff>
    </xdr:to>
    <xdr:pic>
      <xdr:nvPicPr>
        <xdr:cNvPr id="3" name="Image 2">
          <a:extLst>
            <a:ext uri="{FF2B5EF4-FFF2-40B4-BE49-F238E27FC236}">
              <a16:creationId xmlns:a16="http://schemas.microsoft.com/office/drawing/2014/main" id="{3CBDB6A3-B72D-4663-93EF-5CDB8F828F4B}"/>
            </a:ext>
          </a:extLst>
        </xdr:cNvPr>
        <xdr:cNvPicPr>
          <a:picLocks noChangeAspect="1"/>
        </xdr:cNvPicPr>
      </xdr:nvPicPr>
      <xdr:blipFill>
        <a:blip xmlns:r="http://schemas.openxmlformats.org/officeDocument/2006/relationships" r:embed="rId1"/>
        <a:stretch>
          <a:fillRect/>
        </a:stretch>
      </xdr:blipFill>
      <xdr:spPr>
        <a:xfrm>
          <a:off x="37957125" y="2324100"/>
          <a:ext cx="848138" cy="609600"/>
        </a:xfrm>
        <a:prstGeom prst="rect">
          <a:avLst/>
        </a:prstGeom>
      </xdr:spPr>
    </xdr:pic>
    <xdr:clientData/>
  </xdr:twoCellAnchor>
  <xdr:twoCellAnchor editAs="oneCell">
    <xdr:from>
      <xdr:col>59</xdr:col>
      <xdr:colOff>657225</xdr:colOff>
      <xdr:row>8</xdr:row>
      <xdr:rowOff>95250</xdr:rowOff>
    </xdr:from>
    <xdr:to>
      <xdr:col>59</xdr:col>
      <xdr:colOff>1524121</xdr:colOff>
      <xdr:row>10</xdr:row>
      <xdr:rowOff>123909</xdr:rowOff>
    </xdr:to>
    <xdr:pic>
      <xdr:nvPicPr>
        <xdr:cNvPr id="4" name="Image 3">
          <a:extLst>
            <a:ext uri="{FF2B5EF4-FFF2-40B4-BE49-F238E27FC236}">
              <a16:creationId xmlns:a16="http://schemas.microsoft.com/office/drawing/2014/main" id="{F8BC7CE9-C514-445C-B3A6-CCD82C68CBBD}"/>
            </a:ext>
          </a:extLst>
        </xdr:cNvPr>
        <xdr:cNvPicPr>
          <a:picLocks noChangeAspect="1"/>
        </xdr:cNvPicPr>
      </xdr:nvPicPr>
      <xdr:blipFill>
        <a:blip xmlns:r="http://schemas.openxmlformats.org/officeDocument/2006/relationships" r:embed="rId2"/>
        <a:stretch>
          <a:fillRect/>
        </a:stretch>
      </xdr:blipFill>
      <xdr:spPr>
        <a:xfrm>
          <a:off x="68780025" y="2228850"/>
          <a:ext cx="866896" cy="600159"/>
        </a:xfrm>
        <a:prstGeom prst="rect">
          <a:avLst/>
        </a:prstGeom>
      </xdr:spPr>
    </xdr:pic>
    <xdr:clientData/>
  </xdr:twoCellAnchor>
  <xdr:oneCellAnchor>
    <xdr:from>
      <xdr:col>9</xdr:col>
      <xdr:colOff>57150</xdr:colOff>
      <xdr:row>7</xdr:row>
      <xdr:rowOff>276225</xdr:rowOff>
    </xdr:from>
    <xdr:ext cx="815228" cy="571500"/>
    <xdr:pic>
      <xdr:nvPicPr>
        <xdr:cNvPr id="6" name="Image 5">
          <a:extLst>
            <a:ext uri="{FF2B5EF4-FFF2-40B4-BE49-F238E27FC236}">
              <a16:creationId xmlns:a16="http://schemas.microsoft.com/office/drawing/2014/main" id="{8BDD81F7-D85A-43DB-B432-B1B61224F2C4}"/>
            </a:ext>
          </a:extLst>
        </xdr:cNvPr>
        <xdr:cNvPicPr>
          <a:picLocks noChangeAspect="1"/>
        </xdr:cNvPicPr>
      </xdr:nvPicPr>
      <xdr:blipFill>
        <a:blip xmlns:r="http://schemas.openxmlformats.org/officeDocument/2006/relationships" r:embed="rId3"/>
        <a:stretch>
          <a:fillRect/>
        </a:stretch>
      </xdr:blipFill>
      <xdr:spPr>
        <a:xfrm>
          <a:off x="9801225" y="2124075"/>
          <a:ext cx="815228" cy="57150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D50073-4D7A-44E5-BFC6-17070E5F1C99}" name="TableSaisonProduits610" displayName="TableSaisonProduits610" ref="A1:Z162" headerRowDxfId="44" dataDxfId="43" totalsRowDxfId="42">
  <tableColumns count="26">
    <tableColumn id="1" xr3:uid="{925A2C78-C31B-48E6-B68E-A938059D95C3}" name="Code" dataDxfId="41"/>
    <tableColumn id="2" xr3:uid="{A4027AC6-91FC-4C1F-BD68-A0DF024A375A}" name="Produit_source" dataDxfId="40"/>
    <tableColumn id="3" xr3:uid="{58DEDC3B-2CD0-4B3A-B038-9D14E13EA759}" name="Produit_normalisé" dataDxfId="39"/>
    <tableColumn id="4" xr3:uid="{1101A133-B1BB-4BAC-AC28-C261C75C83FE}" name="Famille_principale" dataDxfId="38"/>
    <tableColumn id="5" xr3:uid="{5483B2F1-D925-4763-B147-72D46EFBF137}" name="Usages_cuisine" dataDxfId="37"/>
    <tableColumn id="6" xr3:uid="{68180DB9-67F5-4B06-A53E-A55A08B3739B}" name="Couleur_produit" dataDxfId="36"/>
    <tableColumn id="7" xr3:uid="{FE0BECB5-1EF9-4591-B2A7-5E986E9D3BD6}" name="Famille_source" dataDxfId="35"/>
    <tableColumn id="8" xr3:uid="{8570996A-6876-4DF1-8F6E-073E5EAFE602}" name="Disponibilité" dataDxfId="34"/>
    <tableColumn id="9" xr3:uid="{A483F7D0-7D04-4F2D-99FC-4CB62C8B3AF1}" name="Pleine_saison_mois" dataDxfId="33"/>
    <tableColumn id="10" xr3:uid="{180F9003-5CA6-4030-9477-657F266B3998}" name="Ancienne_saison_base" dataDxfId="32"/>
    <tableColumn id="11" xr3:uid="{EF0B5BD6-A44D-4612-8ADD-C79B3BF451F4}" name="Complété" dataDxfId="31"/>
    <tableColumn id="12" xr3:uid="{7CCC2E8C-6981-4503-9215-B3DFA2CB1FB0}" name="Statut_donnée" dataDxfId="30"/>
    <tableColumn id="13" xr3:uid="{2C553A21-1CA0-466E-B3CE-8C25BAE59DB2}" name="Remarque_métier" dataDxfId="29"/>
    <tableColumn id="14" xr3:uid="{06B97FE7-C8BB-4F1A-8209-04243ABF9809}" name="Janv" dataDxfId="28"/>
    <tableColumn id="15" xr3:uid="{5F2EFB9B-8FFC-4D65-8891-80CBB9B7D57E}" name="Févr" dataDxfId="27"/>
    <tableColumn id="16" xr3:uid="{18B3F2CB-5D1E-4412-983B-DA3150AD28FB}" name="Mars" dataDxfId="26"/>
    <tableColumn id="17" xr3:uid="{4A3870C3-6CFD-4391-82F1-12B76287BCAE}" name="Avr" dataDxfId="25"/>
    <tableColumn id="18" xr3:uid="{431E6C47-D56A-470F-A8CA-4DB426E3A521}" name="Mai" dataDxfId="24"/>
    <tableColumn id="19" xr3:uid="{CDC286C9-09EC-4F23-A7C7-D2A32D602E38}" name="Juin" dataDxfId="23"/>
    <tableColumn id="20" xr3:uid="{7AD2EB8E-FA53-41F0-AFF8-E2CF4B764AA8}" name="Juil" dataDxfId="22"/>
    <tableColumn id="21" xr3:uid="{A298B4DF-CEEB-4497-9194-9F5AB3F10360}" name="Août" dataDxfId="21"/>
    <tableColumn id="22" xr3:uid="{B70AB236-E071-4912-A2B0-27157E9A1F49}" name="Sept" dataDxfId="20"/>
    <tableColumn id="23" xr3:uid="{721BFFAA-BCD0-4ED0-9CFC-FBD925103450}" name="Oct" dataDxfId="19"/>
    <tableColumn id="24" xr3:uid="{18B21F9C-A25D-440F-816A-B6B417F0C456}" name="Nov" dataDxfId="18"/>
    <tableColumn id="25" xr3:uid="{6390DE7E-D850-4606-A359-58C1F27593A5}" name="Déc" dataDxfId="17"/>
    <tableColumn id="26" xr3:uid="{F2E44913-2CCC-4732-87DC-68FF85BCA6A0}" name="Source_repère" dataDxfId="1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5BE86E4-F743-4F6F-9E4B-A189750A7133}" name="TableVueMois" displayName="TableVueMois" ref="B1:I1145" headerRowDxfId="15" dataDxfId="14" totalsRowDxfId="13">
  <autoFilter ref="B1:I1145" xr:uid="{00000000-000C-0000-FFFF-FFFF01000000}"/>
  <tableColumns count="8">
    <tableColumn id="1" xr3:uid="{00000000-0010-0000-0100-000001000000}" name="Mois" dataDxfId="12"/>
    <tableColumn id="2" xr3:uid="{00000000-0010-0000-0100-000002000000}" name="Repère" dataDxfId="11"/>
    <tableColumn id="3" xr3:uid="{00000000-0010-0000-0100-000003000000}" name="Code" dataDxfId="10"/>
    <tableColumn id="4" xr3:uid="{00000000-0010-0000-0100-000004000000}" name="Produit" dataDxfId="9"/>
    <tableColumn id="5" xr3:uid="{00000000-0010-0000-0100-000005000000}" name="Famille" dataDxfId="8"/>
    <tableColumn id="6" xr3:uid="{00000000-0010-0000-0100-000006000000}" name="Usage" dataDxfId="7"/>
    <tableColumn id="7" xr3:uid="{00000000-0010-0000-0100-000007000000}" name="Disponibilité" dataDxfId="6"/>
    <tableColumn id="8" xr3:uid="{00000000-0010-0000-0100-000008000000}" name="Remarque" dataDxfId="5"/>
  </tableColumns>
  <tableStyleInfo name="TableStyleLight4"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onbache.fr/syntheses-graphiques-excel-avec-les-emoticones-499.html" TargetMode="External"/></Relationships>
</file>

<file path=xl/worksheets/_rels/sheet2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implyfood.be/onewebmedia/GIDS-100214-GuideCantinD-FR.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3EB58-8108-45B4-9B4C-A0AAE4F4E86F}">
  <dimension ref="A1:AR106"/>
  <sheetViews>
    <sheetView tabSelected="1" zoomScale="75" zoomScaleNormal="75" workbookViewId="0">
      <selection activeCell="O16" sqref="O16"/>
    </sheetView>
  </sheetViews>
  <sheetFormatPr baseColWidth="10" defaultRowHeight="12.75" x14ac:dyDescent="0.2"/>
  <cols>
    <col min="1" max="2" width="11" style="1196"/>
    <col min="3" max="3" width="14" style="1196" customWidth="1"/>
    <col min="4" max="18" width="11" style="1196"/>
    <col min="19" max="19" width="14" style="1196" customWidth="1"/>
    <col min="20" max="20" width="10.625" style="1196" customWidth="1"/>
    <col min="21" max="21" width="13.375" style="1196" customWidth="1"/>
    <col min="22" max="22" width="11" style="1196"/>
    <col min="23" max="23" width="12.375" style="1196" customWidth="1"/>
    <col min="24" max="24" width="10.625" style="1196" bestFit="1" customWidth="1"/>
    <col min="25" max="16384" width="11" style="1196"/>
  </cols>
  <sheetData>
    <row r="1" spans="1:29" ht="30" customHeight="1" x14ac:dyDescent="0.25">
      <c r="A1" s="1193"/>
      <c r="B1" s="1193"/>
      <c r="C1" s="1193"/>
      <c r="D1" s="1193"/>
      <c r="E1" s="1193"/>
      <c r="F1" s="1193"/>
      <c r="G1" s="1193"/>
      <c r="H1" s="1193"/>
      <c r="I1" s="1193"/>
      <c r="J1" s="1193"/>
      <c r="K1" s="1193"/>
      <c r="L1" s="1194"/>
      <c r="M1" s="1194"/>
      <c r="N1" s="1194"/>
      <c r="O1" s="1194"/>
      <c r="P1" s="1194"/>
      <c r="Q1" s="1195"/>
      <c r="R1" s="1195"/>
      <c r="S1" s="1195"/>
      <c r="T1" s="1195"/>
      <c r="U1" s="1195"/>
      <c r="V1" s="1195"/>
      <c r="W1" s="1195"/>
      <c r="X1" s="1195"/>
      <c r="Y1" s="1195"/>
      <c r="Z1" s="1195"/>
      <c r="AA1" s="1195"/>
      <c r="AB1" s="1195"/>
      <c r="AC1" s="1195"/>
    </row>
    <row r="2" spans="1:29" ht="30" customHeight="1" x14ac:dyDescent="0.25">
      <c r="A2" s="1197"/>
      <c r="B2" s="1198" t="s">
        <v>7942</v>
      </c>
      <c r="C2" s="1197"/>
      <c r="D2" s="1197"/>
      <c r="E2" s="1197"/>
      <c r="F2" s="1197"/>
      <c r="G2" s="1197"/>
      <c r="H2" s="1197"/>
      <c r="I2" s="1199"/>
      <c r="J2" s="1197"/>
      <c r="K2" s="1197"/>
      <c r="L2" s="1199"/>
      <c r="M2" s="1199"/>
      <c r="N2" s="1199"/>
      <c r="O2" s="1199"/>
      <c r="P2" s="1199"/>
      <c r="Q2" s="1200"/>
      <c r="R2" s="1200"/>
      <c r="S2" s="1200"/>
      <c r="T2" s="1201" t="s">
        <v>7943</v>
      </c>
      <c r="U2" s="1200"/>
      <c r="V2" s="1200"/>
      <c r="W2" s="1200"/>
      <c r="X2" s="1200"/>
      <c r="Y2" s="1200"/>
      <c r="Z2" s="1200"/>
      <c r="AA2" s="1200"/>
      <c r="AB2" s="1200"/>
      <c r="AC2" s="1200"/>
    </row>
    <row r="3" spans="1:29" ht="30" customHeight="1" x14ac:dyDescent="0.25">
      <c r="A3" s="1197"/>
      <c r="B3" s="1202" t="s">
        <v>7944</v>
      </c>
      <c r="C3" s="1203"/>
      <c r="D3" s="1197"/>
      <c r="E3" s="1197"/>
      <c r="F3" s="1197"/>
      <c r="G3" s="1197"/>
      <c r="H3" s="1197"/>
      <c r="I3" s="1199"/>
      <c r="J3" s="1197"/>
      <c r="K3" s="1197"/>
      <c r="L3" s="1199"/>
      <c r="M3" s="1199"/>
      <c r="N3" s="1199"/>
      <c r="O3" s="1199"/>
      <c r="P3" s="1199"/>
      <c r="Q3" s="1200"/>
      <c r="R3" s="1200"/>
      <c r="S3" s="1200"/>
      <c r="T3" s="1201" t="s">
        <v>7945</v>
      </c>
      <c r="U3" s="1200"/>
      <c r="V3" s="1200"/>
      <c r="W3" s="1200"/>
      <c r="X3" s="1200"/>
      <c r="Y3" s="1200"/>
      <c r="Z3" s="1200"/>
      <c r="AA3" s="1200"/>
      <c r="AB3" s="1200"/>
      <c r="AC3" s="1200"/>
    </row>
    <row r="4" spans="1:29" ht="30" customHeight="1" x14ac:dyDescent="0.25">
      <c r="A4" s="1197"/>
      <c r="B4" s="1202" t="s">
        <v>7946</v>
      </c>
      <c r="C4" s="1203"/>
      <c r="D4" s="1197"/>
      <c r="E4" s="1197"/>
      <c r="F4" s="1197"/>
      <c r="G4" s="1197"/>
      <c r="H4" s="1197"/>
      <c r="I4" s="1199"/>
      <c r="J4" s="1197"/>
      <c r="K4" s="1197"/>
      <c r="L4" s="1199"/>
      <c r="M4" s="1199"/>
      <c r="N4" s="1199"/>
      <c r="O4" s="1199"/>
      <c r="P4" s="1199"/>
      <c r="Q4" s="1200"/>
      <c r="R4" s="1200"/>
      <c r="S4" s="1200"/>
      <c r="T4" s="1204" t="s">
        <v>7947</v>
      </c>
      <c r="U4" s="1200"/>
      <c r="V4" s="1200"/>
      <c r="W4" s="1200"/>
      <c r="X4" s="1200"/>
      <c r="Y4" s="1200"/>
      <c r="Z4" s="1200"/>
      <c r="AA4" s="1200"/>
      <c r="AB4" s="1200"/>
      <c r="AC4" s="1200"/>
    </row>
    <row r="5" spans="1:29" ht="30" customHeight="1" x14ac:dyDescent="0.25">
      <c r="A5" s="1197"/>
      <c r="B5" s="1202" t="s">
        <v>7948</v>
      </c>
      <c r="C5" s="1203"/>
      <c r="D5" s="1197"/>
      <c r="E5" s="1197"/>
      <c r="F5" s="1197"/>
      <c r="G5" s="1197"/>
      <c r="H5" s="1197"/>
      <c r="I5" s="1199"/>
      <c r="J5" s="1197"/>
      <c r="K5" s="1197"/>
      <c r="L5" s="1199"/>
      <c r="M5" s="1199"/>
      <c r="N5" s="1199"/>
      <c r="O5" s="1199"/>
      <c r="P5" s="1199"/>
      <c r="Q5" s="1200"/>
      <c r="R5" s="1200"/>
      <c r="S5" s="1200"/>
      <c r="T5" s="1201" t="s">
        <v>13667</v>
      </c>
      <c r="U5" s="1200"/>
      <c r="V5" s="1200"/>
      <c r="W5" s="1200"/>
      <c r="X5" s="1200"/>
      <c r="Y5" s="1200"/>
      <c r="Z5" s="1200"/>
      <c r="AA5" s="1200"/>
      <c r="AB5" s="1200"/>
      <c r="AC5" s="1200"/>
    </row>
    <row r="6" spans="1:29" ht="30" customHeight="1" x14ac:dyDescent="0.25">
      <c r="A6" s="1197"/>
      <c r="B6" s="1202" t="s">
        <v>7949</v>
      </c>
      <c r="C6" s="1197"/>
      <c r="D6" s="1197"/>
      <c r="E6" s="1197"/>
      <c r="F6" s="1197"/>
      <c r="G6" s="1197"/>
      <c r="H6" s="1197"/>
      <c r="I6" s="1199"/>
      <c r="J6" s="1197"/>
      <c r="K6" s="1197"/>
      <c r="L6" s="1199"/>
      <c r="M6" s="1199"/>
      <c r="N6" s="1199"/>
      <c r="O6" s="1199"/>
      <c r="P6" s="1199"/>
      <c r="Q6" s="1200"/>
      <c r="R6" s="1200"/>
      <c r="S6" s="1200"/>
      <c r="T6" s="1201" t="s">
        <v>7950</v>
      </c>
      <c r="U6" s="1200"/>
      <c r="V6" s="1200"/>
      <c r="W6" s="1200"/>
      <c r="X6" s="1200"/>
      <c r="Y6" s="1200"/>
      <c r="Z6" s="1200"/>
      <c r="AA6" s="1200"/>
      <c r="AB6" s="1200"/>
      <c r="AC6" s="1200"/>
    </row>
    <row r="7" spans="1:29" ht="30" customHeight="1" x14ac:dyDescent="0.25">
      <c r="A7" s="1205"/>
      <c r="B7" s="1206" t="s">
        <v>7710</v>
      </c>
      <c r="C7" s="1205"/>
      <c r="D7" s="1205"/>
      <c r="E7" s="1205"/>
      <c r="F7" s="1205"/>
      <c r="G7" s="1205"/>
      <c r="H7" s="1205"/>
      <c r="I7" s="1207"/>
      <c r="J7" s="1205"/>
      <c r="K7" s="1205"/>
      <c r="L7" s="1207"/>
      <c r="M7" s="1207"/>
      <c r="N7" s="1207"/>
      <c r="O7" s="1207"/>
      <c r="P7" s="1207"/>
      <c r="Q7" s="1208"/>
      <c r="R7" s="1208"/>
      <c r="S7" s="1208"/>
      <c r="T7" s="1208"/>
      <c r="U7" s="1208"/>
      <c r="V7" s="1208"/>
      <c r="W7" s="1208"/>
      <c r="X7" s="1208"/>
      <c r="Y7" s="1208"/>
      <c r="Z7" s="1208"/>
      <c r="AA7" s="1208"/>
      <c r="AB7" s="1208"/>
      <c r="AC7" s="1208"/>
    </row>
    <row r="8" spans="1:29" ht="30" customHeight="1" x14ac:dyDescent="0.25">
      <c r="A8" s="1209"/>
      <c r="B8" s="1210"/>
      <c r="C8" s="1209"/>
      <c r="D8" s="1209"/>
      <c r="E8" s="1209"/>
      <c r="F8" s="1209"/>
      <c r="G8" s="1209"/>
      <c r="H8" s="1209"/>
      <c r="I8" s="1211"/>
      <c r="J8" s="1209"/>
      <c r="K8" s="1209"/>
      <c r="L8" s="1211"/>
      <c r="M8" s="1211"/>
      <c r="N8" s="1211"/>
      <c r="O8" s="1211"/>
      <c r="P8" s="1211"/>
      <c r="Q8" s="1212"/>
      <c r="R8" s="1212"/>
      <c r="S8" s="1212"/>
      <c r="T8" s="1212"/>
      <c r="U8" s="1212"/>
      <c r="V8" s="1212"/>
      <c r="W8" s="1212"/>
      <c r="X8" s="1212"/>
      <c r="Y8" s="1212"/>
      <c r="Z8" s="1212"/>
      <c r="AA8" s="1212"/>
      <c r="AB8" s="1212"/>
      <c r="AC8" s="1212"/>
    </row>
    <row r="9" spans="1:29" ht="30" customHeight="1" x14ac:dyDescent="0.2">
      <c r="A9" s="1209"/>
      <c r="B9" s="1213"/>
      <c r="C9" s="1213"/>
      <c r="D9" s="1213"/>
      <c r="E9" s="1213"/>
      <c r="F9" s="1213"/>
      <c r="G9" s="1213"/>
      <c r="H9" s="1213"/>
      <c r="I9" s="1213"/>
      <c r="J9" s="1213"/>
      <c r="K9" s="1213"/>
      <c r="L9" s="1213"/>
      <c r="M9" s="1213"/>
      <c r="N9" s="1213"/>
      <c r="O9" s="1213"/>
      <c r="P9" s="1213"/>
      <c r="Q9" s="1213"/>
      <c r="R9" s="1213"/>
      <c r="S9" s="1213"/>
      <c r="T9" s="1213"/>
      <c r="U9" s="1214" t="s">
        <v>4830</v>
      </c>
      <c r="V9" s="1213"/>
      <c r="W9" s="1213"/>
      <c r="X9" s="1213"/>
      <c r="Y9" s="1212"/>
      <c r="Z9" s="1212"/>
      <c r="AA9" s="1212"/>
      <c r="AB9" s="1212"/>
      <c r="AC9" s="1212"/>
    </row>
    <row r="10" spans="1:29" ht="30" customHeight="1" x14ac:dyDescent="0.2">
      <c r="A10" s="1209"/>
      <c r="B10" s="1213"/>
      <c r="C10" s="1213"/>
      <c r="D10" s="1213"/>
      <c r="E10" s="1213"/>
      <c r="F10" s="1213"/>
      <c r="G10" s="1213"/>
      <c r="H10" s="1213"/>
      <c r="I10" s="1213"/>
      <c r="J10" s="1213"/>
      <c r="K10" s="1213"/>
      <c r="L10" s="1213"/>
      <c r="M10" s="1213"/>
      <c r="N10" s="1213"/>
      <c r="O10" s="1213"/>
      <c r="P10" s="1213"/>
      <c r="Q10" s="1213"/>
      <c r="R10" s="1213"/>
      <c r="S10" s="1213"/>
      <c r="T10" s="1213"/>
      <c r="U10" s="1213"/>
      <c r="V10" s="1213"/>
      <c r="W10" s="1213"/>
      <c r="X10" s="1213"/>
      <c r="Y10" s="1212"/>
      <c r="Z10" s="1212"/>
      <c r="AA10" s="1212"/>
      <c r="AB10" s="1212"/>
      <c r="AC10" s="1212"/>
    </row>
    <row r="11" spans="1:29" ht="30" customHeight="1" x14ac:dyDescent="0.2">
      <c r="A11" s="1209"/>
      <c r="B11" s="1213"/>
      <c r="C11" s="1213" t="s">
        <v>7951</v>
      </c>
      <c r="D11" s="1213"/>
      <c r="E11" s="1213"/>
      <c r="F11" s="1213"/>
      <c r="G11" s="1213"/>
      <c r="H11" s="1213"/>
      <c r="I11" s="1213"/>
      <c r="J11" s="1213"/>
      <c r="K11" s="1213"/>
      <c r="L11" s="1213"/>
      <c r="M11" s="1213"/>
      <c r="N11" s="1213"/>
      <c r="O11" s="1213"/>
      <c r="P11" s="1213"/>
      <c r="Q11" s="1213"/>
      <c r="R11" s="1213"/>
      <c r="S11" s="1213"/>
      <c r="T11" s="1213"/>
      <c r="U11" s="1213"/>
      <c r="V11" s="1213"/>
      <c r="W11" s="1213"/>
      <c r="X11" s="1213"/>
      <c r="Y11" s="1212"/>
      <c r="Z11" s="1212"/>
      <c r="AA11" s="1212"/>
      <c r="AB11" s="1212"/>
      <c r="AC11" s="1212"/>
    </row>
    <row r="12" spans="1:29" ht="30" customHeight="1" x14ac:dyDescent="0.2">
      <c r="A12" s="1209"/>
      <c r="B12" s="1213"/>
      <c r="C12" s="1213"/>
      <c r="D12" s="1213"/>
      <c r="E12" s="1213"/>
      <c r="F12" s="1213"/>
      <c r="G12" s="1213"/>
      <c r="H12" s="1213"/>
      <c r="I12" s="1213"/>
      <c r="J12" s="1213"/>
      <c r="K12" s="1213"/>
      <c r="L12" s="1213"/>
      <c r="M12" s="1213"/>
      <c r="N12" s="1213"/>
      <c r="O12" s="1213"/>
      <c r="P12" s="1213"/>
      <c r="Q12" s="1213"/>
      <c r="R12" s="1213"/>
      <c r="S12" s="1213"/>
      <c r="T12" s="1213"/>
      <c r="U12" s="1213"/>
      <c r="V12" s="1213"/>
      <c r="W12" s="1213"/>
      <c r="X12" s="1213"/>
      <c r="Y12" s="1212"/>
      <c r="Z12" s="1212"/>
      <c r="AA12" s="1212"/>
      <c r="AB12" s="1212"/>
      <c r="AC12" s="1212"/>
    </row>
    <row r="13" spans="1:29" ht="30" customHeight="1" x14ac:dyDescent="0.2">
      <c r="A13" s="1209"/>
      <c r="B13" s="1213"/>
      <c r="C13" s="1213" t="s">
        <v>7952</v>
      </c>
      <c r="D13" s="1213"/>
      <c r="E13" s="1213"/>
      <c r="F13" s="1213"/>
      <c r="G13" s="1213"/>
      <c r="H13" s="1213"/>
      <c r="I13" s="1213"/>
      <c r="J13" s="1213"/>
      <c r="K13" s="1213"/>
      <c r="L13" s="1213"/>
      <c r="M13" s="1213"/>
      <c r="N13" s="1213"/>
      <c r="O13" s="1213"/>
      <c r="P13" s="1213"/>
      <c r="Q13" s="1213"/>
      <c r="R13" s="1213"/>
      <c r="S13" s="1213"/>
      <c r="T13" s="1213"/>
      <c r="U13" s="1213"/>
      <c r="V13" s="1213"/>
      <c r="W13" s="1213"/>
      <c r="X13" s="1213"/>
      <c r="Y13" s="1212"/>
      <c r="Z13" s="1212"/>
      <c r="AA13" s="1212"/>
      <c r="AB13" s="1212"/>
      <c r="AC13" s="1212"/>
    </row>
    <row r="14" spans="1:29" ht="30" customHeight="1" x14ac:dyDescent="0.2">
      <c r="A14" s="1209"/>
      <c r="B14" s="1213"/>
      <c r="C14" s="1213"/>
      <c r="D14" s="1213"/>
      <c r="E14" s="1213"/>
      <c r="F14" s="1213"/>
      <c r="G14" s="1213"/>
      <c r="H14" s="1213"/>
      <c r="I14" s="1213"/>
      <c r="J14" s="1213"/>
      <c r="K14" s="1213"/>
      <c r="L14" s="1213"/>
      <c r="M14" s="1213"/>
      <c r="N14" s="1213"/>
      <c r="O14" s="1213"/>
      <c r="P14" s="1213"/>
      <c r="Q14" s="1213"/>
      <c r="R14" s="1213"/>
      <c r="S14" s="1213"/>
      <c r="T14" s="1213"/>
      <c r="U14" s="1213"/>
      <c r="V14" s="1213"/>
      <c r="W14" s="1213"/>
      <c r="X14" s="1213"/>
      <c r="Y14" s="1212"/>
      <c r="Z14" s="1212"/>
      <c r="AA14" s="1212"/>
      <c r="AB14" s="1212"/>
      <c r="AC14" s="1212"/>
    </row>
    <row r="15" spans="1:29" ht="30" customHeight="1" x14ac:dyDescent="0.2">
      <c r="A15" s="1209"/>
      <c r="B15" s="1213"/>
      <c r="C15" s="1213" t="s">
        <v>8074</v>
      </c>
      <c r="D15" s="1213"/>
      <c r="E15" s="1213"/>
      <c r="F15" s="1213"/>
      <c r="G15" s="1213"/>
      <c r="H15" s="1213"/>
      <c r="I15" s="1213"/>
      <c r="J15" s="1213"/>
      <c r="K15" s="1213"/>
      <c r="L15" s="1213"/>
      <c r="M15" s="1213"/>
      <c r="N15" s="1213"/>
      <c r="O15" s="1213"/>
      <c r="P15" s="1213"/>
      <c r="Q15" s="1213"/>
      <c r="R15" s="1213"/>
      <c r="S15" s="1215"/>
      <c r="T15" s="1215"/>
      <c r="U15" s="1215"/>
      <c r="V15" s="1215"/>
      <c r="W15" s="1215"/>
      <c r="X15" s="1215"/>
      <c r="Y15" s="1212"/>
      <c r="Z15" s="1212"/>
      <c r="AA15" s="1212"/>
      <c r="AB15" s="1212"/>
      <c r="AC15" s="1212"/>
    </row>
    <row r="16" spans="1:29" ht="30" customHeight="1" x14ac:dyDescent="0.2">
      <c r="A16" s="1209"/>
      <c r="B16" s="1213"/>
      <c r="C16" s="1213" t="s">
        <v>8075</v>
      </c>
      <c r="D16" s="1213"/>
      <c r="E16" s="1213"/>
      <c r="F16" s="1213"/>
      <c r="G16" s="1213"/>
      <c r="H16" s="1213"/>
      <c r="I16" s="1213"/>
      <c r="J16" s="1213"/>
      <c r="K16" s="1213"/>
      <c r="L16" s="1213"/>
      <c r="M16" s="1213"/>
      <c r="N16" s="1213"/>
      <c r="O16" s="1213"/>
      <c r="P16" s="1213"/>
      <c r="Q16" s="1213"/>
      <c r="R16" s="1213"/>
      <c r="S16" s="1215"/>
      <c r="T16" s="1215"/>
      <c r="U16" s="1215"/>
      <c r="V16" s="1215"/>
      <c r="W16" s="1215"/>
      <c r="X16" s="1215"/>
      <c r="Y16" s="1212"/>
      <c r="Z16" s="1212"/>
      <c r="AA16" s="1212"/>
      <c r="AB16" s="1212"/>
      <c r="AC16" s="1212"/>
    </row>
    <row r="17" spans="1:29" ht="30" customHeight="1" x14ac:dyDescent="0.2">
      <c r="A17" s="1209"/>
      <c r="B17" s="1213"/>
      <c r="C17" s="1213" t="s">
        <v>8076</v>
      </c>
      <c r="D17" s="1213"/>
      <c r="E17" s="1213"/>
      <c r="F17" s="1213"/>
      <c r="G17" s="1213"/>
      <c r="H17" s="1213"/>
      <c r="I17" s="1213"/>
      <c r="J17" s="1213"/>
      <c r="K17" s="1213"/>
      <c r="L17" s="1213"/>
      <c r="M17" s="1213"/>
      <c r="N17" s="1213"/>
      <c r="O17" s="1213"/>
      <c r="P17" s="1213"/>
      <c r="Q17" s="1213"/>
      <c r="R17" s="1213"/>
      <c r="S17" s="1215"/>
      <c r="T17" s="1215"/>
      <c r="U17" s="1215"/>
      <c r="V17" s="1215"/>
      <c r="W17" s="1215"/>
      <c r="X17" s="1215"/>
      <c r="Y17" s="1212"/>
      <c r="Z17" s="1212"/>
      <c r="AA17" s="1212"/>
      <c r="AB17" s="1212"/>
      <c r="AC17" s="1212"/>
    </row>
    <row r="18" spans="1:29" ht="30" customHeight="1" x14ac:dyDescent="0.2">
      <c r="A18" s="1209"/>
      <c r="B18" s="1213"/>
      <c r="C18" s="1213" t="s">
        <v>8077</v>
      </c>
      <c r="D18" s="1213"/>
      <c r="E18" s="1213"/>
      <c r="F18" s="1213"/>
      <c r="G18" s="1213"/>
      <c r="H18" s="1213"/>
      <c r="I18" s="1213"/>
      <c r="J18" s="1213"/>
      <c r="K18" s="1213"/>
      <c r="L18" s="1213"/>
      <c r="M18" s="1213"/>
      <c r="N18" s="1213"/>
      <c r="O18" s="1213"/>
      <c r="P18" s="1213"/>
      <c r="Q18" s="1213"/>
      <c r="R18" s="1213"/>
      <c r="S18" s="1215"/>
      <c r="T18" s="1215"/>
      <c r="U18" s="1215"/>
      <c r="V18" s="1215"/>
      <c r="W18" s="1215"/>
      <c r="X18" s="1215"/>
      <c r="Y18" s="1212"/>
      <c r="Z18" s="1212"/>
      <c r="AA18" s="1212"/>
      <c r="AB18" s="1212"/>
      <c r="AC18" s="1212"/>
    </row>
    <row r="19" spans="1:29" ht="30" customHeight="1" x14ac:dyDescent="0.2">
      <c r="A19" s="1209"/>
      <c r="B19" s="1213"/>
      <c r="C19" s="1213" t="s">
        <v>8078</v>
      </c>
      <c r="D19" s="1213"/>
      <c r="E19" s="1213"/>
      <c r="F19" s="1213"/>
      <c r="G19" s="1213"/>
      <c r="H19" s="1213"/>
      <c r="I19" s="1213"/>
      <c r="J19" s="1213"/>
      <c r="K19" s="1213"/>
      <c r="L19" s="1213"/>
      <c r="M19" s="1213"/>
      <c r="N19" s="1213"/>
      <c r="O19" s="1213"/>
      <c r="P19" s="1213"/>
      <c r="Q19" s="1213"/>
      <c r="R19" s="1213"/>
      <c r="S19" s="1215"/>
      <c r="T19" s="1215"/>
      <c r="U19" s="1215"/>
      <c r="V19" s="1215"/>
      <c r="W19" s="1215"/>
      <c r="X19" s="1215"/>
      <c r="Y19" s="1212"/>
      <c r="Z19" s="1212"/>
      <c r="AA19" s="1212"/>
      <c r="AB19" s="1212"/>
      <c r="AC19" s="1212"/>
    </row>
    <row r="20" spans="1:29" ht="30" customHeight="1" x14ac:dyDescent="0.2">
      <c r="A20" s="1209"/>
      <c r="B20" s="1213"/>
      <c r="C20" s="1213" t="s">
        <v>8079</v>
      </c>
      <c r="D20" s="1213"/>
      <c r="E20" s="1213"/>
      <c r="F20" s="1213"/>
      <c r="G20" s="1213"/>
      <c r="H20" s="1213"/>
      <c r="I20" s="1213"/>
      <c r="J20" s="1213"/>
      <c r="K20" s="1213"/>
      <c r="L20" s="1213"/>
      <c r="M20" s="1213"/>
      <c r="N20" s="1213"/>
      <c r="O20" s="1213"/>
      <c r="P20" s="1213"/>
      <c r="Q20" s="1213"/>
      <c r="R20" s="1213"/>
      <c r="S20" s="1215"/>
      <c r="T20" s="1215"/>
      <c r="U20" s="1215"/>
      <c r="V20" s="1215"/>
      <c r="W20" s="1215"/>
      <c r="X20" s="1215"/>
      <c r="Y20" s="1212"/>
      <c r="Z20" s="1212"/>
      <c r="AA20" s="1212"/>
      <c r="AB20" s="1212"/>
      <c r="AC20" s="1212"/>
    </row>
    <row r="21" spans="1:29" ht="30" customHeight="1" x14ac:dyDescent="0.2">
      <c r="A21" s="1209"/>
      <c r="B21" s="1213"/>
      <c r="C21" s="1213" t="s">
        <v>8080</v>
      </c>
      <c r="D21" s="1213"/>
      <c r="E21" s="1213"/>
      <c r="F21" s="1213"/>
      <c r="G21" s="1213"/>
      <c r="H21" s="1213"/>
      <c r="I21" s="1213"/>
      <c r="J21" s="1213"/>
      <c r="K21" s="1213"/>
      <c r="L21" s="1213"/>
      <c r="M21" s="1213"/>
      <c r="N21" s="1213"/>
      <c r="O21" s="1213"/>
      <c r="P21" s="1213"/>
      <c r="Q21" s="1213"/>
      <c r="R21" s="1213"/>
      <c r="S21" s="1215"/>
      <c r="T21" s="1215"/>
      <c r="U21" s="1215"/>
      <c r="V21" s="1215"/>
      <c r="W21" s="1215"/>
      <c r="X21" s="1215"/>
      <c r="Y21" s="1212"/>
      <c r="Z21" s="1212"/>
      <c r="AA21" s="1212"/>
      <c r="AB21" s="1212"/>
      <c r="AC21" s="1212"/>
    </row>
    <row r="22" spans="1:29" ht="30" customHeight="1" x14ac:dyDescent="0.2">
      <c r="A22" s="1209"/>
      <c r="B22" s="1213"/>
      <c r="C22" s="1213" t="s">
        <v>8081</v>
      </c>
      <c r="D22" s="1213"/>
      <c r="E22" s="1213"/>
      <c r="F22" s="1213"/>
      <c r="G22" s="1213"/>
      <c r="H22" s="1213"/>
      <c r="I22" s="1213"/>
      <c r="J22" s="1213"/>
      <c r="K22" s="1213"/>
      <c r="L22" s="1213"/>
      <c r="M22" s="1213"/>
      <c r="N22" s="1213"/>
      <c r="O22" s="1213"/>
      <c r="P22" s="1213"/>
      <c r="Q22" s="1213"/>
      <c r="R22" s="1213"/>
      <c r="S22" s="1215"/>
      <c r="T22" s="1215"/>
      <c r="U22" s="1215"/>
      <c r="V22" s="1215"/>
      <c r="W22" s="1215"/>
      <c r="X22" s="1215"/>
      <c r="Y22" s="1212"/>
      <c r="Z22" s="1212"/>
      <c r="AA22" s="1212"/>
      <c r="AB22" s="1212"/>
      <c r="AC22" s="1212"/>
    </row>
    <row r="23" spans="1:29" ht="30" customHeight="1" x14ac:dyDescent="0.2">
      <c r="A23" s="1209"/>
      <c r="B23" s="1213"/>
      <c r="C23" s="1213" t="s">
        <v>8082</v>
      </c>
      <c r="D23" s="1213"/>
      <c r="E23" s="1213"/>
      <c r="F23" s="1213"/>
      <c r="G23" s="1213"/>
      <c r="H23" s="1213"/>
      <c r="I23" s="1213"/>
      <c r="J23" s="1213"/>
      <c r="K23" s="1213"/>
      <c r="L23" s="1213"/>
      <c r="M23" s="1213"/>
      <c r="N23" s="1213"/>
      <c r="O23" s="1213"/>
      <c r="P23" s="1213"/>
      <c r="Q23" s="1213"/>
      <c r="R23" s="1213"/>
      <c r="S23" s="1215"/>
      <c r="T23" s="1215"/>
      <c r="U23" s="1215"/>
      <c r="V23" s="1215"/>
      <c r="W23" s="1215"/>
      <c r="X23" s="1215"/>
      <c r="Y23" s="1212"/>
      <c r="Z23" s="1212"/>
      <c r="AA23" s="1212"/>
      <c r="AB23" s="1212"/>
      <c r="AC23" s="1212"/>
    </row>
    <row r="24" spans="1:29" ht="30" customHeight="1" x14ac:dyDescent="0.2">
      <c r="A24" s="1209"/>
      <c r="B24" s="1213"/>
      <c r="C24" s="1213" t="s">
        <v>8083</v>
      </c>
      <c r="D24" s="1213"/>
      <c r="E24" s="1213"/>
      <c r="F24" s="1213"/>
      <c r="G24" s="1213"/>
      <c r="H24" s="1213"/>
      <c r="I24" s="1213"/>
      <c r="J24" s="1213"/>
      <c r="K24" s="1213"/>
      <c r="L24" s="1213"/>
      <c r="M24" s="1213"/>
      <c r="N24" s="1213"/>
      <c r="O24" s="1213"/>
      <c r="P24" s="1213"/>
      <c r="Q24" s="1213"/>
      <c r="R24" s="1213"/>
      <c r="S24" s="1215"/>
      <c r="T24" s="1215"/>
      <c r="U24" s="1215"/>
      <c r="V24" s="1215"/>
      <c r="W24" s="1215"/>
      <c r="X24" s="1215"/>
      <c r="Y24" s="1212"/>
      <c r="Z24" s="1212"/>
      <c r="AA24" s="1212"/>
      <c r="AB24" s="1212"/>
      <c r="AC24" s="1212"/>
    </row>
    <row r="25" spans="1:29" ht="30" customHeight="1" x14ac:dyDescent="0.2">
      <c r="A25" s="1209"/>
      <c r="B25" s="1213"/>
      <c r="C25" s="1213" t="s">
        <v>8084</v>
      </c>
      <c r="D25" s="1213"/>
      <c r="E25" s="1213"/>
      <c r="F25" s="1213"/>
      <c r="G25" s="1213"/>
      <c r="H25" s="1213"/>
      <c r="I25" s="1213"/>
      <c r="J25" s="1213"/>
      <c r="K25" s="1213"/>
      <c r="L25" s="1213"/>
      <c r="M25" s="1213"/>
      <c r="N25" s="1213"/>
      <c r="O25" s="1213"/>
      <c r="P25" s="1213"/>
      <c r="Q25" s="1213"/>
      <c r="R25" s="1213"/>
      <c r="S25" s="1215"/>
      <c r="T25" s="1215"/>
      <c r="U25" s="1215"/>
      <c r="V25" s="1215"/>
      <c r="W25" s="1215"/>
      <c r="X25" s="1215"/>
      <c r="Y25" s="1212"/>
      <c r="Z25" s="1212"/>
      <c r="AA25" s="1212"/>
      <c r="AB25" s="1212"/>
      <c r="AC25" s="1212"/>
    </row>
    <row r="26" spans="1:29" ht="30" customHeight="1" x14ac:dyDescent="0.2">
      <c r="A26" s="1209"/>
      <c r="B26" s="1213"/>
      <c r="C26" s="1216" t="s">
        <v>8085</v>
      </c>
      <c r="D26" s="1217"/>
      <c r="E26" s="1217"/>
      <c r="F26" s="1217"/>
      <c r="G26" s="1217"/>
      <c r="H26" s="1217"/>
      <c r="I26" s="1217"/>
      <c r="J26" s="1217"/>
      <c r="K26" s="1217"/>
      <c r="L26" s="1217"/>
      <c r="M26" s="1217"/>
      <c r="N26" s="1217"/>
      <c r="O26" s="1217"/>
      <c r="P26" s="1217"/>
      <c r="Q26" s="1217"/>
      <c r="R26" s="1217"/>
      <c r="S26" s="1217"/>
      <c r="T26" s="1217"/>
      <c r="U26" s="1217"/>
      <c r="V26" s="1217"/>
      <c r="W26" s="1217"/>
      <c r="X26" s="1215"/>
      <c r="Y26" s="1212"/>
      <c r="Z26" s="1212"/>
      <c r="AA26" s="1212"/>
      <c r="AB26" s="1212"/>
      <c r="AC26" s="1212"/>
    </row>
    <row r="27" spans="1:29" ht="30" customHeight="1" x14ac:dyDescent="0.2">
      <c r="A27" s="1209"/>
      <c r="B27" s="1213"/>
      <c r="C27" s="1216" t="s">
        <v>8086</v>
      </c>
      <c r="D27" s="1217"/>
      <c r="E27" s="1217"/>
      <c r="F27" s="1217"/>
      <c r="G27" s="1217"/>
      <c r="H27" s="1217"/>
      <c r="I27" s="1217"/>
      <c r="J27" s="1217"/>
      <c r="K27" s="1217"/>
      <c r="L27" s="1217"/>
      <c r="M27" s="1217"/>
      <c r="N27" s="1217"/>
      <c r="O27" s="1217"/>
      <c r="P27" s="1217"/>
      <c r="Q27" s="1217"/>
      <c r="R27" s="1217"/>
      <c r="S27" s="1217"/>
      <c r="T27" s="1217"/>
      <c r="U27" s="1217"/>
      <c r="V27" s="1217"/>
      <c r="W27" s="1217"/>
      <c r="X27" s="1217"/>
      <c r="Y27" s="1212"/>
      <c r="Z27" s="1212"/>
      <c r="AA27" s="1212"/>
      <c r="AB27" s="1212"/>
      <c r="AC27" s="1212"/>
    </row>
    <row r="28" spans="1:29" ht="30" customHeight="1" x14ac:dyDescent="0.2">
      <c r="A28" s="1209"/>
      <c r="B28" s="1213"/>
      <c r="C28" s="1216"/>
      <c r="D28" s="1216"/>
      <c r="E28" s="1216"/>
      <c r="F28" s="1333" t="s">
        <v>4770</v>
      </c>
      <c r="G28" s="1333"/>
      <c r="H28" s="1216"/>
      <c r="I28" s="1216"/>
      <c r="J28" s="1216"/>
      <c r="K28" s="1216"/>
      <c r="L28" s="1216"/>
      <c r="M28" s="1216"/>
      <c r="N28" s="1333" t="s">
        <v>4764</v>
      </c>
      <c r="O28" s="1216"/>
      <c r="P28" s="1216"/>
      <c r="Q28" s="1216"/>
      <c r="R28" s="1216"/>
      <c r="S28" s="1216"/>
      <c r="T28" s="1216"/>
      <c r="U28" s="1216"/>
      <c r="V28" s="1216"/>
      <c r="W28" s="1216"/>
      <c r="X28" s="1217"/>
      <c r="Y28" s="1212"/>
      <c r="Z28" s="1212"/>
      <c r="AA28" s="1212"/>
      <c r="AB28" s="1212"/>
      <c r="AC28" s="1212"/>
    </row>
    <row r="29" spans="1:29" ht="30" customHeight="1" x14ac:dyDescent="0.2">
      <c r="A29" s="1209"/>
      <c r="B29" s="1213"/>
      <c r="C29" s="1216"/>
      <c r="D29" s="1216"/>
      <c r="E29" s="1216"/>
      <c r="F29" s="1333" t="s">
        <v>4769</v>
      </c>
      <c r="G29" s="1333"/>
      <c r="H29" s="1216"/>
      <c r="I29" s="1216"/>
      <c r="J29" s="1216"/>
      <c r="K29" s="1216"/>
      <c r="L29" s="1216"/>
      <c r="M29" s="1216"/>
      <c r="N29" s="1333" t="s">
        <v>4765</v>
      </c>
      <c r="O29" s="1216"/>
      <c r="P29" s="1216"/>
      <c r="Q29" s="1216"/>
      <c r="R29" s="1216"/>
      <c r="S29" s="1216"/>
      <c r="T29" s="1216"/>
      <c r="U29" s="1216"/>
      <c r="V29" s="1216"/>
      <c r="W29" s="1216"/>
      <c r="X29" s="1217"/>
      <c r="Y29" s="1212"/>
      <c r="Z29" s="1212"/>
      <c r="AA29" s="1212"/>
      <c r="AB29" s="1212"/>
      <c r="AC29" s="1212"/>
    </row>
    <row r="30" spans="1:29" ht="30" customHeight="1" x14ac:dyDescent="0.2">
      <c r="A30" s="1209"/>
      <c r="B30" s="1213"/>
      <c r="C30" s="1216"/>
      <c r="D30" s="1216"/>
      <c r="E30" s="1216"/>
      <c r="F30" s="1333" t="s">
        <v>4773</v>
      </c>
      <c r="G30" s="1333"/>
      <c r="H30" s="1216"/>
      <c r="I30" s="1216"/>
      <c r="J30" s="1216"/>
      <c r="K30" s="1216"/>
      <c r="L30" s="1216"/>
      <c r="M30" s="1216"/>
      <c r="N30" s="1333" t="s">
        <v>4766</v>
      </c>
      <c r="O30" s="1216"/>
      <c r="P30" s="1216"/>
      <c r="Q30" s="1216"/>
      <c r="R30" s="1216"/>
      <c r="S30" s="1216"/>
      <c r="T30" s="1216"/>
      <c r="U30" s="1216"/>
      <c r="V30" s="1216"/>
      <c r="W30" s="1216"/>
      <c r="X30" s="1217"/>
      <c r="Y30" s="1212"/>
      <c r="Z30" s="1212"/>
      <c r="AA30" s="1212"/>
      <c r="AB30" s="1212"/>
      <c r="AC30" s="1212"/>
    </row>
    <row r="31" spans="1:29" ht="30" customHeight="1" x14ac:dyDescent="0.2">
      <c r="A31" s="1209"/>
      <c r="B31" s="1213"/>
      <c r="C31" s="1216"/>
      <c r="D31" s="1216"/>
      <c r="E31" s="1216"/>
      <c r="F31" s="1333" t="s">
        <v>4768</v>
      </c>
      <c r="G31" s="1333"/>
      <c r="H31" s="1216"/>
      <c r="I31" s="1216"/>
      <c r="J31" s="1216"/>
      <c r="K31" s="1216"/>
      <c r="L31" s="1216"/>
      <c r="M31" s="1216"/>
      <c r="N31" s="1333" t="s">
        <v>4767</v>
      </c>
      <c r="O31" s="1216"/>
      <c r="P31" s="1216"/>
      <c r="Q31" s="1216"/>
      <c r="R31" s="1216"/>
      <c r="S31" s="1216"/>
      <c r="T31" s="1216"/>
      <c r="U31" s="1216"/>
      <c r="V31" s="1216"/>
      <c r="W31" s="1216"/>
      <c r="X31" s="1217"/>
      <c r="Y31" s="1212"/>
      <c r="Z31" s="1212"/>
      <c r="AA31" s="1212"/>
      <c r="AB31" s="1212"/>
      <c r="AC31" s="1212"/>
    </row>
    <row r="32" spans="1:29" ht="30" customHeight="1" x14ac:dyDescent="0.2">
      <c r="A32" s="1209"/>
      <c r="B32" s="1213"/>
      <c r="C32" s="1216"/>
      <c r="D32" s="1216"/>
      <c r="E32" s="1216"/>
      <c r="F32" s="1333"/>
      <c r="G32" s="1333"/>
      <c r="H32" s="1216"/>
      <c r="I32" s="1216"/>
      <c r="J32" s="1216"/>
      <c r="K32" s="1216"/>
      <c r="L32" s="1216"/>
      <c r="M32" s="1216"/>
      <c r="N32" s="1216"/>
      <c r="O32" s="1216"/>
      <c r="P32" s="1216"/>
      <c r="Q32" s="1216"/>
      <c r="R32" s="1216"/>
      <c r="S32" s="1216"/>
      <c r="T32" s="1216"/>
      <c r="U32" s="1216"/>
      <c r="V32" s="1216"/>
      <c r="W32" s="1216"/>
      <c r="X32" s="1217"/>
      <c r="Y32" s="1212"/>
      <c r="Z32" s="1212"/>
      <c r="AA32" s="1212"/>
      <c r="AB32" s="1212"/>
      <c r="AC32" s="1212"/>
    </row>
    <row r="33" spans="1:29" ht="30" customHeight="1" x14ac:dyDescent="0.2">
      <c r="A33" s="1209"/>
      <c r="B33" s="1213"/>
      <c r="C33" s="1216" t="s">
        <v>8087</v>
      </c>
      <c r="D33" s="1216"/>
      <c r="E33" s="1216"/>
      <c r="F33" s="1333"/>
      <c r="G33" s="1333"/>
      <c r="H33" s="1216"/>
      <c r="I33" s="1216"/>
      <c r="J33" s="1216"/>
      <c r="K33" s="1216"/>
      <c r="L33" s="1216"/>
      <c r="M33" s="1216"/>
      <c r="N33" s="1216"/>
      <c r="O33" s="1216"/>
      <c r="P33" s="1216"/>
      <c r="Q33" s="1216"/>
      <c r="R33" s="1216"/>
      <c r="S33" s="1216"/>
      <c r="T33" s="1216"/>
      <c r="U33" s="1216"/>
      <c r="V33" s="1216"/>
      <c r="W33" s="1216"/>
      <c r="X33" s="1217"/>
      <c r="Y33" s="1212"/>
      <c r="Z33" s="1212"/>
      <c r="AA33" s="1212"/>
      <c r="AB33" s="1212"/>
      <c r="AC33" s="1212"/>
    </row>
    <row r="34" spans="1:29" ht="30" customHeight="1" x14ac:dyDescent="0.2">
      <c r="A34" s="1209"/>
      <c r="B34" s="1213"/>
      <c r="C34" s="1452" t="s">
        <v>4862</v>
      </c>
      <c r="D34" s="1452"/>
      <c r="E34" s="1452"/>
      <c r="F34" s="1452"/>
      <c r="G34" s="1452"/>
      <c r="H34" s="1452"/>
      <c r="I34" s="1452"/>
      <c r="J34" s="1452"/>
      <c r="K34" s="1452"/>
      <c r="L34" s="1452"/>
      <c r="M34" s="1452"/>
      <c r="N34" s="1452"/>
      <c r="O34" s="1452"/>
      <c r="P34" s="1452"/>
      <c r="Q34" s="1452"/>
      <c r="R34" s="1452"/>
      <c r="S34" s="1452"/>
      <c r="T34" s="1452"/>
      <c r="U34" s="1452"/>
      <c r="V34" s="1452"/>
      <c r="W34" s="1452"/>
      <c r="X34" s="1217"/>
      <c r="Y34" s="1212"/>
      <c r="Z34" s="1212"/>
      <c r="AA34" s="1212"/>
      <c r="AB34" s="1212"/>
      <c r="AC34" s="1212"/>
    </row>
    <row r="35" spans="1:29" ht="30" customHeight="1" x14ac:dyDescent="0.2">
      <c r="A35" s="1209"/>
      <c r="B35" s="1213"/>
      <c r="C35" s="1452"/>
      <c r="D35" s="1452"/>
      <c r="E35" s="1452"/>
      <c r="F35" s="1452"/>
      <c r="G35" s="1452"/>
      <c r="H35" s="1452"/>
      <c r="I35" s="1452"/>
      <c r="J35" s="1452"/>
      <c r="K35" s="1452"/>
      <c r="L35" s="1452"/>
      <c r="M35" s="1452"/>
      <c r="N35" s="1452"/>
      <c r="O35" s="1452"/>
      <c r="P35" s="1452"/>
      <c r="Q35" s="1452"/>
      <c r="R35" s="1452"/>
      <c r="S35" s="1452"/>
      <c r="T35" s="1452"/>
      <c r="U35" s="1452"/>
      <c r="V35" s="1452"/>
      <c r="W35" s="1452"/>
      <c r="X35" s="1217"/>
      <c r="Y35" s="1212"/>
      <c r="Z35" s="1212"/>
      <c r="AA35" s="1212"/>
      <c r="AB35" s="1212"/>
      <c r="AC35" s="1212"/>
    </row>
    <row r="36" spans="1:29" ht="30" customHeight="1" x14ac:dyDescent="0.2">
      <c r="A36" s="1209"/>
      <c r="B36" s="1213"/>
      <c r="C36" s="1216"/>
      <c r="D36" s="1217"/>
      <c r="E36" s="1217"/>
      <c r="F36" s="1217"/>
      <c r="G36" s="1217"/>
      <c r="H36" s="1217"/>
      <c r="I36" s="1217"/>
      <c r="J36" s="1217"/>
      <c r="K36" s="1217"/>
      <c r="L36" s="1217"/>
      <c r="M36" s="1217"/>
      <c r="N36" s="1217"/>
      <c r="O36" s="1217"/>
      <c r="P36" s="1217"/>
      <c r="Q36" s="1217"/>
      <c r="R36" s="1217"/>
      <c r="S36" s="1217"/>
      <c r="T36" s="1217"/>
      <c r="U36" s="1217"/>
      <c r="V36" s="1217"/>
      <c r="W36" s="1217"/>
      <c r="X36" s="1217"/>
      <c r="Y36" s="1212"/>
      <c r="Z36" s="1212"/>
      <c r="AA36" s="1212"/>
      <c r="AB36" s="1212"/>
      <c r="AC36" s="1212"/>
    </row>
    <row r="37" spans="1:29" ht="30" customHeight="1" x14ac:dyDescent="0.2">
      <c r="A37" s="1209"/>
      <c r="B37" s="1213"/>
      <c r="C37" s="1216" t="s">
        <v>8088</v>
      </c>
      <c r="D37" s="1217"/>
      <c r="E37" s="1217"/>
      <c r="F37" s="1217"/>
      <c r="G37" s="1217"/>
      <c r="H37" s="1217"/>
      <c r="I37" s="1217"/>
      <c r="J37" s="1217"/>
      <c r="K37" s="1217"/>
      <c r="L37" s="1217"/>
      <c r="M37" s="1217"/>
      <c r="N37" s="1217"/>
      <c r="O37" s="1217"/>
      <c r="P37" s="1217"/>
      <c r="Q37" s="1217"/>
      <c r="R37" s="1217"/>
      <c r="S37" s="1217"/>
      <c r="T37" s="1217"/>
      <c r="U37" s="1217"/>
      <c r="V37" s="1217"/>
      <c r="W37" s="1217"/>
      <c r="X37" s="1217"/>
      <c r="Y37" s="1212"/>
      <c r="Z37" s="1212"/>
      <c r="AA37" s="1212"/>
      <c r="AB37" s="1212"/>
      <c r="AC37" s="1212"/>
    </row>
    <row r="38" spans="1:29" ht="30" customHeight="1" x14ac:dyDescent="0.2">
      <c r="A38" s="1209"/>
      <c r="B38" s="1213"/>
      <c r="C38" s="1216" t="s">
        <v>8089</v>
      </c>
      <c r="D38" s="1217"/>
      <c r="E38" s="1217"/>
      <c r="F38" s="1217"/>
      <c r="G38" s="1217"/>
      <c r="H38" s="1217"/>
      <c r="I38" s="1217"/>
      <c r="J38" s="1217"/>
      <c r="K38" s="1217"/>
      <c r="L38" s="1217"/>
      <c r="M38" s="1217"/>
      <c r="N38" s="1217"/>
      <c r="O38" s="1217"/>
      <c r="P38" s="1217"/>
      <c r="Q38" s="1217"/>
      <c r="R38" s="1217"/>
      <c r="S38" s="1217"/>
      <c r="T38" s="1217"/>
      <c r="U38" s="1217"/>
      <c r="V38" s="1217"/>
      <c r="W38" s="1217"/>
      <c r="X38" s="1217"/>
      <c r="Y38" s="1212"/>
      <c r="Z38" s="1212"/>
      <c r="AA38" s="1212"/>
      <c r="AB38" s="1212"/>
      <c r="AC38" s="1212"/>
    </row>
    <row r="39" spans="1:29" ht="30" customHeight="1" x14ac:dyDescent="0.2">
      <c r="A39" s="1209"/>
      <c r="B39" s="1213"/>
      <c r="C39" s="1453" t="s">
        <v>8092</v>
      </c>
      <c r="D39" s="1453"/>
      <c r="E39" s="1453"/>
      <c r="F39" s="1453"/>
      <c r="G39" s="1453"/>
      <c r="H39" s="1453"/>
      <c r="I39" s="1453"/>
      <c r="J39" s="1453"/>
      <c r="K39" s="1453"/>
      <c r="L39" s="1453"/>
      <c r="M39" s="1453"/>
      <c r="N39" s="1453"/>
      <c r="O39" s="1453"/>
      <c r="P39" s="1453"/>
      <c r="Q39" s="1453"/>
      <c r="R39" s="1453"/>
      <c r="S39" s="1453"/>
      <c r="T39" s="1453"/>
      <c r="U39" s="1453"/>
      <c r="V39" s="1453"/>
      <c r="W39" s="1453"/>
      <c r="X39" s="1453"/>
      <c r="Y39" s="1212"/>
      <c r="Z39" s="1212"/>
      <c r="AA39" s="1212"/>
      <c r="AB39" s="1212"/>
      <c r="AC39" s="1212"/>
    </row>
    <row r="40" spans="1:29" ht="30" customHeight="1" x14ac:dyDescent="0.2">
      <c r="A40" s="1209"/>
      <c r="B40" s="1213"/>
      <c r="C40" s="1453"/>
      <c r="D40" s="1453"/>
      <c r="E40" s="1453"/>
      <c r="F40" s="1453"/>
      <c r="G40" s="1453"/>
      <c r="H40" s="1453"/>
      <c r="I40" s="1453"/>
      <c r="J40" s="1453"/>
      <c r="K40" s="1453"/>
      <c r="L40" s="1453"/>
      <c r="M40" s="1453"/>
      <c r="N40" s="1453"/>
      <c r="O40" s="1453"/>
      <c r="P40" s="1453"/>
      <c r="Q40" s="1453"/>
      <c r="R40" s="1453"/>
      <c r="S40" s="1453"/>
      <c r="T40" s="1453"/>
      <c r="U40" s="1453"/>
      <c r="V40" s="1453"/>
      <c r="W40" s="1453"/>
      <c r="X40" s="1453"/>
      <c r="Y40" s="1212"/>
      <c r="Z40" s="1212"/>
      <c r="AA40" s="1212"/>
      <c r="AB40" s="1212"/>
      <c r="AC40" s="1212"/>
    </row>
    <row r="41" spans="1:29" ht="30" customHeight="1" x14ac:dyDescent="0.2">
      <c r="A41" s="1209"/>
      <c r="B41" s="1213"/>
      <c r="C41" s="1216" t="s">
        <v>8090</v>
      </c>
      <c r="D41" s="1217"/>
      <c r="E41" s="1217"/>
      <c r="F41" s="1217"/>
      <c r="G41" s="1217"/>
      <c r="H41" s="1217"/>
      <c r="I41" s="1217"/>
      <c r="J41" s="1217"/>
      <c r="K41" s="1217"/>
      <c r="L41" s="1217"/>
      <c r="M41" s="1217"/>
      <c r="N41" s="1217"/>
      <c r="O41" s="1217"/>
      <c r="P41" s="1217"/>
      <c r="Q41" s="1217"/>
      <c r="R41" s="1217"/>
      <c r="S41" s="1217"/>
      <c r="T41" s="1217"/>
      <c r="U41" s="1217"/>
      <c r="V41" s="1217"/>
      <c r="W41" s="1217"/>
      <c r="X41" s="1217"/>
      <c r="Y41" s="1212"/>
      <c r="Z41" s="1212"/>
      <c r="AA41" s="1212"/>
      <c r="AB41" s="1212"/>
      <c r="AC41" s="1212"/>
    </row>
    <row r="42" spans="1:29" ht="30" customHeight="1" x14ac:dyDescent="0.2">
      <c r="A42" s="1209"/>
      <c r="B42" s="1213"/>
      <c r="C42" s="1216" t="s">
        <v>8091</v>
      </c>
      <c r="D42" s="1217"/>
      <c r="E42" s="1217"/>
      <c r="F42" s="1217"/>
      <c r="G42" s="1217"/>
      <c r="H42" s="1217"/>
      <c r="I42" s="1217"/>
      <c r="J42" s="1217"/>
      <c r="K42" s="1217"/>
      <c r="L42" s="1217"/>
      <c r="M42" s="1217"/>
      <c r="N42" s="1217"/>
      <c r="O42" s="1217"/>
      <c r="P42" s="1217"/>
      <c r="Q42" s="1217"/>
      <c r="R42" s="1217"/>
      <c r="S42" s="1217"/>
      <c r="T42" s="1217"/>
      <c r="U42" s="1217"/>
      <c r="V42" s="1217"/>
      <c r="W42" s="1217"/>
      <c r="X42" s="1217"/>
      <c r="Y42" s="1212"/>
      <c r="Z42" s="1212"/>
      <c r="AA42" s="1212"/>
      <c r="AB42" s="1212"/>
      <c r="AC42" s="1212"/>
    </row>
    <row r="43" spans="1:29" ht="30" customHeight="1" x14ac:dyDescent="0.2">
      <c r="A43" s="1209"/>
      <c r="B43" s="1213"/>
      <c r="C43" s="1216" t="s">
        <v>8093</v>
      </c>
      <c r="D43" s="1217"/>
      <c r="E43" s="1217"/>
      <c r="F43" s="1217"/>
      <c r="G43" s="1217"/>
      <c r="H43" s="1217"/>
      <c r="I43" s="1217"/>
      <c r="J43" s="1217"/>
      <c r="K43" s="1217"/>
      <c r="L43" s="1217"/>
      <c r="M43" s="1217"/>
      <c r="N43" s="1217"/>
      <c r="O43" s="1217"/>
      <c r="P43" s="1217"/>
      <c r="Q43" s="1217"/>
      <c r="R43" s="1217"/>
      <c r="S43" s="1217"/>
      <c r="T43" s="1217"/>
      <c r="U43" s="1217"/>
      <c r="V43" s="1217"/>
      <c r="W43" s="1217"/>
      <c r="X43" s="1217"/>
      <c r="Y43" s="1212"/>
      <c r="Z43" s="1212"/>
      <c r="AA43" s="1212"/>
      <c r="AB43" s="1212"/>
      <c r="AC43" s="1212"/>
    </row>
    <row r="44" spans="1:29" ht="30" customHeight="1" x14ac:dyDescent="0.2">
      <c r="A44" s="1209"/>
      <c r="B44" s="1213"/>
      <c r="C44" s="1216" t="s">
        <v>8094</v>
      </c>
      <c r="D44" s="1217"/>
      <c r="E44" s="1217"/>
      <c r="F44" s="1217"/>
      <c r="G44" s="1217"/>
      <c r="H44" s="1217"/>
      <c r="I44" s="1217"/>
      <c r="J44" s="1217"/>
      <c r="K44" s="1217"/>
      <c r="L44" s="1217"/>
      <c r="M44" s="1217"/>
      <c r="N44" s="1217"/>
      <c r="O44" s="1217"/>
      <c r="P44" s="1217"/>
      <c r="Q44" s="1217"/>
      <c r="R44" s="1217"/>
      <c r="S44" s="1217"/>
      <c r="T44" s="1217"/>
      <c r="U44" s="1217"/>
      <c r="V44" s="1217"/>
      <c r="W44" s="1217"/>
      <c r="X44" s="1217"/>
      <c r="Y44" s="1212"/>
      <c r="Z44" s="1212"/>
      <c r="AA44" s="1212"/>
      <c r="AB44" s="1212"/>
      <c r="AC44" s="1212"/>
    </row>
    <row r="45" spans="1:29" ht="30" customHeight="1" x14ac:dyDescent="0.2">
      <c r="A45" s="1209"/>
      <c r="B45" s="1213"/>
      <c r="C45" s="1216" t="s">
        <v>8095</v>
      </c>
      <c r="D45" s="1217"/>
      <c r="E45" s="1217"/>
      <c r="F45" s="1217"/>
      <c r="G45" s="1217"/>
      <c r="H45" s="1217"/>
      <c r="I45" s="1217"/>
      <c r="J45" s="1217"/>
      <c r="K45" s="1217"/>
      <c r="L45" s="1217"/>
      <c r="M45" s="1217"/>
      <c r="N45" s="1217"/>
      <c r="O45" s="1217"/>
      <c r="P45" s="1217"/>
      <c r="Q45" s="1217"/>
      <c r="R45" s="1217"/>
      <c r="S45" s="1217"/>
      <c r="T45" s="1217"/>
      <c r="U45" s="1217"/>
      <c r="V45" s="1217"/>
      <c r="W45" s="1217"/>
      <c r="X45" s="1217"/>
      <c r="Y45" s="1212"/>
      <c r="Z45" s="1212"/>
      <c r="AA45" s="1212"/>
      <c r="AB45" s="1212"/>
      <c r="AC45" s="1212"/>
    </row>
    <row r="46" spans="1:29" ht="30" customHeight="1" x14ac:dyDescent="0.2">
      <c r="A46" s="1209"/>
      <c r="B46" s="1213"/>
      <c r="C46" s="1216" t="s">
        <v>8096</v>
      </c>
      <c r="D46" s="1217"/>
      <c r="E46" s="1217"/>
      <c r="F46" s="1217"/>
      <c r="G46" s="1217"/>
      <c r="H46" s="1217"/>
      <c r="I46" s="1217"/>
      <c r="J46" s="1217"/>
      <c r="K46" s="1217"/>
      <c r="L46" s="1217"/>
      <c r="M46" s="1217"/>
      <c r="N46" s="1217"/>
      <c r="O46" s="1217"/>
      <c r="P46" s="1217"/>
      <c r="Q46" s="1217"/>
      <c r="R46" s="1217"/>
      <c r="S46" s="1217"/>
      <c r="T46" s="1217"/>
      <c r="U46" s="1217"/>
      <c r="V46" s="1217"/>
      <c r="W46" s="1217"/>
      <c r="X46" s="1217"/>
      <c r="Y46" s="1212"/>
      <c r="Z46" s="1212"/>
      <c r="AA46" s="1212"/>
      <c r="AB46" s="1212"/>
      <c r="AC46" s="1212"/>
    </row>
    <row r="47" spans="1:29" ht="30" customHeight="1" x14ac:dyDescent="0.2">
      <c r="A47" s="1209"/>
      <c r="B47" s="1213"/>
      <c r="C47" s="1216"/>
      <c r="D47" s="1217"/>
      <c r="E47" s="1217"/>
      <c r="F47" s="1217"/>
      <c r="G47" s="1217"/>
      <c r="H47" s="1217"/>
      <c r="I47" s="1217"/>
      <c r="J47" s="1217"/>
      <c r="K47" s="1217"/>
      <c r="L47" s="1217"/>
      <c r="M47" s="1217"/>
      <c r="N47" s="1217"/>
      <c r="O47" s="1217"/>
      <c r="P47" s="1217"/>
      <c r="Q47" s="1217"/>
      <c r="R47" s="1217"/>
      <c r="S47" s="1217"/>
      <c r="T47" s="1217"/>
      <c r="U47" s="1217"/>
      <c r="V47" s="1217"/>
      <c r="W47" s="1217"/>
      <c r="X47" s="1217"/>
      <c r="Y47" s="1212"/>
      <c r="Z47" s="1212"/>
      <c r="AA47" s="1212"/>
      <c r="AB47" s="1212"/>
      <c r="AC47" s="1212"/>
    </row>
    <row r="48" spans="1:29" ht="30" customHeight="1" x14ac:dyDescent="0.2">
      <c r="A48" s="1209"/>
      <c r="B48" s="1213"/>
      <c r="C48" s="1213"/>
      <c r="D48" s="1213"/>
      <c r="E48" s="1213"/>
      <c r="F48" s="1213"/>
      <c r="G48" s="1213"/>
      <c r="H48" s="1213"/>
      <c r="I48" s="1213"/>
      <c r="J48" s="1213"/>
      <c r="K48" s="1213"/>
      <c r="L48" s="1213"/>
      <c r="M48" s="1213"/>
      <c r="N48" s="1213"/>
      <c r="O48" s="1213"/>
      <c r="P48" s="1213"/>
      <c r="Q48" s="1213"/>
      <c r="R48" s="1213"/>
      <c r="S48" s="1215"/>
      <c r="T48" s="1215"/>
      <c r="U48" s="1215"/>
      <c r="V48" s="1215"/>
      <c r="W48" s="1215"/>
      <c r="X48" s="1215"/>
      <c r="Y48" s="1212"/>
      <c r="Z48" s="1212"/>
      <c r="AA48" s="1212"/>
      <c r="AB48" s="1212"/>
      <c r="AC48" s="1212"/>
    </row>
    <row r="49" spans="1:44" ht="30" customHeight="1" x14ac:dyDescent="0.25">
      <c r="A49" s="1209"/>
      <c r="B49" s="1218"/>
      <c r="C49" s="1219" t="s">
        <v>7953</v>
      </c>
      <c r="D49" s="1220" t="str">
        <f ca="1">CELL("nomfichier")</f>
        <v>D:\Données\1.UPRT\0-UPRT.fait\1-UPRT.FR-SITE-WEB\ff-fiches-fabrications\ff.fiches.fabrication.2023\UPRT.23.aout\[F_Festival.des_.Menus_.Questions.Reponses.12.juin_.2026.xlsx]Nota</v>
      </c>
      <c r="E49" s="1221"/>
      <c r="F49" s="1221"/>
      <c r="G49" s="1221"/>
      <c r="H49" s="1221"/>
      <c r="I49" s="1222"/>
      <c r="J49" s="1221"/>
      <c r="K49" s="1221"/>
      <c r="L49" s="1222"/>
      <c r="M49" s="1222"/>
      <c r="N49" s="1222"/>
      <c r="O49" s="1222"/>
      <c r="P49" s="1222"/>
      <c r="Q49" s="1223"/>
      <c r="R49" s="1223"/>
      <c r="S49" s="1223"/>
      <c r="T49" s="1223"/>
      <c r="U49" s="1223"/>
      <c r="V49" s="1223"/>
      <c r="W49" s="1223"/>
      <c r="X49" s="1223"/>
      <c r="Y49" s="1212"/>
      <c r="Z49" s="1212"/>
      <c r="AA49" s="1212"/>
      <c r="AB49" s="1212"/>
      <c r="AC49" s="1212"/>
    </row>
    <row r="50" spans="1:44" ht="30" customHeight="1" x14ac:dyDescent="0.25">
      <c r="A50" s="1209"/>
      <c r="B50" s="1224"/>
      <c r="C50" s="1225"/>
      <c r="D50" s="1224"/>
      <c r="E50" s="1209"/>
      <c r="F50" s="1209"/>
      <c r="G50" s="1209"/>
      <c r="H50" s="1209"/>
      <c r="I50" s="1211"/>
      <c r="J50" s="1209"/>
      <c r="K50" s="1209"/>
      <c r="L50" s="1211"/>
      <c r="M50" s="1211"/>
      <c r="N50" s="1211"/>
      <c r="O50" s="1211"/>
      <c r="P50" s="1211"/>
      <c r="Q50" s="1212"/>
      <c r="R50" s="1212"/>
      <c r="S50" s="1212"/>
      <c r="T50" s="1212"/>
      <c r="U50" s="1212"/>
      <c r="V50" s="1212"/>
      <c r="W50" s="1212"/>
      <c r="X50" s="1212"/>
      <c r="Y50" s="1212"/>
      <c r="Z50" s="1212"/>
      <c r="AA50" s="1212"/>
      <c r="AB50" s="1212"/>
      <c r="AC50" s="1212"/>
    </row>
    <row r="51" spans="1:44" s="1227" customFormat="1" ht="40.5" customHeight="1" x14ac:dyDescent="0.25">
      <c r="A51" s="1209"/>
      <c r="B51" s="1226" t="s">
        <v>7954</v>
      </c>
      <c r="C51" s="1209"/>
      <c r="D51" s="1209"/>
      <c r="E51" s="1209"/>
      <c r="F51" s="1209"/>
      <c r="G51" s="1209"/>
      <c r="H51" s="1209"/>
      <c r="I51" s="1211"/>
      <c r="J51" s="1209"/>
      <c r="K51" s="1209"/>
      <c r="L51" s="1211"/>
      <c r="M51" s="1211"/>
      <c r="N51" s="1211"/>
      <c r="O51" s="1211"/>
      <c r="P51" s="1211"/>
      <c r="Q51" s="1226" t="s">
        <v>7955</v>
      </c>
      <c r="R51" s="1212"/>
      <c r="S51" s="1212"/>
      <c r="T51" s="1212"/>
      <c r="U51" s="1212"/>
      <c r="V51" s="1212"/>
      <c r="W51" s="1212"/>
      <c r="X51" s="1212"/>
      <c r="Y51" s="1212"/>
      <c r="Z51" s="1212"/>
      <c r="AA51" s="1212"/>
      <c r="AB51" s="1212"/>
      <c r="AC51" s="1212"/>
      <c r="AD51" s="1196"/>
      <c r="AE51" s="1196"/>
      <c r="AL51" s="1196"/>
      <c r="AM51" s="1196"/>
      <c r="AN51" s="1196"/>
      <c r="AO51" s="1196"/>
      <c r="AP51" s="1196"/>
      <c r="AQ51" s="1196"/>
      <c r="AR51" s="1196"/>
    </row>
    <row r="52" spans="1:44" s="1227" customFormat="1" ht="40.5" customHeight="1" x14ac:dyDescent="0.25">
      <c r="A52" s="1209"/>
      <c r="B52" s="1224"/>
      <c r="C52" s="1228" t="s">
        <v>7956</v>
      </c>
      <c r="D52" s="1229"/>
      <c r="E52" s="1230" t="s">
        <v>7957</v>
      </c>
      <c r="F52" s="1231"/>
      <c r="G52" s="1232" t="s">
        <v>7958</v>
      </c>
      <c r="H52" s="1229"/>
      <c r="I52" s="1231"/>
      <c r="J52" s="1233" t="s">
        <v>7959</v>
      </c>
      <c r="K52" s="1229"/>
      <c r="L52" s="1211"/>
      <c r="M52" s="1211"/>
      <c r="N52" s="1211"/>
      <c r="O52" s="1211"/>
      <c r="P52" s="1231"/>
      <c r="Q52" s="1234" t="s">
        <v>7960</v>
      </c>
      <c r="R52" s="1235"/>
      <c r="S52" s="1236">
        <v>15.5</v>
      </c>
      <c r="T52" s="1235"/>
      <c r="U52" s="1237">
        <v>15.5</v>
      </c>
      <c r="V52" s="1235"/>
      <c r="W52" s="1238">
        <v>15.5</v>
      </c>
      <c r="X52" s="1235"/>
      <c r="Y52" s="1212"/>
      <c r="Z52" s="1212"/>
      <c r="AA52" s="1212"/>
      <c r="AB52" s="1212"/>
      <c r="AC52" s="1212"/>
      <c r="AD52" s="1196"/>
      <c r="AE52" s="1196"/>
      <c r="AF52" s="1196"/>
      <c r="AG52" s="1196"/>
      <c r="AH52" s="1196"/>
      <c r="AI52" s="1196"/>
      <c r="AJ52" s="1196"/>
      <c r="AK52" s="1196"/>
      <c r="AL52" s="1196"/>
      <c r="AM52" s="1196"/>
      <c r="AN52" s="1196"/>
      <c r="AO52" s="1196"/>
      <c r="AP52" s="1196"/>
      <c r="AQ52" s="1196"/>
      <c r="AR52" s="1196"/>
    </row>
    <row r="53" spans="1:44" s="1227" customFormat="1" ht="40.5" customHeight="1" x14ac:dyDescent="0.25">
      <c r="A53" s="1209"/>
      <c r="B53" s="1224"/>
      <c r="C53" s="1228" t="s">
        <v>7961</v>
      </c>
      <c r="D53" s="1229"/>
      <c r="E53" s="1230" t="s">
        <v>7962</v>
      </c>
      <c r="F53" s="1231"/>
      <c r="G53" s="1232" t="s">
        <v>7963</v>
      </c>
      <c r="H53" s="1229"/>
      <c r="I53" s="1231"/>
      <c r="J53" s="1233" t="s">
        <v>7964</v>
      </c>
      <c r="K53" s="1229"/>
      <c r="L53" s="1211"/>
      <c r="M53" s="1211"/>
      <c r="N53" s="1211"/>
      <c r="O53" s="1211"/>
      <c r="P53" s="1231"/>
      <c r="Q53" s="1239" t="s">
        <v>7965</v>
      </c>
      <c r="R53" s="1235"/>
      <c r="S53" s="1230" t="s">
        <v>7966</v>
      </c>
      <c r="T53" s="1235"/>
      <c r="U53" s="1240" t="s">
        <v>7967</v>
      </c>
      <c r="V53" s="1235"/>
      <c r="W53" s="1230" t="s">
        <v>7968</v>
      </c>
      <c r="X53" s="1235"/>
      <c r="Y53" s="1212"/>
      <c r="Z53" s="1212"/>
      <c r="AA53" s="1212"/>
      <c r="AB53" s="1212"/>
      <c r="AC53" s="1212"/>
      <c r="AD53" s="1196"/>
      <c r="AE53" s="1196"/>
      <c r="AF53" s="1196"/>
      <c r="AG53" s="1196"/>
      <c r="AH53" s="1196"/>
      <c r="AI53" s="1196"/>
      <c r="AJ53" s="1196"/>
      <c r="AK53" s="1196"/>
      <c r="AL53" s="1196"/>
      <c r="AM53" s="1196"/>
      <c r="AN53" s="1196"/>
      <c r="AO53" s="1196"/>
      <c r="AP53" s="1196"/>
      <c r="AQ53" s="1196"/>
      <c r="AR53" s="1196"/>
    </row>
    <row r="54" spans="1:44" s="1227" customFormat="1" ht="40.5" customHeight="1" x14ac:dyDescent="0.25">
      <c r="A54" s="1209"/>
      <c r="B54" s="1224"/>
      <c r="C54" s="1209"/>
      <c r="D54" s="1209"/>
      <c r="E54" s="1209"/>
      <c r="F54" s="1209"/>
      <c r="G54" s="1209"/>
      <c r="H54" s="1209"/>
      <c r="I54" s="1211"/>
      <c r="J54" s="1209"/>
      <c r="K54" s="1209"/>
      <c r="L54" s="1211"/>
      <c r="M54" s="1211"/>
      <c r="N54" s="1211"/>
      <c r="O54" s="1211"/>
      <c r="P54" s="1211"/>
      <c r="Q54" s="1212"/>
      <c r="R54" s="1212"/>
      <c r="S54" s="1212"/>
      <c r="T54" s="1212"/>
      <c r="U54" s="1212"/>
      <c r="V54" s="1212"/>
      <c r="W54" s="1212"/>
      <c r="X54" s="1212"/>
      <c r="Y54" s="1212"/>
      <c r="Z54" s="1212"/>
      <c r="AA54" s="1212"/>
      <c r="AB54" s="1212"/>
      <c r="AC54" s="1212"/>
      <c r="AD54" s="1196"/>
      <c r="AE54" s="1196"/>
      <c r="AF54" s="1196"/>
      <c r="AG54" s="1196"/>
      <c r="AH54" s="1196"/>
      <c r="AI54" s="1196"/>
      <c r="AJ54" s="1196"/>
      <c r="AK54" s="1196"/>
      <c r="AL54" s="1196"/>
      <c r="AM54" s="1196"/>
      <c r="AN54" s="1196"/>
      <c r="AO54" s="1196"/>
      <c r="AP54" s="1196"/>
      <c r="AQ54" s="1196"/>
      <c r="AR54" s="1196"/>
    </row>
    <row r="55" spans="1:44" s="1227" customFormat="1" ht="40.5" customHeight="1" x14ac:dyDescent="0.25">
      <c r="A55" s="1209"/>
      <c r="B55" s="1226" t="s">
        <v>7969</v>
      </c>
      <c r="C55" s="1209"/>
      <c r="D55" s="1209"/>
      <c r="E55" s="1209"/>
      <c r="F55" s="1209"/>
      <c r="G55" s="1209"/>
      <c r="H55" s="1209"/>
      <c r="I55" s="1211"/>
      <c r="J55" s="1209"/>
      <c r="K55" s="1209"/>
      <c r="L55" s="1211"/>
      <c r="M55" s="1211"/>
      <c r="N55" s="1211"/>
      <c r="O55" s="1211"/>
      <c r="P55" s="1211"/>
      <c r="Q55" s="1212"/>
      <c r="R55" s="1212"/>
      <c r="S55" s="1212"/>
      <c r="T55" s="1212"/>
      <c r="U55" s="1212"/>
      <c r="V55" s="1212"/>
      <c r="W55" s="1212"/>
      <c r="X55" s="1212"/>
      <c r="Y55" s="1212"/>
      <c r="Z55" s="1212"/>
      <c r="AA55" s="1212"/>
      <c r="AB55" s="1212"/>
      <c r="AC55" s="1212"/>
      <c r="AD55" s="1196"/>
      <c r="AE55" s="1196"/>
      <c r="AF55" s="1196"/>
      <c r="AG55" s="1196"/>
      <c r="AH55" s="1196"/>
      <c r="AI55" s="1196"/>
      <c r="AJ55" s="1196"/>
      <c r="AK55" s="1196"/>
      <c r="AL55" s="1196"/>
      <c r="AM55" s="1196"/>
      <c r="AN55" s="1196"/>
      <c r="AO55" s="1196"/>
      <c r="AP55" s="1196"/>
      <c r="AQ55" s="1196"/>
      <c r="AR55" s="1196"/>
    </row>
    <row r="56" spans="1:44" s="1227" customFormat="1" ht="40.5" customHeight="1" x14ac:dyDescent="0.25">
      <c r="A56" s="1209"/>
      <c r="B56" s="1224"/>
      <c r="C56" s="1241" t="s">
        <v>7970</v>
      </c>
      <c r="D56" s="1229"/>
      <c r="E56" s="1229"/>
      <c r="F56" s="1229"/>
      <c r="G56" s="1229"/>
      <c r="H56" s="1242" t="s">
        <v>7971</v>
      </c>
      <c r="I56" s="1242"/>
      <c r="J56" s="1229"/>
      <c r="K56" s="1229"/>
      <c r="L56" s="1231"/>
      <c r="M56" s="1231"/>
      <c r="N56" s="1231"/>
      <c r="O56" s="1231"/>
      <c r="P56" s="1243" t="s">
        <v>7972</v>
      </c>
      <c r="Q56" s="1243"/>
      <c r="R56" s="1235"/>
      <c r="S56" s="1235"/>
      <c r="T56" s="1235"/>
      <c r="U56" s="1235"/>
      <c r="V56" s="1244" t="s">
        <v>7973</v>
      </c>
      <c r="W56" s="1244"/>
      <c r="X56" s="1235"/>
      <c r="Y56" s="1235"/>
      <c r="Z56" s="1212"/>
      <c r="AA56" s="1212"/>
      <c r="AB56" s="1212"/>
      <c r="AC56" s="1212"/>
      <c r="AD56" s="1196"/>
      <c r="AE56" s="1196"/>
      <c r="AF56" s="1196"/>
      <c r="AG56" s="1196"/>
      <c r="AH56" s="1196"/>
      <c r="AI56" s="1196"/>
      <c r="AJ56" s="1196"/>
      <c r="AK56" s="1196"/>
      <c r="AL56" s="1196"/>
      <c r="AM56" s="1196"/>
      <c r="AN56" s="1196"/>
      <c r="AO56" s="1196"/>
      <c r="AP56" s="1196"/>
      <c r="AQ56" s="1196"/>
      <c r="AR56" s="1196"/>
    </row>
    <row r="57" spans="1:44" s="1227" customFormat="1" ht="40.5" customHeight="1" x14ac:dyDescent="0.25">
      <c r="A57" s="1209"/>
      <c r="B57" s="1224"/>
      <c r="C57" s="1245" t="s">
        <v>7974</v>
      </c>
      <c r="D57" s="1229"/>
      <c r="E57" s="1229"/>
      <c r="F57" s="1229"/>
      <c r="G57" s="1229"/>
      <c r="H57" s="1246" t="s">
        <v>7975</v>
      </c>
      <c r="I57" s="1246"/>
      <c r="J57" s="1229"/>
      <c r="K57" s="1229"/>
      <c r="L57" s="1231"/>
      <c r="M57" s="1231"/>
      <c r="N57" s="1231"/>
      <c r="O57" s="1231"/>
      <c r="P57" s="1247" t="s">
        <v>7976</v>
      </c>
      <c r="Q57" s="1247"/>
      <c r="R57" s="1235"/>
      <c r="S57" s="1235"/>
      <c r="T57" s="1235"/>
      <c r="U57" s="1235"/>
      <c r="V57" s="1248" t="s">
        <v>7977</v>
      </c>
      <c r="W57" s="1248"/>
      <c r="X57" s="1235"/>
      <c r="Y57" s="1235"/>
      <c r="Z57" s="1212"/>
      <c r="AA57" s="1212"/>
      <c r="AB57" s="1212"/>
      <c r="AC57" s="1212"/>
      <c r="AD57" s="1196"/>
      <c r="AE57" s="1196"/>
      <c r="AF57" s="1196"/>
      <c r="AG57" s="1196"/>
      <c r="AH57" s="1196"/>
      <c r="AI57" s="1196"/>
      <c r="AJ57" s="1196"/>
      <c r="AK57" s="1196"/>
      <c r="AL57" s="1196"/>
      <c r="AM57" s="1196"/>
      <c r="AN57" s="1196"/>
      <c r="AO57" s="1196"/>
      <c r="AP57" s="1196"/>
      <c r="AQ57" s="1196"/>
      <c r="AR57" s="1196"/>
    </row>
    <row r="58" spans="1:44" s="1227" customFormat="1" ht="40.5" customHeight="1" x14ac:dyDescent="0.25">
      <c r="A58" s="1209"/>
      <c r="B58" s="1224"/>
      <c r="C58" s="1249" t="s">
        <v>7978</v>
      </c>
      <c r="D58" s="1229"/>
      <c r="E58" s="1229"/>
      <c r="F58" s="1229"/>
      <c r="G58" s="1229"/>
      <c r="H58" s="1229"/>
      <c r="I58" s="1231"/>
      <c r="J58" s="1229"/>
      <c r="K58" s="1229"/>
      <c r="L58" s="1231"/>
      <c r="M58" s="1231"/>
      <c r="N58" s="1231"/>
      <c r="O58" s="1231"/>
      <c r="P58" s="1231"/>
      <c r="Q58" s="1235"/>
      <c r="R58" s="1235"/>
      <c r="S58" s="1235"/>
      <c r="T58" s="1235"/>
      <c r="U58" s="1235"/>
      <c r="V58" s="1235"/>
      <c r="W58" s="1235"/>
      <c r="X58" s="1235"/>
      <c r="Y58" s="1235"/>
      <c r="Z58" s="1212"/>
      <c r="AA58" s="1212"/>
      <c r="AB58" s="1212"/>
      <c r="AC58" s="1212"/>
      <c r="AD58" s="1196"/>
      <c r="AE58" s="1196"/>
      <c r="AF58" s="1196"/>
      <c r="AG58" s="1196"/>
      <c r="AH58" s="1196"/>
      <c r="AI58" s="1196"/>
      <c r="AJ58" s="1196"/>
      <c r="AK58" s="1196"/>
      <c r="AL58" s="1196"/>
      <c r="AM58" s="1196"/>
      <c r="AN58" s="1196"/>
      <c r="AO58" s="1196"/>
      <c r="AP58" s="1196"/>
      <c r="AQ58" s="1196"/>
      <c r="AR58" s="1196"/>
    </row>
    <row r="59" spans="1:44" s="1227" customFormat="1" ht="40.5" customHeight="1" x14ac:dyDescent="0.25">
      <c r="A59" s="1209"/>
      <c r="B59" s="1226" t="s">
        <v>7979</v>
      </c>
      <c r="C59" s="1209"/>
      <c r="D59" s="1209"/>
      <c r="E59" s="1209"/>
      <c r="F59" s="1209"/>
      <c r="G59" s="1209"/>
      <c r="H59" s="1209"/>
      <c r="I59" s="1211"/>
      <c r="J59" s="1209"/>
      <c r="K59" s="1209"/>
      <c r="L59" s="1211"/>
      <c r="M59" s="1211"/>
      <c r="N59" s="1211"/>
      <c r="O59" s="1211"/>
      <c r="P59" s="1211"/>
      <c r="Q59" s="1212"/>
      <c r="R59" s="1212"/>
      <c r="S59" s="1212"/>
      <c r="T59" s="1212"/>
      <c r="U59" s="1212"/>
      <c r="V59" s="1212"/>
      <c r="W59" s="1212"/>
      <c r="X59" s="1212"/>
      <c r="Y59" s="1212"/>
      <c r="Z59" s="1212"/>
      <c r="AA59" s="1212"/>
      <c r="AB59" s="1212"/>
      <c r="AC59" s="1212"/>
      <c r="AD59" s="1196"/>
      <c r="AE59" s="1196"/>
      <c r="AF59" s="1196"/>
      <c r="AG59" s="1196"/>
    </row>
    <row r="60" spans="1:44" s="1227" customFormat="1" ht="40.5" customHeight="1" x14ac:dyDescent="0.2">
      <c r="A60" s="1209"/>
      <c r="B60" s="1250"/>
      <c r="C60" s="1251" t="s">
        <v>7980</v>
      </c>
      <c r="D60" s="1252" t="s">
        <v>7981</v>
      </c>
      <c r="E60" s="1253" t="s">
        <v>7982</v>
      </c>
      <c r="F60" s="1254" t="s">
        <v>7983</v>
      </c>
      <c r="G60" s="1255" t="s">
        <v>7984</v>
      </c>
      <c r="H60" s="1256" t="s">
        <v>7985</v>
      </c>
      <c r="I60" s="1257" t="s">
        <v>7986</v>
      </c>
      <c r="J60" s="1258" t="s">
        <v>7987</v>
      </c>
      <c r="K60" s="1259" t="s">
        <v>7988</v>
      </c>
      <c r="L60" s="1260" t="s">
        <v>7989</v>
      </c>
      <c r="M60" s="1261" t="s">
        <v>7990</v>
      </c>
      <c r="N60" s="1262" t="s">
        <v>7991</v>
      </c>
      <c r="O60" s="1263" t="s">
        <v>7992</v>
      </c>
      <c r="P60" s="1254" t="s">
        <v>7993</v>
      </c>
      <c r="Q60" s="1264" t="s">
        <v>7994</v>
      </c>
      <c r="R60" s="1265" t="s">
        <v>7995</v>
      </c>
      <c r="S60" s="1266" t="s">
        <v>7996</v>
      </c>
      <c r="T60" s="1267" t="s">
        <v>7997</v>
      </c>
      <c r="U60" s="1268" t="s">
        <v>7998</v>
      </c>
      <c r="V60" s="1253" t="s">
        <v>7999</v>
      </c>
      <c r="W60" s="1212"/>
      <c r="X60" s="1212"/>
      <c r="Y60" s="1212"/>
      <c r="Z60" s="1212"/>
      <c r="AA60" s="1212"/>
      <c r="AB60" s="1212"/>
      <c r="AC60" s="1212"/>
      <c r="AD60" s="1196"/>
      <c r="AE60" s="1196"/>
      <c r="AF60" s="1196"/>
      <c r="AG60" s="1196"/>
    </row>
    <row r="61" spans="1:44" s="1227" customFormat="1" ht="40.5" customHeight="1" x14ac:dyDescent="0.25">
      <c r="A61" s="1209"/>
      <c r="B61" s="1250"/>
      <c r="C61" s="1209"/>
      <c r="D61" s="1209"/>
      <c r="E61" s="1209"/>
      <c r="F61" s="1209"/>
      <c r="G61" s="1209"/>
      <c r="H61" s="1209"/>
      <c r="I61" s="1269"/>
      <c r="J61" s="1209"/>
      <c r="K61" s="1209"/>
      <c r="L61" s="1269"/>
      <c r="M61" s="1269"/>
      <c r="N61" s="1269"/>
      <c r="O61" s="1269"/>
      <c r="P61" s="1269"/>
      <c r="Q61" s="1212"/>
      <c r="R61" s="1212"/>
      <c r="S61" s="1212"/>
      <c r="T61" s="1212"/>
      <c r="U61" s="1212"/>
      <c r="V61" s="1212"/>
      <c r="W61" s="1212"/>
      <c r="X61" s="1212"/>
      <c r="Y61" s="1212"/>
      <c r="Z61" s="1212"/>
      <c r="AA61" s="1212"/>
      <c r="AB61" s="1212"/>
      <c r="AC61" s="1212"/>
      <c r="AD61" s="1196"/>
      <c r="AE61" s="1196"/>
      <c r="AF61" s="1196"/>
      <c r="AG61" s="1196"/>
    </row>
    <row r="62" spans="1:44" s="1227" customFormat="1" ht="40.5" customHeight="1" x14ac:dyDescent="0.2">
      <c r="A62" s="1209"/>
      <c r="B62" s="1250"/>
      <c r="C62" s="1270" t="s">
        <v>7980</v>
      </c>
      <c r="D62" s="1270" t="s">
        <v>7981</v>
      </c>
      <c r="E62" s="1270" t="s">
        <v>7982</v>
      </c>
      <c r="F62" s="1270" t="s">
        <v>7983</v>
      </c>
      <c r="G62" s="1270" t="s">
        <v>7984</v>
      </c>
      <c r="H62" s="1270" t="s">
        <v>7985</v>
      </c>
      <c r="I62" s="1270" t="s">
        <v>7986</v>
      </c>
      <c r="J62" s="1270" t="s">
        <v>7987</v>
      </c>
      <c r="K62" s="1270" t="s">
        <v>7988</v>
      </c>
      <c r="L62" s="1270" t="s">
        <v>7989</v>
      </c>
      <c r="M62" s="1270" t="s">
        <v>7990</v>
      </c>
      <c r="N62" s="1270" t="s">
        <v>7991</v>
      </c>
      <c r="O62" s="1270" t="s">
        <v>7992</v>
      </c>
      <c r="P62" s="1270" t="s">
        <v>7993</v>
      </c>
      <c r="Q62" s="1270" t="s">
        <v>7994</v>
      </c>
      <c r="R62" s="1270" t="s">
        <v>7995</v>
      </c>
      <c r="S62" s="1270" t="s">
        <v>7996</v>
      </c>
      <c r="T62" s="1270" t="s">
        <v>7997</v>
      </c>
      <c r="U62" s="1270" t="s">
        <v>7998</v>
      </c>
      <c r="V62" s="1270" t="s">
        <v>7999</v>
      </c>
      <c r="W62" s="1212"/>
      <c r="X62" s="1212"/>
      <c r="Y62" s="1212"/>
      <c r="Z62" s="1212"/>
      <c r="AA62" s="1212"/>
      <c r="AB62" s="1212"/>
      <c r="AC62" s="1212"/>
      <c r="AD62" s="1196"/>
      <c r="AE62" s="1196"/>
      <c r="AF62" s="1196"/>
      <c r="AG62" s="1196"/>
    </row>
    <row r="63" spans="1:44" s="1227" customFormat="1" ht="40.5" customHeight="1" x14ac:dyDescent="0.25">
      <c r="A63" s="1209"/>
      <c r="B63" s="1250"/>
      <c r="C63" s="1209"/>
      <c r="D63" s="1209"/>
      <c r="E63" s="1209"/>
      <c r="F63" s="1209"/>
      <c r="G63" s="1209"/>
      <c r="H63" s="1209"/>
      <c r="I63" s="1269"/>
      <c r="J63" s="1209"/>
      <c r="K63" s="1209"/>
      <c r="L63" s="1269"/>
      <c r="M63" s="1269"/>
      <c r="N63" s="1269"/>
      <c r="O63" s="1269"/>
      <c r="P63" s="1269"/>
      <c r="Q63" s="1212"/>
      <c r="R63" s="1212"/>
      <c r="S63" s="1212"/>
      <c r="T63" s="1212"/>
      <c r="U63" s="1212"/>
      <c r="V63" s="1212"/>
      <c r="W63" s="1212"/>
      <c r="X63" s="1212"/>
      <c r="Y63" s="1212"/>
      <c r="Z63" s="1212"/>
      <c r="AA63" s="1212"/>
      <c r="AB63" s="1212"/>
      <c r="AC63" s="1212"/>
      <c r="AD63" s="1196"/>
      <c r="AE63" s="1196"/>
      <c r="AF63" s="1196"/>
      <c r="AG63" s="1196"/>
    </row>
    <row r="64" spans="1:44" s="1227" customFormat="1" ht="40.5" customHeight="1" x14ac:dyDescent="0.2">
      <c r="A64" s="1209"/>
      <c r="B64" s="1250"/>
      <c r="C64" s="1271">
        <v>1</v>
      </c>
      <c r="D64" s="1271" t="s">
        <v>20</v>
      </c>
      <c r="E64" s="1271" t="s">
        <v>25</v>
      </c>
      <c r="F64" s="1271" t="s">
        <v>28</v>
      </c>
      <c r="G64" s="1271" t="s">
        <v>32</v>
      </c>
      <c r="H64" s="1271" t="s">
        <v>34</v>
      </c>
      <c r="I64" s="1271" t="s">
        <v>39</v>
      </c>
      <c r="J64" s="1271" t="s">
        <v>42</v>
      </c>
      <c r="K64" s="1271" t="s">
        <v>46</v>
      </c>
      <c r="L64" s="1271" t="s">
        <v>48</v>
      </c>
      <c r="M64" s="1271" t="s">
        <v>8000</v>
      </c>
      <c r="N64" s="1271" t="s">
        <v>8001</v>
      </c>
      <c r="O64" s="1271" t="s">
        <v>8002</v>
      </c>
      <c r="P64" s="1271" t="s">
        <v>8003</v>
      </c>
      <c r="Q64" s="1271" t="s">
        <v>8004</v>
      </c>
      <c r="R64" s="1271" t="s">
        <v>8005</v>
      </c>
      <c r="S64" s="1271" t="s">
        <v>8006</v>
      </c>
      <c r="T64" s="1271" t="s">
        <v>8007</v>
      </c>
      <c r="U64" s="1271" t="s">
        <v>8008</v>
      </c>
      <c r="V64" s="1271" t="s">
        <v>8009</v>
      </c>
      <c r="W64" s="1212"/>
      <c r="X64" s="1212"/>
      <c r="Y64" s="1212"/>
      <c r="Z64" s="1212"/>
      <c r="AA64" s="1212"/>
      <c r="AB64" s="1212"/>
      <c r="AC64" s="1212"/>
      <c r="AD64" s="1196"/>
      <c r="AE64" s="1196"/>
      <c r="AF64" s="1196"/>
      <c r="AG64" s="1196"/>
    </row>
    <row r="65" spans="1:33" s="1227" customFormat="1" ht="40.5" customHeight="1" x14ac:dyDescent="0.25">
      <c r="A65" s="1209"/>
      <c r="B65" s="1250"/>
      <c r="C65" s="1209"/>
      <c r="D65" s="1209"/>
      <c r="E65" s="1209"/>
      <c r="F65" s="1209"/>
      <c r="G65" s="1209"/>
      <c r="H65" s="1209"/>
      <c r="I65" s="1269"/>
      <c r="J65" s="1209"/>
      <c r="K65" s="1209"/>
      <c r="L65" s="1269"/>
      <c r="M65" s="1269"/>
      <c r="N65" s="1269"/>
      <c r="O65" s="1269"/>
      <c r="P65" s="1269"/>
      <c r="Q65" s="1212"/>
      <c r="R65" s="1212"/>
      <c r="S65" s="1212"/>
      <c r="T65" s="1212"/>
      <c r="U65" s="1212"/>
      <c r="V65" s="1212"/>
      <c r="W65" s="1212"/>
      <c r="X65" s="1212"/>
      <c r="Y65" s="1212"/>
      <c r="Z65" s="1212"/>
      <c r="AA65" s="1212"/>
      <c r="AB65" s="1212"/>
      <c r="AC65" s="1212"/>
      <c r="AD65" s="1196"/>
      <c r="AE65" s="1196"/>
      <c r="AF65" s="1196"/>
      <c r="AG65" s="1196"/>
    </row>
    <row r="66" spans="1:33" s="1227" customFormat="1" ht="40.5" customHeight="1" x14ac:dyDescent="0.2">
      <c r="A66" s="1209"/>
      <c r="B66" s="1250"/>
      <c r="C66" s="1272">
        <v>1</v>
      </c>
      <c r="D66" s="1273">
        <v>2</v>
      </c>
      <c r="E66" s="1272">
        <v>3</v>
      </c>
      <c r="F66" s="1273">
        <v>4</v>
      </c>
      <c r="G66" s="1272">
        <v>5</v>
      </c>
      <c r="H66" s="1273">
        <v>6</v>
      </c>
      <c r="I66" s="1272">
        <v>7</v>
      </c>
      <c r="J66" s="1273">
        <v>8</v>
      </c>
      <c r="K66" s="1272">
        <v>9</v>
      </c>
      <c r="L66" s="1273">
        <v>10</v>
      </c>
      <c r="M66" s="1272">
        <v>11</v>
      </c>
      <c r="N66" s="1273">
        <v>12</v>
      </c>
      <c r="O66" s="1272">
        <v>13</v>
      </c>
      <c r="P66" s="1273">
        <v>14</v>
      </c>
      <c r="Q66" s="1272">
        <v>15</v>
      </c>
      <c r="R66" s="1273">
        <v>16</v>
      </c>
      <c r="S66" s="1272">
        <v>17</v>
      </c>
      <c r="T66" s="1273">
        <v>18</v>
      </c>
      <c r="U66" s="1272">
        <v>19</v>
      </c>
      <c r="V66" s="1273">
        <v>20</v>
      </c>
      <c r="W66" s="1212"/>
      <c r="X66" s="1212"/>
      <c r="Y66" s="1212"/>
      <c r="Z66" s="1212"/>
      <c r="AA66" s="1212"/>
      <c r="AB66" s="1212"/>
      <c r="AC66" s="1212"/>
      <c r="AD66" s="1196"/>
      <c r="AE66" s="1196"/>
      <c r="AF66" s="1196"/>
      <c r="AG66" s="1196"/>
    </row>
    <row r="67" spans="1:33" s="1227" customFormat="1" ht="40.5" customHeight="1" x14ac:dyDescent="0.25">
      <c r="A67" s="1209"/>
      <c r="B67" s="1250"/>
      <c r="C67" s="1209"/>
      <c r="D67" s="1209"/>
      <c r="E67" s="1209"/>
      <c r="F67" s="1209"/>
      <c r="G67" s="1209"/>
      <c r="H67" s="1209"/>
      <c r="I67" s="1269"/>
      <c r="J67" s="1209"/>
      <c r="K67" s="1209"/>
      <c r="L67" s="1269"/>
      <c r="M67" s="1269"/>
      <c r="N67" s="1269"/>
      <c r="O67" s="1269"/>
      <c r="P67" s="1269"/>
      <c r="Q67" s="1212"/>
      <c r="R67" s="1212"/>
      <c r="S67" s="1212"/>
      <c r="T67" s="1212"/>
      <c r="U67" s="1212"/>
      <c r="V67" s="1212"/>
      <c r="W67" s="1212"/>
      <c r="X67" s="1212"/>
      <c r="Y67" s="1212"/>
      <c r="Z67" s="1212"/>
      <c r="AA67" s="1212"/>
      <c r="AB67" s="1212"/>
      <c r="AC67" s="1212"/>
      <c r="AD67" s="1196"/>
      <c r="AE67" s="1196"/>
      <c r="AF67" s="1196"/>
      <c r="AG67" s="1196"/>
    </row>
    <row r="68" spans="1:33" s="1227" customFormat="1" ht="40.5" customHeight="1" x14ac:dyDescent="0.25">
      <c r="A68" s="1209"/>
      <c r="B68" s="1250"/>
      <c r="C68" s="1274" t="s">
        <v>8010</v>
      </c>
      <c r="D68" s="1275"/>
      <c r="E68" s="1275"/>
      <c r="F68" s="1275"/>
      <c r="G68" s="1269"/>
      <c r="H68" s="1269"/>
      <c r="I68" s="1269"/>
      <c r="J68" s="1269"/>
      <c r="K68" s="1269"/>
      <c r="L68" s="1276"/>
      <c r="M68" s="1269"/>
      <c r="N68" s="1269"/>
      <c r="O68" s="1269"/>
      <c r="P68" s="1269"/>
      <c r="Q68" s="1212"/>
      <c r="R68" s="1277"/>
      <c r="S68" s="1212"/>
      <c r="T68" s="1212"/>
      <c r="U68" s="1212"/>
      <c r="V68" s="1212"/>
      <c r="W68" s="1212"/>
      <c r="X68" s="1212"/>
      <c r="Y68" s="1212"/>
      <c r="Z68" s="1212"/>
      <c r="AA68" s="1212"/>
      <c r="AB68" s="1212"/>
      <c r="AC68" s="1212"/>
      <c r="AD68" s="1196"/>
      <c r="AE68" s="1196"/>
      <c r="AF68" s="1196"/>
      <c r="AG68" s="1196"/>
    </row>
    <row r="69" spans="1:33" s="1227" customFormat="1" ht="40.5" customHeight="1" x14ac:dyDescent="0.25">
      <c r="A69" s="1209"/>
      <c r="B69" s="1250"/>
      <c r="C69" s="1278" t="s">
        <v>8011</v>
      </c>
      <c r="D69" s="1275"/>
      <c r="E69" s="1275"/>
      <c r="F69" s="1275"/>
      <c r="G69" s="1277"/>
      <c r="H69" s="1279"/>
      <c r="I69" s="1275"/>
      <c r="J69" s="1275"/>
      <c r="K69" s="1209"/>
      <c r="L69" s="1269"/>
      <c r="M69" s="1269"/>
      <c r="N69" s="1269"/>
      <c r="O69" s="1269"/>
      <c r="P69" s="1269"/>
      <c r="Q69" s="1212"/>
      <c r="R69" s="1212"/>
      <c r="S69" s="1212"/>
      <c r="T69" s="1212"/>
      <c r="U69" s="1212"/>
      <c r="V69" s="1212"/>
      <c r="W69" s="1212"/>
      <c r="X69" s="1212"/>
      <c r="Y69" s="1212"/>
      <c r="Z69" s="1212"/>
      <c r="AA69" s="1212"/>
      <c r="AB69" s="1212"/>
      <c r="AC69" s="1212"/>
      <c r="AD69" s="1196"/>
      <c r="AE69" s="1196"/>
      <c r="AF69" s="1196"/>
      <c r="AG69" s="1196"/>
    </row>
    <row r="70" spans="1:33" s="1227" customFormat="1" ht="40.5" customHeight="1" x14ac:dyDescent="0.25">
      <c r="A70" s="1209"/>
      <c r="B70" s="1250"/>
      <c r="C70" s="1280" t="s">
        <v>8012</v>
      </c>
      <c r="D70" s="1275"/>
      <c r="E70" s="1275"/>
      <c r="F70" s="1275"/>
      <c r="G70" s="1277"/>
      <c r="H70" s="1279"/>
      <c r="I70" s="1275"/>
      <c r="J70" s="1275"/>
      <c r="K70" s="1209"/>
      <c r="L70" s="1269"/>
      <c r="M70" s="1269"/>
      <c r="N70" s="1269"/>
      <c r="O70" s="1269"/>
      <c r="P70" s="1269"/>
      <c r="Q70" s="1212"/>
      <c r="R70" s="1212"/>
      <c r="S70" s="1212"/>
      <c r="T70" s="1212"/>
      <c r="U70" s="1212"/>
      <c r="V70" s="1212"/>
      <c r="W70" s="1212"/>
      <c r="X70" s="1212"/>
      <c r="Y70" s="1212"/>
      <c r="Z70" s="1212"/>
      <c r="AA70" s="1212"/>
      <c r="AB70" s="1212"/>
      <c r="AC70" s="1212"/>
      <c r="AD70" s="1196"/>
      <c r="AE70" s="1196"/>
      <c r="AF70" s="1196"/>
      <c r="AG70" s="1196"/>
    </row>
    <row r="71" spans="1:33" s="1227" customFormat="1" ht="40.5" customHeight="1" x14ac:dyDescent="0.25">
      <c r="A71" s="1209"/>
      <c r="B71" s="1250"/>
      <c r="C71" s="1280" t="s">
        <v>8013</v>
      </c>
      <c r="D71" s="1275"/>
      <c r="E71" s="1275"/>
      <c r="F71" s="1275"/>
      <c r="G71" s="1277"/>
      <c r="H71" s="1279"/>
      <c r="I71" s="1275"/>
      <c r="J71" s="1275"/>
      <c r="K71" s="1209"/>
      <c r="L71" s="1269"/>
      <c r="M71" s="1269"/>
      <c r="N71" s="1269"/>
      <c r="O71" s="1269"/>
      <c r="P71" s="1269"/>
      <c r="Q71" s="1212"/>
      <c r="R71" s="1212"/>
      <c r="S71" s="1212"/>
      <c r="T71" s="1212"/>
      <c r="U71" s="1212"/>
      <c r="V71" s="1212"/>
      <c r="W71" s="1212"/>
      <c r="X71" s="1212"/>
      <c r="Y71" s="1212"/>
      <c r="Z71" s="1212"/>
      <c r="AA71" s="1212"/>
      <c r="AB71" s="1212"/>
      <c r="AC71" s="1212"/>
      <c r="AD71" s="1196"/>
      <c r="AE71" s="1196"/>
      <c r="AF71" s="1196"/>
      <c r="AG71" s="1196"/>
    </row>
    <row r="72" spans="1:33" s="1227" customFormat="1" ht="40.5" customHeight="1" x14ac:dyDescent="0.25">
      <c r="A72" s="1209"/>
      <c r="B72" s="1250"/>
      <c r="C72" s="1281" t="s">
        <v>8014</v>
      </c>
      <c r="D72" s="1275"/>
      <c r="E72" s="1275"/>
      <c r="F72" s="1275"/>
      <c r="G72" s="1277"/>
      <c r="H72" s="1279"/>
      <c r="I72" s="1275"/>
      <c r="J72" s="1275"/>
      <c r="K72" s="1209"/>
      <c r="L72" s="1269"/>
      <c r="M72" s="1269"/>
      <c r="N72" s="1269"/>
      <c r="O72" s="1269"/>
      <c r="P72" s="1269"/>
      <c r="Q72" s="1212"/>
      <c r="R72" s="1212"/>
      <c r="S72" s="1212"/>
      <c r="T72" s="1212"/>
      <c r="U72" s="1212"/>
      <c r="V72" s="1212"/>
      <c r="W72" s="1212"/>
      <c r="X72" s="1212"/>
      <c r="Y72" s="1212"/>
      <c r="Z72" s="1212"/>
      <c r="AA72" s="1212"/>
      <c r="AB72" s="1212"/>
      <c r="AC72" s="1212"/>
      <c r="AD72" s="1196"/>
      <c r="AE72" s="1196"/>
      <c r="AF72" s="1196"/>
      <c r="AG72" s="1196"/>
    </row>
    <row r="73" spans="1:33" s="1227" customFormat="1" ht="40.5" customHeight="1" x14ac:dyDescent="0.25">
      <c r="A73" s="1209"/>
      <c r="B73" s="1250"/>
      <c r="C73" s="1282" t="s">
        <v>8015</v>
      </c>
      <c r="D73" s="1275"/>
      <c r="E73" s="1275"/>
      <c r="F73" s="1275"/>
      <c r="G73" s="1277"/>
      <c r="H73" s="1279"/>
      <c r="I73" s="1275"/>
      <c r="J73" s="1275"/>
      <c r="K73" s="1209"/>
      <c r="L73" s="1269"/>
      <c r="M73" s="1269"/>
      <c r="N73" s="1269"/>
      <c r="O73" s="1269"/>
      <c r="P73" s="1269"/>
      <c r="Q73" s="1212"/>
      <c r="R73" s="1212"/>
      <c r="S73" s="1212"/>
      <c r="T73" s="1212"/>
      <c r="U73" s="1212"/>
      <c r="V73" s="1212"/>
      <c r="W73" s="1212"/>
      <c r="X73" s="1212"/>
      <c r="Y73" s="1212"/>
      <c r="Z73" s="1212"/>
      <c r="AA73" s="1212"/>
      <c r="AB73" s="1212"/>
      <c r="AC73" s="1212"/>
      <c r="AD73" s="1196"/>
      <c r="AE73" s="1196"/>
      <c r="AF73" s="1196"/>
      <c r="AG73" s="1196"/>
    </row>
    <row r="74" spans="1:33" s="1227" customFormat="1" ht="40.5" customHeight="1" x14ac:dyDescent="0.25">
      <c r="A74" s="1209"/>
      <c r="B74" s="1250"/>
      <c r="C74" s="1281" t="s">
        <v>8016</v>
      </c>
      <c r="D74" s="1275"/>
      <c r="E74" s="1275"/>
      <c r="F74" s="1275"/>
      <c r="G74" s="1277"/>
      <c r="H74" s="1279"/>
      <c r="I74" s="1275"/>
      <c r="J74" s="1275"/>
      <c r="K74" s="1209"/>
      <c r="L74" s="1269"/>
      <c r="M74" s="1269"/>
      <c r="N74" s="1269"/>
      <c r="O74" s="1269"/>
      <c r="P74" s="1269"/>
      <c r="Q74" s="1212"/>
      <c r="R74" s="1212"/>
      <c r="S74" s="1212"/>
      <c r="T74" s="1212"/>
      <c r="U74" s="1212"/>
      <c r="V74" s="1212"/>
      <c r="W74" s="1212"/>
      <c r="X74" s="1212"/>
      <c r="Y74" s="1212"/>
      <c r="Z74" s="1212"/>
      <c r="AA74" s="1212"/>
      <c r="AB74" s="1212"/>
      <c r="AC74" s="1212"/>
      <c r="AD74" s="1196"/>
      <c r="AE74" s="1196"/>
      <c r="AF74" s="1196"/>
      <c r="AG74" s="1196"/>
    </row>
    <row r="75" spans="1:33" s="1227" customFormat="1" ht="40.5" customHeight="1" x14ac:dyDescent="0.25">
      <c r="A75" s="1209"/>
      <c r="B75" s="1250"/>
      <c r="C75" s="1281" t="s">
        <v>8017</v>
      </c>
      <c r="D75" s="1275"/>
      <c r="E75" s="1275"/>
      <c r="F75" s="1275"/>
      <c r="G75" s="1277"/>
      <c r="H75" s="1279"/>
      <c r="I75" s="1275"/>
      <c r="J75" s="1275"/>
      <c r="K75" s="1209"/>
      <c r="L75" s="1269"/>
      <c r="M75" s="1269"/>
      <c r="N75" s="1269"/>
      <c r="O75" s="1269"/>
      <c r="P75" s="1269"/>
      <c r="Q75" s="1212"/>
      <c r="R75" s="1212"/>
      <c r="S75" s="1212"/>
      <c r="T75" s="1212"/>
      <c r="U75" s="1212"/>
      <c r="V75" s="1212"/>
      <c r="W75" s="1212"/>
      <c r="X75" s="1212"/>
      <c r="Y75" s="1212"/>
      <c r="Z75" s="1212"/>
      <c r="AA75" s="1212"/>
      <c r="AB75" s="1212"/>
      <c r="AC75" s="1212"/>
      <c r="AD75" s="1196"/>
      <c r="AE75" s="1196"/>
      <c r="AF75" s="1196"/>
      <c r="AG75" s="1196"/>
    </row>
    <row r="76" spans="1:33" s="1227" customFormat="1" ht="40.5" customHeight="1" x14ac:dyDescent="0.25">
      <c r="A76" s="1209"/>
      <c r="B76" s="1250"/>
      <c r="C76" s="1220" t="s">
        <v>8018</v>
      </c>
      <c r="D76" s="1209"/>
      <c r="E76" s="1209"/>
      <c r="F76" s="1209"/>
      <c r="G76" s="1209"/>
      <c r="H76" s="1209"/>
      <c r="I76" s="1269"/>
      <c r="J76" s="1209"/>
      <c r="K76" s="1209"/>
      <c r="L76" s="1269"/>
      <c r="M76" s="1269"/>
      <c r="N76" s="1269"/>
      <c r="O76" s="1269"/>
      <c r="P76" s="1269"/>
      <c r="Q76" s="1212"/>
      <c r="R76" s="1212"/>
      <c r="S76" s="1212"/>
      <c r="T76" s="1212"/>
      <c r="U76" s="1212"/>
      <c r="V76" s="1212"/>
      <c r="W76" s="1212"/>
      <c r="X76" s="1212"/>
      <c r="Y76" s="1212"/>
      <c r="Z76" s="1212"/>
      <c r="AA76" s="1212"/>
      <c r="AB76" s="1212"/>
      <c r="AC76" s="1212"/>
      <c r="AD76" s="1196"/>
      <c r="AE76" s="1196"/>
      <c r="AF76" s="1196"/>
      <c r="AG76" s="1196"/>
    </row>
    <row r="77" spans="1:33" s="1227" customFormat="1" ht="40.5" customHeight="1" x14ac:dyDescent="0.25">
      <c r="A77" s="1209"/>
      <c r="B77" s="1220"/>
      <c r="C77" s="1283" t="s">
        <v>8019</v>
      </c>
      <c r="D77" s="1209"/>
      <c r="E77" s="1209"/>
      <c r="F77" s="1209"/>
      <c r="G77" s="1209"/>
      <c r="H77" s="1209"/>
      <c r="I77" s="1269"/>
      <c r="J77" s="1209"/>
      <c r="K77" s="1209"/>
      <c r="L77" s="1269"/>
      <c r="M77" s="1269"/>
      <c r="N77" s="1269"/>
      <c r="O77" s="1269"/>
      <c r="P77" s="1269"/>
      <c r="Q77" s="1212"/>
      <c r="R77" s="1212"/>
      <c r="S77" s="1212"/>
      <c r="T77" s="1212"/>
      <c r="U77" s="1212"/>
      <c r="V77" s="1212"/>
      <c r="W77" s="1212"/>
      <c r="X77" s="1212"/>
      <c r="Y77" s="1212"/>
      <c r="Z77" s="1212"/>
      <c r="AA77" s="1212"/>
      <c r="AB77" s="1212"/>
      <c r="AC77" s="1212"/>
      <c r="AD77" s="1196"/>
      <c r="AE77" s="1196"/>
      <c r="AF77" s="1196"/>
      <c r="AG77" s="1196"/>
    </row>
    <row r="78" spans="1:33" s="1227" customFormat="1" ht="40.5" customHeight="1" x14ac:dyDescent="0.25">
      <c r="A78" s="1209"/>
      <c r="B78" s="1250"/>
      <c r="C78" s="1209"/>
      <c r="D78" s="1209"/>
      <c r="E78" s="1209"/>
      <c r="F78" s="1209"/>
      <c r="G78" s="1209"/>
      <c r="H78" s="1209"/>
      <c r="I78" s="1269"/>
      <c r="J78" s="1209"/>
      <c r="K78" s="1209"/>
      <c r="L78" s="1269"/>
      <c r="M78" s="1269"/>
      <c r="N78" s="1269"/>
      <c r="O78" s="1269"/>
      <c r="P78" s="1269"/>
      <c r="Q78" s="1212"/>
      <c r="R78" s="1212"/>
      <c r="S78" s="1212"/>
      <c r="T78" s="1212"/>
      <c r="U78" s="1212"/>
      <c r="V78" s="1212"/>
      <c r="W78" s="1212"/>
      <c r="X78" s="1212"/>
      <c r="Y78" s="1212"/>
      <c r="Z78" s="1212"/>
      <c r="AA78" s="1212"/>
      <c r="AB78" s="1212"/>
      <c r="AC78" s="1212"/>
      <c r="AD78" s="1196"/>
      <c r="AE78" s="1196"/>
      <c r="AF78" s="1196"/>
      <c r="AG78" s="1196"/>
    </row>
    <row r="79" spans="1:33" s="1227" customFormat="1" ht="40.5" customHeight="1" x14ac:dyDescent="0.25">
      <c r="A79" s="1209"/>
      <c r="B79" s="1250"/>
      <c r="C79" s="1284"/>
      <c r="D79" s="1285" t="s">
        <v>8020</v>
      </c>
      <c r="E79" s="1286"/>
      <c r="F79" s="1286"/>
      <c r="G79" s="1286"/>
      <c r="H79" s="1286"/>
      <c r="I79" s="1286"/>
      <c r="J79" s="1286"/>
      <c r="K79" s="1287"/>
      <c r="L79" s="1269"/>
      <c r="M79" s="1269"/>
      <c r="N79" s="1269"/>
      <c r="O79" s="1269"/>
      <c r="P79" s="1269"/>
      <c r="Q79" s="1212"/>
      <c r="R79" s="1212"/>
      <c r="S79" s="1212"/>
      <c r="T79" s="1212"/>
      <c r="U79" s="1212"/>
      <c r="V79" s="1212"/>
      <c r="W79" s="1212"/>
      <c r="X79" s="1212"/>
      <c r="Y79" s="1212"/>
      <c r="Z79" s="1212"/>
      <c r="AA79" s="1212"/>
      <c r="AB79" s="1212"/>
      <c r="AC79" s="1212"/>
      <c r="AD79" s="1196"/>
      <c r="AE79" s="1196"/>
      <c r="AF79" s="1196"/>
      <c r="AG79" s="1196"/>
    </row>
    <row r="80" spans="1:33" s="1227" customFormat="1" ht="40.5" customHeight="1" x14ac:dyDescent="0.25">
      <c r="A80" s="1209"/>
      <c r="B80" s="1250"/>
      <c r="C80" s="1288"/>
      <c r="D80" s="1289" t="s">
        <v>8021</v>
      </c>
      <c r="E80" s="1290"/>
      <c r="F80" s="1290"/>
      <c r="G80" s="1290"/>
      <c r="H80" s="1290"/>
      <c r="I80" s="1290"/>
      <c r="J80" s="1290"/>
      <c r="K80" s="1291"/>
      <c r="L80" s="1269"/>
      <c r="M80" s="1269"/>
      <c r="N80" s="1269"/>
      <c r="O80" s="1269"/>
      <c r="P80" s="1269"/>
      <c r="Q80" s="1212"/>
      <c r="R80" s="1212"/>
      <c r="S80" s="1212"/>
      <c r="T80" s="1212"/>
      <c r="U80" s="1212"/>
      <c r="V80" s="1212"/>
      <c r="W80" s="1212"/>
      <c r="X80" s="1212"/>
      <c r="Y80" s="1212"/>
      <c r="Z80" s="1212"/>
      <c r="AA80" s="1212"/>
      <c r="AB80" s="1212"/>
      <c r="AC80" s="1212"/>
      <c r="AD80" s="1196"/>
      <c r="AE80" s="1196"/>
      <c r="AF80" s="1196"/>
      <c r="AG80" s="1196"/>
    </row>
    <row r="81" spans="1:33" s="1227" customFormat="1" ht="40.5" customHeight="1" x14ac:dyDescent="0.25">
      <c r="A81" s="1209"/>
      <c r="B81" s="1250"/>
      <c r="C81" s="1288"/>
      <c r="D81" s="1292" t="s">
        <v>8022</v>
      </c>
      <c r="E81" s="1290"/>
      <c r="F81" s="1290"/>
      <c r="G81" s="1290"/>
      <c r="H81" s="1290"/>
      <c r="I81" s="1290"/>
      <c r="J81" s="1290"/>
      <c r="K81" s="1291"/>
      <c r="L81" s="1269"/>
      <c r="M81" s="1269"/>
      <c r="N81" s="1269"/>
      <c r="O81" s="1269"/>
      <c r="P81" s="1269"/>
      <c r="Q81" s="1212"/>
      <c r="R81" s="1212"/>
      <c r="S81" s="1212"/>
      <c r="T81" s="1212"/>
      <c r="U81" s="1212"/>
      <c r="V81" s="1212"/>
      <c r="W81" s="1212"/>
      <c r="X81" s="1212"/>
      <c r="Y81" s="1212"/>
      <c r="Z81" s="1212"/>
      <c r="AA81" s="1212"/>
      <c r="AB81" s="1212"/>
      <c r="AC81" s="1212"/>
      <c r="AD81" s="1196"/>
      <c r="AE81" s="1196"/>
      <c r="AF81" s="1196"/>
      <c r="AG81" s="1196"/>
    </row>
    <row r="82" spans="1:33" s="1227" customFormat="1" ht="40.5" customHeight="1" x14ac:dyDescent="0.25">
      <c r="A82" s="1209"/>
      <c r="B82" s="1250"/>
      <c r="C82" s="1288"/>
      <c r="D82" s="1293" t="s">
        <v>8023</v>
      </c>
      <c r="E82" s="1290"/>
      <c r="F82" s="1290"/>
      <c r="G82" s="1290"/>
      <c r="H82" s="1290"/>
      <c r="I82" s="1290"/>
      <c r="J82" s="1290"/>
      <c r="K82" s="1291"/>
      <c r="L82" s="1269"/>
      <c r="M82" s="1269"/>
      <c r="N82" s="1269"/>
      <c r="O82" s="1269"/>
      <c r="P82" s="1269"/>
      <c r="Q82" s="1212"/>
      <c r="R82" s="1212"/>
      <c r="S82" s="1212"/>
      <c r="T82" s="1212"/>
      <c r="U82" s="1212"/>
      <c r="V82" s="1212"/>
      <c r="W82" s="1212"/>
      <c r="X82" s="1212"/>
      <c r="Y82" s="1212"/>
      <c r="Z82" s="1212"/>
      <c r="AA82" s="1212"/>
      <c r="AB82" s="1212"/>
      <c r="AC82" s="1212"/>
      <c r="AD82" s="1196"/>
      <c r="AE82" s="1196"/>
      <c r="AF82" s="1196"/>
      <c r="AG82" s="1196"/>
    </row>
    <row r="83" spans="1:33" s="1227" customFormat="1" ht="40.5" customHeight="1" x14ac:dyDescent="0.25">
      <c r="A83" s="1209"/>
      <c r="B83" s="1250"/>
      <c r="C83" s="1288"/>
      <c r="D83" s="1290" t="s">
        <v>8024</v>
      </c>
      <c r="E83" s="1290"/>
      <c r="F83" s="1290"/>
      <c r="G83" s="1290"/>
      <c r="H83" s="1290"/>
      <c r="I83" s="1290"/>
      <c r="J83" s="1290"/>
      <c r="K83" s="1291"/>
      <c r="L83" s="1269"/>
      <c r="M83" s="1269"/>
      <c r="N83" s="1269"/>
      <c r="O83" s="1269"/>
      <c r="P83" s="1269"/>
      <c r="Q83" s="1212"/>
      <c r="R83" s="1212"/>
      <c r="S83" s="1212"/>
      <c r="T83" s="1212"/>
      <c r="U83" s="1212"/>
      <c r="V83" s="1212"/>
      <c r="W83" s="1212"/>
      <c r="X83" s="1212"/>
      <c r="Y83" s="1212"/>
      <c r="Z83" s="1212"/>
      <c r="AA83" s="1212"/>
      <c r="AB83" s="1212"/>
      <c r="AC83" s="1212"/>
      <c r="AD83" s="1196"/>
      <c r="AE83" s="1196"/>
      <c r="AF83" s="1196"/>
      <c r="AG83" s="1196"/>
    </row>
    <row r="84" spans="1:33" s="1227" customFormat="1" ht="40.5" customHeight="1" x14ac:dyDescent="0.25">
      <c r="A84" s="1209"/>
      <c r="B84" s="1250"/>
      <c r="C84" s="1288"/>
      <c r="D84" s="1290" t="s">
        <v>8025</v>
      </c>
      <c r="E84" s="1290"/>
      <c r="F84" s="1290"/>
      <c r="G84" s="1290"/>
      <c r="H84" s="1290"/>
      <c r="I84" s="1290"/>
      <c r="J84" s="1290"/>
      <c r="K84" s="1291"/>
      <c r="L84" s="1269"/>
      <c r="M84" s="1269"/>
      <c r="N84" s="1269"/>
      <c r="O84" s="1269"/>
      <c r="P84" s="1269"/>
      <c r="Q84" s="1212"/>
      <c r="R84" s="1212"/>
      <c r="S84" s="1212"/>
      <c r="T84" s="1212"/>
      <c r="U84" s="1212"/>
      <c r="V84" s="1212"/>
      <c r="W84" s="1212"/>
      <c r="X84" s="1212"/>
      <c r="Y84" s="1212"/>
      <c r="Z84" s="1212"/>
      <c r="AA84" s="1212"/>
      <c r="AB84" s="1212"/>
      <c r="AC84" s="1212"/>
      <c r="AD84" s="1196"/>
      <c r="AE84" s="1196"/>
      <c r="AF84" s="1196"/>
      <c r="AG84" s="1196"/>
    </row>
    <row r="85" spans="1:33" s="1227" customFormat="1" ht="40.5" customHeight="1" x14ac:dyDescent="0.25">
      <c r="A85" s="1209"/>
      <c r="B85" s="1250"/>
      <c r="C85" s="1448" t="s">
        <v>8026</v>
      </c>
      <c r="D85" s="1449"/>
      <c r="E85" s="1449"/>
      <c r="F85" s="1449"/>
      <c r="G85" s="1449"/>
      <c r="H85" s="1449"/>
      <c r="I85" s="1449"/>
      <c r="J85" s="1449"/>
      <c r="K85" s="1291"/>
      <c r="L85" s="1269"/>
      <c r="M85" s="1269"/>
      <c r="N85" s="1269"/>
      <c r="O85" s="1269"/>
      <c r="P85" s="1269"/>
      <c r="Q85" s="1212"/>
      <c r="R85" s="1212"/>
      <c r="S85" s="1212"/>
      <c r="T85" s="1212"/>
      <c r="U85" s="1212"/>
      <c r="V85" s="1212"/>
      <c r="W85" s="1212"/>
      <c r="X85" s="1212"/>
      <c r="Y85" s="1212"/>
      <c r="Z85" s="1212"/>
      <c r="AA85" s="1212"/>
      <c r="AB85" s="1212"/>
      <c r="AC85" s="1212"/>
      <c r="AD85" s="1196"/>
      <c r="AE85" s="1196"/>
      <c r="AF85" s="1196"/>
      <c r="AG85" s="1196"/>
    </row>
    <row r="86" spans="1:33" s="1227" customFormat="1" ht="40.5" customHeight="1" x14ac:dyDescent="0.25">
      <c r="A86" s="1209"/>
      <c r="B86" s="1250"/>
      <c r="C86" s="1450" t="s">
        <v>8027</v>
      </c>
      <c r="D86" s="1451"/>
      <c r="E86" s="1451"/>
      <c r="F86" s="1451"/>
      <c r="G86" s="1451"/>
      <c r="H86" s="1451"/>
      <c r="I86" s="1451"/>
      <c r="J86" s="1451"/>
      <c r="K86" s="1294"/>
      <c r="L86" s="1269"/>
      <c r="M86" s="1269"/>
      <c r="N86" s="1269"/>
      <c r="O86" s="1269"/>
      <c r="P86" s="1269"/>
      <c r="Q86" s="1212"/>
      <c r="R86" s="1212"/>
      <c r="S86" s="1212"/>
      <c r="T86" s="1212"/>
      <c r="U86" s="1212"/>
      <c r="V86" s="1212"/>
      <c r="W86" s="1212"/>
      <c r="X86" s="1212"/>
      <c r="Y86" s="1212"/>
      <c r="Z86" s="1212"/>
      <c r="AA86" s="1212"/>
      <c r="AB86" s="1212"/>
      <c r="AC86" s="1212"/>
      <c r="AD86" s="1196"/>
      <c r="AE86" s="1196"/>
      <c r="AF86" s="1196"/>
      <c r="AG86" s="1196"/>
    </row>
    <row r="87" spans="1:33" s="1227" customFormat="1" ht="40.5" customHeight="1" x14ac:dyDescent="0.25">
      <c r="A87" s="1209"/>
      <c r="B87" s="1250"/>
      <c r="C87" s="1209"/>
      <c r="D87" s="1209"/>
      <c r="E87" s="1209"/>
      <c r="F87" s="1209"/>
      <c r="G87" s="1209"/>
      <c r="H87" s="1209"/>
      <c r="I87" s="1269"/>
      <c r="J87" s="1209"/>
      <c r="K87" s="1209"/>
      <c r="L87" s="1269"/>
      <c r="M87" s="1269"/>
      <c r="N87" s="1269"/>
      <c r="O87" s="1269"/>
      <c r="P87" s="1269"/>
      <c r="Q87" s="1212"/>
      <c r="R87" s="1212"/>
      <c r="S87" s="1212"/>
      <c r="T87" s="1212"/>
      <c r="U87" s="1212"/>
      <c r="V87" s="1212"/>
      <c r="W87" s="1212"/>
      <c r="X87" s="1212"/>
      <c r="Y87" s="1212"/>
      <c r="Z87" s="1212"/>
      <c r="AA87" s="1212"/>
      <c r="AB87" s="1212"/>
      <c r="AC87" s="1212"/>
      <c r="AD87" s="1196"/>
      <c r="AE87" s="1196"/>
      <c r="AF87" s="1196"/>
      <c r="AG87" s="1196"/>
    </row>
    <row r="88" spans="1:33" s="1227" customFormat="1" ht="40.5" customHeight="1" x14ac:dyDescent="0.25">
      <c r="A88" s="1209"/>
      <c r="B88" s="1295" t="s">
        <v>8028</v>
      </c>
      <c r="C88" s="1209"/>
      <c r="D88" s="1209"/>
      <c r="E88" s="1209"/>
      <c r="F88" s="1209"/>
      <c r="G88" s="1209"/>
      <c r="H88" s="1209"/>
      <c r="I88" s="1269"/>
      <c r="J88" s="1209"/>
      <c r="K88" s="1209"/>
      <c r="L88" s="1269"/>
      <c r="M88" s="1269"/>
      <c r="N88" s="1269"/>
      <c r="O88" s="1269"/>
      <c r="P88" s="1269"/>
      <c r="Q88" s="1212"/>
      <c r="R88" s="1296"/>
      <c r="S88" s="1296"/>
      <c r="T88" s="1212"/>
      <c r="U88" s="1212"/>
      <c r="V88" s="1212"/>
      <c r="W88" s="1212"/>
      <c r="X88" s="1212"/>
      <c r="Y88" s="1212"/>
      <c r="Z88" s="1212"/>
      <c r="AA88" s="1212"/>
      <c r="AB88" s="1212"/>
      <c r="AC88" s="1212"/>
      <c r="AD88" s="1196"/>
      <c r="AE88" s="1196"/>
      <c r="AF88" s="1196"/>
      <c r="AG88" s="1196"/>
    </row>
    <row r="89" spans="1:33" s="1227" customFormat="1" ht="40.5" customHeight="1" x14ac:dyDescent="0.2">
      <c r="A89" s="1209"/>
      <c r="B89" s="1297" t="s">
        <v>8029</v>
      </c>
      <c r="C89" s="1297" t="s">
        <v>8030</v>
      </c>
      <c r="D89" s="1297" t="s">
        <v>8031</v>
      </c>
      <c r="E89" s="1297" t="s">
        <v>8032</v>
      </c>
      <c r="F89" s="1297" t="s">
        <v>8033</v>
      </c>
      <c r="G89" s="1297" t="s">
        <v>8034</v>
      </c>
      <c r="H89" s="1297" t="s">
        <v>8035</v>
      </c>
      <c r="I89" s="1297" t="s">
        <v>8036</v>
      </c>
      <c r="J89" s="1297" t="s">
        <v>8037</v>
      </c>
      <c r="K89" s="1297" t="s">
        <v>8038</v>
      </c>
      <c r="L89" s="1297" t="s">
        <v>8039</v>
      </c>
      <c r="M89" s="1297" t="s">
        <v>8040</v>
      </c>
      <c r="N89" s="1297" t="s">
        <v>8041</v>
      </c>
      <c r="O89" s="1297" t="s">
        <v>8042</v>
      </c>
      <c r="P89" s="1297" t="s">
        <v>8043</v>
      </c>
      <c r="Q89" s="1297" t="s">
        <v>8044</v>
      </c>
      <c r="R89" s="1297" t="s">
        <v>8045</v>
      </c>
      <c r="S89" s="1297" t="s">
        <v>8046</v>
      </c>
      <c r="T89" s="1297" t="s">
        <v>8047</v>
      </c>
      <c r="U89" s="1297" t="s">
        <v>8048</v>
      </c>
      <c r="V89" s="1297"/>
      <c r="W89" s="1297"/>
      <c r="X89" s="1297"/>
      <c r="Y89" s="1297"/>
      <c r="Z89" s="1297"/>
      <c r="AA89" s="1297"/>
      <c r="AB89" s="1212"/>
      <c r="AC89" s="1212"/>
      <c r="AD89" s="1196"/>
      <c r="AE89" s="1196"/>
      <c r="AF89" s="1196"/>
      <c r="AG89" s="1196"/>
    </row>
    <row r="90" spans="1:33" s="1227" customFormat="1" ht="40.5" customHeight="1" x14ac:dyDescent="0.25">
      <c r="A90" s="1209"/>
      <c r="B90" s="1296"/>
      <c r="C90" s="1209"/>
      <c r="D90" s="1209"/>
      <c r="E90" s="1209"/>
      <c r="F90" s="1209"/>
      <c r="G90" s="1209"/>
      <c r="H90" s="1209"/>
      <c r="I90" s="1269"/>
      <c r="J90" s="1209"/>
      <c r="K90" s="1209"/>
      <c r="L90" s="1269"/>
      <c r="M90" s="1269"/>
      <c r="N90" s="1269"/>
      <c r="O90" s="1269"/>
      <c r="P90" s="1269"/>
      <c r="Q90" s="1212"/>
      <c r="R90" s="1296"/>
      <c r="S90" s="1298"/>
      <c r="T90" s="1297"/>
      <c r="U90" s="1297"/>
      <c r="V90" s="1297"/>
      <c r="W90" s="1297"/>
      <c r="X90" s="1297"/>
      <c r="Y90" s="1297"/>
      <c r="Z90" s="1297"/>
      <c r="AA90" s="1297"/>
      <c r="AB90" s="1212"/>
      <c r="AC90" s="1212"/>
      <c r="AD90" s="1196"/>
      <c r="AE90" s="1196"/>
      <c r="AF90" s="1196"/>
      <c r="AG90" s="1196"/>
    </row>
    <row r="91" spans="1:33" s="1227" customFormat="1" ht="40.5" customHeight="1" x14ac:dyDescent="0.25">
      <c r="A91" s="1209"/>
      <c r="B91" s="1250"/>
      <c r="C91" s="1299" t="s">
        <v>8049</v>
      </c>
      <c r="D91" s="1300"/>
      <c r="E91" s="1212"/>
      <c r="F91" s="1301" t="s">
        <v>8050</v>
      </c>
      <c r="G91" s="1215"/>
      <c r="H91" s="1215"/>
      <c r="I91" s="1215"/>
      <c r="J91" s="1215"/>
      <c r="K91" s="1215"/>
      <c r="L91" s="1215"/>
      <c r="M91" s="1212"/>
      <c r="N91" s="1212"/>
      <c r="O91" s="1269"/>
      <c r="P91" s="1269"/>
      <c r="Q91" s="1212"/>
      <c r="R91" s="1212"/>
      <c r="S91" s="1298"/>
      <c r="T91" s="1297"/>
      <c r="U91" s="1297"/>
      <c r="V91" s="1297"/>
      <c r="W91" s="1297"/>
      <c r="X91" s="1297"/>
      <c r="Y91" s="1297"/>
      <c r="Z91" s="1297"/>
      <c r="AA91" s="1297"/>
      <c r="AB91" s="1212"/>
      <c r="AC91" s="1212"/>
      <c r="AD91" s="1196"/>
      <c r="AE91" s="1196"/>
      <c r="AF91" s="1196"/>
      <c r="AG91" s="1196"/>
    </row>
    <row r="92" spans="1:33" s="1227" customFormat="1" ht="40.5" customHeight="1" x14ac:dyDescent="0.25">
      <c r="A92" s="1209"/>
      <c r="B92" s="1250"/>
      <c r="C92" s="1302">
        <v>3</v>
      </c>
      <c r="D92" s="1300"/>
      <c r="E92" s="1209"/>
      <c r="F92" s="1209"/>
      <c r="G92" s="1209"/>
      <c r="H92" s="1269"/>
      <c r="I92" s="1269"/>
      <c r="J92" s="1269"/>
      <c r="K92" s="1269"/>
      <c r="L92" s="1269"/>
      <c r="M92" s="1269"/>
      <c r="N92" s="1269"/>
      <c r="O92" s="1269"/>
      <c r="P92" s="1269"/>
      <c r="Q92" s="1212"/>
      <c r="R92" s="1212"/>
      <c r="S92" s="1298"/>
      <c r="T92" s="1297"/>
      <c r="U92" s="1297"/>
      <c r="V92" s="1297"/>
      <c r="W92" s="1297"/>
      <c r="X92" s="1297"/>
      <c r="Y92" s="1297"/>
      <c r="Z92" s="1297"/>
      <c r="AA92" s="1297"/>
      <c r="AB92" s="1212"/>
      <c r="AC92" s="1212"/>
      <c r="AD92" s="1196"/>
      <c r="AE92" s="1196"/>
      <c r="AF92" s="1196"/>
      <c r="AG92" s="1196"/>
    </row>
    <row r="93" spans="1:33" s="1227" customFormat="1" ht="40.5" customHeight="1" x14ac:dyDescent="0.25">
      <c r="A93" s="1209"/>
      <c r="B93" s="1250"/>
      <c r="C93" s="1209"/>
      <c r="D93" s="1209"/>
      <c r="E93" s="1209"/>
      <c r="F93" s="1209"/>
      <c r="G93" s="1209"/>
      <c r="H93" s="1303" t="s">
        <v>8051</v>
      </c>
      <c r="I93" s="1300"/>
      <c r="J93" s="1300"/>
      <c r="K93" s="1300"/>
      <c r="L93" s="1269"/>
      <c r="M93" s="1269"/>
      <c r="N93" s="1304" t="s">
        <v>4876</v>
      </c>
      <c r="O93" s="1305" t="s">
        <v>8052</v>
      </c>
      <c r="P93" s="1306" t="s">
        <v>8053</v>
      </c>
      <c r="Q93" s="1212"/>
      <c r="R93" s="1212"/>
      <c r="S93" s="1298"/>
      <c r="T93" s="1297"/>
      <c r="U93" s="1297"/>
      <c r="V93" s="1297"/>
      <c r="W93" s="1297"/>
      <c r="X93" s="1297"/>
      <c r="Y93" s="1297"/>
      <c r="Z93" s="1297"/>
      <c r="AA93" s="1297"/>
      <c r="AB93" s="1212"/>
      <c r="AC93" s="1212"/>
      <c r="AD93" s="1196"/>
      <c r="AE93" s="1196"/>
      <c r="AF93" s="1196"/>
      <c r="AG93" s="1196"/>
    </row>
    <row r="94" spans="1:33" s="1227" customFormat="1" ht="40.5" customHeight="1" x14ac:dyDescent="0.2">
      <c r="A94" s="1209"/>
      <c r="B94" s="1250"/>
      <c r="C94" s="1307" t="s">
        <v>8054</v>
      </c>
      <c r="D94" s="1209"/>
      <c r="E94" s="1308"/>
      <c r="F94" s="1209"/>
      <c r="G94" s="1209"/>
      <c r="H94" s="1309" t="s">
        <v>8055</v>
      </c>
      <c r="I94" s="1309" t="s">
        <v>8056</v>
      </c>
      <c r="J94" s="1309" t="s">
        <v>8057</v>
      </c>
      <c r="K94" s="1310" t="s">
        <v>8058</v>
      </c>
      <c r="L94" s="1212"/>
      <c r="M94" s="1212"/>
      <c r="N94" s="1311" t="s">
        <v>8059</v>
      </c>
      <c r="O94" s="1312"/>
      <c r="P94" s="1312"/>
      <c r="Q94" s="1212"/>
      <c r="R94" s="1212"/>
      <c r="S94" s="1298"/>
      <c r="T94" s="1297"/>
      <c r="U94" s="1297"/>
      <c r="V94" s="1297"/>
      <c r="W94" s="1297"/>
      <c r="X94" s="1297"/>
      <c r="Y94" s="1297"/>
      <c r="Z94" s="1297"/>
      <c r="AA94" s="1297"/>
      <c r="AB94" s="1212"/>
      <c r="AC94" s="1212"/>
      <c r="AD94" s="1196"/>
      <c r="AE94" s="1196"/>
      <c r="AF94" s="1196"/>
      <c r="AG94" s="1196"/>
    </row>
    <row r="95" spans="1:33" s="1227" customFormat="1" ht="40.5" customHeight="1" x14ac:dyDescent="0.25">
      <c r="A95" s="1209"/>
      <c r="B95" s="1250"/>
      <c r="C95" s="1307" t="s">
        <v>8060</v>
      </c>
      <c r="D95" s="1209"/>
      <c r="E95" s="1308"/>
      <c r="F95" s="1209"/>
      <c r="G95" s="1209"/>
      <c r="H95" s="1309" t="s">
        <v>8061</v>
      </c>
      <c r="I95" s="1309" t="s">
        <v>8062</v>
      </c>
      <c r="J95" s="1309" t="s">
        <v>8063</v>
      </c>
      <c r="K95" s="1310" t="s">
        <v>8064</v>
      </c>
      <c r="L95" s="1269"/>
      <c r="M95" s="1269"/>
      <c r="N95" s="1304" t="s">
        <v>8065</v>
      </c>
      <c r="O95" s="1305" t="s">
        <v>8066</v>
      </c>
      <c r="P95" s="1305" t="s">
        <v>8067</v>
      </c>
      <c r="Q95" s="1212"/>
      <c r="R95" s="1212"/>
      <c r="S95" s="1298"/>
      <c r="T95" s="1297"/>
      <c r="U95" s="1297"/>
      <c r="V95" s="1297"/>
      <c r="W95" s="1297"/>
      <c r="X95" s="1297"/>
      <c r="Y95" s="1297"/>
      <c r="Z95" s="1297"/>
      <c r="AA95" s="1297"/>
      <c r="AB95" s="1212"/>
      <c r="AC95" s="1212"/>
      <c r="AD95" s="1196"/>
      <c r="AE95" s="1196"/>
      <c r="AF95" s="1196"/>
      <c r="AG95" s="1196"/>
    </row>
    <row r="96" spans="1:33" s="1227" customFormat="1" ht="40.5" customHeight="1" x14ac:dyDescent="0.2">
      <c r="A96" s="1209"/>
      <c r="B96" s="1250"/>
      <c r="C96" s="1307"/>
      <c r="D96" s="1209"/>
      <c r="E96" s="1307"/>
      <c r="F96" s="1313"/>
      <c r="G96" s="1307"/>
      <c r="H96" s="1307"/>
      <c r="I96" s="1209"/>
      <c r="J96" s="1209"/>
      <c r="K96" s="1209"/>
      <c r="L96" s="1209"/>
      <c r="M96" s="1209"/>
      <c r="N96" s="1209"/>
      <c r="O96" s="1209"/>
      <c r="P96" s="1212"/>
      <c r="Q96" s="1212"/>
      <c r="R96" s="1212"/>
      <c r="S96" s="1298"/>
      <c r="T96" s="1297"/>
      <c r="U96" s="1297"/>
      <c r="V96" s="1297"/>
      <c r="W96" s="1297"/>
      <c r="X96" s="1297"/>
      <c r="Y96" s="1297"/>
      <c r="Z96" s="1297"/>
      <c r="AA96" s="1297"/>
      <c r="AB96" s="1212"/>
      <c r="AC96" s="1212"/>
      <c r="AD96" s="1196"/>
      <c r="AE96" s="1196"/>
      <c r="AF96" s="1196"/>
      <c r="AG96" s="1196"/>
    </row>
    <row r="97" spans="1:44" s="1227" customFormat="1" ht="36.75" customHeight="1" x14ac:dyDescent="0.25">
      <c r="A97" s="1209"/>
      <c r="B97" s="1314"/>
      <c r="C97" s="1315"/>
      <c r="D97" s="1316"/>
      <c r="E97" s="1316"/>
      <c r="F97" s="1316"/>
      <c r="G97" s="1316"/>
      <c r="H97" s="1316"/>
      <c r="I97" s="1316"/>
      <c r="J97" s="1316"/>
      <c r="K97" s="1316"/>
      <c r="L97" s="1269"/>
      <c r="M97" s="1269"/>
      <c r="N97" s="1269"/>
      <c r="O97" s="1269"/>
      <c r="P97" s="1269"/>
      <c r="Q97" s="1212"/>
      <c r="R97" s="1212"/>
      <c r="S97" s="1212"/>
      <c r="T97" s="1212"/>
      <c r="U97" s="1212"/>
      <c r="V97" s="1212"/>
      <c r="W97" s="1212"/>
      <c r="X97" s="1212"/>
      <c r="Y97" s="1212"/>
      <c r="Z97" s="1212"/>
      <c r="AA97" s="1212"/>
      <c r="AB97" s="1212"/>
      <c r="AC97" s="1212"/>
      <c r="AD97" s="1196"/>
      <c r="AE97" s="1196"/>
      <c r="AF97" s="1196"/>
      <c r="AG97" s="1196"/>
    </row>
    <row r="98" spans="1:44" ht="39.950000000000003" customHeight="1" x14ac:dyDescent="0.2">
      <c r="A98" s="1209"/>
      <c r="B98" s="1317" t="s">
        <v>8068</v>
      </c>
      <c r="C98" s="1209"/>
      <c r="D98" s="1209"/>
      <c r="E98" s="1209"/>
      <c r="F98" s="1209"/>
      <c r="G98" s="1209"/>
      <c r="H98" s="1209"/>
      <c r="I98" s="1209"/>
      <c r="J98" s="1209"/>
      <c r="K98" s="1209"/>
      <c r="L98" s="1209"/>
      <c r="M98" s="1209"/>
      <c r="N98" s="1209"/>
      <c r="O98" s="1209"/>
      <c r="P98" s="1209"/>
      <c r="Q98" s="1209"/>
      <c r="R98" s="1209"/>
      <c r="S98" s="1212"/>
      <c r="T98" s="1212"/>
      <c r="U98" s="1212"/>
      <c r="V98" s="1212"/>
      <c r="W98" s="1212"/>
      <c r="X98" s="1212"/>
      <c r="Y98" s="1212"/>
      <c r="Z98" s="1212"/>
      <c r="AA98" s="1212"/>
      <c r="AB98" s="1212"/>
      <c r="AC98" s="1212"/>
    </row>
    <row r="99" spans="1:44" ht="39.950000000000003" customHeight="1" x14ac:dyDescent="0.4">
      <c r="A99" s="1209"/>
      <c r="B99" s="1318" t="s">
        <v>8069</v>
      </c>
      <c r="C99" s="1209"/>
      <c r="D99" s="1209"/>
      <c r="E99" s="1209"/>
      <c r="F99" s="1209"/>
      <c r="G99" s="1209"/>
      <c r="H99" s="1209"/>
      <c r="I99" s="1209"/>
      <c r="J99" s="1209"/>
      <c r="K99" s="1209"/>
      <c r="L99" s="1209"/>
      <c r="M99" s="1209"/>
      <c r="N99" s="1209"/>
      <c r="O99" s="1209"/>
      <c r="P99" s="1209"/>
      <c r="Q99" s="1209"/>
      <c r="R99" s="1209"/>
      <c r="S99" s="1212"/>
      <c r="T99" s="1212"/>
      <c r="U99" s="1212"/>
      <c r="V99" s="1212"/>
      <c r="W99" s="1212"/>
      <c r="X99" s="1212"/>
      <c r="Y99" s="1212"/>
      <c r="Z99" s="1212"/>
      <c r="AA99" s="1212"/>
      <c r="AB99" s="1212"/>
      <c r="AC99" s="1212"/>
    </row>
    <row r="100" spans="1:44" s="1227" customFormat="1" ht="39.950000000000003" customHeight="1" x14ac:dyDescent="0.25">
      <c r="A100" s="1209"/>
      <c r="B100" s="1319" t="s">
        <v>8070</v>
      </c>
      <c r="C100" s="1320"/>
      <c r="D100" s="1209"/>
      <c r="E100" s="1209"/>
      <c r="F100" s="1209"/>
      <c r="G100" s="1209"/>
      <c r="H100" s="1209"/>
      <c r="I100" s="1269"/>
      <c r="J100" s="1209"/>
      <c r="K100" s="1209"/>
      <c r="L100" s="1269"/>
      <c r="M100" s="1269"/>
      <c r="N100" s="1269"/>
      <c r="O100" s="1269"/>
      <c r="P100" s="1269"/>
      <c r="Q100" s="1212"/>
      <c r="R100" s="1212"/>
      <c r="S100" s="1212"/>
      <c r="T100" s="1212"/>
      <c r="U100" s="1212"/>
      <c r="V100" s="1212"/>
      <c r="W100" s="1321"/>
      <c r="X100" s="1212"/>
      <c r="Y100" s="1322"/>
      <c r="Z100" s="1212"/>
      <c r="AA100" s="1212"/>
      <c r="AB100" s="1212"/>
      <c r="AC100" s="1212"/>
      <c r="AD100" s="1196"/>
      <c r="AE100" s="1196"/>
      <c r="AF100" s="1196"/>
      <c r="AG100" s="1196"/>
      <c r="AH100" s="1196"/>
      <c r="AI100" s="1196"/>
      <c r="AJ100" s="1196"/>
      <c r="AK100" s="1196"/>
      <c r="AL100" s="1196"/>
      <c r="AM100" s="1196"/>
      <c r="AN100" s="1196"/>
      <c r="AO100" s="1196"/>
      <c r="AP100" s="1196"/>
      <c r="AQ100" s="1196"/>
      <c r="AR100" s="1196"/>
    </row>
    <row r="101" spans="1:44" s="1227" customFormat="1" ht="39.950000000000003" customHeight="1" x14ac:dyDescent="0.25">
      <c r="A101" s="1209"/>
      <c r="B101" s="1250"/>
      <c r="C101" s="1209"/>
      <c r="D101" s="1209"/>
      <c r="E101" s="1209"/>
      <c r="F101" s="1209"/>
      <c r="G101" s="1209"/>
      <c r="H101" s="1209"/>
      <c r="I101" s="1269"/>
      <c r="J101" s="1209"/>
      <c r="K101" s="1209"/>
      <c r="L101" s="1269"/>
      <c r="M101" s="1269"/>
      <c r="N101" s="1269"/>
      <c r="O101" s="1269"/>
      <c r="P101" s="1269"/>
      <c r="Q101" s="1212"/>
      <c r="R101" s="1212"/>
      <c r="S101" s="1212"/>
      <c r="T101" s="1212"/>
      <c r="U101" s="1212"/>
      <c r="V101" s="1212"/>
      <c r="W101" s="1212"/>
      <c r="X101" s="1212"/>
      <c r="Y101" s="1212"/>
      <c r="Z101" s="1212"/>
      <c r="AA101" s="1212"/>
      <c r="AB101" s="1212"/>
      <c r="AC101" s="1212"/>
      <c r="AD101" s="1196"/>
      <c r="AE101" s="1196"/>
      <c r="AF101" s="1196"/>
      <c r="AG101" s="1196"/>
      <c r="AH101" s="1196"/>
      <c r="AI101" s="1196"/>
      <c r="AJ101" s="1196"/>
      <c r="AK101" s="1196"/>
      <c r="AL101" s="1196"/>
      <c r="AM101" s="1196"/>
      <c r="AN101" s="1196"/>
      <c r="AO101" s="1196"/>
      <c r="AP101" s="1196"/>
      <c r="AQ101" s="1196"/>
      <c r="AR101" s="1196"/>
    </row>
    <row r="102" spans="1:44" s="1227" customFormat="1" ht="39.950000000000003" customHeight="1" x14ac:dyDescent="0.25">
      <c r="A102" s="1209"/>
      <c r="B102" s="1323" t="s">
        <v>8071</v>
      </c>
      <c r="C102" s="1315"/>
      <c r="D102" s="1315"/>
      <c r="E102" s="1315"/>
      <c r="F102" s="1315"/>
      <c r="G102" s="1315"/>
      <c r="H102" s="1324"/>
      <c r="I102" s="1324"/>
      <c r="J102" s="1324"/>
      <c r="K102" s="1324"/>
      <c r="L102" s="1325"/>
      <c r="M102" s="1325"/>
      <c r="N102" s="1326"/>
      <c r="O102" s="1326"/>
      <c r="P102" s="1326"/>
      <c r="Q102" s="1212"/>
      <c r="R102" s="1212"/>
      <c r="S102" s="1212"/>
      <c r="T102" s="1212"/>
      <c r="U102" s="1212"/>
      <c r="V102" s="1212"/>
      <c r="W102" s="1212"/>
      <c r="X102" s="1212"/>
      <c r="Y102" s="1212"/>
      <c r="Z102" s="1212"/>
      <c r="AA102" s="1212"/>
      <c r="AB102" s="1212"/>
      <c r="AC102" s="1212"/>
      <c r="AD102" s="1196"/>
      <c r="AE102" s="1196"/>
      <c r="AF102" s="1196"/>
      <c r="AG102" s="1196"/>
    </row>
    <row r="103" spans="1:44" s="1227" customFormat="1" ht="39.950000000000003" customHeight="1" x14ac:dyDescent="0.25">
      <c r="A103" s="1209"/>
      <c r="B103" s="1315" t="s">
        <v>8072</v>
      </c>
      <c r="C103" s="1315"/>
      <c r="D103" s="1315"/>
      <c r="E103" s="1315"/>
      <c r="F103" s="1315"/>
      <c r="G103" s="1315"/>
      <c r="H103" s="1315"/>
      <c r="I103" s="1315"/>
      <c r="J103" s="1315"/>
      <c r="K103" s="1315"/>
      <c r="L103" s="1269"/>
      <c r="M103" s="1269"/>
      <c r="N103" s="1269"/>
      <c r="O103" s="1269"/>
      <c r="P103" s="1269"/>
      <c r="Q103" s="1212"/>
      <c r="R103" s="1212"/>
      <c r="S103" s="1212"/>
      <c r="T103" s="1212"/>
      <c r="U103" s="1212"/>
      <c r="V103" s="1212"/>
      <c r="W103" s="1212"/>
      <c r="X103" s="1212"/>
      <c r="Y103" s="1212"/>
      <c r="Z103" s="1212"/>
      <c r="AA103" s="1212"/>
      <c r="AB103" s="1212"/>
      <c r="AC103" s="1212"/>
      <c r="AD103" s="1196"/>
      <c r="AE103" s="1196"/>
      <c r="AF103" s="1196"/>
      <c r="AG103" s="1196"/>
    </row>
    <row r="104" spans="1:44" s="1227" customFormat="1" ht="39.950000000000003" customHeight="1" x14ac:dyDescent="0.2">
      <c r="A104" s="1209"/>
      <c r="B104" s="1209"/>
      <c r="C104" s="1220" t="s">
        <v>8073</v>
      </c>
      <c r="D104" s="1209"/>
      <c r="E104" s="1209"/>
      <c r="F104" s="1209"/>
      <c r="G104" s="1209"/>
      <c r="H104" s="1209"/>
      <c r="I104" s="1209"/>
      <c r="J104" s="1209"/>
      <c r="K104" s="1209"/>
      <c r="L104" s="1209"/>
      <c r="M104" s="1209"/>
      <c r="N104" s="1209"/>
      <c r="O104" s="1209"/>
      <c r="P104" s="1209"/>
      <c r="Q104" s="1209"/>
      <c r="R104" s="1209"/>
      <c r="S104" s="1209"/>
      <c r="T104" s="1209"/>
      <c r="U104" s="1209"/>
      <c r="V104" s="1209"/>
      <c r="W104" s="1212"/>
      <c r="X104" s="1212"/>
      <c r="Y104" s="1212"/>
      <c r="Z104" s="1212"/>
      <c r="AA104" s="1212"/>
      <c r="AB104" s="1212"/>
      <c r="AC104" s="1212"/>
      <c r="AD104" s="1196"/>
      <c r="AE104" s="1196"/>
      <c r="AF104" s="1196"/>
      <c r="AG104" s="1196"/>
    </row>
    <row r="105" spans="1:44" s="1227" customFormat="1" ht="39.950000000000003" customHeight="1" x14ac:dyDescent="0.2">
      <c r="A105" s="1209"/>
      <c r="B105" s="1209"/>
      <c r="C105" s="1209"/>
      <c r="D105" s="1209"/>
      <c r="E105" s="1209"/>
      <c r="F105" s="1209"/>
      <c r="G105" s="1209"/>
      <c r="H105" s="1209"/>
      <c r="I105" s="1209"/>
      <c r="J105" s="1209"/>
      <c r="K105" s="1209"/>
      <c r="L105" s="1209"/>
      <c r="M105" s="1209"/>
      <c r="N105" s="1209"/>
      <c r="O105" s="1209"/>
      <c r="P105" s="1209"/>
      <c r="Q105" s="1209"/>
      <c r="R105" s="1209"/>
      <c r="S105" s="1209"/>
      <c r="T105" s="1209"/>
      <c r="U105" s="1209"/>
      <c r="V105" s="1209"/>
      <c r="W105" s="1212"/>
      <c r="X105" s="1212"/>
      <c r="Y105" s="1212"/>
      <c r="Z105" s="1212"/>
      <c r="AA105" s="1212"/>
      <c r="AB105" s="1212"/>
      <c r="AC105" s="1212"/>
      <c r="AD105" s="1196"/>
      <c r="AE105" s="1196"/>
      <c r="AF105" s="1196"/>
      <c r="AG105" s="1196"/>
    </row>
    <row r="106" spans="1:44" s="1227" customFormat="1" ht="39.950000000000003" customHeight="1" x14ac:dyDescent="0.25">
      <c r="A106" s="1209"/>
      <c r="B106" s="1250"/>
      <c r="C106" s="1209"/>
      <c r="D106" s="1209"/>
      <c r="E106" s="1209"/>
      <c r="F106" s="1209"/>
      <c r="G106" s="1209"/>
      <c r="H106" s="1209"/>
      <c r="I106" s="1269"/>
      <c r="J106" s="1209"/>
      <c r="K106" s="1209"/>
      <c r="L106" s="1269"/>
      <c r="M106" s="1269"/>
      <c r="N106" s="1269"/>
      <c r="O106" s="1269"/>
      <c r="P106" s="1269"/>
      <c r="Q106" s="1212"/>
      <c r="R106" s="1212"/>
      <c r="S106" s="1212"/>
      <c r="T106" s="1212"/>
      <c r="U106" s="1212"/>
      <c r="V106" s="1212"/>
      <c r="W106" s="1212"/>
      <c r="X106" s="1212"/>
      <c r="Y106" s="1212"/>
      <c r="Z106" s="1212"/>
      <c r="AA106" s="1212"/>
      <c r="AB106" s="1212"/>
      <c r="AC106" s="1212"/>
      <c r="AD106" s="1196"/>
      <c r="AE106" s="1196"/>
      <c r="AF106" s="1196"/>
      <c r="AG106" s="1196"/>
      <c r="AH106" s="1196"/>
      <c r="AI106" s="1196"/>
      <c r="AJ106" s="1196"/>
      <c r="AK106" s="1196"/>
      <c r="AL106" s="1196"/>
      <c r="AM106" s="1196"/>
      <c r="AN106" s="1196"/>
      <c r="AO106" s="1196"/>
      <c r="AP106" s="1196"/>
      <c r="AQ106" s="1196"/>
      <c r="AR106" s="1196"/>
    </row>
  </sheetData>
  <mergeCells count="4">
    <mergeCell ref="C85:J85"/>
    <mergeCell ref="C86:J86"/>
    <mergeCell ref="C34:W35"/>
    <mergeCell ref="C39:X40"/>
  </mergeCells>
  <hyperlinks>
    <hyperlink ref="C77" r:id="rId1" xr:uid="{450B27B8-3DB0-4310-ABD4-5226BBD453B9}"/>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T95"/>
  <sheetViews>
    <sheetView zoomScaleNormal="100" workbookViewId="0">
      <selection activeCell="A52" sqref="A52:XFD95"/>
    </sheetView>
  </sheetViews>
  <sheetFormatPr baseColWidth="10" defaultColWidth="9" defaultRowHeight="15" x14ac:dyDescent="0.25"/>
  <cols>
    <col min="1" max="1" width="31.625" style="1" customWidth="1"/>
    <col min="2" max="2" width="37.625" style="1" customWidth="1"/>
    <col min="3" max="3" width="14.625" style="1" customWidth="1"/>
    <col min="4" max="4" width="37.625" style="1" customWidth="1"/>
    <col min="5" max="5" width="16.625" style="1" customWidth="1"/>
    <col min="6" max="6" width="33.625" style="1" customWidth="1"/>
    <col min="7" max="7" width="18" style="1" customWidth="1"/>
    <col min="8" max="8" width="31.625" style="1" customWidth="1"/>
    <col min="9" max="9" width="42" style="1" customWidth="1"/>
    <col min="10" max="10" width="31.625" style="1" customWidth="1"/>
    <col min="11" max="11" width="18.625" style="1" customWidth="1"/>
    <col min="12" max="12" width="31.625" style="1" customWidth="1"/>
    <col min="13" max="13" width="16" style="1" customWidth="1"/>
    <col min="14" max="14" width="18" style="1" customWidth="1"/>
    <col min="15" max="15" width="18" style="7" customWidth="1"/>
    <col min="16" max="17" width="18" style="1" customWidth="1"/>
    <col min="18" max="24" width="18" style="7" customWidth="1"/>
    <col min="25" max="26" width="14" style="7" customWidth="1"/>
    <col min="27" max="27" width="27.75" style="7" customWidth="1"/>
    <col min="28" max="34" width="14" style="7" customWidth="1"/>
    <col min="35" max="35" width="15" style="7" customWidth="1"/>
    <col min="36" max="72" width="14" style="7" customWidth="1"/>
    <col min="73" max="16384" width="9" style="1"/>
  </cols>
  <sheetData>
    <row r="1" spans="1:35" ht="24" customHeight="1" x14ac:dyDescent="0.25">
      <c r="A1" s="33" t="s">
        <v>4768</v>
      </c>
      <c r="B1" s="34"/>
      <c r="C1" s="35"/>
      <c r="D1" s="35"/>
      <c r="E1" s="35"/>
      <c r="F1" s="35"/>
      <c r="G1" s="35"/>
      <c r="H1" s="35"/>
      <c r="I1" s="35"/>
      <c r="J1" s="35"/>
      <c r="K1" s="35"/>
      <c r="L1" s="35"/>
      <c r="M1" s="35"/>
      <c r="N1" s="6"/>
      <c r="O1" s="6"/>
      <c r="P1" s="6"/>
      <c r="Q1" s="6"/>
      <c r="R1" s="6"/>
      <c r="S1" s="6"/>
      <c r="T1" s="6"/>
      <c r="U1" s="6"/>
      <c r="V1" s="6"/>
      <c r="W1" s="6"/>
      <c r="X1" s="6"/>
    </row>
    <row r="2" spans="1:35" ht="20.100000000000001" customHeight="1" x14ac:dyDescent="0.25">
      <c r="A2" s="36" t="s">
        <v>1917</v>
      </c>
      <c r="B2" s="8"/>
      <c r="C2" s="9"/>
      <c r="D2" s="9"/>
      <c r="E2" s="9"/>
      <c r="F2" s="9"/>
      <c r="G2" s="9"/>
      <c r="H2" s="9"/>
      <c r="I2" s="9"/>
      <c r="J2" s="9"/>
      <c r="K2" s="9"/>
      <c r="L2" s="9"/>
      <c r="M2" s="9"/>
      <c r="O2" s="1"/>
      <c r="R2" s="1"/>
      <c r="S2" s="1"/>
      <c r="T2" s="1"/>
    </row>
    <row r="3" spans="1:35" ht="18.75" x14ac:dyDescent="0.25">
      <c r="A3" s="37"/>
      <c r="B3" s="1187" t="s">
        <v>4774</v>
      </c>
      <c r="C3" s="37"/>
      <c r="D3" s="37"/>
      <c r="E3" s="37"/>
      <c r="F3" s="37"/>
      <c r="G3" s="37"/>
      <c r="H3" s="1188" t="s">
        <v>7941</v>
      </c>
      <c r="I3" s="37"/>
      <c r="J3" s="37"/>
      <c r="K3" s="37"/>
      <c r="L3" s="37"/>
      <c r="M3" s="37"/>
      <c r="O3" s="1"/>
      <c r="R3" s="1"/>
      <c r="S3" s="1"/>
      <c r="T3" s="1"/>
      <c r="AA3" s="10" t="s">
        <v>2</v>
      </c>
      <c r="AI3" s="10" t="s">
        <v>3</v>
      </c>
    </row>
    <row r="4" spans="1:35" ht="24" customHeight="1" x14ac:dyDescent="0.25">
      <c r="A4" s="38" t="s">
        <v>4</v>
      </c>
      <c r="B4" s="40">
        <v>1</v>
      </c>
      <c r="C4" s="38" t="s">
        <v>5</v>
      </c>
      <c r="D4" s="39" t="str">
        <f>IFERROR(INDEX($B$53:$B$95,MATCH($B$4,$A$53:$A$95,0)),"")</f>
        <v>École primaire</v>
      </c>
      <c r="E4" s="38" t="s">
        <v>6</v>
      </c>
      <c r="F4" s="39" t="str">
        <f>IFERROR(INDEX($C$53:$C$95,MATCH($B$4,$A$53:$A$95,0)),"")</f>
        <v>Hiver</v>
      </c>
      <c r="G4" s="38" t="s">
        <v>7</v>
      </c>
      <c r="H4" s="138" t="s">
        <v>8</v>
      </c>
      <c r="I4" s="38" t="s">
        <v>9</v>
      </c>
      <c r="J4" s="39" t="str">
        <f>IFERROR(INDEX($Q$53:$Q$95,MATCH($B$4,$A$53:$A$95,0)),"")</f>
        <v>Pâle / sec / refus</v>
      </c>
      <c r="L4" s="38" t="s">
        <v>10</v>
      </c>
      <c r="M4" s="39" t="str">
        <f>IFERROR(INDEX($P$53:$P$95,MATCH($B$4,$A$53:$A$95,0)),"")</f>
        <v>Facile</v>
      </c>
      <c r="O4" s="1"/>
      <c r="R4" s="1"/>
      <c r="S4" s="1"/>
      <c r="T4" s="1"/>
      <c r="AA4"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"&amp;$B$12),CHAR(160)," ")," "," "),CHAR(10)," "),CHAR(13)," "),CHAR(9)," "),"’","'"),"."," "),","," "),";"," "),":"," "),"-"," "),"("," "),")"," "),"?"," "),"!"," "),"/"," "),"é","e"),"è","e"),"ê","e"),"ë","e"),"à","a"),"â","a"),"ä","a"),"ù","u"),"û","u"),"ü","u"),"ô","o"),"ö","o"),"î","i"),"ï","i"),"ç","c")))</f>
        <v>poisson blanc vapeur appartient a la famille poisson le risque principal est pale sec risque de refus je propose comme garniture brocolis carottes ou riz pilaf avec legume colore pour la sauce ou le jus sauce legere citron herbes ou jus court</v>
      </c>
      <c r="AI4"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H$53:$H$95,MATCH($B$4,$A$53:$A$95,0)),"")),CHAR(160)," ")," "," "),CHAR(10)," "),CHAR(13)," "),CHAR(9)," "),"’","'"),"."," "),","," "),";"," "),":"," "),"-"," "),"("," "),")"," "),"?"," "),"!"," "),"/"," "),"é","e"),"è","e"),"ê","e"),"ë","e"),"à","a"),"â","a"),"ä","a"),"ù","u"),"û","u"),"ü","u"),"ô","o"),"ö","o"),"î","i"),"ï","i"),"ç","c")))</f>
        <v>poisson blanc vapeur appartient a la famille poisson le risque principal est pale sec risque de refus je propose comme garniture brocolis carottes ou riz pilaf avec legume colore pour la sauce ou le jus sauce legere citron herbes ou jus court l'adaptation convive est enfants rendre le poisson plus lisible et moins sec la justification est de construire le menu a partir du plat principal sans corriger au hasard</v>
      </c>
    </row>
    <row r="5" spans="1:35" ht="24" customHeight="1" x14ac:dyDescent="0.25">
      <c r="A5" s="41" t="s">
        <v>11</v>
      </c>
      <c r="B5" s="78" t="str">
        <f>IFERROR(INDEX($E$53:$E$95,MATCH($B$4,$A$53:$A$95,0)),"")</f>
        <v>pâle, sec, risque de refus</v>
      </c>
      <c r="C5" s="42"/>
      <c r="D5" s="42"/>
      <c r="E5" s="43"/>
      <c r="F5" s="43"/>
      <c r="G5" s="44"/>
      <c r="H5" s="43"/>
      <c r="I5" s="43"/>
      <c r="J5" s="43"/>
      <c r="K5" s="43"/>
      <c r="L5" s="43"/>
      <c r="M5" s="43"/>
      <c r="O5" s="162" t="s">
        <v>4830</v>
      </c>
      <c r="R5" s="1"/>
      <c r="S5" s="1"/>
      <c r="T5" s="1"/>
      <c r="AA5"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"&amp;$B$12&amp;" "&amp;$B$15&amp;" "&amp;$B$16),CHAR(160)," ")," "," "),CHAR(10)," "),CHAR(13)," "),CHAR(9)," "),"’","'"),"."," "),","," "),";"," "),":"," "),"-"," "),"("," "),")"," "),"?"," "),"!"," "),"/"," "),"é","e"),"è","e"),"ê","e"),"ë","e"),"à","a"),"â","a"),"ä","a"),"ù","u"),"û","u"),"ü","u"),"ô","o"),"ö","o"),"î","i"),"ï","i"),"ç","c")))</f>
        <v>poisson blanc vapeur appartient a la famille poisson le risque principal est pale sec risque de refus je propose comme garniture brocolis carottes ou riz pilaf avec legume colore pour la sauce ou le jus sauce legere citron herbes ou jus court l'adaptation convive est enfants rendre le poisson plus lisible et moins sec la justification est de construire le menu a partir du plat principal sans corriger au hasard</v>
      </c>
      <c r="AI5"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I$53:$I$95,MATCH($B$4,$A$53:$A$95,0)),"")),CHAR(160)," ")," "," "),CHAR(10)," "),CHAR(13)," "),CHAR(9)," "),"’","'"),"."," "),","," "),";"," "),":"," "),"-"," "),"("," "),")"," "),"?"," "),"!"," "),"/"," "),"é","e"),"è","e"),"ê","e"),"ë","e"),"à","a"),"â","a"),"ä","a"),"ù","u"),"û","u"),"ü","u"),"ô","o"),"ö","o"),"î","i"),"ï","i"),"ç","c")))</f>
        <v>c'est un plat de la famille poisson le risque c'est pale sec risque de refus je mets avec brocolis carottes ou riz pilaf avec legume colore j'ajoute ou je verifie sauce legere citron herbes ou jus court je pense au convive enfants rendre le poisson plus lisible et moins sec j'explique mon choix au lieu de repondre au hasard</v>
      </c>
    </row>
    <row r="6" spans="1:35" ht="24" customHeight="1" x14ac:dyDescent="0.25">
      <c r="A6" s="41" t="s">
        <v>12</v>
      </c>
      <c r="B6" s="45" t="str">
        <f>IFERROR(INDEX($D$53:$D$95,MATCH($B$4,$A$53:$A$95,0)),"")</f>
        <v>Plat principal à analyser : Poisson blanc vapeur</v>
      </c>
      <c r="C6" s="46"/>
      <c r="D6" s="46"/>
      <c r="E6" s="46"/>
      <c r="F6" s="46"/>
      <c r="G6" s="44"/>
      <c r="H6" s="43"/>
      <c r="I6" s="43"/>
      <c r="J6" s="43"/>
      <c r="K6" s="43"/>
      <c r="L6" s="43"/>
      <c r="M6" s="43"/>
      <c r="O6" s="157" t="s">
        <v>4844</v>
      </c>
      <c r="R6" s="1"/>
      <c r="S6" s="1"/>
      <c r="T6" s="1"/>
      <c r="AA6"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"&amp;$I$12),CHAR(160)," ")," "," "),CHAR(10)," "),CHAR(13)," "),CHAR(9)," "),"’","'"),"."," "),","," "),";"," "),":"," "),"-"," "),"("," "),")"," "),"?"," "),"!"," "),"/"," "),"é","e"),"è","e"),"ê","e"),"ë","e"),"à","a"),"â","a"),"ä","a"),"ù","u"),"û","u"),"ü","u"),"ô","o"),"ö","o"),"î","i"),"ï","i"),"ç","c")))</f>
        <v>c'est un plat de la famille poisson le risque c'est pale sec risque de refus je mets avec brocolis carottes ou riz pilaf avec legume colore</v>
      </c>
    </row>
    <row r="7" spans="1:35" ht="15.75" x14ac:dyDescent="0.25">
      <c r="A7" s="11"/>
      <c r="B7" s="47"/>
      <c r="C7" s="47"/>
      <c r="D7" s="47"/>
      <c r="E7" s="47"/>
      <c r="F7" s="47"/>
      <c r="G7" s="11"/>
      <c r="H7" s="11"/>
      <c r="I7" s="47"/>
      <c r="J7" s="47"/>
      <c r="K7" s="47"/>
      <c r="L7" s="47"/>
      <c r="M7" s="47"/>
      <c r="O7" s="1"/>
      <c r="R7" s="1"/>
      <c r="S7" s="1"/>
      <c r="T7" s="1"/>
      <c r="AA7"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"&amp;$I$12&amp;" "&amp;$I$15&amp;" "&amp;$I$16),CHAR(160)," ")," "," "),CHAR(10)," "),CHAR(13)," "),CHAR(9)," "),"’","'"),"."," "),","," "),";"," "),":"," "),"-"," "),"("," "),")"," "),"?"," "),"!"," "),"/"," "),"é","e"),"è","e"),"ê","e"),"ë","e"),"à","a"),"â","a"),"ä","a"),"ù","u"),"û","u"),"ü","u"),"ô","o"),"ö","o"),"î","i"),"ï","i"),"ç","c")))</f>
        <v>c'est un plat de la famille poisson le risque c'est pale sec risque de refus je mets avec brocolis carottes ou riz pilaf avec legume colore j'ajoute ou je verifie sauce legere citron herbes ou jus court je pense au convive enfants rendre le poisson plus lisible et moins sec j'explique mon choix au lieu de repondre au hasard</v>
      </c>
    </row>
    <row r="8" spans="1:35" ht="24" customHeight="1" x14ac:dyDescent="0.25">
      <c r="A8" s="135" t="s">
        <v>1918</v>
      </c>
      <c r="B8" s="48"/>
      <c r="C8" s="48"/>
      <c r="D8" s="48"/>
      <c r="E8" s="48"/>
      <c r="F8" s="48"/>
      <c r="G8" s="12"/>
      <c r="H8" s="134" t="s">
        <v>1919</v>
      </c>
      <c r="I8" s="49"/>
      <c r="J8" s="49"/>
      <c r="K8" s="49"/>
      <c r="L8" s="49"/>
      <c r="M8" s="49"/>
      <c r="O8" s="2" t="s">
        <v>15</v>
      </c>
      <c r="P8" s="3"/>
      <c r="Q8" s="3"/>
      <c r="R8" s="3"/>
      <c r="S8" s="3"/>
      <c r="T8" s="3"/>
      <c r="U8" s="6"/>
      <c r="V8" s="15"/>
      <c r="W8" s="15"/>
      <c r="X8" s="15"/>
    </row>
    <row r="9" spans="1:35" ht="54.95" customHeight="1" x14ac:dyDescent="0.25">
      <c r="A9" s="13" t="s">
        <v>16</v>
      </c>
      <c r="B9" s="1559" t="str">
        <f>IFERROR(INDEX($F$53:$F$95,MATCH($B$4,$A$53:$A$95,0)),"")</f>
        <v>Analysez le plat principal « Poisson blanc vapeur » : identifiez sa famille, son risque principal, puis proposez une garniture, une sauce ou un jus, une adaptation convive et une justification.</v>
      </c>
      <c r="C9" s="1559"/>
      <c r="D9" s="1559"/>
      <c r="E9" s="1559"/>
      <c r="F9" s="1559"/>
      <c r="G9" s="12"/>
      <c r="H9" s="14" t="s">
        <v>17</v>
      </c>
      <c r="I9" s="1559" t="str">
        <f>IFERROR(INDEX($G$53:$G$95,MATCH($B$4,$A$53:$A$95,0)),"")</f>
        <v>Regarde le plat « Poisson blanc vapeur » : c’est quelle famille, quel est le risque, et qu’est-ce que tu mets avec pour que le menu fonctionne ?</v>
      </c>
      <c r="J9" s="1559"/>
      <c r="K9" s="1559"/>
      <c r="L9" s="1559"/>
      <c r="M9" s="1559"/>
      <c r="O9" s="142" t="s">
        <v>1920</v>
      </c>
      <c r="P9" s="139"/>
      <c r="Q9" s="5"/>
      <c r="R9" s="5"/>
      <c r="S9" s="5"/>
      <c r="T9" s="5"/>
      <c r="U9" s="6"/>
      <c r="V9" s="15"/>
      <c r="W9" s="15"/>
      <c r="X9" s="15"/>
    </row>
    <row r="10" spans="1:35" ht="18.75" x14ac:dyDescent="0.25">
      <c r="A10" s="11"/>
      <c r="B10" s="47"/>
      <c r="C10" s="47"/>
      <c r="D10" s="47"/>
      <c r="E10" s="47"/>
      <c r="F10" s="47"/>
      <c r="G10" s="11"/>
      <c r="H10" s="11"/>
      <c r="I10" s="47"/>
      <c r="J10" s="47"/>
      <c r="K10" s="47"/>
      <c r="L10" s="47"/>
      <c r="M10" s="47"/>
      <c r="O10" s="142" t="s">
        <v>1921</v>
      </c>
      <c r="P10" s="139"/>
      <c r="Q10" s="5"/>
      <c r="R10" s="5"/>
      <c r="S10" s="5"/>
      <c r="T10" s="5"/>
      <c r="U10" s="6"/>
      <c r="V10" s="15"/>
      <c r="W10" s="15"/>
      <c r="X10" s="15"/>
    </row>
    <row r="11" spans="1:35" ht="50.1" customHeight="1" x14ac:dyDescent="0.25">
      <c r="A11" s="1565" t="s">
        <v>22</v>
      </c>
      <c r="B11" s="1560" t="s">
        <v>4809</v>
      </c>
      <c r="C11" s="1560"/>
      <c r="D11" s="1560"/>
      <c r="E11" s="1560"/>
      <c r="F11" s="1560"/>
      <c r="G11" s="12"/>
      <c r="H11" s="1566" t="s">
        <v>23</v>
      </c>
      <c r="I11" s="1560" t="s">
        <v>4813</v>
      </c>
      <c r="J11" s="1560"/>
      <c r="K11" s="1560"/>
      <c r="L11" s="1560"/>
      <c r="M11" s="1560"/>
      <c r="O11" s="142" t="s">
        <v>1924</v>
      </c>
      <c r="P11" s="139"/>
      <c r="Q11" s="5"/>
      <c r="R11" s="5"/>
      <c r="S11" s="5"/>
      <c r="T11" s="5"/>
      <c r="U11" s="6"/>
      <c r="V11" s="15"/>
      <c r="W11" s="15"/>
      <c r="X11" s="15"/>
    </row>
    <row r="12" spans="1:35" ht="50.1" customHeight="1" x14ac:dyDescent="0.25">
      <c r="A12" s="1565"/>
      <c r="B12" s="1560" t="s">
        <v>4810</v>
      </c>
      <c r="C12" s="1560"/>
      <c r="D12" s="1560"/>
      <c r="E12" s="1560"/>
      <c r="F12" s="1560"/>
      <c r="G12" s="12"/>
      <c r="H12" s="1566"/>
      <c r="I12" s="1560" t="s">
        <v>4814</v>
      </c>
      <c r="J12" s="1560"/>
      <c r="K12" s="1560"/>
      <c r="L12" s="1560"/>
      <c r="M12" s="1560"/>
      <c r="O12" s="142" t="s">
        <v>1925</v>
      </c>
      <c r="P12" s="141"/>
      <c r="Q12" s="5"/>
      <c r="R12" s="5"/>
      <c r="S12" s="5"/>
      <c r="T12" s="5"/>
      <c r="U12" s="6"/>
      <c r="V12" s="15"/>
      <c r="W12" s="15"/>
      <c r="X12" s="15"/>
    </row>
    <row r="13" spans="1:35" ht="80.25" customHeight="1" x14ac:dyDescent="0.25">
      <c r="A13" s="13" t="s">
        <v>30</v>
      </c>
      <c r="B13" s="1562" t="str">
        <f>IFERROR(INDEX($J$53:$J$95,MATCH($B$4,$A$53:$A$95,0)),"")</f>
        <v>Si la réponse reste générale, demander à l’apprenant de nommer le plat, sa famille, le risque précis, puis une correction par garniture et sauce.</v>
      </c>
      <c r="C13" s="1562"/>
      <c r="D13" s="1562"/>
      <c r="E13" s="1562"/>
      <c r="F13" s="1562"/>
      <c r="G13" s="12"/>
      <c r="H13" s="14" t="s">
        <v>31</v>
      </c>
      <c r="I13" s="1561" t="str">
        <f>IFERROR(INDEX($K$53:$K$95,MATCH($B$4,$A$53:$A$95,0)),"")</f>
        <v>Demander : « C’est quel type de plat ? Qu’est-ce qui peut rater ? Avec quoi tu le rends meilleur ? Pour qui tu le prépares ? »</v>
      </c>
      <c r="J13" s="1561"/>
      <c r="K13" s="1561"/>
      <c r="L13" s="1561"/>
      <c r="M13" s="1561"/>
      <c r="O13" s="142" t="s">
        <v>1926</v>
      </c>
      <c r="P13" s="139"/>
      <c r="Q13" s="5"/>
      <c r="R13" s="5"/>
      <c r="S13" s="5"/>
      <c r="T13" s="5"/>
      <c r="U13" s="6"/>
      <c r="V13" s="15"/>
      <c r="W13" s="15"/>
      <c r="X13" s="15"/>
    </row>
    <row r="14" spans="1:35" ht="18.75" x14ac:dyDescent="0.25">
      <c r="A14" s="11"/>
      <c r="B14" s="47"/>
      <c r="C14" s="47"/>
      <c r="D14" s="47"/>
      <c r="E14" s="47"/>
      <c r="F14" s="47"/>
      <c r="G14" s="11"/>
      <c r="H14" s="11"/>
      <c r="I14" s="47"/>
      <c r="J14" s="47"/>
      <c r="K14" s="47"/>
      <c r="L14" s="47"/>
      <c r="M14" s="47"/>
      <c r="O14" s="142" t="s">
        <v>1927</v>
      </c>
      <c r="P14" s="139"/>
      <c r="Q14" s="5"/>
      <c r="R14" s="5"/>
      <c r="S14" s="5"/>
      <c r="T14" s="5"/>
      <c r="U14" s="6"/>
      <c r="V14" s="15"/>
      <c r="W14" s="15"/>
      <c r="X14" s="15"/>
    </row>
    <row r="15" spans="1:35" ht="50.1" customHeight="1" x14ac:dyDescent="0.25">
      <c r="A15" s="1564" t="s">
        <v>36</v>
      </c>
      <c r="B15" s="1560" t="s">
        <v>4811</v>
      </c>
      <c r="C15" s="1560"/>
      <c r="D15" s="1560"/>
      <c r="E15" s="1560"/>
      <c r="F15" s="1560"/>
      <c r="G15" s="12"/>
      <c r="H15" s="1566" t="s">
        <v>38</v>
      </c>
      <c r="I15" s="1560" t="s">
        <v>4815</v>
      </c>
      <c r="J15" s="1560"/>
      <c r="K15" s="1560"/>
      <c r="L15" s="1560"/>
      <c r="M15" s="1560"/>
      <c r="O15" s="142" t="s">
        <v>1928</v>
      </c>
      <c r="P15" s="139"/>
      <c r="Q15" s="5"/>
      <c r="R15" s="5"/>
      <c r="S15" s="5"/>
      <c r="T15" s="5"/>
      <c r="U15" s="6"/>
      <c r="V15" s="15"/>
      <c r="W15" s="15"/>
      <c r="X15" s="15"/>
    </row>
    <row r="16" spans="1:35" ht="50.1" customHeight="1" x14ac:dyDescent="0.25">
      <c r="A16" s="1564"/>
      <c r="B16" s="1560" t="s">
        <v>4812</v>
      </c>
      <c r="C16" s="1560"/>
      <c r="D16" s="1560"/>
      <c r="E16" s="1560"/>
      <c r="F16" s="1560"/>
      <c r="G16" s="12"/>
      <c r="H16" s="1566"/>
      <c r="I16" s="1560" t="s">
        <v>4816</v>
      </c>
      <c r="J16" s="1560"/>
      <c r="K16" s="1560"/>
      <c r="L16" s="1560"/>
      <c r="M16" s="1560"/>
      <c r="O16" s="142" t="s">
        <v>1929</v>
      </c>
      <c r="P16" s="139"/>
      <c r="Q16" s="5"/>
      <c r="R16" s="5"/>
      <c r="S16" s="5"/>
      <c r="T16" s="5"/>
      <c r="U16" s="6"/>
      <c r="V16" s="15"/>
      <c r="W16" s="15"/>
      <c r="X16" s="15"/>
    </row>
    <row r="17" spans="1:34" ht="80.25" customHeight="1" x14ac:dyDescent="0.25">
      <c r="A17" s="13" t="s">
        <v>44</v>
      </c>
      <c r="B17" s="1562" t="str">
        <f>IF(UPPER($H$4)="X",IFERROR(INDEX($H$53:$H$95,MATCH($B$4,$A$53:$A$95,0)),""),"Réponse attendue masquée — saisir X en H4 pour afficher")</f>
        <v>Poisson blanc vapeur appartient à la famille poisson. Le risque principal est pâle, sec, risque de refus. Je propose comme garniture : Brocolis, carottes ou riz pilaf avec légume coloré. Pour la sauce ou le jus : Sauce légère citron-herbes ou jus court. L’adaptation convive est : Enfants : rendre le poisson plus lisible et moins sec. La justification est de construire le menu à partir du plat principal sans corriger au hasard.</v>
      </c>
      <c r="C17" s="1562"/>
      <c r="D17" s="1562"/>
      <c r="E17" s="1562"/>
      <c r="F17" s="1562"/>
      <c r="G17" s="12"/>
      <c r="H17" s="17" t="s">
        <v>45</v>
      </c>
      <c r="I17" s="1561" t="str">
        <f>IF(UPPER($H$4)="X",IFERROR(INDEX($I$53:$I$95,MATCH($B$4,$A$53:$A$95,0)),""),"Réponse attendue masquée — saisir X en H4 pour afficher")</f>
        <v>C’est un plat de la famille poisson. Le risque, c’est pâle, sec, risque de refus. Je mets avec : Brocolis, carottes ou riz pilaf avec légume coloré. J’ajoute ou je vérifie : Sauce légère citron-herbes ou jus court. Je pense au convive : Enfants : rendre le poisson plus lisible et moins sec. J’explique mon choix au lieu de répondre au hasard.</v>
      </c>
      <c r="J17" s="1561"/>
      <c r="K17" s="1561"/>
      <c r="L17" s="1561"/>
      <c r="M17" s="1561"/>
      <c r="O17" s="142" t="s">
        <v>1930</v>
      </c>
      <c r="P17" s="139"/>
      <c r="Q17" s="5"/>
      <c r="R17" s="5"/>
      <c r="S17" s="5"/>
      <c r="T17" s="5"/>
      <c r="U17" s="6"/>
      <c r="V17" s="15"/>
      <c r="W17" s="15"/>
      <c r="X17" s="15"/>
    </row>
    <row r="18" spans="1:34" ht="18.75" x14ac:dyDescent="0.25">
      <c r="A18" s="11"/>
      <c r="B18" s="47"/>
      <c r="C18" s="47"/>
      <c r="D18" s="47"/>
      <c r="E18" s="47"/>
      <c r="F18" s="47"/>
      <c r="G18" s="11"/>
      <c r="H18" s="11"/>
      <c r="I18" s="47"/>
      <c r="J18" s="47"/>
      <c r="K18" s="47"/>
      <c r="L18" s="47"/>
      <c r="M18" s="47"/>
      <c r="O18" s="142" t="s">
        <v>1931</v>
      </c>
      <c r="P18" s="139"/>
      <c r="Q18" s="5"/>
      <c r="R18" s="5"/>
      <c r="S18" s="5"/>
      <c r="T18" s="5"/>
      <c r="U18" s="15"/>
      <c r="V18" s="15"/>
      <c r="W18" s="15"/>
      <c r="X18" s="15"/>
    </row>
    <row r="19" spans="1:34" ht="54.95" customHeight="1" x14ac:dyDescent="0.25">
      <c r="A19" s="50" t="s">
        <v>50</v>
      </c>
      <c r="B19" s="1562" t="str">
        <f>IF(ISBLANK(H4),"",IF(UPPER(TRIM($H$4))="X",IFERROR(INDEX($M$53:$M$95,MATCH($B$4,$A$53:$A$95,0)),""),"Mots-clés masqués — saisir X en H4 pour afficher"))</f>
        <v>poisson ; pâle, sec, risque de refus ; Brocolis, carottes ou riz pilaf avec légume coloré ; Sauce légère citron-herbes ou jus court ; Enfants : rendre le poisson plus lisible et moins sec ; justification</v>
      </c>
      <c r="C19" s="1562"/>
      <c r="D19" s="1562"/>
      <c r="E19" s="1562"/>
      <c r="F19" s="1562"/>
      <c r="G19" s="12"/>
      <c r="H19" s="51" t="s">
        <v>51</v>
      </c>
      <c r="I19" s="1567" t="str">
        <f>IFERROR(INDEX($X$53:$X$95,MATCH($B$4,$A$53:$A$95,0)),"")</f>
        <v>Poisson blanc vapeur : famille + risque + garniture + sauce + convive.</v>
      </c>
      <c r="J19" s="1567"/>
      <c r="K19" s="1567"/>
      <c r="L19" s="1567"/>
      <c r="M19" s="1567"/>
      <c r="O19" s="143"/>
      <c r="P19" s="139"/>
      <c r="Q19" s="5"/>
      <c r="R19" s="5"/>
      <c r="S19" s="5"/>
      <c r="T19" s="5"/>
    </row>
    <row r="20" spans="1:34" ht="15.75" x14ac:dyDescent="0.25">
      <c r="A20" s="52"/>
      <c r="B20" s="47"/>
      <c r="C20" s="47"/>
      <c r="D20" s="47"/>
      <c r="E20" s="47"/>
      <c r="F20" s="47"/>
      <c r="G20" s="11"/>
      <c r="H20" s="12"/>
      <c r="I20" s="44"/>
      <c r="J20" s="44"/>
      <c r="K20" s="44"/>
      <c r="L20" s="44"/>
      <c r="M20" s="44"/>
      <c r="O20" s="1"/>
      <c r="R20" s="1"/>
      <c r="S20" s="1"/>
      <c r="T20" s="1"/>
    </row>
    <row r="21" spans="1:34" ht="18.75" customHeight="1" x14ac:dyDescent="0.25">
      <c r="A21" s="12"/>
      <c r="B21" s="12"/>
      <c r="C21" s="12"/>
      <c r="D21" s="12"/>
      <c r="E21" s="12"/>
      <c r="F21" s="12"/>
      <c r="G21" s="12"/>
      <c r="H21" s="12"/>
      <c r="I21" s="12"/>
      <c r="J21" s="12"/>
      <c r="K21" s="12"/>
      <c r="L21" s="12"/>
      <c r="M21" s="12"/>
      <c r="O21" s="1"/>
      <c r="R21" s="1"/>
      <c r="S21" s="1"/>
      <c r="T21" s="1"/>
    </row>
    <row r="22" spans="1:34" ht="24" customHeight="1" x14ac:dyDescent="0.25">
      <c r="A22" s="75" t="s">
        <v>52</v>
      </c>
      <c r="B22" s="18"/>
      <c r="C22" s="18"/>
      <c r="D22" s="18"/>
      <c r="E22" s="18"/>
      <c r="F22" s="18"/>
      <c r="G22" s="18"/>
      <c r="H22" s="18"/>
      <c r="I22" s="18"/>
      <c r="J22" s="18"/>
      <c r="K22" s="18"/>
      <c r="L22" s="18"/>
      <c r="M22" s="18"/>
      <c r="O22" s="1"/>
      <c r="R22" s="1"/>
      <c r="S22" s="1"/>
      <c r="T22" s="1"/>
    </row>
    <row r="23" spans="1:34" ht="60" customHeight="1" x14ac:dyDescent="0.25">
      <c r="A23" s="76" t="s">
        <v>53</v>
      </c>
      <c r="B23" s="74" t="str">
        <f>IF(UPPER($H$4)="X",IFERROR(INDEX($R$53:$R$95,MATCH($B$4,$A$53:$A$95,0)),""),"Masqué")</f>
        <v>Brocolis, carottes ou riz pilaf avec légume coloré</v>
      </c>
      <c r="C23" s="77" t="s">
        <v>54</v>
      </c>
      <c r="D23" s="74" t="str">
        <f>IF(UPPER($H$4)="X",IFERROR(INDEX($S$53:$S$95,MATCH($B$4,$A$53:$A$95,0)),""),"Masqué")</f>
        <v>Sauce légère citron-herbes ou jus court</v>
      </c>
      <c r="E23" s="77" t="s">
        <v>55</v>
      </c>
      <c r="F23" s="74" t="str">
        <f>IF(UPPER($H$4)="X",IFERROR(INDEX($T$53:$T$95,MATCH($B$4,$A$53:$A$95,0)),""),"Masqué")</f>
        <v>Crudité colorée si le menu reste pâle</v>
      </c>
      <c r="G23" s="77" t="s">
        <v>56</v>
      </c>
      <c r="H23" s="74" t="str">
        <f>IF(UPPER($H$4)="X",IFERROR(INDEX($U$53:$U$95,MATCH($B$4,$A$53:$A$95,0)),""),"Masqué")</f>
        <v>Fruit de saison coloré</v>
      </c>
      <c r="I23" s="77" t="s">
        <v>57</v>
      </c>
      <c r="J23" s="74" t="str">
        <f>IF(UPPER($H$4)="X",IFERROR(INDEX($V$53:$V$95,MATCH($B$4,$A$53:$A$95,0)),""),"Masqué")</f>
        <v>Enfants : rendre le poisson plus lisible et moins sec</v>
      </c>
      <c r="K23" s="77" t="s">
        <v>58</v>
      </c>
      <c r="L23" s="74" t="str">
        <f>IF(UPPER($H$4)="X",IFERROR(INDEX($W$53:$W$95,MATCH($B$4,$A$53:$A$95,0)),""),"Masqué")</f>
        <v>Éviter le dessèchement au maintien chaud</v>
      </c>
      <c r="M23" s="12"/>
      <c r="O23" s="1"/>
      <c r="R23" s="1"/>
      <c r="S23" s="1"/>
      <c r="T23" s="1"/>
    </row>
    <row r="24" spans="1:34" ht="15.75" x14ac:dyDescent="0.25">
      <c r="A24" s="12"/>
      <c r="B24" s="12"/>
      <c r="C24" s="12"/>
      <c r="D24" s="12"/>
      <c r="E24" s="12"/>
      <c r="F24" s="12"/>
      <c r="G24" s="12"/>
      <c r="H24" s="12"/>
      <c r="I24" s="12"/>
      <c r="J24" s="12"/>
      <c r="K24" s="12"/>
      <c r="L24" s="12"/>
      <c r="M24" s="12"/>
      <c r="O24" s="1"/>
      <c r="R24" s="1"/>
      <c r="S24" s="1"/>
      <c r="T24" s="1"/>
    </row>
    <row r="25" spans="1:34" x14ac:dyDescent="0.25">
      <c r="A25" s="7"/>
      <c r="B25" s="7"/>
      <c r="C25" s="7"/>
      <c r="D25" s="7"/>
      <c r="E25" s="7"/>
      <c r="F25" s="7"/>
      <c r="G25" s="7"/>
      <c r="H25" s="7"/>
      <c r="I25" s="7"/>
      <c r="J25" s="7"/>
      <c r="K25" s="7"/>
      <c r="L25" s="7"/>
      <c r="M25" s="7"/>
      <c r="N25" s="7"/>
      <c r="P25" s="7"/>
      <c r="Q25" s="7"/>
    </row>
    <row r="26" spans="1:34" ht="24" customHeight="1" x14ac:dyDescent="0.25">
      <c r="A26" s="1563" t="s">
        <v>1932</v>
      </c>
      <c r="B26" s="19" t="s">
        <v>60</v>
      </c>
      <c r="C26" s="19" t="s">
        <v>61</v>
      </c>
      <c r="D26" s="19" t="s">
        <v>62</v>
      </c>
      <c r="E26" s="19" t="s">
        <v>63</v>
      </c>
      <c r="F26" s="19" t="s">
        <v>64</v>
      </c>
      <c r="G26" s="20"/>
      <c r="H26" s="17" t="s">
        <v>65</v>
      </c>
      <c r="I26" s="17" t="s">
        <v>61</v>
      </c>
      <c r="J26" s="17" t="s">
        <v>62</v>
      </c>
      <c r="K26" s="17" t="s">
        <v>63</v>
      </c>
      <c r="L26" s="17" t="s">
        <v>64</v>
      </c>
      <c r="M26" s="37"/>
    </row>
    <row r="27" spans="1:34" ht="24" customHeight="1" x14ac:dyDescent="0.25">
      <c r="A27" s="1563"/>
      <c r="B27" s="19" t="s">
        <v>66</v>
      </c>
      <c r="C27" s="19" t="s">
        <v>67</v>
      </c>
      <c r="D27" s="19" t="s">
        <v>68</v>
      </c>
      <c r="E27" s="19" t="s">
        <v>69</v>
      </c>
      <c r="F27" s="19" t="s">
        <v>64</v>
      </c>
      <c r="G27" s="20"/>
      <c r="H27" s="17" t="s">
        <v>66</v>
      </c>
      <c r="I27" s="17" t="s">
        <v>67</v>
      </c>
      <c r="J27" s="17" t="s">
        <v>68</v>
      </c>
      <c r="K27" s="17" t="s">
        <v>69</v>
      </c>
      <c r="L27" s="17" t="s">
        <v>64</v>
      </c>
      <c r="M27" s="37"/>
      <c r="AA27" s="23" t="s">
        <v>70</v>
      </c>
      <c r="AB27" s="23" t="s">
        <v>61</v>
      </c>
      <c r="AC27" s="23" t="s">
        <v>71</v>
      </c>
      <c r="AD27" s="23" t="s">
        <v>72</v>
      </c>
      <c r="AE27" s="23" t="s">
        <v>73</v>
      </c>
      <c r="AF27" s="23" t="s">
        <v>74</v>
      </c>
      <c r="AG27" s="23" t="s">
        <v>75</v>
      </c>
      <c r="AH27" s="23" t="s">
        <v>76</v>
      </c>
    </row>
    <row r="28" spans="1:34" ht="24" customHeight="1" x14ac:dyDescent="0.25">
      <c r="A28" s="1563"/>
      <c r="B28" s="13" t="str">
        <f t="shared" ref="B28:B33" si="0">$AA28</f>
        <v>Famille du plat</v>
      </c>
      <c r="C28" s="24">
        <f t="shared" ref="C28:C33" si="1">$AB28</f>
        <v>4</v>
      </c>
      <c r="D28" s="24">
        <f t="shared" ref="D28:D33" si="2">IF($B28="","",IF(OR(AND($AI$4&lt;&gt;"",ISNUMBER(SEARCH($AI$4,$AA$4))),AND($AC28&lt;&gt;"",ISNUMBER(SEARCH($AC28,$AA$4))),AND($AD28&lt;&gt;"",ISNUMBER(SEARCH($AD28,$AA$4))),AND($AE28&lt;&gt;"",ISNUMBER(SEARCH($AE28,$AA$4)))),$C28,0))</f>
        <v>4</v>
      </c>
      <c r="E28" s="24">
        <f t="shared" ref="E28:E33" si="3">IF(COUNTA($B$15:$B$16)=0,"",IF(OR(AND($AI$4&lt;&gt;"",ISNUMBER(SEARCH($AI$4,$AA$5))),AND($AC28&lt;&gt;"",ISNUMBER(SEARCH($AC28,$AA$5))),AND($AD28&lt;&gt;"",ISNUMBER(SEARCH($AD28,$AA$5))),AND($AE28&lt;&gt;"",ISNUMBER(SEARCH($AE28,$AA$5)))),$C28,0))</f>
        <v>4</v>
      </c>
      <c r="F28" s="16" t="str">
        <f t="shared" ref="F28:F33" si="4">IF(COUNTA($B$15:$B$16)=0,IF($D28&gt;0,"OK initial","Manque"),IF($E28&gt;0,IF($D28&gt;0,"OK","Corrigé"),"Manque"))</f>
        <v>OK</v>
      </c>
      <c r="G28" s="53"/>
      <c r="H28" s="14" t="str">
        <f t="shared" ref="H28:H33" si="5">$AA28</f>
        <v>Famille du plat</v>
      </c>
      <c r="I28" s="24">
        <f t="shared" ref="I28:I33" si="6">$AB28</f>
        <v>4</v>
      </c>
      <c r="J28" s="24">
        <f t="shared" ref="J28:J33" si="7">IF($H28="","",IF(OR(AND($AI$5&lt;&gt;"",ISNUMBER(SEARCH($AI$5,$AA$6))),AND($AF28&lt;&gt;"",ISNUMBER(SEARCH($AF28,$AA$6))),AND($AG28&lt;&gt;"",ISNUMBER(SEARCH($AG28,$AA$6))),AND($AH28&lt;&gt;"",ISNUMBER(SEARCH($AH28,$AA$6)))),$I28,0))</f>
        <v>4</v>
      </c>
      <c r="K28" s="24">
        <f t="shared" ref="K28:K33" si="8">IF(COUNTA($I$15:$I$16)=0,"",IF(OR(AND($AI$5&lt;&gt;"",ISNUMBER(SEARCH($AI$5,$AA$7))),AND($AF28&lt;&gt;"",ISNUMBER(SEARCH($AF28,$AA$7))),AND($AG28&lt;&gt;"",ISNUMBER(SEARCH($AG28,$AA$7))),AND($AH28&lt;&gt;"",ISNUMBER(SEARCH($AH28,$AA$7)))),$I28,0))</f>
        <v>4</v>
      </c>
      <c r="L28" s="16" t="str">
        <f t="shared" ref="L28:L33" si="9">IF(COUNTA($I$15:$I$16)=0,IF($J28&gt;0,"OK initial","Manque"),IF($K28&gt;0,IF($J28&gt;0,"OK","Corrigé"),"Manque"))</f>
        <v>OK</v>
      </c>
      <c r="M28" s="37"/>
      <c r="AA28" s="10" t="str">
        <f>IFERROR(INDEX($Y$53:$Y$95,MATCH($B$4,$A$53:$A$95,0)),"")</f>
        <v>Famille du plat</v>
      </c>
      <c r="AB28" s="26">
        <f>IFERROR(INDEX($Z$53:$Z$95,MATCH($B$4,$A$53:$A$95,0)),0)</f>
        <v>4</v>
      </c>
      <c r="AC28" s="26" t="str">
        <f>IFERROR(INDEX($AA$53:$AA$95,MATCH($B$4,$A$53:$A$95,0)),"")</f>
        <v>poisson</v>
      </c>
      <c r="AD28" s="26" t="str">
        <f>IFERROR(INDEX($AB$53:$AB$95,MATCH($B$4,$A$53:$A$95,0)),"")</f>
        <v>vapeur</v>
      </c>
      <c r="AE28" s="26" t="str">
        <f>IFERROR(INDEX($AC$53:$AC$95,MATCH($B$4,$A$53:$A$95,0)),"")</f>
        <v>blanc</v>
      </c>
      <c r="AF28" s="26" t="str">
        <f>IFERROR(INDEX($AD$53:$AD$95,MATCH($B$4,$A$53:$A$95,0)),"")</f>
        <v>poisson</v>
      </c>
      <c r="AG28" s="26" t="str">
        <f>IFERROR(INDEX($AE$53:$AE$95,MATCH($B$4,$A$53:$A$95,0)),"")</f>
        <v>vapeur</v>
      </c>
      <c r="AH28" s="26" t="str">
        <f>IFERROR(INDEX($AF$53:$AF$95,MATCH($B$4,$A$53:$A$95,0)),"")</f>
        <v>blanc</v>
      </c>
    </row>
    <row r="29" spans="1:34" ht="24" customHeight="1" x14ac:dyDescent="0.25">
      <c r="A29" s="1563"/>
      <c r="B29" s="13" t="str">
        <f t="shared" si="0"/>
        <v>Risque principal</v>
      </c>
      <c r="C29" s="24">
        <f t="shared" si="1"/>
        <v>4</v>
      </c>
      <c r="D29" s="24">
        <f t="shared" si="2"/>
        <v>4</v>
      </c>
      <c r="E29" s="24">
        <f t="shared" si="3"/>
        <v>4</v>
      </c>
      <c r="F29" s="16" t="str">
        <f t="shared" si="4"/>
        <v>OK</v>
      </c>
      <c r="G29" s="53"/>
      <c r="H29" s="14" t="str">
        <f t="shared" si="5"/>
        <v>Risque principal</v>
      </c>
      <c r="I29" s="24">
        <f t="shared" si="6"/>
        <v>4</v>
      </c>
      <c r="J29" s="24">
        <f t="shared" si="7"/>
        <v>4</v>
      </c>
      <c r="K29" s="24">
        <f t="shared" si="8"/>
        <v>4</v>
      </c>
      <c r="L29" s="16" t="str">
        <f t="shared" si="9"/>
        <v>OK</v>
      </c>
      <c r="M29" s="37"/>
      <c r="AA29" s="10" t="str">
        <f>IFERROR(INDEX($AG$53:$AG$95,MATCH($B$4,$A$53:$A$95,0)),"")</f>
        <v>Risque principal</v>
      </c>
      <c r="AB29" s="26">
        <f>IFERROR(INDEX($AH$53:$AH$95,MATCH($B$4,$A$53:$A$95,0)),0)</f>
        <v>4</v>
      </c>
      <c r="AC29" s="26" t="str">
        <f>IFERROR(INDEX($AI$53:$AI$95,MATCH($B$4,$A$53:$A$95,0)),"")</f>
        <v>pale</v>
      </c>
      <c r="AD29" s="26" t="str">
        <f>IFERROR(INDEX($AJ$53:$AJ$95,MATCH($B$4,$A$53:$A$95,0)),"")</f>
        <v>sec</v>
      </c>
      <c r="AE29" s="26" t="str">
        <f>IFERROR(INDEX($AK$53:$AK$95,MATCH($B$4,$A$53:$A$95,0)),"")</f>
        <v>refus</v>
      </c>
      <c r="AF29" s="26" t="str">
        <f>IFERROR(INDEX($AL$53:$AL$95,MATCH($B$4,$A$53:$A$95,0)),"")</f>
        <v>pale</v>
      </c>
      <c r="AG29" s="26" t="str">
        <f>IFERROR(INDEX($AM$53:$AM$95,MATCH($B$4,$A$53:$A$95,0)),"")</f>
        <v>sec</v>
      </c>
      <c r="AH29" s="26" t="str">
        <f>IFERROR(INDEX($AN$53:$AN$95,MATCH($B$4,$A$53:$A$95,0)),"")</f>
        <v>refus</v>
      </c>
    </row>
    <row r="30" spans="1:34" ht="24" customHeight="1" x14ac:dyDescent="0.25">
      <c r="A30" s="1563"/>
      <c r="B30" s="13" t="str">
        <f t="shared" si="0"/>
        <v>Garniture proposée</v>
      </c>
      <c r="C30" s="24">
        <f t="shared" si="1"/>
        <v>4</v>
      </c>
      <c r="D30" s="24">
        <f t="shared" si="2"/>
        <v>4</v>
      </c>
      <c r="E30" s="24">
        <f t="shared" si="3"/>
        <v>4</v>
      </c>
      <c r="F30" s="16" t="str">
        <f t="shared" si="4"/>
        <v>OK</v>
      </c>
      <c r="G30" s="53"/>
      <c r="H30" s="14" t="str">
        <f t="shared" si="5"/>
        <v>Garniture proposée</v>
      </c>
      <c r="I30" s="24">
        <f t="shared" si="6"/>
        <v>4</v>
      </c>
      <c r="J30" s="24">
        <f t="shared" si="7"/>
        <v>4</v>
      </c>
      <c r="K30" s="24">
        <f t="shared" si="8"/>
        <v>4</v>
      </c>
      <c r="L30" s="16" t="str">
        <f t="shared" si="9"/>
        <v>OK</v>
      </c>
      <c r="M30" s="37"/>
      <c r="AA30" s="10" t="str">
        <f>IFERROR(INDEX($AO$53:$AO$95,MATCH($B$4,$A$53:$A$95,0)),"")</f>
        <v>Garniture proposée</v>
      </c>
      <c r="AB30" s="26">
        <f>IFERROR(INDEX($AP$53:$AP$95,MATCH($B$4,$A$53:$A$95,0)),0)</f>
        <v>4</v>
      </c>
      <c r="AC30" s="26" t="str">
        <f>IFERROR(INDEX($AQ$53:$AQ$95,MATCH($B$4,$A$53:$A$95,0)),"")</f>
        <v>brocolis</v>
      </c>
      <c r="AD30" s="26" t="str">
        <f>IFERROR(INDEX($AR$53:$AR$95,MATCH($B$4,$A$53:$A$95,0)),"")</f>
        <v>carottes</v>
      </c>
      <c r="AE30" s="26" t="str">
        <f>IFERROR(INDEX($AS$53:$AS$95,MATCH($B$4,$A$53:$A$95,0)),"")</f>
        <v>legume</v>
      </c>
      <c r="AF30" s="26" t="str">
        <f>IFERROR(INDEX($AT$53:$AT$95,MATCH($B$4,$A$53:$A$95,0)),"")</f>
        <v>brocolis</v>
      </c>
      <c r="AG30" s="26" t="str">
        <f>IFERROR(INDEX($AU$53:$AU$95,MATCH($B$4,$A$53:$A$95,0)),"")</f>
        <v>carottes</v>
      </c>
      <c r="AH30" s="26" t="str">
        <f>IFERROR(INDEX($AV$53:$AV$95,MATCH($B$4,$A$53:$A$95,0)),"")</f>
        <v>legume</v>
      </c>
    </row>
    <row r="31" spans="1:34" ht="24" customHeight="1" x14ac:dyDescent="0.25">
      <c r="A31" s="1563"/>
      <c r="B31" s="13" t="str">
        <f t="shared" si="0"/>
        <v>Sauce ou jus</v>
      </c>
      <c r="C31" s="24">
        <f t="shared" si="1"/>
        <v>3</v>
      </c>
      <c r="D31" s="24">
        <f t="shared" si="2"/>
        <v>3</v>
      </c>
      <c r="E31" s="24">
        <f t="shared" si="3"/>
        <v>3</v>
      </c>
      <c r="F31" s="16" t="str">
        <f t="shared" si="4"/>
        <v>OK</v>
      </c>
      <c r="G31" s="53"/>
      <c r="H31" s="14" t="str">
        <f t="shared" si="5"/>
        <v>Sauce ou jus</v>
      </c>
      <c r="I31" s="24">
        <f t="shared" si="6"/>
        <v>3</v>
      </c>
      <c r="J31" s="24">
        <f t="shared" si="7"/>
        <v>0</v>
      </c>
      <c r="K31" s="24">
        <f t="shared" si="8"/>
        <v>3</v>
      </c>
      <c r="L31" s="16" t="str">
        <f t="shared" si="9"/>
        <v>Corrigé</v>
      </c>
      <c r="M31" s="37"/>
      <c r="AA31" s="10" t="str">
        <f>IFERROR(INDEX($AW$53:$AW$95,MATCH($B$4,$A$53:$A$95,0)),"")</f>
        <v>Sauce ou jus</v>
      </c>
      <c r="AB31" s="26">
        <f>IFERROR(INDEX($AX$53:$AX$95,MATCH($B$4,$A$53:$A$95,0)),0)</f>
        <v>3</v>
      </c>
      <c r="AC31" s="26" t="str">
        <f>IFERROR(INDEX($AY$53:$AY$95,MATCH($B$4,$A$53:$A$95,0)),"")</f>
        <v>sauce</v>
      </c>
      <c r="AD31" s="26" t="str">
        <f>IFERROR(INDEX($AZ$53:$AZ$95,MATCH($B$4,$A$53:$A$95,0)),"")</f>
        <v>citron</v>
      </c>
      <c r="AE31" s="26" t="str">
        <f>IFERROR(INDEX($BA$53:$BA$95,MATCH($B$4,$A$53:$A$95,0)),"")</f>
        <v>herbes</v>
      </c>
      <c r="AF31" s="26" t="str">
        <f>IFERROR(INDEX($BB$53:$BB$95,MATCH($B$4,$A$53:$A$95,0)),"")</f>
        <v>sauce</v>
      </c>
      <c r="AG31" s="26" t="str">
        <f>IFERROR(INDEX($BC$53:$BC$95,MATCH($B$4,$A$53:$A$95,0)),"")</f>
        <v>citron</v>
      </c>
      <c r="AH31" s="26" t="str">
        <f>IFERROR(INDEX($BD$53:$BD$95,MATCH($B$4,$A$53:$A$95,0)),"")</f>
        <v>herbes</v>
      </c>
    </row>
    <row r="32" spans="1:34" ht="24" customHeight="1" x14ac:dyDescent="0.25">
      <c r="A32" s="1563"/>
      <c r="B32" s="13" t="str">
        <f t="shared" si="0"/>
        <v>Adaptation convive</v>
      </c>
      <c r="C32" s="24">
        <f t="shared" si="1"/>
        <v>3</v>
      </c>
      <c r="D32" s="24">
        <f t="shared" si="2"/>
        <v>0</v>
      </c>
      <c r="E32" s="24">
        <f t="shared" si="3"/>
        <v>3</v>
      </c>
      <c r="F32" s="16" t="str">
        <f t="shared" si="4"/>
        <v>Corrigé</v>
      </c>
      <c r="G32" s="53"/>
      <c r="H32" s="14" t="str">
        <f t="shared" si="5"/>
        <v>Adaptation convive</v>
      </c>
      <c r="I32" s="24">
        <f t="shared" si="6"/>
        <v>3</v>
      </c>
      <c r="J32" s="24">
        <f t="shared" si="7"/>
        <v>0</v>
      </c>
      <c r="K32" s="24">
        <f t="shared" si="8"/>
        <v>3</v>
      </c>
      <c r="L32" s="16" t="str">
        <f t="shared" si="9"/>
        <v>Corrigé</v>
      </c>
      <c r="M32" s="37"/>
      <c r="AA32" s="10" t="str">
        <f>IFERROR(INDEX($BE$53:$BE$95,MATCH($B$4,$A$53:$A$95,0)),"")</f>
        <v>Adaptation convive</v>
      </c>
      <c r="AB32" s="26">
        <f>IFERROR(INDEX($BF$53:$BF$95,MATCH($B$4,$A$53:$A$95,0)),0)</f>
        <v>3</v>
      </c>
      <c r="AC32" s="26" t="str">
        <f>IFERROR(INDEX($BG$53:$BG$95,MATCH($B$4,$A$53:$A$95,0)),"")</f>
        <v>enfants</v>
      </c>
      <c r="AD32" s="26" t="str">
        <f>IFERROR(INDEX($BH$53:$BH$95,MATCH($B$4,$A$53:$A$95,0)),"")</f>
        <v>scolaire</v>
      </c>
      <c r="AE32" s="26" t="str">
        <f>IFERROR(INDEX($BI$53:$BI$95,MATCH($B$4,$A$53:$A$95,0)),"")</f>
        <v>primaire</v>
      </c>
      <c r="AF32" s="26" t="str">
        <f>IFERROR(INDEX($BJ$53:$BJ$95,MATCH($B$4,$A$53:$A$95,0)),"")</f>
        <v>enfants</v>
      </c>
      <c r="AG32" s="26" t="str">
        <f>IFERROR(INDEX($BK$53:$BK$95,MATCH($B$4,$A$53:$A$95,0)),"")</f>
        <v>scolaire</v>
      </c>
      <c r="AH32" s="26" t="str">
        <f>IFERROR(INDEX($BL$53:$BL$95,MATCH($B$4,$A$53:$A$95,0)),"")</f>
        <v>primaire</v>
      </c>
    </row>
    <row r="33" spans="1:34" ht="24" customHeight="1" x14ac:dyDescent="0.25">
      <c r="A33" s="1563"/>
      <c r="B33" s="13" t="str">
        <f t="shared" si="0"/>
        <v>Justification claire</v>
      </c>
      <c r="C33" s="24">
        <f t="shared" si="1"/>
        <v>2</v>
      </c>
      <c r="D33" s="24">
        <f t="shared" si="2"/>
        <v>0</v>
      </c>
      <c r="E33" s="24">
        <f t="shared" si="3"/>
        <v>2</v>
      </c>
      <c r="F33" s="16" t="str">
        <f t="shared" si="4"/>
        <v>Corrigé</v>
      </c>
      <c r="G33" s="53"/>
      <c r="H33" s="14" t="str">
        <f t="shared" si="5"/>
        <v>Justification claire</v>
      </c>
      <c r="I33" s="24">
        <f t="shared" si="6"/>
        <v>2</v>
      </c>
      <c r="J33" s="24">
        <f t="shared" si="7"/>
        <v>0</v>
      </c>
      <c r="K33" s="24">
        <f t="shared" si="8"/>
        <v>2</v>
      </c>
      <c r="L33" s="16" t="str">
        <f t="shared" si="9"/>
        <v>Corrigé</v>
      </c>
      <c r="M33" s="37"/>
      <c r="AA33" s="10" t="str">
        <f>IFERROR(INDEX($BM$53:$BM$95,MATCH($B$4,$A$53:$A$95,0)),"")</f>
        <v>Justification claire</v>
      </c>
      <c r="AB33" s="26">
        <f>IFERROR(INDEX($BN$53:$BN$95,MATCH($B$4,$A$53:$A$95,0)),0)</f>
        <v>2</v>
      </c>
      <c r="AC33" s="26" t="str">
        <f>IFERROR(INDEX($BO$53:$BO$95,MATCH($B$4,$A$53:$A$95,0)),"")</f>
        <v>parce</v>
      </c>
      <c r="AD33" s="26" t="str">
        <f>IFERROR(INDEX($BP$53:$BP$95,MATCH($B$4,$A$53:$A$95,0)),"")</f>
        <v>justification</v>
      </c>
      <c r="AE33" s="26" t="str">
        <f>IFERROR(INDEX($BQ$53:$BQ$95,MATCH($B$4,$A$53:$A$95,0)),"")</f>
        <v>construire</v>
      </c>
      <c r="AF33" s="26" t="str">
        <f>IFERROR(INDEX($BR$53:$BR$95,MATCH($B$4,$A$53:$A$95,0)),"")</f>
        <v>parce</v>
      </c>
      <c r="AG33" s="26" t="str">
        <f>IFERROR(INDEX($BS$53:$BS$95,MATCH($B$4,$A$53:$A$95,0)),"")</f>
        <v>pour</v>
      </c>
      <c r="AH33" s="26" t="str">
        <f>IFERROR(INDEX($BT$53:$BT$95,MATCH($B$4,$A$53:$A$95,0)),"")</f>
        <v>choix</v>
      </c>
    </row>
    <row r="34" spans="1:34" ht="24" customHeight="1" x14ac:dyDescent="0.25">
      <c r="A34" s="1563"/>
      <c r="B34" s="13" t="s">
        <v>77</v>
      </c>
      <c r="C34" s="19">
        <f>SUM($D$28:$D$33)</f>
        <v>15</v>
      </c>
      <c r="D34" s="27"/>
      <c r="E34" s="27"/>
      <c r="F34" s="27"/>
      <c r="G34" s="27"/>
      <c r="H34" s="14" t="s">
        <v>78</v>
      </c>
      <c r="I34" s="17">
        <f>SUM($J$28:$J$33)</f>
        <v>12</v>
      </c>
      <c r="J34" s="27"/>
      <c r="K34" s="27"/>
      <c r="L34" s="27"/>
      <c r="M34" s="37"/>
    </row>
    <row r="35" spans="1:34" ht="24" customHeight="1" x14ac:dyDescent="0.25">
      <c r="A35" s="1563"/>
      <c r="B35" s="13" t="s">
        <v>79</v>
      </c>
      <c r="C35" s="19">
        <f>IF(COUNTA($B$15:$B$16)=0,"",SUM($E$28:$E$33))</f>
        <v>20</v>
      </c>
      <c r="D35" s="27"/>
      <c r="E35" s="27"/>
      <c r="F35" s="27"/>
      <c r="G35" s="27"/>
      <c r="H35" s="14" t="s">
        <v>80</v>
      </c>
      <c r="I35" s="17">
        <f>IF(COUNTA($I$15:$I$16)=0,"",SUM($K$28:$K$33))</f>
        <v>20</v>
      </c>
      <c r="J35" s="27"/>
      <c r="K35" s="27"/>
      <c r="L35" s="27"/>
      <c r="M35" s="37"/>
    </row>
    <row r="36" spans="1:34" ht="24" customHeight="1" x14ac:dyDescent="0.25">
      <c r="A36" s="1563"/>
      <c r="B36" s="136" t="s">
        <v>81</v>
      </c>
      <c r="C36" s="137">
        <f>IF($C$35="","",$C$35-$C$34)</f>
        <v>5</v>
      </c>
      <c r="D36" s="56"/>
      <c r="E36" s="56"/>
      <c r="F36" s="56"/>
      <c r="G36" s="57"/>
      <c r="H36" s="136" t="s">
        <v>82</v>
      </c>
      <c r="I36" s="137">
        <f>IF($I$35="","",$I$35-$I$34)</f>
        <v>8</v>
      </c>
      <c r="J36" s="29"/>
      <c r="K36" s="29"/>
      <c r="L36" s="29"/>
      <c r="M36" s="37"/>
    </row>
    <row r="37" spans="1:34" ht="15.75" x14ac:dyDescent="0.25">
      <c r="A37" s="9"/>
      <c r="B37" s="54"/>
      <c r="C37" s="9"/>
      <c r="D37" s="9"/>
      <c r="E37" s="9"/>
      <c r="F37" s="9"/>
      <c r="G37" s="9"/>
      <c r="H37" s="9"/>
      <c r="I37" s="9"/>
      <c r="J37" s="9"/>
      <c r="K37" s="9"/>
      <c r="L37" s="9"/>
      <c r="M37" s="9"/>
    </row>
    <row r="38" spans="1:34" x14ac:dyDescent="0.25">
      <c r="A38" s="15"/>
      <c r="B38" s="15"/>
      <c r="C38" s="15"/>
      <c r="D38" s="15"/>
      <c r="E38" s="15"/>
      <c r="F38" s="15"/>
      <c r="G38" s="15"/>
      <c r="H38" s="15"/>
      <c r="I38" s="15"/>
      <c r="J38" s="15"/>
      <c r="K38" s="15"/>
      <c r="L38" s="15"/>
      <c r="M38" s="15"/>
    </row>
    <row r="39" spans="1:34" x14ac:dyDescent="0.25">
      <c r="A39" s="15"/>
      <c r="B39" s="15"/>
      <c r="C39" s="15"/>
      <c r="D39" s="15"/>
      <c r="E39" s="15"/>
      <c r="F39" s="15"/>
      <c r="G39" s="15"/>
      <c r="H39" s="15"/>
      <c r="I39" s="15"/>
      <c r="J39" s="15"/>
      <c r="K39" s="15"/>
      <c r="L39" s="15"/>
      <c r="M39" s="15"/>
    </row>
    <row r="40" spans="1:34" x14ac:dyDescent="0.25">
      <c r="A40" s="15"/>
      <c r="B40" s="15"/>
      <c r="C40" s="15"/>
      <c r="D40" s="15"/>
      <c r="E40" s="15"/>
      <c r="F40" s="15"/>
      <c r="G40" s="15"/>
      <c r="H40" s="15"/>
      <c r="I40" s="15"/>
      <c r="J40" s="15"/>
      <c r="K40" s="15"/>
      <c r="L40" s="15"/>
      <c r="M40" s="15"/>
    </row>
    <row r="41" spans="1:34" x14ac:dyDescent="0.25">
      <c r="A41" s="15"/>
      <c r="B41" s="15"/>
      <c r="C41" s="15"/>
      <c r="D41" s="15"/>
      <c r="E41" s="15"/>
      <c r="F41" s="15"/>
      <c r="G41" s="15"/>
      <c r="H41" s="15"/>
      <c r="I41" s="15"/>
      <c r="J41" s="15"/>
      <c r="K41" s="15"/>
      <c r="L41" s="15"/>
      <c r="M41" s="15"/>
    </row>
    <row r="42" spans="1:34" x14ac:dyDescent="0.25">
      <c r="A42" s="15"/>
      <c r="B42" s="15"/>
      <c r="C42" s="15"/>
      <c r="D42" s="15"/>
      <c r="E42" s="15"/>
      <c r="F42" s="15"/>
      <c r="G42" s="15"/>
      <c r="H42" s="15"/>
      <c r="I42" s="15"/>
      <c r="J42" s="15"/>
      <c r="K42" s="15"/>
      <c r="L42" s="15"/>
      <c r="M42" s="15"/>
    </row>
    <row r="43" spans="1:34" x14ac:dyDescent="0.25">
      <c r="A43" s="15"/>
      <c r="B43" s="15"/>
      <c r="C43" s="15"/>
      <c r="D43" s="15"/>
      <c r="E43" s="15"/>
      <c r="F43" s="15"/>
      <c r="G43" s="15"/>
      <c r="H43" s="15"/>
      <c r="I43" s="15"/>
      <c r="J43" s="15"/>
      <c r="K43" s="15"/>
      <c r="L43" s="15"/>
      <c r="M43" s="15"/>
    </row>
    <row r="44" spans="1:34" x14ac:dyDescent="0.25">
      <c r="A44" s="15"/>
      <c r="B44" s="15"/>
      <c r="C44" s="15"/>
      <c r="D44" s="15"/>
      <c r="E44" s="15"/>
      <c r="F44" s="15"/>
      <c r="G44" s="15"/>
      <c r="H44" s="15"/>
      <c r="I44" s="15"/>
      <c r="J44" s="15"/>
      <c r="K44" s="15"/>
      <c r="L44" s="15"/>
      <c r="M44" s="15"/>
    </row>
    <row r="45" spans="1:34" x14ac:dyDescent="0.25">
      <c r="A45" s="15"/>
      <c r="B45" s="15"/>
      <c r="C45" s="15"/>
      <c r="D45" s="15"/>
      <c r="E45" s="15"/>
      <c r="F45" s="15"/>
      <c r="G45" s="15"/>
      <c r="H45" s="15"/>
      <c r="I45" s="15"/>
      <c r="J45" s="15"/>
      <c r="K45" s="15"/>
      <c r="L45" s="15"/>
      <c r="M45" s="15"/>
    </row>
    <row r="46" spans="1:34" x14ac:dyDescent="0.25">
      <c r="A46" s="15"/>
      <c r="B46" s="15"/>
      <c r="C46" s="15"/>
      <c r="D46" s="15"/>
      <c r="E46" s="15"/>
      <c r="F46" s="15"/>
      <c r="G46" s="15"/>
      <c r="H46" s="15"/>
      <c r="I46" s="15"/>
      <c r="J46" s="15"/>
      <c r="K46" s="15"/>
      <c r="L46" s="15"/>
      <c r="M46" s="15"/>
    </row>
    <row r="47" spans="1:34" x14ac:dyDescent="0.25">
      <c r="A47" s="15"/>
      <c r="B47" s="15"/>
      <c r="C47" s="15"/>
      <c r="D47" s="15"/>
      <c r="E47" s="15"/>
      <c r="F47" s="15"/>
      <c r="G47" s="15"/>
      <c r="H47" s="15"/>
      <c r="I47" s="15"/>
      <c r="J47" s="15"/>
      <c r="K47" s="15"/>
      <c r="L47" s="15"/>
      <c r="M47" s="15"/>
    </row>
    <row r="48" spans="1:34" x14ac:dyDescent="0.25">
      <c r="A48" s="15"/>
      <c r="B48" s="15"/>
      <c r="C48" s="15"/>
      <c r="D48" s="15"/>
      <c r="E48" s="15"/>
      <c r="F48" s="15"/>
      <c r="G48" s="15"/>
      <c r="H48" s="15"/>
      <c r="I48" s="15"/>
      <c r="J48" s="15"/>
      <c r="K48" s="15"/>
      <c r="L48" s="15"/>
      <c r="M48" s="15"/>
    </row>
    <row r="49" spans="1:72" x14ac:dyDescent="0.25">
      <c r="A49" s="15"/>
      <c r="B49" s="15"/>
      <c r="C49" s="15"/>
      <c r="D49" s="15"/>
      <c r="E49" s="15"/>
      <c r="F49" s="15"/>
      <c r="G49" s="15"/>
      <c r="H49" s="15"/>
      <c r="I49" s="15"/>
      <c r="J49" s="15"/>
      <c r="K49" s="15"/>
      <c r="L49" s="15"/>
      <c r="M49" s="15"/>
    </row>
    <row r="50" spans="1:72" x14ac:dyDescent="0.25">
      <c r="A50" s="15"/>
      <c r="B50" s="15"/>
      <c r="C50" s="15"/>
      <c r="D50" s="15"/>
      <c r="E50" s="15"/>
      <c r="F50" s="15"/>
      <c r="G50" s="15"/>
      <c r="H50" s="15"/>
      <c r="I50" s="15"/>
      <c r="J50" s="15"/>
      <c r="K50" s="15"/>
      <c r="L50" s="15"/>
      <c r="M50" s="15"/>
    </row>
    <row r="51" spans="1:72" x14ac:dyDescent="0.25">
      <c r="A51" s="15"/>
      <c r="B51" s="15"/>
      <c r="C51" s="15"/>
      <c r="D51" s="15"/>
      <c r="E51" s="15"/>
      <c r="F51" s="15"/>
      <c r="G51" s="15"/>
      <c r="H51" s="15"/>
      <c r="I51" s="15"/>
      <c r="J51" s="15"/>
      <c r="K51" s="15"/>
      <c r="L51" s="15"/>
      <c r="M51" s="15"/>
    </row>
    <row r="52" spans="1:72" ht="36" customHeight="1" x14ac:dyDescent="0.25">
      <c r="A52" s="55" t="s">
        <v>83</v>
      </c>
      <c r="B52" s="55" t="s">
        <v>5</v>
      </c>
      <c r="C52" s="55" t="s">
        <v>6</v>
      </c>
      <c r="D52" s="55" t="s">
        <v>84</v>
      </c>
      <c r="E52" s="55" t="s">
        <v>85</v>
      </c>
      <c r="F52" s="55" t="s">
        <v>86</v>
      </c>
      <c r="G52" s="55" t="s">
        <v>87</v>
      </c>
      <c r="H52" s="55" t="s">
        <v>88</v>
      </c>
      <c r="I52" s="55" t="s">
        <v>89</v>
      </c>
      <c r="J52" s="55" t="s">
        <v>90</v>
      </c>
      <c r="K52" s="55" t="s">
        <v>91</v>
      </c>
      <c r="L52" s="55" t="s">
        <v>92</v>
      </c>
      <c r="M52" s="55" t="s">
        <v>93</v>
      </c>
      <c r="N52" s="55" t="s">
        <v>94</v>
      </c>
      <c r="O52" s="55" t="s">
        <v>95</v>
      </c>
      <c r="P52" s="55" t="s">
        <v>96</v>
      </c>
      <c r="Q52" s="55" t="s">
        <v>97</v>
      </c>
      <c r="R52" s="55" t="s">
        <v>98</v>
      </c>
      <c r="S52" s="55" t="s">
        <v>99</v>
      </c>
      <c r="T52" s="55" t="s">
        <v>100</v>
      </c>
      <c r="U52" s="55" t="s">
        <v>101</v>
      </c>
      <c r="V52" s="55" t="s">
        <v>102</v>
      </c>
      <c r="W52" s="55" t="s">
        <v>103</v>
      </c>
      <c r="X52" s="55" t="s">
        <v>104</v>
      </c>
      <c r="Y52" s="32" t="s">
        <v>105</v>
      </c>
      <c r="Z52" s="32" t="s">
        <v>106</v>
      </c>
      <c r="AA52" s="32" t="s">
        <v>107</v>
      </c>
      <c r="AB52" s="32" t="s">
        <v>108</v>
      </c>
      <c r="AC52" s="32" t="s">
        <v>109</v>
      </c>
      <c r="AD52" s="32" t="s">
        <v>110</v>
      </c>
      <c r="AE52" s="32" t="s">
        <v>111</v>
      </c>
      <c r="AF52" s="32" t="s">
        <v>112</v>
      </c>
      <c r="AG52" s="32" t="s">
        <v>113</v>
      </c>
      <c r="AH52" s="32" t="s">
        <v>114</v>
      </c>
      <c r="AI52" s="32" t="s">
        <v>115</v>
      </c>
      <c r="AJ52" s="32" t="s">
        <v>116</v>
      </c>
      <c r="AK52" s="32" t="s">
        <v>117</v>
      </c>
      <c r="AL52" s="32" t="s">
        <v>118</v>
      </c>
      <c r="AM52" s="32" t="s">
        <v>119</v>
      </c>
      <c r="AN52" s="32" t="s">
        <v>120</v>
      </c>
      <c r="AO52" s="32" t="s">
        <v>121</v>
      </c>
      <c r="AP52" s="32" t="s">
        <v>122</v>
      </c>
      <c r="AQ52" s="32" t="s">
        <v>123</v>
      </c>
      <c r="AR52" s="32" t="s">
        <v>124</v>
      </c>
      <c r="AS52" s="32" t="s">
        <v>125</v>
      </c>
      <c r="AT52" s="32" t="s">
        <v>126</v>
      </c>
      <c r="AU52" s="32" t="s">
        <v>127</v>
      </c>
      <c r="AV52" s="32" t="s">
        <v>128</v>
      </c>
      <c r="AW52" s="32" t="s">
        <v>129</v>
      </c>
      <c r="AX52" s="32" t="s">
        <v>130</v>
      </c>
      <c r="AY52" s="32" t="s">
        <v>131</v>
      </c>
      <c r="AZ52" s="32" t="s">
        <v>132</v>
      </c>
      <c r="BA52" s="32" t="s">
        <v>133</v>
      </c>
      <c r="BB52" s="32" t="s">
        <v>134</v>
      </c>
      <c r="BC52" s="32" t="s">
        <v>135</v>
      </c>
      <c r="BD52" s="32" t="s">
        <v>136</v>
      </c>
      <c r="BE52" s="32" t="s">
        <v>137</v>
      </c>
      <c r="BF52" s="32" t="s">
        <v>138</v>
      </c>
      <c r="BG52" s="32" t="s">
        <v>139</v>
      </c>
      <c r="BH52" s="32" t="s">
        <v>140</v>
      </c>
      <c r="BI52" s="32" t="s">
        <v>141</v>
      </c>
      <c r="BJ52" s="32" t="s">
        <v>142</v>
      </c>
      <c r="BK52" s="32" t="s">
        <v>143</v>
      </c>
      <c r="BL52" s="32" t="s">
        <v>144</v>
      </c>
      <c r="BM52" s="32" t="s">
        <v>145</v>
      </c>
      <c r="BN52" s="32" t="s">
        <v>146</v>
      </c>
      <c r="BO52" s="32" t="s">
        <v>147</v>
      </c>
      <c r="BP52" s="32" t="s">
        <v>148</v>
      </c>
      <c r="BQ52" s="32" t="s">
        <v>149</v>
      </c>
      <c r="BR52" s="32" t="s">
        <v>150</v>
      </c>
      <c r="BS52" s="32" t="s">
        <v>151</v>
      </c>
      <c r="BT52" s="32" t="s">
        <v>152</v>
      </c>
    </row>
    <row r="53" spans="1:72" s="184" customFormat="1" ht="36" customHeight="1" x14ac:dyDescent="0.25">
      <c r="A53" s="155">
        <v>1</v>
      </c>
      <c r="B53" s="184" t="s">
        <v>153</v>
      </c>
      <c r="C53" s="184" t="s">
        <v>154</v>
      </c>
      <c r="D53" s="184" t="s">
        <v>1933</v>
      </c>
      <c r="E53" s="184" t="s">
        <v>1934</v>
      </c>
      <c r="F53" s="184" t="s">
        <v>1935</v>
      </c>
      <c r="G53" s="184" t="s">
        <v>1936</v>
      </c>
      <c r="H53" s="184" t="s">
        <v>1922</v>
      </c>
      <c r="I53" s="184" t="s">
        <v>1923</v>
      </c>
      <c r="J53" s="184" t="s">
        <v>1937</v>
      </c>
      <c r="K53" s="184" t="s">
        <v>1938</v>
      </c>
      <c r="L53" s="184" t="s">
        <v>1939</v>
      </c>
      <c r="M53" s="184" t="s">
        <v>1940</v>
      </c>
      <c r="N53" s="184" t="s">
        <v>163</v>
      </c>
      <c r="O53" s="184">
        <v>20</v>
      </c>
      <c r="P53" s="184" t="s">
        <v>164</v>
      </c>
      <c r="Q53" s="184" t="s">
        <v>1941</v>
      </c>
      <c r="R53" s="184" t="s">
        <v>1942</v>
      </c>
      <c r="S53" s="184" t="s">
        <v>167</v>
      </c>
      <c r="T53" s="184" t="s">
        <v>1943</v>
      </c>
      <c r="U53" s="184" t="s">
        <v>1944</v>
      </c>
      <c r="V53" s="184" t="s">
        <v>1945</v>
      </c>
      <c r="W53" s="184" t="s">
        <v>1946</v>
      </c>
      <c r="X53" s="184" t="s">
        <v>1947</v>
      </c>
      <c r="Y53" s="185" t="s">
        <v>1948</v>
      </c>
      <c r="Z53" s="185">
        <v>4</v>
      </c>
      <c r="AA53" s="185" t="s">
        <v>346</v>
      </c>
      <c r="AB53" s="185" t="s">
        <v>233</v>
      </c>
      <c r="AC53" s="185" t="s">
        <v>174</v>
      </c>
      <c r="AD53" s="185" t="s">
        <v>346</v>
      </c>
      <c r="AE53" s="185" t="s">
        <v>233</v>
      </c>
      <c r="AF53" s="185" t="s">
        <v>174</v>
      </c>
      <c r="AG53" s="185" t="s">
        <v>1949</v>
      </c>
      <c r="AH53" s="185">
        <v>4</v>
      </c>
      <c r="AI53" s="185" t="s">
        <v>175</v>
      </c>
      <c r="AJ53" s="185" t="s">
        <v>176</v>
      </c>
      <c r="AK53" s="185" t="s">
        <v>345</v>
      </c>
      <c r="AL53" s="185" t="s">
        <v>175</v>
      </c>
      <c r="AM53" s="185" t="s">
        <v>176</v>
      </c>
      <c r="AN53" s="185" t="s">
        <v>345</v>
      </c>
      <c r="AO53" s="185" t="s">
        <v>1950</v>
      </c>
      <c r="AP53" s="185">
        <v>4</v>
      </c>
      <c r="AQ53" s="185" t="s">
        <v>181</v>
      </c>
      <c r="AR53" s="185" t="s">
        <v>182</v>
      </c>
      <c r="AS53" s="185" t="s">
        <v>408</v>
      </c>
      <c r="AT53" s="185" t="s">
        <v>181</v>
      </c>
      <c r="AU53" s="185" t="s">
        <v>182</v>
      </c>
      <c r="AV53" s="185" t="s">
        <v>408</v>
      </c>
      <c r="AW53" s="185" t="s">
        <v>1951</v>
      </c>
      <c r="AX53" s="185">
        <v>3</v>
      </c>
      <c r="AY53" s="185" t="s">
        <v>179</v>
      </c>
      <c r="AZ53" s="185" t="s">
        <v>879</v>
      </c>
      <c r="BA53" s="185" t="s">
        <v>180</v>
      </c>
      <c r="BB53" s="185" t="s">
        <v>179</v>
      </c>
      <c r="BC53" s="185" t="s">
        <v>879</v>
      </c>
      <c r="BD53" s="185" t="s">
        <v>180</v>
      </c>
      <c r="BE53" s="185" t="s">
        <v>57</v>
      </c>
      <c r="BF53" s="185">
        <v>3</v>
      </c>
      <c r="BG53" s="185" t="s">
        <v>188</v>
      </c>
      <c r="BH53" s="185" t="s">
        <v>189</v>
      </c>
      <c r="BI53" s="185" t="s">
        <v>190</v>
      </c>
      <c r="BJ53" s="185" t="s">
        <v>188</v>
      </c>
      <c r="BK53" s="185" t="s">
        <v>189</v>
      </c>
      <c r="BL53" s="185" t="s">
        <v>190</v>
      </c>
      <c r="BM53" s="185" t="s">
        <v>198</v>
      </c>
      <c r="BN53" s="185">
        <v>2</v>
      </c>
      <c r="BO53" s="185" t="s">
        <v>199</v>
      </c>
      <c r="BP53" s="185" t="s">
        <v>1952</v>
      </c>
      <c r="BQ53" s="185" t="s">
        <v>1953</v>
      </c>
      <c r="BR53" s="185" t="s">
        <v>199</v>
      </c>
      <c r="BS53" s="185" t="s">
        <v>202</v>
      </c>
      <c r="BT53" s="185" t="s">
        <v>1954</v>
      </c>
    </row>
    <row r="54" spans="1:72" s="184" customFormat="1" ht="36" customHeight="1" x14ac:dyDescent="0.25">
      <c r="A54" s="155">
        <v>2</v>
      </c>
      <c r="B54" s="184" t="s">
        <v>506</v>
      </c>
      <c r="C54" s="184" t="s">
        <v>247</v>
      </c>
      <c r="D54" s="184" t="s">
        <v>1955</v>
      </c>
      <c r="E54" s="184" t="s">
        <v>1956</v>
      </c>
      <c r="F54" s="184" t="s">
        <v>1957</v>
      </c>
      <c r="G54" s="184" t="s">
        <v>1958</v>
      </c>
      <c r="H54" s="184" t="s">
        <v>1959</v>
      </c>
      <c r="I54" s="184" t="s">
        <v>1960</v>
      </c>
      <c r="J54" s="184" t="s">
        <v>1937</v>
      </c>
      <c r="K54" s="184" t="s">
        <v>1938</v>
      </c>
      <c r="L54" s="184" t="s">
        <v>1939</v>
      </c>
      <c r="M54" s="184" t="s">
        <v>1961</v>
      </c>
      <c r="N54" s="184" t="s">
        <v>163</v>
      </c>
      <c r="O54" s="184">
        <v>20</v>
      </c>
      <c r="P54" s="184" t="s">
        <v>164</v>
      </c>
      <c r="Q54" s="184" t="s">
        <v>1962</v>
      </c>
      <c r="R54" s="184" t="s">
        <v>1963</v>
      </c>
      <c r="S54" s="184" t="s">
        <v>1964</v>
      </c>
      <c r="T54" s="184" t="s">
        <v>705</v>
      </c>
      <c r="U54" s="184" t="s">
        <v>1965</v>
      </c>
      <c r="V54" s="184" t="s">
        <v>1966</v>
      </c>
      <c r="W54" s="184" t="s">
        <v>1967</v>
      </c>
      <c r="X54" s="184" t="s">
        <v>1968</v>
      </c>
      <c r="Y54" s="185" t="s">
        <v>1948</v>
      </c>
      <c r="Z54" s="185">
        <v>4</v>
      </c>
      <c r="AA54" s="185" t="s">
        <v>346</v>
      </c>
      <c r="AB54" s="185" t="s">
        <v>1632</v>
      </c>
      <c r="AC54" s="185" t="s">
        <v>714</v>
      </c>
      <c r="AD54" s="185" t="s">
        <v>346</v>
      </c>
      <c r="AE54" s="185" t="s">
        <v>1632</v>
      </c>
      <c r="AF54" s="185" t="s">
        <v>714</v>
      </c>
      <c r="AG54" s="185" t="s">
        <v>1949</v>
      </c>
      <c r="AH54" s="185">
        <v>4</v>
      </c>
      <c r="AI54" s="185" t="s">
        <v>225</v>
      </c>
      <c r="AJ54" s="185" t="s">
        <v>1969</v>
      </c>
      <c r="AK54" s="185" t="s">
        <v>226</v>
      </c>
      <c r="AL54" s="185" t="s">
        <v>225</v>
      </c>
      <c r="AM54" s="185" t="s">
        <v>1969</v>
      </c>
      <c r="AN54" s="185" t="s">
        <v>226</v>
      </c>
      <c r="AO54" s="185" t="s">
        <v>1950</v>
      </c>
      <c r="AP54" s="185">
        <v>4</v>
      </c>
      <c r="AQ54" s="185" t="s">
        <v>232</v>
      </c>
      <c r="AR54" s="185" t="s">
        <v>230</v>
      </c>
      <c r="AS54" s="185" t="s">
        <v>681</v>
      </c>
      <c r="AT54" s="185" t="s">
        <v>232</v>
      </c>
      <c r="AU54" s="185" t="s">
        <v>230</v>
      </c>
      <c r="AV54" s="185" t="s">
        <v>681</v>
      </c>
      <c r="AW54" s="185" t="s">
        <v>1951</v>
      </c>
      <c r="AX54" s="185">
        <v>3</v>
      </c>
      <c r="AY54" s="185" t="s">
        <v>179</v>
      </c>
      <c r="AZ54" s="185" t="s">
        <v>278</v>
      </c>
      <c r="BA54" s="185" t="s">
        <v>879</v>
      </c>
      <c r="BB54" s="185" t="s">
        <v>179</v>
      </c>
      <c r="BC54" s="185" t="s">
        <v>278</v>
      </c>
      <c r="BD54" s="185" t="s">
        <v>879</v>
      </c>
      <c r="BE54" s="185" t="s">
        <v>57</v>
      </c>
      <c r="BF54" s="185">
        <v>3</v>
      </c>
      <c r="BG54" s="185" t="s">
        <v>281</v>
      </c>
      <c r="BH54" s="185" t="s">
        <v>284</v>
      </c>
      <c r="BI54" s="185" t="s">
        <v>280</v>
      </c>
      <c r="BJ54" s="185" t="s">
        <v>281</v>
      </c>
      <c r="BK54" s="185" t="s">
        <v>284</v>
      </c>
      <c r="BL54" s="185" t="s">
        <v>280</v>
      </c>
      <c r="BM54" s="185" t="s">
        <v>198</v>
      </c>
      <c r="BN54" s="185">
        <v>2</v>
      </c>
      <c r="BO54" s="185" t="s">
        <v>199</v>
      </c>
      <c r="BP54" s="185" t="s">
        <v>1952</v>
      </c>
      <c r="BQ54" s="185" t="s">
        <v>1953</v>
      </c>
      <c r="BR54" s="185" t="s">
        <v>199</v>
      </c>
      <c r="BS54" s="185" t="s">
        <v>202</v>
      </c>
      <c r="BT54" s="185" t="s">
        <v>1954</v>
      </c>
    </row>
    <row r="55" spans="1:72" s="184" customFormat="1" ht="36" customHeight="1" x14ac:dyDescent="0.25">
      <c r="A55" s="155">
        <v>3</v>
      </c>
      <c r="B55" s="184" t="s">
        <v>385</v>
      </c>
      <c r="C55" s="184" t="s">
        <v>325</v>
      </c>
      <c r="D55" s="184" t="s">
        <v>1970</v>
      </c>
      <c r="E55" s="184" t="s">
        <v>1971</v>
      </c>
      <c r="F55" s="184" t="s">
        <v>1972</v>
      </c>
      <c r="G55" s="184" t="s">
        <v>1973</v>
      </c>
      <c r="H55" s="184" t="s">
        <v>1974</v>
      </c>
      <c r="I55" s="184" t="s">
        <v>1975</v>
      </c>
      <c r="J55" s="184" t="s">
        <v>1937</v>
      </c>
      <c r="K55" s="184" t="s">
        <v>1938</v>
      </c>
      <c r="L55" s="184" t="s">
        <v>1939</v>
      </c>
      <c r="M55" s="184" t="s">
        <v>1976</v>
      </c>
      <c r="N55" s="184" t="s">
        <v>163</v>
      </c>
      <c r="O55" s="184">
        <v>20</v>
      </c>
      <c r="P55" s="184" t="s">
        <v>259</v>
      </c>
      <c r="Q55" s="184" t="s">
        <v>1977</v>
      </c>
      <c r="R55" s="184" t="s">
        <v>1978</v>
      </c>
      <c r="S55" s="184" t="s">
        <v>1979</v>
      </c>
      <c r="T55" s="184" t="s">
        <v>1980</v>
      </c>
      <c r="U55" s="184" t="s">
        <v>1981</v>
      </c>
      <c r="V55" s="184" t="s">
        <v>1982</v>
      </c>
      <c r="W55" s="184" t="s">
        <v>1983</v>
      </c>
      <c r="X55" s="184" t="s">
        <v>1984</v>
      </c>
      <c r="Y55" s="185" t="s">
        <v>1948</v>
      </c>
      <c r="Z55" s="185">
        <v>4</v>
      </c>
      <c r="AA55" s="185" t="s">
        <v>1985</v>
      </c>
      <c r="AB55" s="185" t="s">
        <v>346</v>
      </c>
      <c r="AC55" s="185" t="s">
        <v>225</v>
      </c>
      <c r="AD55" s="185" t="s">
        <v>1985</v>
      </c>
      <c r="AE55" s="185" t="s">
        <v>346</v>
      </c>
      <c r="AF55" s="185" t="s">
        <v>225</v>
      </c>
      <c r="AG55" s="185" t="s">
        <v>1949</v>
      </c>
      <c r="AH55" s="185">
        <v>4</v>
      </c>
      <c r="AI55" s="185" t="s">
        <v>1986</v>
      </c>
      <c r="AJ55" s="185" t="s">
        <v>227</v>
      </c>
      <c r="AK55" s="185" t="s">
        <v>225</v>
      </c>
      <c r="AL55" s="185" t="s">
        <v>1986</v>
      </c>
      <c r="AM55" s="185" t="s">
        <v>227</v>
      </c>
      <c r="AN55" s="185" t="s">
        <v>225</v>
      </c>
      <c r="AO55" s="185" t="s">
        <v>1950</v>
      </c>
      <c r="AP55" s="185">
        <v>4</v>
      </c>
      <c r="AQ55" s="185" t="s">
        <v>347</v>
      </c>
      <c r="AR55" s="185" t="s">
        <v>229</v>
      </c>
      <c r="AS55" s="185" t="s">
        <v>466</v>
      </c>
      <c r="AT55" s="185" t="s">
        <v>347</v>
      </c>
      <c r="AU55" s="185" t="s">
        <v>229</v>
      </c>
      <c r="AV55" s="185" t="s">
        <v>466</v>
      </c>
      <c r="AW55" s="185" t="s">
        <v>1951</v>
      </c>
      <c r="AX55" s="185">
        <v>3</v>
      </c>
      <c r="AY55" s="185" t="s">
        <v>879</v>
      </c>
      <c r="AZ55" s="185" t="s">
        <v>180</v>
      </c>
      <c r="BA55" s="185" t="s">
        <v>1987</v>
      </c>
      <c r="BB55" s="185" t="s">
        <v>879</v>
      </c>
      <c r="BC55" s="185" t="s">
        <v>180</v>
      </c>
      <c r="BD55" s="185" t="s">
        <v>1987</v>
      </c>
      <c r="BE55" s="185" t="s">
        <v>57</v>
      </c>
      <c r="BF55" s="185">
        <v>3</v>
      </c>
      <c r="BG55" s="185" t="s">
        <v>237</v>
      </c>
      <c r="BH55" s="185" t="s">
        <v>410</v>
      </c>
      <c r="BI55" s="185" t="s">
        <v>225</v>
      </c>
      <c r="BJ55" s="185" t="s">
        <v>237</v>
      </c>
      <c r="BK55" s="185" t="s">
        <v>410</v>
      </c>
      <c r="BL55" s="185" t="s">
        <v>225</v>
      </c>
      <c r="BM55" s="185" t="s">
        <v>198</v>
      </c>
      <c r="BN55" s="185">
        <v>2</v>
      </c>
      <c r="BO55" s="185" t="s">
        <v>199</v>
      </c>
      <c r="BP55" s="185" t="s">
        <v>1952</v>
      </c>
      <c r="BQ55" s="185" t="s">
        <v>1953</v>
      </c>
      <c r="BR55" s="185" t="s">
        <v>199</v>
      </c>
      <c r="BS55" s="185" t="s">
        <v>202</v>
      </c>
      <c r="BT55" s="185" t="s">
        <v>1954</v>
      </c>
    </row>
    <row r="56" spans="1:72" s="184" customFormat="1" ht="36" customHeight="1" x14ac:dyDescent="0.25">
      <c r="A56" s="155">
        <v>4</v>
      </c>
      <c r="B56" s="184" t="s">
        <v>978</v>
      </c>
      <c r="C56" s="184" t="s">
        <v>154</v>
      </c>
      <c r="D56" s="184" t="s">
        <v>1988</v>
      </c>
      <c r="E56" s="184" t="s">
        <v>1989</v>
      </c>
      <c r="F56" s="184" t="s">
        <v>1990</v>
      </c>
      <c r="G56" s="184" t="s">
        <v>1991</v>
      </c>
      <c r="H56" s="184" t="s">
        <v>1992</v>
      </c>
      <c r="I56" s="184" t="s">
        <v>1993</v>
      </c>
      <c r="J56" s="184" t="s">
        <v>1937</v>
      </c>
      <c r="K56" s="184" t="s">
        <v>1938</v>
      </c>
      <c r="L56" s="184" t="s">
        <v>1939</v>
      </c>
      <c r="M56" s="184" t="s">
        <v>1994</v>
      </c>
      <c r="N56" s="184" t="s">
        <v>163</v>
      </c>
      <c r="O56" s="184">
        <v>20</v>
      </c>
      <c r="P56" s="184" t="s">
        <v>259</v>
      </c>
      <c r="Q56" s="184" t="s">
        <v>1995</v>
      </c>
      <c r="R56" s="184" t="s">
        <v>1996</v>
      </c>
      <c r="S56" s="184" t="s">
        <v>1997</v>
      </c>
      <c r="T56" s="184" t="s">
        <v>1998</v>
      </c>
      <c r="U56" s="184" t="s">
        <v>1999</v>
      </c>
      <c r="V56" s="184" t="s">
        <v>2000</v>
      </c>
      <c r="W56" s="184" t="s">
        <v>2001</v>
      </c>
      <c r="X56" s="184" t="s">
        <v>2002</v>
      </c>
      <c r="Y56" s="185" t="s">
        <v>1948</v>
      </c>
      <c r="Z56" s="185">
        <v>4</v>
      </c>
      <c r="AA56" s="185" t="s">
        <v>2003</v>
      </c>
      <c r="AB56" s="185" t="s">
        <v>346</v>
      </c>
      <c r="AC56" s="185" t="s">
        <v>527</v>
      </c>
      <c r="AD56" s="185" t="s">
        <v>2003</v>
      </c>
      <c r="AE56" s="185" t="s">
        <v>346</v>
      </c>
      <c r="AF56" s="185" t="s">
        <v>527</v>
      </c>
      <c r="AG56" s="185" t="s">
        <v>1949</v>
      </c>
      <c r="AH56" s="185">
        <v>4</v>
      </c>
      <c r="AI56" s="185" t="s">
        <v>373</v>
      </c>
      <c r="AJ56" s="185" t="s">
        <v>1481</v>
      </c>
      <c r="AK56" s="185" t="s">
        <v>175</v>
      </c>
      <c r="AL56" s="185" t="s">
        <v>373</v>
      </c>
      <c r="AM56" s="185" t="s">
        <v>1481</v>
      </c>
      <c r="AN56" s="185" t="s">
        <v>175</v>
      </c>
      <c r="AO56" s="185" t="s">
        <v>1950</v>
      </c>
      <c r="AP56" s="185">
        <v>4</v>
      </c>
      <c r="AQ56" s="185" t="s">
        <v>2004</v>
      </c>
      <c r="AR56" s="185" t="s">
        <v>279</v>
      </c>
      <c r="AS56" s="185" t="s">
        <v>437</v>
      </c>
      <c r="AT56" s="185" t="s">
        <v>2004</v>
      </c>
      <c r="AU56" s="185" t="s">
        <v>279</v>
      </c>
      <c r="AV56" s="185" t="s">
        <v>437</v>
      </c>
      <c r="AW56" s="185" t="s">
        <v>1951</v>
      </c>
      <c r="AX56" s="185">
        <v>3</v>
      </c>
      <c r="AY56" s="185" t="s">
        <v>2005</v>
      </c>
      <c r="AZ56" s="185" t="s">
        <v>179</v>
      </c>
      <c r="BA56" s="185" t="s">
        <v>2006</v>
      </c>
      <c r="BB56" s="185" t="s">
        <v>2005</v>
      </c>
      <c r="BC56" s="185" t="s">
        <v>179</v>
      </c>
      <c r="BD56" s="185" t="s">
        <v>2006</v>
      </c>
      <c r="BE56" s="185" t="s">
        <v>57</v>
      </c>
      <c r="BF56" s="185">
        <v>3</v>
      </c>
      <c r="BG56" s="185" t="s">
        <v>317</v>
      </c>
      <c r="BH56" s="185" t="s">
        <v>1805</v>
      </c>
      <c r="BI56" s="185" t="s">
        <v>2007</v>
      </c>
      <c r="BJ56" s="185" t="s">
        <v>317</v>
      </c>
      <c r="BK56" s="185" t="s">
        <v>1805</v>
      </c>
      <c r="BL56" s="185" t="s">
        <v>2007</v>
      </c>
      <c r="BM56" s="185" t="s">
        <v>198</v>
      </c>
      <c r="BN56" s="185">
        <v>2</v>
      </c>
      <c r="BO56" s="185" t="s">
        <v>199</v>
      </c>
      <c r="BP56" s="185" t="s">
        <v>1952</v>
      </c>
      <c r="BQ56" s="185" t="s">
        <v>1953</v>
      </c>
      <c r="BR56" s="185" t="s">
        <v>199</v>
      </c>
      <c r="BS56" s="185" t="s">
        <v>202</v>
      </c>
      <c r="BT56" s="185" t="s">
        <v>1954</v>
      </c>
    </row>
    <row r="57" spans="1:72" s="184" customFormat="1" ht="36" customHeight="1" x14ac:dyDescent="0.25">
      <c r="A57" s="155">
        <v>5</v>
      </c>
      <c r="B57" s="184" t="s">
        <v>765</v>
      </c>
      <c r="C57" s="184" t="s">
        <v>247</v>
      </c>
      <c r="D57" s="184" t="s">
        <v>2008</v>
      </c>
      <c r="E57" s="184" t="s">
        <v>2009</v>
      </c>
      <c r="F57" s="184" t="s">
        <v>2010</v>
      </c>
      <c r="G57" s="184" t="s">
        <v>2011</v>
      </c>
      <c r="H57" s="184" t="s">
        <v>2012</v>
      </c>
      <c r="I57" s="184" t="s">
        <v>2013</v>
      </c>
      <c r="J57" s="184" t="s">
        <v>1937</v>
      </c>
      <c r="K57" s="184" t="s">
        <v>1938</v>
      </c>
      <c r="L57" s="184" t="s">
        <v>1939</v>
      </c>
      <c r="M57" s="184" t="s">
        <v>2014</v>
      </c>
      <c r="N57" s="184" t="s">
        <v>163</v>
      </c>
      <c r="O57" s="184">
        <v>20</v>
      </c>
      <c r="P57" s="184" t="s">
        <v>164</v>
      </c>
      <c r="Q57" s="184" t="s">
        <v>2015</v>
      </c>
      <c r="R57" s="184" t="s">
        <v>2016</v>
      </c>
      <c r="S57" s="184" t="s">
        <v>2017</v>
      </c>
      <c r="T57" s="184" t="s">
        <v>2018</v>
      </c>
      <c r="U57" s="184" t="s">
        <v>2019</v>
      </c>
      <c r="V57" s="184" t="s">
        <v>2020</v>
      </c>
      <c r="W57" s="184" t="s">
        <v>993</v>
      </c>
      <c r="X57" s="184" t="s">
        <v>2021</v>
      </c>
      <c r="Y57" s="185" t="s">
        <v>1948</v>
      </c>
      <c r="Z57" s="185">
        <v>4</v>
      </c>
      <c r="AA57" s="185" t="s">
        <v>2022</v>
      </c>
      <c r="AB57" s="185" t="s">
        <v>2023</v>
      </c>
      <c r="AC57" s="185" t="s">
        <v>2024</v>
      </c>
      <c r="AD57" s="185" t="s">
        <v>2022</v>
      </c>
      <c r="AE57" s="185" t="s">
        <v>2023</v>
      </c>
      <c r="AF57" s="185" t="s">
        <v>2024</v>
      </c>
      <c r="AG57" s="185" t="s">
        <v>1949</v>
      </c>
      <c r="AH57" s="185">
        <v>4</v>
      </c>
      <c r="AI57" s="185" t="s">
        <v>176</v>
      </c>
      <c r="AJ57" s="185" t="s">
        <v>196</v>
      </c>
      <c r="AK57" s="185" t="s">
        <v>273</v>
      </c>
      <c r="AL57" s="185" t="s">
        <v>176</v>
      </c>
      <c r="AM57" s="185" t="s">
        <v>196</v>
      </c>
      <c r="AN57" s="185" t="s">
        <v>273</v>
      </c>
      <c r="AO57" s="185" t="s">
        <v>1950</v>
      </c>
      <c r="AP57" s="185">
        <v>4</v>
      </c>
      <c r="AQ57" s="185" t="s">
        <v>232</v>
      </c>
      <c r="AR57" s="185" t="s">
        <v>230</v>
      </c>
      <c r="AS57" s="185" t="s">
        <v>182</v>
      </c>
      <c r="AT57" s="185" t="s">
        <v>232</v>
      </c>
      <c r="AU57" s="185" t="s">
        <v>230</v>
      </c>
      <c r="AV57" s="185" t="s">
        <v>182</v>
      </c>
      <c r="AW57" s="185" t="s">
        <v>1951</v>
      </c>
      <c r="AX57" s="185">
        <v>3</v>
      </c>
      <c r="AY57" s="185" t="s">
        <v>231</v>
      </c>
      <c r="AZ57" s="185" t="s">
        <v>179</v>
      </c>
      <c r="BA57" s="185" t="s">
        <v>2025</v>
      </c>
      <c r="BB57" s="185" t="s">
        <v>231</v>
      </c>
      <c r="BC57" s="185" t="s">
        <v>179</v>
      </c>
      <c r="BD57" s="185" t="s">
        <v>2025</v>
      </c>
      <c r="BE57" s="185" t="s">
        <v>57</v>
      </c>
      <c r="BF57" s="185">
        <v>3</v>
      </c>
      <c r="BG57" s="185" t="s">
        <v>188</v>
      </c>
      <c r="BH57" s="185" t="s">
        <v>1805</v>
      </c>
      <c r="BI57" s="185" t="s">
        <v>786</v>
      </c>
      <c r="BJ57" s="185" t="s">
        <v>188</v>
      </c>
      <c r="BK57" s="185" t="s">
        <v>1805</v>
      </c>
      <c r="BL57" s="185" t="s">
        <v>786</v>
      </c>
      <c r="BM57" s="185" t="s">
        <v>198</v>
      </c>
      <c r="BN57" s="185">
        <v>2</v>
      </c>
      <c r="BO57" s="185" t="s">
        <v>199</v>
      </c>
      <c r="BP57" s="185" t="s">
        <v>1952</v>
      </c>
      <c r="BQ57" s="185" t="s">
        <v>1953</v>
      </c>
      <c r="BR57" s="185" t="s">
        <v>199</v>
      </c>
      <c r="BS57" s="185" t="s">
        <v>202</v>
      </c>
      <c r="BT57" s="185" t="s">
        <v>1954</v>
      </c>
    </row>
    <row r="58" spans="1:72" s="184" customFormat="1" ht="36" customHeight="1" x14ac:dyDescent="0.25">
      <c r="A58" s="155">
        <v>6</v>
      </c>
      <c r="B58" s="184" t="s">
        <v>2026</v>
      </c>
      <c r="C58" s="184" t="s">
        <v>247</v>
      </c>
      <c r="D58" s="184" t="s">
        <v>2027</v>
      </c>
      <c r="E58" s="184" t="s">
        <v>2028</v>
      </c>
      <c r="F58" s="184" t="s">
        <v>2029</v>
      </c>
      <c r="G58" s="184" t="s">
        <v>2030</v>
      </c>
      <c r="H58" s="184" t="s">
        <v>2031</v>
      </c>
      <c r="I58" s="184" t="s">
        <v>2032</v>
      </c>
      <c r="J58" s="184" t="s">
        <v>1937</v>
      </c>
      <c r="K58" s="184" t="s">
        <v>1938</v>
      </c>
      <c r="L58" s="184" t="s">
        <v>1939</v>
      </c>
      <c r="M58" s="184" t="s">
        <v>2033</v>
      </c>
      <c r="N58" s="184" t="s">
        <v>163</v>
      </c>
      <c r="O58" s="184">
        <v>20</v>
      </c>
      <c r="P58" s="184" t="s">
        <v>259</v>
      </c>
      <c r="Q58" s="184" t="s">
        <v>2034</v>
      </c>
      <c r="R58" s="184" t="s">
        <v>2035</v>
      </c>
      <c r="S58" s="184" t="s">
        <v>2036</v>
      </c>
      <c r="T58" s="184" t="s">
        <v>2037</v>
      </c>
      <c r="U58" s="184" t="s">
        <v>2038</v>
      </c>
      <c r="V58" s="184" t="s">
        <v>2039</v>
      </c>
      <c r="W58" s="184" t="s">
        <v>2040</v>
      </c>
      <c r="X58" s="184" t="s">
        <v>2041</v>
      </c>
      <c r="Y58" s="185" t="s">
        <v>1948</v>
      </c>
      <c r="Z58" s="185">
        <v>4</v>
      </c>
      <c r="AA58" s="185" t="s">
        <v>2023</v>
      </c>
      <c r="AB58" s="185" t="s">
        <v>2042</v>
      </c>
      <c r="AC58" s="185" t="s">
        <v>2043</v>
      </c>
      <c r="AD58" s="185" t="s">
        <v>2023</v>
      </c>
      <c r="AE58" s="185" t="s">
        <v>2042</v>
      </c>
      <c r="AF58" s="185" t="s">
        <v>2043</v>
      </c>
      <c r="AG58" s="185" t="s">
        <v>1949</v>
      </c>
      <c r="AH58" s="185">
        <v>4</v>
      </c>
      <c r="AI58" s="185" t="s">
        <v>468</v>
      </c>
      <c r="AJ58" s="185" t="s">
        <v>2042</v>
      </c>
      <c r="AK58" s="185" t="s">
        <v>345</v>
      </c>
      <c r="AL58" s="185" t="s">
        <v>468</v>
      </c>
      <c r="AM58" s="185" t="s">
        <v>2042</v>
      </c>
      <c r="AN58" s="185" t="s">
        <v>345</v>
      </c>
      <c r="AO58" s="185" t="s">
        <v>1950</v>
      </c>
      <c r="AP58" s="185">
        <v>4</v>
      </c>
      <c r="AQ58" s="185" t="s">
        <v>466</v>
      </c>
      <c r="AR58" s="185" t="s">
        <v>182</v>
      </c>
      <c r="AS58" s="185" t="s">
        <v>1845</v>
      </c>
      <c r="AT58" s="185" t="s">
        <v>466</v>
      </c>
      <c r="AU58" s="185" t="s">
        <v>182</v>
      </c>
      <c r="AV58" s="185" t="s">
        <v>1845</v>
      </c>
      <c r="AW58" s="185" t="s">
        <v>1951</v>
      </c>
      <c r="AX58" s="185">
        <v>3</v>
      </c>
      <c r="AY58" s="185" t="s">
        <v>2042</v>
      </c>
      <c r="AZ58" s="185" t="s">
        <v>179</v>
      </c>
      <c r="BA58" s="185" t="s">
        <v>828</v>
      </c>
      <c r="BB58" s="185" t="s">
        <v>2042</v>
      </c>
      <c r="BC58" s="185" t="s">
        <v>179</v>
      </c>
      <c r="BD58" s="185" t="s">
        <v>828</v>
      </c>
      <c r="BE58" s="185" t="s">
        <v>57</v>
      </c>
      <c r="BF58" s="185">
        <v>3</v>
      </c>
      <c r="BG58" s="185" t="s">
        <v>188</v>
      </c>
      <c r="BH58" s="185" t="s">
        <v>190</v>
      </c>
      <c r="BI58" s="185" t="s">
        <v>281</v>
      </c>
      <c r="BJ58" s="185" t="s">
        <v>188</v>
      </c>
      <c r="BK58" s="185" t="s">
        <v>190</v>
      </c>
      <c r="BL58" s="185" t="s">
        <v>281</v>
      </c>
      <c r="BM58" s="185" t="s">
        <v>198</v>
      </c>
      <c r="BN58" s="185">
        <v>2</v>
      </c>
      <c r="BO58" s="185" t="s">
        <v>199</v>
      </c>
      <c r="BP58" s="185" t="s">
        <v>1952</v>
      </c>
      <c r="BQ58" s="185" t="s">
        <v>1953</v>
      </c>
      <c r="BR58" s="185" t="s">
        <v>199</v>
      </c>
      <c r="BS58" s="185" t="s">
        <v>202</v>
      </c>
      <c r="BT58" s="185" t="s">
        <v>1954</v>
      </c>
    </row>
    <row r="59" spans="1:72" s="184" customFormat="1" ht="36" customHeight="1" x14ac:dyDescent="0.25">
      <c r="A59" s="155">
        <v>7</v>
      </c>
      <c r="B59" s="184" t="s">
        <v>204</v>
      </c>
      <c r="C59" s="184" t="s">
        <v>205</v>
      </c>
      <c r="D59" s="184" t="s">
        <v>2044</v>
      </c>
      <c r="E59" s="184" t="s">
        <v>2045</v>
      </c>
      <c r="F59" s="184" t="s">
        <v>2046</v>
      </c>
      <c r="G59" s="184" t="s">
        <v>2047</v>
      </c>
      <c r="H59" s="184" t="s">
        <v>2048</v>
      </c>
      <c r="I59" s="184" t="s">
        <v>2049</v>
      </c>
      <c r="J59" s="184" t="s">
        <v>1937</v>
      </c>
      <c r="K59" s="184" t="s">
        <v>1938</v>
      </c>
      <c r="L59" s="184" t="s">
        <v>1939</v>
      </c>
      <c r="M59" s="184" t="s">
        <v>2050</v>
      </c>
      <c r="N59" s="184" t="s">
        <v>163</v>
      </c>
      <c r="O59" s="184">
        <v>20</v>
      </c>
      <c r="P59" s="184" t="s">
        <v>164</v>
      </c>
      <c r="Q59" s="184" t="s">
        <v>2051</v>
      </c>
      <c r="R59" s="184" t="s">
        <v>2052</v>
      </c>
      <c r="S59" s="184" t="s">
        <v>2053</v>
      </c>
      <c r="T59" s="184" t="s">
        <v>429</v>
      </c>
      <c r="U59" s="184" t="s">
        <v>2054</v>
      </c>
      <c r="V59" s="184" t="s">
        <v>2055</v>
      </c>
      <c r="W59" s="184" t="s">
        <v>2056</v>
      </c>
      <c r="X59" s="184" t="s">
        <v>2057</v>
      </c>
      <c r="Y59" s="185" t="s">
        <v>1948</v>
      </c>
      <c r="Z59" s="185">
        <v>4</v>
      </c>
      <c r="AA59" s="185" t="s">
        <v>434</v>
      </c>
      <c r="AB59" s="185" t="s">
        <v>2023</v>
      </c>
      <c r="AC59" s="185" t="s">
        <v>2058</v>
      </c>
      <c r="AD59" s="185" t="s">
        <v>434</v>
      </c>
      <c r="AE59" s="185" t="s">
        <v>2023</v>
      </c>
      <c r="AF59" s="185" t="s">
        <v>2058</v>
      </c>
      <c r="AG59" s="185" t="s">
        <v>1949</v>
      </c>
      <c r="AH59" s="185">
        <v>4</v>
      </c>
      <c r="AI59" s="185" t="s">
        <v>175</v>
      </c>
      <c r="AJ59" s="185" t="s">
        <v>226</v>
      </c>
      <c r="AK59" s="185" t="s">
        <v>1483</v>
      </c>
      <c r="AL59" s="185" t="s">
        <v>175</v>
      </c>
      <c r="AM59" s="185" t="s">
        <v>226</v>
      </c>
      <c r="AN59" s="185" t="s">
        <v>1483</v>
      </c>
      <c r="AO59" s="185" t="s">
        <v>1950</v>
      </c>
      <c r="AP59" s="185">
        <v>4</v>
      </c>
      <c r="AQ59" s="185" t="s">
        <v>229</v>
      </c>
      <c r="AR59" s="185" t="s">
        <v>230</v>
      </c>
      <c r="AS59" s="185" t="s">
        <v>182</v>
      </c>
      <c r="AT59" s="185" t="s">
        <v>229</v>
      </c>
      <c r="AU59" s="185" t="s">
        <v>230</v>
      </c>
      <c r="AV59" s="185" t="s">
        <v>182</v>
      </c>
      <c r="AW59" s="185" t="s">
        <v>1951</v>
      </c>
      <c r="AX59" s="185">
        <v>3</v>
      </c>
      <c r="AY59" s="185" t="s">
        <v>1483</v>
      </c>
      <c r="AZ59" s="185" t="s">
        <v>231</v>
      </c>
      <c r="BA59" s="185" t="s">
        <v>179</v>
      </c>
      <c r="BB59" s="185" t="s">
        <v>1483</v>
      </c>
      <c r="BC59" s="185" t="s">
        <v>231</v>
      </c>
      <c r="BD59" s="185" t="s">
        <v>179</v>
      </c>
      <c r="BE59" s="185" t="s">
        <v>57</v>
      </c>
      <c r="BF59" s="185">
        <v>3</v>
      </c>
      <c r="BG59" s="185" t="s">
        <v>237</v>
      </c>
      <c r="BH59" s="185" t="s">
        <v>238</v>
      </c>
      <c r="BI59" s="185" t="s">
        <v>240</v>
      </c>
      <c r="BJ59" s="185" t="s">
        <v>237</v>
      </c>
      <c r="BK59" s="185" t="s">
        <v>238</v>
      </c>
      <c r="BL59" s="185" t="s">
        <v>240</v>
      </c>
      <c r="BM59" s="185" t="s">
        <v>198</v>
      </c>
      <c r="BN59" s="185">
        <v>2</v>
      </c>
      <c r="BO59" s="185" t="s">
        <v>199</v>
      </c>
      <c r="BP59" s="185" t="s">
        <v>1952</v>
      </c>
      <c r="BQ59" s="185" t="s">
        <v>1953</v>
      </c>
      <c r="BR59" s="185" t="s">
        <v>199</v>
      </c>
      <c r="BS59" s="185" t="s">
        <v>202</v>
      </c>
      <c r="BT59" s="185" t="s">
        <v>1954</v>
      </c>
    </row>
    <row r="60" spans="1:72" s="184" customFormat="1" ht="36" customHeight="1" x14ac:dyDescent="0.25">
      <c r="A60" s="155">
        <v>8</v>
      </c>
      <c r="B60" s="184" t="s">
        <v>2059</v>
      </c>
      <c r="C60" s="184" t="s">
        <v>247</v>
      </c>
      <c r="D60" s="184" t="s">
        <v>2060</v>
      </c>
      <c r="E60" s="184" t="s">
        <v>2061</v>
      </c>
      <c r="F60" s="184" t="s">
        <v>2062</v>
      </c>
      <c r="G60" s="184" t="s">
        <v>2063</v>
      </c>
      <c r="H60" s="184" t="s">
        <v>2064</v>
      </c>
      <c r="I60" s="184" t="s">
        <v>2065</v>
      </c>
      <c r="J60" s="184" t="s">
        <v>1937</v>
      </c>
      <c r="K60" s="184" t="s">
        <v>1938</v>
      </c>
      <c r="L60" s="184" t="s">
        <v>1939</v>
      </c>
      <c r="M60" s="184" t="s">
        <v>2066</v>
      </c>
      <c r="N60" s="184" t="s">
        <v>163</v>
      </c>
      <c r="O60" s="184">
        <v>20</v>
      </c>
      <c r="P60" s="184" t="s">
        <v>259</v>
      </c>
      <c r="Q60" s="184" t="s">
        <v>2067</v>
      </c>
      <c r="R60" s="184" t="s">
        <v>2068</v>
      </c>
      <c r="S60" s="184" t="s">
        <v>2069</v>
      </c>
      <c r="T60" s="184" t="s">
        <v>2070</v>
      </c>
      <c r="U60" s="184" t="s">
        <v>306</v>
      </c>
      <c r="V60" s="184" t="s">
        <v>2071</v>
      </c>
      <c r="W60" s="184" t="s">
        <v>2072</v>
      </c>
      <c r="X60" s="184" t="s">
        <v>2073</v>
      </c>
      <c r="Y60" s="185" t="s">
        <v>1948</v>
      </c>
      <c r="Z60" s="185">
        <v>4</v>
      </c>
      <c r="AA60" s="185" t="s">
        <v>434</v>
      </c>
      <c r="AB60" s="185" t="s">
        <v>2023</v>
      </c>
      <c r="AC60" s="185" t="s">
        <v>2074</v>
      </c>
      <c r="AD60" s="185" t="s">
        <v>434</v>
      </c>
      <c r="AE60" s="185" t="s">
        <v>2023</v>
      </c>
      <c r="AF60" s="185" t="s">
        <v>2074</v>
      </c>
      <c r="AG60" s="185" t="s">
        <v>1949</v>
      </c>
      <c r="AH60" s="185">
        <v>4</v>
      </c>
      <c r="AI60" s="185" t="s">
        <v>176</v>
      </c>
      <c r="AJ60" s="185" t="s">
        <v>310</v>
      </c>
      <c r="AK60" s="185" t="s">
        <v>313</v>
      </c>
      <c r="AL60" s="185" t="s">
        <v>176</v>
      </c>
      <c r="AM60" s="185" t="s">
        <v>310</v>
      </c>
      <c r="AN60" s="185" t="s">
        <v>313</v>
      </c>
      <c r="AO60" s="185" t="s">
        <v>1950</v>
      </c>
      <c r="AP60" s="185">
        <v>4</v>
      </c>
      <c r="AQ60" s="185" t="s">
        <v>681</v>
      </c>
      <c r="AR60" s="185" t="s">
        <v>2075</v>
      </c>
      <c r="AS60" s="185" t="s">
        <v>314</v>
      </c>
      <c r="AT60" s="185" t="s">
        <v>681</v>
      </c>
      <c r="AU60" s="185" t="s">
        <v>2075</v>
      </c>
      <c r="AV60" s="185" t="s">
        <v>314</v>
      </c>
      <c r="AW60" s="185" t="s">
        <v>1951</v>
      </c>
      <c r="AX60" s="185">
        <v>3</v>
      </c>
      <c r="AY60" s="185" t="s">
        <v>231</v>
      </c>
      <c r="AZ60" s="185" t="s">
        <v>179</v>
      </c>
      <c r="BA60" s="185" t="s">
        <v>828</v>
      </c>
      <c r="BB60" s="185" t="s">
        <v>231</v>
      </c>
      <c r="BC60" s="185" t="s">
        <v>179</v>
      </c>
      <c r="BD60" s="185" t="s">
        <v>828</v>
      </c>
      <c r="BE60" s="185" t="s">
        <v>57</v>
      </c>
      <c r="BF60" s="185">
        <v>3</v>
      </c>
      <c r="BG60" s="185" t="s">
        <v>317</v>
      </c>
      <c r="BH60" s="185" t="s">
        <v>493</v>
      </c>
      <c r="BI60" s="185" t="s">
        <v>1805</v>
      </c>
      <c r="BJ60" s="185" t="s">
        <v>317</v>
      </c>
      <c r="BK60" s="185" t="s">
        <v>493</v>
      </c>
      <c r="BL60" s="185" t="s">
        <v>1805</v>
      </c>
      <c r="BM60" s="185" t="s">
        <v>198</v>
      </c>
      <c r="BN60" s="185">
        <v>2</v>
      </c>
      <c r="BO60" s="185" t="s">
        <v>199</v>
      </c>
      <c r="BP60" s="185" t="s">
        <v>1952</v>
      </c>
      <c r="BQ60" s="185" t="s">
        <v>1953</v>
      </c>
      <c r="BR60" s="185" t="s">
        <v>199</v>
      </c>
      <c r="BS60" s="185" t="s">
        <v>202</v>
      </c>
      <c r="BT60" s="185" t="s">
        <v>1954</v>
      </c>
    </row>
    <row r="61" spans="1:72" s="184" customFormat="1" ht="36" customHeight="1" x14ac:dyDescent="0.25">
      <c r="A61" s="155">
        <v>9</v>
      </c>
      <c r="B61" s="184" t="s">
        <v>2076</v>
      </c>
      <c r="C61" s="184" t="s">
        <v>154</v>
      </c>
      <c r="D61" s="184" t="s">
        <v>2077</v>
      </c>
      <c r="E61" s="184" t="s">
        <v>2078</v>
      </c>
      <c r="F61" s="184" t="s">
        <v>2079</v>
      </c>
      <c r="G61" s="184" t="s">
        <v>2080</v>
      </c>
      <c r="H61" s="184" t="s">
        <v>2081</v>
      </c>
      <c r="I61" s="184" t="s">
        <v>2082</v>
      </c>
      <c r="J61" s="184" t="s">
        <v>1937</v>
      </c>
      <c r="K61" s="184" t="s">
        <v>1938</v>
      </c>
      <c r="L61" s="184" t="s">
        <v>1939</v>
      </c>
      <c r="M61" s="184" t="s">
        <v>2083</v>
      </c>
      <c r="N61" s="184" t="s">
        <v>163</v>
      </c>
      <c r="O61" s="184">
        <v>20</v>
      </c>
      <c r="P61" s="184" t="s">
        <v>259</v>
      </c>
      <c r="Q61" s="184" t="s">
        <v>2084</v>
      </c>
      <c r="R61" s="184" t="s">
        <v>2085</v>
      </c>
      <c r="S61" s="184" t="s">
        <v>2086</v>
      </c>
      <c r="T61" s="184" t="s">
        <v>2087</v>
      </c>
      <c r="U61" s="184" t="s">
        <v>1259</v>
      </c>
      <c r="V61" s="184" t="s">
        <v>2088</v>
      </c>
      <c r="W61" s="184" t="s">
        <v>2089</v>
      </c>
      <c r="X61" s="184" t="s">
        <v>2090</v>
      </c>
      <c r="Y61" s="185" t="s">
        <v>1948</v>
      </c>
      <c r="Z61" s="185">
        <v>4</v>
      </c>
      <c r="AA61" s="185" t="s">
        <v>2091</v>
      </c>
      <c r="AB61" s="185" t="s">
        <v>273</v>
      </c>
      <c r="AC61" s="185" t="s">
        <v>2092</v>
      </c>
      <c r="AD61" s="185" t="s">
        <v>2091</v>
      </c>
      <c r="AE61" s="185" t="s">
        <v>273</v>
      </c>
      <c r="AF61" s="185" t="s">
        <v>2092</v>
      </c>
      <c r="AG61" s="185" t="s">
        <v>1949</v>
      </c>
      <c r="AH61" s="185">
        <v>4</v>
      </c>
      <c r="AI61" s="185" t="s">
        <v>226</v>
      </c>
      <c r="AJ61" s="185" t="s">
        <v>2093</v>
      </c>
      <c r="AK61" s="185" t="s">
        <v>179</v>
      </c>
      <c r="AL61" s="185" t="s">
        <v>226</v>
      </c>
      <c r="AM61" s="185" t="s">
        <v>2093</v>
      </c>
      <c r="AN61" s="185" t="s">
        <v>179</v>
      </c>
      <c r="AO61" s="185" t="s">
        <v>1950</v>
      </c>
      <c r="AP61" s="185">
        <v>4</v>
      </c>
      <c r="AQ61" s="185" t="s">
        <v>230</v>
      </c>
      <c r="AR61" s="185" t="s">
        <v>182</v>
      </c>
      <c r="AS61" s="185" t="s">
        <v>229</v>
      </c>
      <c r="AT61" s="185" t="s">
        <v>230</v>
      </c>
      <c r="AU61" s="185" t="s">
        <v>182</v>
      </c>
      <c r="AV61" s="185" t="s">
        <v>229</v>
      </c>
      <c r="AW61" s="185" t="s">
        <v>1951</v>
      </c>
      <c r="AX61" s="185">
        <v>3</v>
      </c>
      <c r="AY61" s="185" t="s">
        <v>179</v>
      </c>
      <c r="AZ61" s="185" t="s">
        <v>2094</v>
      </c>
      <c r="BA61" s="185" t="s">
        <v>2095</v>
      </c>
      <c r="BB61" s="185" t="s">
        <v>179</v>
      </c>
      <c r="BC61" s="185" t="s">
        <v>2094</v>
      </c>
      <c r="BD61" s="185" t="s">
        <v>2095</v>
      </c>
      <c r="BE61" s="185" t="s">
        <v>57</v>
      </c>
      <c r="BF61" s="185">
        <v>3</v>
      </c>
      <c r="BG61" s="185" t="s">
        <v>237</v>
      </c>
      <c r="BH61" s="185" t="s">
        <v>317</v>
      </c>
      <c r="BI61" s="185" t="s">
        <v>1805</v>
      </c>
      <c r="BJ61" s="185" t="s">
        <v>237</v>
      </c>
      <c r="BK61" s="185" t="s">
        <v>317</v>
      </c>
      <c r="BL61" s="185" t="s">
        <v>1805</v>
      </c>
      <c r="BM61" s="185" t="s">
        <v>198</v>
      </c>
      <c r="BN61" s="185">
        <v>2</v>
      </c>
      <c r="BO61" s="185" t="s">
        <v>199</v>
      </c>
      <c r="BP61" s="185" t="s">
        <v>1952</v>
      </c>
      <c r="BQ61" s="185" t="s">
        <v>1953</v>
      </c>
      <c r="BR61" s="185" t="s">
        <v>199</v>
      </c>
      <c r="BS61" s="185" t="s">
        <v>202</v>
      </c>
      <c r="BT61" s="185" t="s">
        <v>1954</v>
      </c>
    </row>
    <row r="62" spans="1:72" s="184" customFormat="1" ht="36" customHeight="1" x14ac:dyDescent="0.25">
      <c r="A62" s="155">
        <v>10</v>
      </c>
      <c r="B62" s="184" t="s">
        <v>2096</v>
      </c>
      <c r="C62" s="184" t="s">
        <v>247</v>
      </c>
      <c r="D62" s="184" t="s">
        <v>2097</v>
      </c>
      <c r="E62" s="184" t="s">
        <v>2098</v>
      </c>
      <c r="F62" s="184" t="s">
        <v>2099</v>
      </c>
      <c r="G62" s="184" t="s">
        <v>2100</v>
      </c>
      <c r="H62" s="184" t="s">
        <v>2101</v>
      </c>
      <c r="I62" s="184" t="s">
        <v>2102</v>
      </c>
      <c r="J62" s="184" t="s">
        <v>1937</v>
      </c>
      <c r="K62" s="184" t="s">
        <v>1938</v>
      </c>
      <c r="L62" s="184" t="s">
        <v>1939</v>
      </c>
      <c r="M62" s="184" t="s">
        <v>2103</v>
      </c>
      <c r="N62" s="184" t="s">
        <v>163</v>
      </c>
      <c r="O62" s="184">
        <v>20</v>
      </c>
      <c r="P62" s="184" t="s">
        <v>164</v>
      </c>
      <c r="Q62" s="184" t="s">
        <v>2104</v>
      </c>
      <c r="R62" s="184" t="s">
        <v>2105</v>
      </c>
      <c r="S62" s="184" t="s">
        <v>2106</v>
      </c>
      <c r="T62" s="184" t="s">
        <v>2018</v>
      </c>
      <c r="U62" s="184" t="s">
        <v>2107</v>
      </c>
      <c r="V62" s="184" t="s">
        <v>2108</v>
      </c>
      <c r="W62" s="184" t="s">
        <v>2109</v>
      </c>
      <c r="X62" s="184" t="s">
        <v>2110</v>
      </c>
      <c r="Y62" s="185" t="s">
        <v>1948</v>
      </c>
      <c r="Z62" s="185">
        <v>4</v>
      </c>
      <c r="AA62" s="185" t="s">
        <v>2111</v>
      </c>
      <c r="AB62" s="185" t="s">
        <v>1897</v>
      </c>
      <c r="AC62" s="185" t="s">
        <v>273</v>
      </c>
      <c r="AD62" s="185" t="s">
        <v>2111</v>
      </c>
      <c r="AE62" s="185" t="s">
        <v>1897</v>
      </c>
      <c r="AF62" s="185" t="s">
        <v>273</v>
      </c>
      <c r="AG62" s="185" t="s">
        <v>1949</v>
      </c>
      <c r="AH62" s="185">
        <v>4</v>
      </c>
      <c r="AI62" s="185" t="s">
        <v>176</v>
      </c>
      <c r="AJ62" s="185" t="s">
        <v>285</v>
      </c>
      <c r="AK62" s="185" t="s">
        <v>2112</v>
      </c>
      <c r="AL62" s="185" t="s">
        <v>176</v>
      </c>
      <c r="AM62" s="185" t="s">
        <v>285</v>
      </c>
      <c r="AN62" s="185" t="s">
        <v>2112</v>
      </c>
      <c r="AO62" s="185" t="s">
        <v>1950</v>
      </c>
      <c r="AP62" s="185">
        <v>4</v>
      </c>
      <c r="AQ62" s="185" t="s">
        <v>408</v>
      </c>
      <c r="AR62" s="185" t="s">
        <v>760</v>
      </c>
      <c r="AS62" s="185" t="s">
        <v>437</v>
      </c>
      <c r="AT62" s="185" t="s">
        <v>408</v>
      </c>
      <c r="AU62" s="185" t="s">
        <v>760</v>
      </c>
      <c r="AV62" s="185" t="s">
        <v>437</v>
      </c>
      <c r="AW62" s="185" t="s">
        <v>1951</v>
      </c>
      <c r="AX62" s="185">
        <v>3</v>
      </c>
      <c r="AY62" s="185" t="s">
        <v>231</v>
      </c>
      <c r="AZ62" s="185" t="s">
        <v>179</v>
      </c>
      <c r="BA62" s="185" t="s">
        <v>589</v>
      </c>
      <c r="BB62" s="185" t="s">
        <v>231</v>
      </c>
      <c r="BC62" s="185" t="s">
        <v>179</v>
      </c>
      <c r="BD62" s="185" t="s">
        <v>589</v>
      </c>
      <c r="BE62" s="185" t="s">
        <v>57</v>
      </c>
      <c r="BF62" s="185">
        <v>3</v>
      </c>
      <c r="BG62" s="185" t="s">
        <v>189</v>
      </c>
      <c r="BH62" s="185" t="s">
        <v>188</v>
      </c>
      <c r="BI62" s="185" t="s">
        <v>191</v>
      </c>
      <c r="BJ62" s="185" t="s">
        <v>189</v>
      </c>
      <c r="BK62" s="185" t="s">
        <v>188</v>
      </c>
      <c r="BL62" s="185" t="s">
        <v>191</v>
      </c>
      <c r="BM62" s="185" t="s">
        <v>198</v>
      </c>
      <c r="BN62" s="185">
        <v>2</v>
      </c>
      <c r="BO62" s="185" t="s">
        <v>199</v>
      </c>
      <c r="BP62" s="185" t="s">
        <v>1952</v>
      </c>
      <c r="BQ62" s="185" t="s">
        <v>1953</v>
      </c>
      <c r="BR62" s="185" t="s">
        <v>199</v>
      </c>
      <c r="BS62" s="185" t="s">
        <v>202</v>
      </c>
      <c r="BT62" s="185" t="s">
        <v>1954</v>
      </c>
    </row>
    <row r="63" spans="1:72" s="184" customFormat="1" ht="36" customHeight="1" x14ac:dyDescent="0.25">
      <c r="A63" s="155">
        <v>11</v>
      </c>
      <c r="B63" s="184" t="s">
        <v>506</v>
      </c>
      <c r="C63" s="184" t="s">
        <v>247</v>
      </c>
      <c r="D63" s="184" t="s">
        <v>2113</v>
      </c>
      <c r="E63" s="184" t="s">
        <v>2114</v>
      </c>
      <c r="F63" s="184" t="s">
        <v>2115</v>
      </c>
      <c r="G63" s="184" t="s">
        <v>2116</v>
      </c>
      <c r="H63" s="184" t="s">
        <v>2117</v>
      </c>
      <c r="I63" s="184" t="s">
        <v>2118</v>
      </c>
      <c r="J63" s="184" t="s">
        <v>1937</v>
      </c>
      <c r="K63" s="184" t="s">
        <v>1938</v>
      </c>
      <c r="L63" s="184" t="s">
        <v>1939</v>
      </c>
      <c r="M63" s="184" t="s">
        <v>2119</v>
      </c>
      <c r="N63" s="184" t="s">
        <v>163</v>
      </c>
      <c r="O63" s="184">
        <v>20</v>
      </c>
      <c r="P63" s="184" t="s">
        <v>164</v>
      </c>
      <c r="Q63" s="184" t="s">
        <v>2120</v>
      </c>
      <c r="R63" s="184" t="s">
        <v>2121</v>
      </c>
      <c r="S63" s="184" t="s">
        <v>2122</v>
      </c>
      <c r="T63" s="184" t="s">
        <v>2123</v>
      </c>
      <c r="U63" s="184" t="s">
        <v>521</v>
      </c>
      <c r="V63" s="184" t="s">
        <v>2124</v>
      </c>
      <c r="W63" s="184" t="s">
        <v>2125</v>
      </c>
      <c r="X63" s="184" t="s">
        <v>2126</v>
      </c>
      <c r="Y63" s="185" t="s">
        <v>1948</v>
      </c>
      <c r="Z63" s="185">
        <v>4</v>
      </c>
      <c r="AA63" s="185" t="s">
        <v>2127</v>
      </c>
      <c r="AB63" s="185" t="s">
        <v>2091</v>
      </c>
      <c r="AC63" s="185" t="s">
        <v>273</v>
      </c>
      <c r="AD63" s="185" t="s">
        <v>2127</v>
      </c>
      <c r="AE63" s="185" t="s">
        <v>2091</v>
      </c>
      <c r="AF63" s="185" t="s">
        <v>273</v>
      </c>
      <c r="AG63" s="185" t="s">
        <v>1949</v>
      </c>
      <c r="AH63" s="185">
        <v>4</v>
      </c>
      <c r="AI63" s="185" t="s">
        <v>2128</v>
      </c>
      <c r="AJ63" s="185" t="s">
        <v>2129</v>
      </c>
      <c r="AK63" s="185" t="s">
        <v>179</v>
      </c>
      <c r="AL63" s="185" t="s">
        <v>2128</v>
      </c>
      <c r="AM63" s="185" t="s">
        <v>2129</v>
      </c>
      <c r="AN63" s="185" t="s">
        <v>179</v>
      </c>
      <c r="AO63" s="185" t="s">
        <v>1950</v>
      </c>
      <c r="AP63" s="185">
        <v>4</v>
      </c>
      <c r="AQ63" s="185" t="s">
        <v>1878</v>
      </c>
      <c r="AR63" s="185" t="s">
        <v>435</v>
      </c>
      <c r="AS63" s="185" t="s">
        <v>232</v>
      </c>
      <c r="AT63" s="185" t="s">
        <v>1878</v>
      </c>
      <c r="AU63" s="185" t="s">
        <v>435</v>
      </c>
      <c r="AV63" s="185" t="s">
        <v>232</v>
      </c>
      <c r="AW63" s="185" t="s">
        <v>1951</v>
      </c>
      <c r="AX63" s="185">
        <v>3</v>
      </c>
      <c r="AY63" s="185" t="s">
        <v>589</v>
      </c>
      <c r="AZ63" s="185" t="s">
        <v>179</v>
      </c>
      <c r="BA63" s="185" t="s">
        <v>2130</v>
      </c>
      <c r="BB63" s="185" t="s">
        <v>589</v>
      </c>
      <c r="BC63" s="185" t="s">
        <v>179</v>
      </c>
      <c r="BD63" s="185" t="s">
        <v>2130</v>
      </c>
      <c r="BE63" s="185" t="s">
        <v>57</v>
      </c>
      <c r="BF63" s="185">
        <v>3</v>
      </c>
      <c r="BG63" s="185" t="s">
        <v>281</v>
      </c>
      <c r="BH63" s="185" t="s">
        <v>280</v>
      </c>
      <c r="BI63" s="185" t="s">
        <v>284</v>
      </c>
      <c r="BJ63" s="185" t="s">
        <v>281</v>
      </c>
      <c r="BK63" s="185" t="s">
        <v>280</v>
      </c>
      <c r="BL63" s="185" t="s">
        <v>284</v>
      </c>
      <c r="BM63" s="185" t="s">
        <v>198</v>
      </c>
      <c r="BN63" s="185">
        <v>2</v>
      </c>
      <c r="BO63" s="185" t="s">
        <v>199</v>
      </c>
      <c r="BP63" s="185" t="s">
        <v>1952</v>
      </c>
      <c r="BQ63" s="185" t="s">
        <v>1953</v>
      </c>
      <c r="BR63" s="185" t="s">
        <v>199</v>
      </c>
      <c r="BS63" s="185" t="s">
        <v>202</v>
      </c>
      <c r="BT63" s="185" t="s">
        <v>1954</v>
      </c>
    </row>
    <row r="64" spans="1:72" s="184" customFormat="1" ht="36" customHeight="1" x14ac:dyDescent="0.25">
      <c r="A64" s="155">
        <v>12</v>
      </c>
      <c r="B64" s="184" t="s">
        <v>978</v>
      </c>
      <c r="C64" s="184" t="s">
        <v>154</v>
      </c>
      <c r="D64" s="184" t="s">
        <v>2131</v>
      </c>
      <c r="E64" s="184" t="s">
        <v>2132</v>
      </c>
      <c r="F64" s="184" t="s">
        <v>2133</v>
      </c>
      <c r="G64" s="184" t="s">
        <v>2134</v>
      </c>
      <c r="H64" s="184" t="s">
        <v>2135</v>
      </c>
      <c r="I64" s="184" t="s">
        <v>2136</v>
      </c>
      <c r="J64" s="184" t="s">
        <v>1937</v>
      </c>
      <c r="K64" s="184" t="s">
        <v>1938</v>
      </c>
      <c r="L64" s="184" t="s">
        <v>1939</v>
      </c>
      <c r="M64" s="184" t="s">
        <v>2137</v>
      </c>
      <c r="N64" s="184" t="s">
        <v>163</v>
      </c>
      <c r="O64" s="184">
        <v>20</v>
      </c>
      <c r="P64" s="184" t="s">
        <v>259</v>
      </c>
      <c r="Q64" s="184" t="s">
        <v>2138</v>
      </c>
      <c r="R64" s="184" t="s">
        <v>2139</v>
      </c>
      <c r="S64" s="184" t="s">
        <v>2140</v>
      </c>
      <c r="T64" s="184" t="s">
        <v>2141</v>
      </c>
      <c r="U64" s="184" t="s">
        <v>673</v>
      </c>
      <c r="V64" s="184" t="s">
        <v>2142</v>
      </c>
      <c r="W64" s="184" t="s">
        <v>2143</v>
      </c>
      <c r="X64" s="184" t="s">
        <v>2144</v>
      </c>
      <c r="Y64" s="185" t="s">
        <v>1948</v>
      </c>
      <c r="Z64" s="185">
        <v>4</v>
      </c>
      <c r="AA64" s="185" t="s">
        <v>2091</v>
      </c>
      <c r="AB64" s="185" t="s">
        <v>182</v>
      </c>
      <c r="AC64" s="185" t="s">
        <v>2145</v>
      </c>
      <c r="AD64" s="185" t="s">
        <v>2091</v>
      </c>
      <c r="AE64" s="185" t="s">
        <v>182</v>
      </c>
      <c r="AF64" s="185" t="s">
        <v>2145</v>
      </c>
      <c r="AG64" s="185" t="s">
        <v>1949</v>
      </c>
      <c r="AH64" s="185">
        <v>4</v>
      </c>
      <c r="AI64" s="185" t="s">
        <v>374</v>
      </c>
      <c r="AJ64" s="185" t="s">
        <v>2146</v>
      </c>
      <c r="AK64" s="185" t="s">
        <v>2093</v>
      </c>
      <c r="AL64" s="185" t="s">
        <v>374</v>
      </c>
      <c r="AM64" s="185" t="s">
        <v>2146</v>
      </c>
      <c r="AN64" s="185" t="s">
        <v>2093</v>
      </c>
      <c r="AO64" s="185" t="s">
        <v>1950</v>
      </c>
      <c r="AP64" s="185">
        <v>4</v>
      </c>
      <c r="AQ64" s="185" t="s">
        <v>230</v>
      </c>
      <c r="AR64" s="185" t="s">
        <v>2004</v>
      </c>
      <c r="AS64" s="185" t="s">
        <v>182</v>
      </c>
      <c r="AT64" s="185" t="s">
        <v>230</v>
      </c>
      <c r="AU64" s="185" t="s">
        <v>2004</v>
      </c>
      <c r="AV64" s="185" t="s">
        <v>182</v>
      </c>
      <c r="AW64" s="185" t="s">
        <v>1951</v>
      </c>
      <c r="AX64" s="185">
        <v>3</v>
      </c>
      <c r="AY64" s="185" t="s">
        <v>231</v>
      </c>
      <c r="AZ64" s="185" t="s">
        <v>179</v>
      </c>
      <c r="BA64" s="185" t="s">
        <v>285</v>
      </c>
      <c r="BB64" s="185" t="s">
        <v>231</v>
      </c>
      <c r="BC64" s="185" t="s">
        <v>179</v>
      </c>
      <c r="BD64" s="185" t="s">
        <v>285</v>
      </c>
      <c r="BE64" s="185" t="s">
        <v>57</v>
      </c>
      <c r="BF64" s="185">
        <v>3</v>
      </c>
      <c r="BG64" s="185" t="s">
        <v>317</v>
      </c>
      <c r="BH64" s="185" t="s">
        <v>1805</v>
      </c>
      <c r="BI64" s="185" t="s">
        <v>2007</v>
      </c>
      <c r="BJ64" s="185" t="s">
        <v>317</v>
      </c>
      <c r="BK64" s="185" t="s">
        <v>1805</v>
      </c>
      <c r="BL64" s="185" t="s">
        <v>2007</v>
      </c>
      <c r="BM64" s="185" t="s">
        <v>198</v>
      </c>
      <c r="BN64" s="185">
        <v>2</v>
      </c>
      <c r="BO64" s="185" t="s">
        <v>199</v>
      </c>
      <c r="BP64" s="185" t="s">
        <v>1952</v>
      </c>
      <c r="BQ64" s="185" t="s">
        <v>1953</v>
      </c>
      <c r="BR64" s="185" t="s">
        <v>199</v>
      </c>
      <c r="BS64" s="185" t="s">
        <v>202</v>
      </c>
      <c r="BT64" s="185" t="s">
        <v>1954</v>
      </c>
    </row>
    <row r="65" spans="1:72" s="184" customFormat="1" ht="36" customHeight="1" x14ac:dyDescent="0.25">
      <c r="A65" s="155">
        <v>13</v>
      </c>
      <c r="B65" s="184" t="s">
        <v>246</v>
      </c>
      <c r="C65" s="184" t="s">
        <v>247</v>
      </c>
      <c r="D65" s="184" t="s">
        <v>2147</v>
      </c>
      <c r="E65" s="184" t="s">
        <v>2148</v>
      </c>
      <c r="F65" s="184" t="s">
        <v>2149</v>
      </c>
      <c r="G65" s="184" t="s">
        <v>2150</v>
      </c>
      <c r="H65" s="184" t="s">
        <v>2151</v>
      </c>
      <c r="I65" s="184" t="s">
        <v>2152</v>
      </c>
      <c r="J65" s="184" t="s">
        <v>1937</v>
      </c>
      <c r="K65" s="184" t="s">
        <v>1938</v>
      </c>
      <c r="L65" s="184" t="s">
        <v>1939</v>
      </c>
      <c r="M65" s="184" t="s">
        <v>2153</v>
      </c>
      <c r="N65" s="184" t="s">
        <v>163</v>
      </c>
      <c r="O65" s="184">
        <v>20</v>
      </c>
      <c r="P65" s="184" t="s">
        <v>164</v>
      </c>
      <c r="Q65" s="184" t="s">
        <v>2154</v>
      </c>
      <c r="R65" s="184" t="s">
        <v>2155</v>
      </c>
      <c r="S65" s="184" t="s">
        <v>2156</v>
      </c>
      <c r="T65" s="184" t="s">
        <v>2157</v>
      </c>
      <c r="U65" s="184" t="s">
        <v>521</v>
      </c>
      <c r="V65" s="184" t="s">
        <v>2158</v>
      </c>
      <c r="W65" s="184" t="s">
        <v>2159</v>
      </c>
      <c r="X65" s="184" t="s">
        <v>2160</v>
      </c>
      <c r="Y65" s="185" t="s">
        <v>1948</v>
      </c>
      <c r="Z65" s="185">
        <v>4</v>
      </c>
      <c r="AA65" s="185" t="s">
        <v>525</v>
      </c>
      <c r="AB65" s="185" t="s">
        <v>527</v>
      </c>
      <c r="AC65" s="185" t="s">
        <v>2161</v>
      </c>
      <c r="AD65" s="185" t="s">
        <v>525</v>
      </c>
      <c r="AE65" s="185" t="s">
        <v>527</v>
      </c>
      <c r="AF65" s="185" t="s">
        <v>2161</v>
      </c>
      <c r="AG65" s="185" t="s">
        <v>1949</v>
      </c>
      <c r="AH65" s="185">
        <v>4</v>
      </c>
      <c r="AI65" s="185" t="s">
        <v>226</v>
      </c>
      <c r="AJ65" s="185" t="s">
        <v>2162</v>
      </c>
      <c r="AK65" s="185" t="s">
        <v>527</v>
      </c>
      <c r="AL65" s="185" t="s">
        <v>226</v>
      </c>
      <c r="AM65" s="185" t="s">
        <v>2162</v>
      </c>
      <c r="AN65" s="185" t="s">
        <v>527</v>
      </c>
      <c r="AO65" s="185" t="s">
        <v>1950</v>
      </c>
      <c r="AP65" s="185">
        <v>4</v>
      </c>
      <c r="AQ65" s="185" t="s">
        <v>279</v>
      </c>
      <c r="AR65" s="185" t="s">
        <v>234</v>
      </c>
      <c r="AS65" s="185" t="s">
        <v>408</v>
      </c>
      <c r="AT65" s="185" t="s">
        <v>279</v>
      </c>
      <c r="AU65" s="185" t="s">
        <v>234</v>
      </c>
      <c r="AV65" s="185" t="s">
        <v>408</v>
      </c>
      <c r="AW65" s="185" t="s">
        <v>1951</v>
      </c>
      <c r="AX65" s="185">
        <v>3</v>
      </c>
      <c r="AY65" s="185" t="s">
        <v>179</v>
      </c>
      <c r="AZ65" s="185" t="s">
        <v>2163</v>
      </c>
      <c r="BA65" s="185" t="s">
        <v>2164</v>
      </c>
      <c r="BB65" s="185" t="s">
        <v>179</v>
      </c>
      <c r="BC65" s="185" t="s">
        <v>2163</v>
      </c>
      <c r="BD65" s="185" t="s">
        <v>2164</v>
      </c>
      <c r="BE65" s="185" t="s">
        <v>57</v>
      </c>
      <c r="BF65" s="185">
        <v>3</v>
      </c>
      <c r="BG65" s="185" t="s">
        <v>281</v>
      </c>
      <c r="BH65" s="185" t="s">
        <v>282</v>
      </c>
      <c r="BI65" s="185" t="s">
        <v>280</v>
      </c>
      <c r="BJ65" s="185" t="s">
        <v>281</v>
      </c>
      <c r="BK65" s="185" t="s">
        <v>282</v>
      </c>
      <c r="BL65" s="185" t="s">
        <v>280</v>
      </c>
      <c r="BM65" s="185" t="s">
        <v>198</v>
      </c>
      <c r="BN65" s="185">
        <v>2</v>
      </c>
      <c r="BO65" s="185" t="s">
        <v>199</v>
      </c>
      <c r="BP65" s="185" t="s">
        <v>1952</v>
      </c>
      <c r="BQ65" s="185" t="s">
        <v>1953</v>
      </c>
      <c r="BR65" s="185" t="s">
        <v>199</v>
      </c>
      <c r="BS65" s="185" t="s">
        <v>202</v>
      </c>
      <c r="BT65" s="185" t="s">
        <v>1954</v>
      </c>
    </row>
    <row r="66" spans="1:72" s="184" customFormat="1" ht="36" customHeight="1" x14ac:dyDescent="0.25">
      <c r="A66" s="155">
        <v>14</v>
      </c>
      <c r="B66" s="184" t="s">
        <v>2165</v>
      </c>
      <c r="C66" s="184" t="s">
        <v>154</v>
      </c>
      <c r="D66" s="184" t="s">
        <v>2166</v>
      </c>
      <c r="E66" s="184" t="s">
        <v>2167</v>
      </c>
      <c r="F66" s="184" t="s">
        <v>2168</v>
      </c>
      <c r="G66" s="184" t="s">
        <v>2169</v>
      </c>
      <c r="H66" s="184" t="s">
        <v>2170</v>
      </c>
      <c r="I66" s="184" t="s">
        <v>2171</v>
      </c>
      <c r="J66" s="184" t="s">
        <v>1937</v>
      </c>
      <c r="K66" s="184" t="s">
        <v>1938</v>
      </c>
      <c r="L66" s="184" t="s">
        <v>1939</v>
      </c>
      <c r="M66" s="184" t="s">
        <v>2172</v>
      </c>
      <c r="N66" s="184" t="s">
        <v>163</v>
      </c>
      <c r="O66" s="184">
        <v>20</v>
      </c>
      <c r="P66" s="184" t="s">
        <v>164</v>
      </c>
      <c r="Q66" s="184" t="s">
        <v>2173</v>
      </c>
      <c r="R66" s="184" t="s">
        <v>2174</v>
      </c>
      <c r="S66" s="184" t="s">
        <v>2175</v>
      </c>
      <c r="T66" s="184" t="s">
        <v>2176</v>
      </c>
      <c r="U66" s="184" t="s">
        <v>2177</v>
      </c>
      <c r="V66" s="184" t="s">
        <v>2178</v>
      </c>
      <c r="W66" s="184" t="s">
        <v>2179</v>
      </c>
      <c r="X66" s="184" t="s">
        <v>2180</v>
      </c>
      <c r="Y66" s="185" t="s">
        <v>1948</v>
      </c>
      <c r="Z66" s="185">
        <v>4</v>
      </c>
      <c r="AA66" s="185" t="s">
        <v>2181</v>
      </c>
      <c r="AB66" s="185" t="s">
        <v>527</v>
      </c>
      <c r="AC66" s="185" t="s">
        <v>2091</v>
      </c>
      <c r="AD66" s="185" t="s">
        <v>2181</v>
      </c>
      <c r="AE66" s="185" t="s">
        <v>527</v>
      </c>
      <c r="AF66" s="185" t="s">
        <v>2091</v>
      </c>
      <c r="AG66" s="185" t="s">
        <v>1949</v>
      </c>
      <c r="AH66" s="185">
        <v>4</v>
      </c>
      <c r="AI66" s="185" t="s">
        <v>373</v>
      </c>
      <c r="AJ66" s="185" t="s">
        <v>1481</v>
      </c>
      <c r="AK66" s="185" t="s">
        <v>2182</v>
      </c>
      <c r="AL66" s="185" t="s">
        <v>373</v>
      </c>
      <c r="AM66" s="185" t="s">
        <v>1481</v>
      </c>
      <c r="AN66" s="185" t="s">
        <v>2182</v>
      </c>
      <c r="AO66" s="185" t="s">
        <v>1950</v>
      </c>
      <c r="AP66" s="185">
        <v>4</v>
      </c>
      <c r="AQ66" s="185" t="s">
        <v>279</v>
      </c>
      <c r="AR66" s="185" t="s">
        <v>2004</v>
      </c>
      <c r="AS66" s="185" t="s">
        <v>182</v>
      </c>
      <c r="AT66" s="185" t="s">
        <v>279</v>
      </c>
      <c r="AU66" s="185" t="s">
        <v>2004</v>
      </c>
      <c r="AV66" s="185" t="s">
        <v>182</v>
      </c>
      <c r="AW66" s="185" t="s">
        <v>1951</v>
      </c>
      <c r="AX66" s="185">
        <v>3</v>
      </c>
      <c r="AY66" s="185" t="s">
        <v>2183</v>
      </c>
      <c r="AZ66" s="185" t="s">
        <v>179</v>
      </c>
      <c r="BA66" s="185" t="s">
        <v>231</v>
      </c>
      <c r="BB66" s="185" t="s">
        <v>2183</v>
      </c>
      <c r="BC66" s="185" t="s">
        <v>179</v>
      </c>
      <c r="BD66" s="185" t="s">
        <v>231</v>
      </c>
      <c r="BE66" s="185" t="s">
        <v>57</v>
      </c>
      <c r="BF66" s="185">
        <v>3</v>
      </c>
      <c r="BG66" s="185" t="s">
        <v>189</v>
      </c>
      <c r="BH66" s="185" t="s">
        <v>317</v>
      </c>
      <c r="BI66" s="185" t="s">
        <v>1805</v>
      </c>
      <c r="BJ66" s="185" t="s">
        <v>189</v>
      </c>
      <c r="BK66" s="185" t="s">
        <v>317</v>
      </c>
      <c r="BL66" s="185" t="s">
        <v>1805</v>
      </c>
      <c r="BM66" s="185" t="s">
        <v>198</v>
      </c>
      <c r="BN66" s="185">
        <v>2</v>
      </c>
      <c r="BO66" s="185" t="s">
        <v>199</v>
      </c>
      <c r="BP66" s="185" t="s">
        <v>1952</v>
      </c>
      <c r="BQ66" s="185" t="s">
        <v>1953</v>
      </c>
      <c r="BR66" s="185" t="s">
        <v>199</v>
      </c>
      <c r="BS66" s="185" t="s">
        <v>202</v>
      </c>
      <c r="BT66" s="185" t="s">
        <v>1954</v>
      </c>
    </row>
    <row r="67" spans="1:72" s="184" customFormat="1" ht="36" customHeight="1" x14ac:dyDescent="0.25">
      <c r="A67" s="155">
        <v>15</v>
      </c>
      <c r="B67" s="184" t="s">
        <v>246</v>
      </c>
      <c r="C67" s="184" t="s">
        <v>247</v>
      </c>
      <c r="D67" s="184" t="s">
        <v>2184</v>
      </c>
      <c r="E67" s="184" t="s">
        <v>2185</v>
      </c>
      <c r="F67" s="184" t="s">
        <v>2186</v>
      </c>
      <c r="G67" s="184" t="s">
        <v>2187</v>
      </c>
      <c r="H67" s="184" t="s">
        <v>2188</v>
      </c>
      <c r="I67" s="184" t="s">
        <v>2189</v>
      </c>
      <c r="J67" s="184" t="s">
        <v>1937</v>
      </c>
      <c r="K67" s="184" t="s">
        <v>1938</v>
      </c>
      <c r="L67" s="184" t="s">
        <v>1939</v>
      </c>
      <c r="M67" s="184" t="s">
        <v>2190</v>
      </c>
      <c r="N67" s="184" t="s">
        <v>163</v>
      </c>
      <c r="O67" s="184">
        <v>20</v>
      </c>
      <c r="P67" s="184" t="s">
        <v>259</v>
      </c>
      <c r="Q67" s="184" t="s">
        <v>2191</v>
      </c>
      <c r="R67" s="184" t="s">
        <v>2192</v>
      </c>
      <c r="S67" s="184" t="s">
        <v>2193</v>
      </c>
      <c r="T67" s="184" t="s">
        <v>2194</v>
      </c>
      <c r="U67" s="184" t="s">
        <v>673</v>
      </c>
      <c r="V67" s="184" t="s">
        <v>2195</v>
      </c>
      <c r="W67" s="184" t="s">
        <v>2196</v>
      </c>
      <c r="X67" s="184" t="s">
        <v>2197</v>
      </c>
      <c r="Y67" s="185" t="s">
        <v>1948</v>
      </c>
      <c r="Z67" s="185">
        <v>4</v>
      </c>
      <c r="AA67" s="185" t="s">
        <v>677</v>
      </c>
      <c r="AB67" s="185" t="s">
        <v>2024</v>
      </c>
      <c r="AC67" s="185" t="s">
        <v>273</v>
      </c>
      <c r="AD67" s="185" t="s">
        <v>677</v>
      </c>
      <c r="AE67" s="185" t="s">
        <v>2024</v>
      </c>
      <c r="AF67" s="185" t="s">
        <v>273</v>
      </c>
      <c r="AG67" s="185" t="s">
        <v>1949</v>
      </c>
      <c r="AH67" s="185">
        <v>4</v>
      </c>
      <c r="AI67" s="185" t="s">
        <v>176</v>
      </c>
      <c r="AJ67" s="185" t="s">
        <v>679</v>
      </c>
      <c r="AK67" s="185" t="s">
        <v>677</v>
      </c>
      <c r="AL67" s="185" t="s">
        <v>176</v>
      </c>
      <c r="AM67" s="185" t="s">
        <v>679</v>
      </c>
      <c r="AN67" s="185" t="s">
        <v>677</v>
      </c>
      <c r="AO67" s="185" t="s">
        <v>1950</v>
      </c>
      <c r="AP67" s="185">
        <v>4</v>
      </c>
      <c r="AQ67" s="185" t="s">
        <v>232</v>
      </c>
      <c r="AR67" s="185" t="s">
        <v>230</v>
      </c>
      <c r="AS67" s="185" t="s">
        <v>681</v>
      </c>
      <c r="AT67" s="185" t="s">
        <v>232</v>
      </c>
      <c r="AU67" s="185" t="s">
        <v>230</v>
      </c>
      <c r="AV67" s="185" t="s">
        <v>681</v>
      </c>
      <c r="AW67" s="185" t="s">
        <v>1951</v>
      </c>
      <c r="AX67" s="185">
        <v>3</v>
      </c>
      <c r="AY67" s="185" t="s">
        <v>231</v>
      </c>
      <c r="AZ67" s="185" t="s">
        <v>179</v>
      </c>
      <c r="BA67" s="185" t="s">
        <v>2025</v>
      </c>
      <c r="BB67" s="185" t="s">
        <v>231</v>
      </c>
      <c r="BC67" s="185" t="s">
        <v>179</v>
      </c>
      <c r="BD67" s="185" t="s">
        <v>2025</v>
      </c>
      <c r="BE67" s="185" t="s">
        <v>57</v>
      </c>
      <c r="BF67" s="185">
        <v>3</v>
      </c>
      <c r="BG67" s="185" t="s">
        <v>684</v>
      </c>
      <c r="BH67" s="185" t="s">
        <v>685</v>
      </c>
      <c r="BI67" s="185" t="s">
        <v>281</v>
      </c>
      <c r="BJ67" s="185" t="s">
        <v>684</v>
      </c>
      <c r="BK67" s="185" t="s">
        <v>685</v>
      </c>
      <c r="BL67" s="185" t="s">
        <v>281</v>
      </c>
      <c r="BM67" s="185" t="s">
        <v>198</v>
      </c>
      <c r="BN67" s="185">
        <v>2</v>
      </c>
      <c r="BO67" s="185" t="s">
        <v>199</v>
      </c>
      <c r="BP67" s="185" t="s">
        <v>1952</v>
      </c>
      <c r="BQ67" s="185" t="s">
        <v>1953</v>
      </c>
      <c r="BR67" s="185" t="s">
        <v>199</v>
      </c>
      <c r="BS67" s="185" t="s">
        <v>202</v>
      </c>
      <c r="BT67" s="185" t="s">
        <v>1954</v>
      </c>
    </row>
    <row r="68" spans="1:72" s="184" customFormat="1" ht="36" customHeight="1" x14ac:dyDescent="0.25">
      <c r="A68" s="155">
        <v>16</v>
      </c>
      <c r="B68" s="184" t="s">
        <v>385</v>
      </c>
      <c r="C68" s="184" t="s">
        <v>205</v>
      </c>
      <c r="D68" s="184" t="s">
        <v>2198</v>
      </c>
      <c r="E68" s="184" t="s">
        <v>2199</v>
      </c>
      <c r="F68" s="184" t="s">
        <v>2200</v>
      </c>
      <c r="G68" s="184" t="s">
        <v>2201</v>
      </c>
      <c r="H68" s="184" t="s">
        <v>2202</v>
      </c>
      <c r="I68" s="184" t="s">
        <v>2203</v>
      </c>
      <c r="J68" s="184" t="s">
        <v>1937</v>
      </c>
      <c r="K68" s="184" t="s">
        <v>1938</v>
      </c>
      <c r="L68" s="184" t="s">
        <v>1939</v>
      </c>
      <c r="M68" s="184" t="s">
        <v>2204</v>
      </c>
      <c r="N68" s="184" t="s">
        <v>163</v>
      </c>
      <c r="O68" s="184">
        <v>20</v>
      </c>
      <c r="P68" s="184" t="s">
        <v>259</v>
      </c>
      <c r="Q68" s="184" t="s">
        <v>2205</v>
      </c>
      <c r="R68" s="184" t="s">
        <v>2206</v>
      </c>
      <c r="S68" s="184" t="s">
        <v>2207</v>
      </c>
      <c r="T68" s="184" t="s">
        <v>2208</v>
      </c>
      <c r="U68" s="184" t="s">
        <v>521</v>
      </c>
      <c r="V68" s="184" t="s">
        <v>2209</v>
      </c>
      <c r="W68" s="184" t="s">
        <v>2210</v>
      </c>
      <c r="X68" s="184" t="s">
        <v>2211</v>
      </c>
      <c r="Y68" s="185" t="s">
        <v>1948</v>
      </c>
      <c r="Z68" s="185">
        <v>4</v>
      </c>
      <c r="AA68" s="185" t="s">
        <v>677</v>
      </c>
      <c r="AB68" s="185" t="s">
        <v>2212</v>
      </c>
      <c r="AC68" s="185" t="s">
        <v>2058</v>
      </c>
      <c r="AD68" s="185" t="s">
        <v>677</v>
      </c>
      <c r="AE68" s="185" t="s">
        <v>2212</v>
      </c>
      <c r="AF68" s="185" t="s">
        <v>2058</v>
      </c>
      <c r="AG68" s="185" t="s">
        <v>1949</v>
      </c>
      <c r="AH68" s="185">
        <v>4</v>
      </c>
      <c r="AI68" s="185" t="s">
        <v>2213</v>
      </c>
      <c r="AJ68" s="185" t="s">
        <v>2212</v>
      </c>
      <c r="AK68" s="185" t="s">
        <v>679</v>
      </c>
      <c r="AL68" s="185" t="s">
        <v>2213</v>
      </c>
      <c r="AM68" s="185" t="s">
        <v>2212</v>
      </c>
      <c r="AN68" s="185" t="s">
        <v>679</v>
      </c>
      <c r="AO68" s="185" t="s">
        <v>1950</v>
      </c>
      <c r="AP68" s="185">
        <v>4</v>
      </c>
      <c r="AQ68" s="185" t="s">
        <v>230</v>
      </c>
      <c r="AR68" s="185" t="s">
        <v>465</v>
      </c>
      <c r="AS68" s="185" t="s">
        <v>182</v>
      </c>
      <c r="AT68" s="185" t="s">
        <v>230</v>
      </c>
      <c r="AU68" s="185" t="s">
        <v>465</v>
      </c>
      <c r="AV68" s="185" t="s">
        <v>182</v>
      </c>
      <c r="AW68" s="185" t="s">
        <v>1951</v>
      </c>
      <c r="AX68" s="185">
        <v>3</v>
      </c>
      <c r="AY68" s="185" t="s">
        <v>2212</v>
      </c>
      <c r="AZ68" s="185" t="s">
        <v>179</v>
      </c>
      <c r="BA68" s="185" t="s">
        <v>2214</v>
      </c>
      <c r="BB68" s="185" t="s">
        <v>2212</v>
      </c>
      <c r="BC68" s="185" t="s">
        <v>179</v>
      </c>
      <c r="BD68" s="185" t="s">
        <v>2214</v>
      </c>
      <c r="BE68" s="185" t="s">
        <v>57</v>
      </c>
      <c r="BF68" s="185">
        <v>3</v>
      </c>
      <c r="BG68" s="185" t="s">
        <v>237</v>
      </c>
      <c r="BH68" s="185" t="s">
        <v>685</v>
      </c>
      <c r="BI68" s="185" t="s">
        <v>684</v>
      </c>
      <c r="BJ68" s="185" t="s">
        <v>237</v>
      </c>
      <c r="BK68" s="185" t="s">
        <v>685</v>
      </c>
      <c r="BL68" s="185" t="s">
        <v>684</v>
      </c>
      <c r="BM68" s="185" t="s">
        <v>198</v>
      </c>
      <c r="BN68" s="185">
        <v>2</v>
      </c>
      <c r="BO68" s="185" t="s">
        <v>199</v>
      </c>
      <c r="BP68" s="185" t="s">
        <v>1952</v>
      </c>
      <c r="BQ68" s="185" t="s">
        <v>1953</v>
      </c>
      <c r="BR68" s="185" t="s">
        <v>199</v>
      </c>
      <c r="BS68" s="185" t="s">
        <v>202</v>
      </c>
      <c r="BT68" s="185" t="s">
        <v>1954</v>
      </c>
    </row>
    <row r="69" spans="1:72" s="184" customFormat="1" ht="36" customHeight="1" x14ac:dyDescent="0.25">
      <c r="A69" s="155">
        <v>17</v>
      </c>
      <c r="B69" s="184" t="s">
        <v>739</v>
      </c>
      <c r="C69" s="184" t="s">
        <v>247</v>
      </c>
      <c r="D69" s="184" t="s">
        <v>2215</v>
      </c>
      <c r="E69" s="184" t="s">
        <v>2216</v>
      </c>
      <c r="F69" s="184" t="s">
        <v>2217</v>
      </c>
      <c r="G69" s="184" t="s">
        <v>2218</v>
      </c>
      <c r="H69" s="184" t="s">
        <v>2219</v>
      </c>
      <c r="I69" s="184" t="s">
        <v>2220</v>
      </c>
      <c r="J69" s="184" t="s">
        <v>1937</v>
      </c>
      <c r="K69" s="184" t="s">
        <v>1938</v>
      </c>
      <c r="L69" s="184" t="s">
        <v>1939</v>
      </c>
      <c r="M69" s="184" t="s">
        <v>2221</v>
      </c>
      <c r="N69" s="184" t="s">
        <v>163</v>
      </c>
      <c r="O69" s="184">
        <v>20</v>
      </c>
      <c r="P69" s="184" t="s">
        <v>164</v>
      </c>
      <c r="Q69" s="184" t="s">
        <v>2222</v>
      </c>
      <c r="R69" s="184" t="s">
        <v>2223</v>
      </c>
      <c r="S69" s="184" t="s">
        <v>2224</v>
      </c>
      <c r="T69" s="184" t="s">
        <v>2225</v>
      </c>
      <c r="U69" s="184" t="s">
        <v>2107</v>
      </c>
      <c r="V69" s="184" t="s">
        <v>2226</v>
      </c>
      <c r="W69" s="184" t="s">
        <v>2227</v>
      </c>
      <c r="X69" s="184" t="s">
        <v>2228</v>
      </c>
      <c r="Y69" s="185" t="s">
        <v>1948</v>
      </c>
      <c r="Z69" s="185">
        <v>4</v>
      </c>
      <c r="AA69" s="185" t="s">
        <v>2229</v>
      </c>
      <c r="AB69" s="185" t="s">
        <v>935</v>
      </c>
      <c r="AC69" s="185" t="s">
        <v>2230</v>
      </c>
      <c r="AD69" s="185" t="s">
        <v>2229</v>
      </c>
      <c r="AE69" s="185" t="s">
        <v>935</v>
      </c>
      <c r="AF69" s="185" t="s">
        <v>2230</v>
      </c>
      <c r="AG69" s="185" t="s">
        <v>1949</v>
      </c>
      <c r="AH69" s="185">
        <v>4</v>
      </c>
      <c r="AI69" s="185" t="s">
        <v>860</v>
      </c>
      <c r="AJ69" s="185" t="s">
        <v>270</v>
      </c>
      <c r="AK69" s="185" t="s">
        <v>2231</v>
      </c>
      <c r="AL69" s="185" t="s">
        <v>860</v>
      </c>
      <c r="AM69" s="185" t="s">
        <v>270</v>
      </c>
      <c r="AN69" s="185" t="s">
        <v>2231</v>
      </c>
      <c r="AO69" s="185" t="s">
        <v>1950</v>
      </c>
      <c r="AP69" s="185">
        <v>4</v>
      </c>
      <c r="AQ69" s="185" t="s">
        <v>2232</v>
      </c>
      <c r="AR69" s="185" t="s">
        <v>279</v>
      </c>
      <c r="AS69" s="185" t="s">
        <v>230</v>
      </c>
      <c r="AT69" s="185" t="s">
        <v>2232</v>
      </c>
      <c r="AU69" s="185" t="s">
        <v>279</v>
      </c>
      <c r="AV69" s="185" t="s">
        <v>230</v>
      </c>
      <c r="AW69" s="185" t="s">
        <v>1951</v>
      </c>
      <c r="AX69" s="185">
        <v>3</v>
      </c>
      <c r="AY69" s="185" t="s">
        <v>180</v>
      </c>
      <c r="AZ69" s="185" t="s">
        <v>2233</v>
      </c>
      <c r="BA69" s="185" t="s">
        <v>589</v>
      </c>
      <c r="BB69" s="185" t="s">
        <v>180</v>
      </c>
      <c r="BC69" s="185" t="s">
        <v>2233</v>
      </c>
      <c r="BD69" s="185" t="s">
        <v>589</v>
      </c>
      <c r="BE69" s="185" t="s">
        <v>57</v>
      </c>
      <c r="BF69" s="185">
        <v>3</v>
      </c>
      <c r="BG69" s="185" t="s">
        <v>762</v>
      </c>
      <c r="BH69" s="185" t="s">
        <v>270</v>
      </c>
      <c r="BI69" s="185" t="s">
        <v>2234</v>
      </c>
      <c r="BJ69" s="185" t="s">
        <v>762</v>
      </c>
      <c r="BK69" s="185" t="s">
        <v>270</v>
      </c>
      <c r="BL69" s="185" t="s">
        <v>2234</v>
      </c>
      <c r="BM69" s="185" t="s">
        <v>198</v>
      </c>
      <c r="BN69" s="185">
        <v>2</v>
      </c>
      <c r="BO69" s="185" t="s">
        <v>199</v>
      </c>
      <c r="BP69" s="185" t="s">
        <v>1952</v>
      </c>
      <c r="BQ69" s="185" t="s">
        <v>1953</v>
      </c>
      <c r="BR69" s="185" t="s">
        <v>199</v>
      </c>
      <c r="BS69" s="185" t="s">
        <v>202</v>
      </c>
      <c r="BT69" s="185" t="s">
        <v>1954</v>
      </c>
    </row>
    <row r="70" spans="1:72" s="184" customFormat="1" ht="36" customHeight="1" x14ac:dyDescent="0.25">
      <c r="A70" s="155">
        <v>18</v>
      </c>
      <c r="B70" s="184" t="s">
        <v>324</v>
      </c>
      <c r="C70" s="184" t="s">
        <v>154</v>
      </c>
      <c r="D70" s="184" t="s">
        <v>2235</v>
      </c>
      <c r="E70" s="184" t="s">
        <v>2236</v>
      </c>
      <c r="F70" s="184" t="s">
        <v>2237</v>
      </c>
      <c r="G70" s="184" t="s">
        <v>2238</v>
      </c>
      <c r="H70" s="184" t="s">
        <v>2239</v>
      </c>
      <c r="I70" s="184" t="s">
        <v>2240</v>
      </c>
      <c r="J70" s="184" t="s">
        <v>1937</v>
      </c>
      <c r="K70" s="184" t="s">
        <v>1938</v>
      </c>
      <c r="L70" s="184" t="s">
        <v>1939</v>
      </c>
      <c r="M70" s="184" t="s">
        <v>2241</v>
      </c>
      <c r="N70" s="184" t="s">
        <v>163</v>
      </c>
      <c r="O70" s="184">
        <v>20</v>
      </c>
      <c r="P70" s="184" t="s">
        <v>259</v>
      </c>
      <c r="Q70" s="184" t="s">
        <v>2242</v>
      </c>
      <c r="R70" s="184" t="s">
        <v>2243</v>
      </c>
      <c r="S70" s="184" t="s">
        <v>2244</v>
      </c>
      <c r="T70" s="184" t="s">
        <v>2245</v>
      </c>
      <c r="U70" s="184" t="s">
        <v>521</v>
      </c>
      <c r="V70" s="184" t="s">
        <v>2246</v>
      </c>
      <c r="W70" s="184" t="s">
        <v>2247</v>
      </c>
      <c r="X70" s="184" t="s">
        <v>2248</v>
      </c>
      <c r="Y70" s="185" t="s">
        <v>1948</v>
      </c>
      <c r="Z70" s="185">
        <v>4</v>
      </c>
      <c r="AA70" s="185" t="s">
        <v>2229</v>
      </c>
      <c r="AB70" s="185" t="s">
        <v>2249</v>
      </c>
      <c r="AC70" s="185" t="s">
        <v>179</v>
      </c>
      <c r="AD70" s="185" t="s">
        <v>2229</v>
      </c>
      <c r="AE70" s="185" t="s">
        <v>2249</v>
      </c>
      <c r="AF70" s="185" t="s">
        <v>179</v>
      </c>
      <c r="AG70" s="185" t="s">
        <v>1949</v>
      </c>
      <c r="AH70" s="185">
        <v>4</v>
      </c>
      <c r="AI70" s="185" t="s">
        <v>175</v>
      </c>
      <c r="AJ70" s="185" t="s">
        <v>226</v>
      </c>
      <c r="AK70" s="185" t="s">
        <v>174</v>
      </c>
      <c r="AL70" s="185" t="s">
        <v>175</v>
      </c>
      <c r="AM70" s="185" t="s">
        <v>226</v>
      </c>
      <c r="AN70" s="185" t="s">
        <v>174</v>
      </c>
      <c r="AO70" s="185" t="s">
        <v>1950</v>
      </c>
      <c r="AP70" s="185">
        <v>4</v>
      </c>
      <c r="AQ70" s="185" t="s">
        <v>347</v>
      </c>
      <c r="AR70" s="185" t="s">
        <v>182</v>
      </c>
      <c r="AS70" s="185" t="s">
        <v>2004</v>
      </c>
      <c r="AT70" s="185" t="s">
        <v>347</v>
      </c>
      <c r="AU70" s="185" t="s">
        <v>182</v>
      </c>
      <c r="AV70" s="185" t="s">
        <v>2004</v>
      </c>
      <c r="AW70" s="185" t="s">
        <v>1951</v>
      </c>
      <c r="AX70" s="185">
        <v>3</v>
      </c>
      <c r="AY70" s="185" t="s">
        <v>2249</v>
      </c>
      <c r="AZ70" s="185" t="s">
        <v>2250</v>
      </c>
      <c r="BA70" s="185" t="s">
        <v>179</v>
      </c>
      <c r="BB70" s="185" t="s">
        <v>2249</v>
      </c>
      <c r="BC70" s="185" t="s">
        <v>2250</v>
      </c>
      <c r="BD70" s="185" t="s">
        <v>179</v>
      </c>
      <c r="BE70" s="185" t="s">
        <v>57</v>
      </c>
      <c r="BF70" s="185">
        <v>3</v>
      </c>
      <c r="BG70" s="185" t="s">
        <v>190</v>
      </c>
      <c r="BH70" s="185" t="s">
        <v>188</v>
      </c>
      <c r="BI70" s="185" t="s">
        <v>567</v>
      </c>
      <c r="BJ70" s="185" t="s">
        <v>190</v>
      </c>
      <c r="BK70" s="185" t="s">
        <v>188</v>
      </c>
      <c r="BL70" s="185" t="s">
        <v>567</v>
      </c>
      <c r="BM70" s="185" t="s">
        <v>198</v>
      </c>
      <c r="BN70" s="185">
        <v>2</v>
      </c>
      <c r="BO70" s="185" t="s">
        <v>199</v>
      </c>
      <c r="BP70" s="185" t="s">
        <v>1952</v>
      </c>
      <c r="BQ70" s="185" t="s">
        <v>1953</v>
      </c>
      <c r="BR70" s="185" t="s">
        <v>199</v>
      </c>
      <c r="BS70" s="185" t="s">
        <v>202</v>
      </c>
      <c r="BT70" s="185" t="s">
        <v>1954</v>
      </c>
    </row>
    <row r="71" spans="1:72" s="184" customFormat="1" ht="36" customHeight="1" x14ac:dyDescent="0.25">
      <c r="A71" s="155">
        <v>19</v>
      </c>
      <c r="B71" s="184" t="s">
        <v>204</v>
      </c>
      <c r="C71" s="184" t="s">
        <v>325</v>
      </c>
      <c r="D71" s="184" t="s">
        <v>2251</v>
      </c>
      <c r="E71" s="184" t="s">
        <v>2252</v>
      </c>
      <c r="F71" s="184" t="s">
        <v>2253</v>
      </c>
      <c r="G71" s="184" t="s">
        <v>2254</v>
      </c>
      <c r="H71" s="184" t="s">
        <v>2255</v>
      </c>
      <c r="I71" s="184" t="s">
        <v>2256</v>
      </c>
      <c r="J71" s="184" t="s">
        <v>1937</v>
      </c>
      <c r="K71" s="184" t="s">
        <v>1938</v>
      </c>
      <c r="L71" s="184" t="s">
        <v>1939</v>
      </c>
      <c r="M71" s="184" t="s">
        <v>2257</v>
      </c>
      <c r="N71" s="184" t="s">
        <v>163</v>
      </c>
      <c r="O71" s="184">
        <v>20</v>
      </c>
      <c r="P71" s="184" t="s">
        <v>164</v>
      </c>
      <c r="Q71" s="184" t="s">
        <v>2258</v>
      </c>
      <c r="R71" s="184" t="s">
        <v>2259</v>
      </c>
      <c r="S71" s="184" t="s">
        <v>2260</v>
      </c>
      <c r="T71" s="184" t="s">
        <v>2261</v>
      </c>
      <c r="U71" s="184" t="s">
        <v>1965</v>
      </c>
      <c r="V71" s="184" t="s">
        <v>2262</v>
      </c>
      <c r="W71" s="184" t="s">
        <v>2263</v>
      </c>
      <c r="X71" s="184" t="s">
        <v>2264</v>
      </c>
      <c r="Y71" s="185" t="s">
        <v>1948</v>
      </c>
      <c r="Z71" s="185">
        <v>4</v>
      </c>
      <c r="AA71" s="185" t="s">
        <v>2265</v>
      </c>
      <c r="AB71" s="185" t="s">
        <v>2229</v>
      </c>
      <c r="AC71" s="185" t="s">
        <v>527</v>
      </c>
      <c r="AD71" s="185" t="s">
        <v>2265</v>
      </c>
      <c r="AE71" s="185" t="s">
        <v>2229</v>
      </c>
      <c r="AF71" s="185" t="s">
        <v>527</v>
      </c>
      <c r="AG71" s="185" t="s">
        <v>1949</v>
      </c>
      <c r="AH71" s="185">
        <v>4</v>
      </c>
      <c r="AI71" s="185" t="s">
        <v>227</v>
      </c>
      <c r="AJ71" s="185" t="s">
        <v>225</v>
      </c>
      <c r="AK71" s="185" t="s">
        <v>226</v>
      </c>
      <c r="AL71" s="185" t="s">
        <v>227</v>
      </c>
      <c r="AM71" s="185" t="s">
        <v>225</v>
      </c>
      <c r="AN71" s="185" t="s">
        <v>226</v>
      </c>
      <c r="AO71" s="185" t="s">
        <v>1950</v>
      </c>
      <c r="AP71" s="185">
        <v>4</v>
      </c>
      <c r="AQ71" s="185" t="s">
        <v>279</v>
      </c>
      <c r="AR71" s="185" t="s">
        <v>1649</v>
      </c>
      <c r="AS71" s="185" t="s">
        <v>1987</v>
      </c>
      <c r="AT71" s="185" t="s">
        <v>279</v>
      </c>
      <c r="AU71" s="185" t="s">
        <v>1649</v>
      </c>
      <c r="AV71" s="185" t="s">
        <v>1987</v>
      </c>
      <c r="AW71" s="185" t="s">
        <v>1951</v>
      </c>
      <c r="AX71" s="185">
        <v>3</v>
      </c>
      <c r="AY71" s="185" t="s">
        <v>2266</v>
      </c>
      <c r="AZ71" s="185" t="s">
        <v>937</v>
      </c>
      <c r="BA71" s="185" t="s">
        <v>236</v>
      </c>
      <c r="BB71" s="185" t="s">
        <v>2266</v>
      </c>
      <c r="BC71" s="185" t="s">
        <v>937</v>
      </c>
      <c r="BD71" s="185" t="s">
        <v>236</v>
      </c>
      <c r="BE71" s="185" t="s">
        <v>57</v>
      </c>
      <c r="BF71" s="185">
        <v>3</v>
      </c>
      <c r="BG71" s="185" t="s">
        <v>237</v>
      </c>
      <c r="BH71" s="185" t="s">
        <v>238</v>
      </c>
      <c r="BI71" s="185" t="s">
        <v>240</v>
      </c>
      <c r="BJ71" s="185" t="s">
        <v>237</v>
      </c>
      <c r="BK71" s="185" t="s">
        <v>238</v>
      </c>
      <c r="BL71" s="185" t="s">
        <v>240</v>
      </c>
      <c r="BM71" s="185" t="s">
        <v>198</v>
      </c>
      <c r="BN71" s="185">
        <v>2</v>
      </c>
      <c r="BO71" s="185" t="s">
        <v>199</v>
      </c>
      <c r="BP71" s="185" t="s">
        <v>1952</v>
      </c>
      <c r="BQ71" s="185" t="s">
        <v>1953</v>
      </c>
      <c r="BR71" s="185" t="s">
        <v>199</v>
      </c>
      <c r="BS71" s="185" t="s">
        <v>202</v>
      </c>
      <c r="BT71" s="185" t="s">
        <v>1954</v>
      </c>
    </row>
    <row r="72" spans="1:72" s="184" customFormat="1" ht="36" customHeight="1" x14ac:dyDescent="0.25">
      <c r="A72" s="155">
        <v>20</v>
      </c>
      <c r="B72" s="184" t="s">
        <v>978</v>
      </c>
      <c r="C72" s="184" t="s">
        <v>325</v>
      </c>
      <c r="D72" s="184" t="s">
        <v>2267</v>
      </c>
      <c r="E72" s="184" t="s">
        <v>2268</v>
      </c>
      <c r="F72" s="184" t="s">
        <v>2269</v>
      </c>
      <c r="G72" s="184" t="s">
        <v>2270</v>
      </c>
      <c r="H72" s="184" t="s">
        <v>2271</v>
      </c>
      <c r="I72" s="184" t="s">
        <v>2272</v>
      </c>
      <c r="J72" s="184" t="s">
        <v>1937</v>
      </c>
      <c r="K72" s="184" t="s">
        <v>1938</v>
      </c>
      <c r="L72" s="184" t="s">
        <v>1939</v>
      </c>
      <c r="M72" s="184" t="s">
        <v>2273</v>
      </c>
      <c r="N72" s="184" t="s">
        <v>163</v>
      </c>
      <c r="O72" s="184">
        <v>20</v>
      </c>
      <c r="P72" s="184" t="s">
        <v>259</v>
      </c>
      <c r="Q72" s="184" t="s">
        <v>2274</v>
      </c>
      <c r="R72" s="184" t="s">
        <v>2275</v>
      </c>
      <c r="S72" s="184" t="s">
        <v>2276</v>
      </c>
      <c r="T72" s="184" t="s">
        <v>2277</v>
      </c>
      <c r="U72" s="184" t="s">
        <v>2278</v>
      </c>
      <c r="V72" s="184" t="s">
        <v>2279</v>
      </c>
      <c r="W72" s="184" t="s">
        <v>2280</v>
      </c>
      <c r="X72" s="184" t="s">
        <v>2281</v>
      </c>
      <c r="Y72" s="185" t="s">
        <v>1948</v>
      </c>
      <c r="Z72" s="185">
        <v>4</v>
      </c>
      <c r="AA72" s="185" t="s">
        <v>1729</v>
      </c>
      <c r="AB72" s="185" t="s">
        <v>2229</v>
      </c>
      <c r="AC72" s="185" t="s">
        <v>232</v>
      </c>
      <c r="AD72" s="185" t="s">
        <v>1729</v>
      </c>
      <c r="AE72" s="185" t="s">
        <v>2229</v>
      </c>
      <c r="AF72" s="185" t="s">
        <v>232</v>
      </c>
      <c r="AG72" s="185" t="s">
        <v>1949</v>
      </c>
      <c r="AH72" s="185">
        <v>4</v>
      </c>
      <c r="AI72" s="185" t="s">
        <v>373</v>
      </c>
      <c r="AJ72" s="185" t="s">
        <v>270</v>
      </c>
      <c r="AK72" s="185" t="s">
        <v>236</v>
      </c>
      <c r="AL72" s="185" t="s">
        <v>373</v>
      </c>
      <c r="AM72" s="185" t="s">
        <v>270</v>
      </c>
      <c r="AN72" s="185" t="s">
        <v>236</v>
      </c>
      <c r="AO72" s="185" t="s">
        <v>1950</v>
      </c>
      <c r="AP72" s="185">
        <v>4</v>
      </c>
      <c r="AQ72" s="185" t="s">
        <v>760</v>
      </c>
      <c r="AR72" s="185" t="s">
        <v>279</v>
      </c>
      <c r="AS72" s="185" t="s">
        <v>498</v>
      </c>
      <c r="AT72" s="185" t="s">
        <v>760</v>
      </c>
      <c r="AU72" s="185" t="s">
        <v>279</v>
      </c>
      <c r="AV72" s="185" t="s">
        <v>498</v>
      </c>
      <c r="AW72" s="185" t="s">
        <v>1951</v>
      </c>
      <c r="AX72" s="185">
        <v>3</v>
      </c>
      <c r="AY72" s="185" t="s">
        <v>2233</v>
      </c>
      <c r="AZ72" s="185" t="s">
        <v>589</v>
      </c>
      <c r="BA72" s="185" t="s">
        <v>179</v>
      </c>
      <c r="BB72" s="185" t="s">
        <v>2233</v>
      </c>
      <c r="BC72" s="185" t="s">
        <v>589</v>
      </c>
      <c r="BD72" s="185" t="s">
        <v>179</v>
      </c>
      <c r="BE72" s="185" t="s">
        <v>57</v>
      </c>
      <c r="BF72" s="185">
        <v>3</v>
      </c>
      <c r="BG72" s="185" t="s">
        <v>317</v>
      </c>
      <c r="BH72" s="185" t="s">
        <v>1805</v>
      </c>
      <c r="BI72" s="185" t="s">
        <v>2007</v>
      </c>
      <c r="BJ72" s="185" t="s">
        <v>317</v>
      </c>
      <c r="BK72" s="185" t="s">
        <v>1805</v>
      </c>
      <c r="BL72" s="185" t="s">
        <v>2007</v>
      </c>
      <c r="BM72" s="185" t="s">
        <v>198</v>
      </c>
      <c r="BN72" s="185">
        <v>2</v>
      </c>
      <c r="BO72" s="185" t="s">
        <v>199</v>
      </c>
      <c r="BP72" s="185" t="s">
        <v>1952</v>
      </c>
      <c r="BQ72" s="185" t="s">
        <v>1953</v>
      </c>
      <c r="BR72" s="185" t="s">
        <v>199</v>
      </c>
      <c r="BS72" s="185" t="s">
        <v>202</v>
      </c>
      <c r="BT72" s="185" t="s">
        <v>1954</v>
      </c>
    </row>
    <row r="73" spans="1:72" s="184" customFormat="1" ht="36" customHeight="1" x14ac:dyDescent="0.25">
      <c r="A73" s="155">
        <v>21</v>
      </c>
      <c r="B73" s="184" t="s">
        <v>246</v>
      </c>
      <c r="C73" s="184" t="s">
        <v>205</v>
      </c>
      <c r="D73" s="184" t="s">
        <v>2282</v>
      </c>
      <c r="E73" s="184" t="s">
        <v>2283</v>
      </c>
      <c r="F73" s="184" t="s">
        <v>2284</v>
      </c>
      <c r="G73" s="184" t="s">
        <v>2285</v>
      </c>
      <c r="H73" s="184" t="s">
        <v>2286</v>
      </c>
      <c r="I73" s="184" t="s">
        <v>2287</v>
      </c>
      <c r="J73" s="184" t="s">
        <v>1937</v>
      </c>
      <c r="K73" s="184" t="s">
        <v>1938</v>
      </c>
      <c r="L73" s="184" t="s">
        <v>1939</v>
      </c>
      <c r="M73" s="184" t="s">
        <v>2288</v>
      </c>
      <c r="N73" s="184" t="s">
        <v>163</v>
      </c>
      <c r="O73" s="184">
        <v>20</v>
      </c>
      <c r="P73" s="184" t="s">
        <v>259</v>
      </c>
      <c r="Q73" s="184" t="s">
        <v>2289</v>
      </c>
      <c r="R73" s="184" t="s">
        <v>2290</v>
      </c>
      <c r="S73" s="184" t="s">
        <v>2291</v>
      </c>
      <c r="T73" s="184" t="s">
        <v>705</v>
      </c>
      <c r="U73" s="184" t="s">
        <v>2292</v>
      </c>
      <c r="V73" s="184" t="s">
        <v>2293</v>
      </c>
      <c r="W73" s="184" t="s">
        <v>2294</v>
      </c>
      <c r="X73" s="184" t="s">
        <v>2295</v>
      </c>
      <c r="Y73" s="185" t="s">
        <v>1948</v>
      </c>
      <c r="Z73" s="185">
        <v>4</v>
      </c>
      <c r="AA73" s="185" t="s">
        <v>1502</v>
      </c>
      <c r="AB73" s="185" t="s">
        <v>274</v>
      </c>
      <c r="AC73" s="185" t="s">
        <v>268</v>
      </c>
      <c r="AD73" s="185" t="s">
        <v>1502</v>
      </c>
      <c r="AE73" s="185" t="s">
        <v>274</v>
      </c>
      <c r="AF73" s="185" t="s">
        <v>268</v>
      </c>
      <c r="AG73" s="185" t="s">
        <v>1949</v>
      </c>
      <c r="AH73" s="185">
        <v>4</v>
      </c>
      <c r="AI73" s="185" t="s">
        <v>373</v>
      </c>
      <c r="AJ73" s="185" t="s">
        <v>468</v>
      </c>
      <c r="AK73" s="185" t="s">
        <v>2182</v>
      </c>
      <c r="AL73" s="185" t="s">
        <v>373</v>
      </c>
      <c r="AM73" s="185" t="s">
        <v>468</v>
      </c>
      <c r="AN73" s="185" t="s">
        <v>2182</v>
      </c>
      <c r="AO73" s="185" t="s">
        <v>1950</v>
      </c>
      <c r="AP73" s="185">
        <v>4</v>
      </c>
      <c r="AQ73" s="185" t="s">
        <v>466</v>
      </c>
      <c r="AR73" s="185" t="s">
        <v>229</v>
      </c>
      <c r="AS73" s="185" t="s">
        <v>234</v>
      </c>
      <c r="AT73" s="185" t="s">
        <v>466</v>
      </c>
      <c r="AU73" s="185" t="s">
        <v>229</v>
      </c>
      <c r="AV73" s="185" t="s">
        <v>234</v>
      </c>
      <c r="AW73" s="185" t="s">
        <v>1951</v>
      </c>
      <c r="AX73" s="185">
        <v>3</v>
      </c>
      <c r="AY73" s="185" t="s">
        <v>1502</v>
      </c>
      <c r="AZ73" s="185" t="s">
        <v>468</v>
      </c>
      <c r="BA73" s="185" t="s">
        <v>2296</v>
      </c>
      <c r="BB73" s="185" t="s">
        <v>1502</v>
      </c>
      <c r="BC73" s="185" t="s">
        <v>468</v>
      </c>
      <c r="BD73" s="185" t="s">
        <v>2296</v>
      </c>
      <c r="BE73" s="185" t="s">
        <v>57</v>
      </c>
      <c r="BF73" s="185">
        <v>3</v>
      </c>
      <c r="BG73" s="185" t="s">
        <v>281</v>
      </c>
      <c r="BH73" s="185" t="s">
        <v>282</v>
      </c>
      <c r="BI73" s="185" t="s">
        <v>280</v>
      </c>
      <c r="BJ73" s="185" t="s">
        <v>281</v>
      </c>
      <c r="BK73" s="185" t="s">
        <v>282</v>
      </c>
      <c r="BL73" s="185" t="s">
        <v>280</v>
      </c>
      <c r="BM73" s="185" t="s">
        <v>198</v>
      </c>
      <c r="BN73" s="185">
        <v>2</v>
      </c>
      <c r="BO73" s="185" t="s">
        <v>199</v>
      </c>
      <c r="BP73" s="185" t="s">
        <v>1952</v>
      </c>
      <c r="BQ73" s="185" t="s">
        <v>1953</v>
      </c>
      <c r="BR73" s="185" t="s">
        <v>199</v>
      </c>
      <c r="BS73" s="185" t="s">
        <v>202</v>
      </c>
      <c r="BT73" s="185" t="s">
        <v>1954</v>
      </c>
    </row>
    <row r="74" spans="1:72" s="184" customFormat="1" ht="36" customHeight="1" x14ac:dyDescent="0.25">
      <c r="A74" s="155">
        <v>22</v>
      </c>
      <c r="B74" s="184" t="s">
        <v>444</v>
      </c>
      <c r="C74" s="184" t="s">
        <v>154</v>
      </c>
      <c r="D74" s="184" t="s">
        <v>2297</v>
      </c>
      <c r="E74" s="184" t="s">
        <v>2298</v>
      </c>
      <c r="F74" s="184" t="s">
        <v>2299</v>
      </c>
      <c r="G74" s="184" t="s">
        <v>2300</v>
      </c>
      <c r="H74" s="184" t="s">
        <v>2301</v>
      </c>
      <c r="I74" s="184" t="s">
        <v>2302</v>
      </c>
      <c r="J74" s="184" t="s">
        <v>1937</v>
      </c>
      <c r="K74" s="184" t="s">
        <v>1938</v>
      </c>
      <c r="L74" s="184" t="s">
        <v>1939</v>
      </c>
      <c r="M74" s="184" t="s">
        <v>2303</v>
      </c>
      <c r="N74" s="184" t="s">
        <v>163</v>
      </c>
      <c r="O74" s="184">
        <v>20</v>
      </c>
      <c r="P74" s="184" t="s">
        <v>259</v>
      </c>
      <c r="Q74" s="184" t="s">
        <v>455</v>
      </c>
      <c r="R74" s="184" t="s">
        <v>2304</v>
      </c>
      <c r="S74" s="184" t="s">
        <v>457</v>
      </c>
      <c r="T74" s="184" t="s">
        <v>429</v>
      </c>
      <c r="U74" s="184" t="s">
        <v>2305</v>
      </c>
      <c r="V74" s="184" t="s">
        <v>2306</v>
      </c>
      <c r="W74" s="184" t="s">
        <v>2307</v>
      </c>
      <c r="X74" s="184" t="s">
        <v>2308</v>
      </c>
      <c r="Y74" s="185" t="s">
        <v>1948</v>
      </c>
      <c r="Z74" s="185">
        <v>4</v>
      </c>
      <c r="AA74" s="185" t="s">
        <v>2309</v>
      </c>
      <c r="AB74" s="185" t="s">
        <v>268</v>
      </c>
      <c r="AC74" s="185" t="s">
        <v>2310</v>
      </c>
      <c r="AD74" s="185" t="s">
        <v>2309</v>
      </c>
      <c r="AE74" s="185" t="s">
        <v>268</v>
      </c>
      <c r="AF74" s="185" t="s">
        <v>2310</v>
      </c>
      <c r="AG74" s="185" t="s">
        <v>1949</v>
      </c>
      <c r="AH74" s="185">
        <v>4</v>
      </c>
      <c r="AI74" s="185" t="s">
        <v>2311</v>
      </c>
      <c r="AJ74" s="185" t="s">
        <v>464</v>
      </c>
      <c r="AK74" s="185" t="s">
        <v>273</v>
      </c>
      <c r="AL74" s="185" t="s">
        <v>2311</v>
      </c>
      <c r="AM74" s="185" t="s">
        <v>464</v>
      </c>
      <c r="AN74" s="185" t="s">
        <v>273</v>
      </c>
      <c r="AO74" s="185" t="s">
        <v>1950</v>
      </c>
      <c r="AP74" s="185">
        <v>4</v>
      </c>
      <c r="AQ74" s="185" t="s">
        <v>466</v>
      </c>
      <c r="AR74" s="185" t="s">
        <v>2312</v>
      </c>
      <c r="AS74" s="185" t="s">
        <v>232</v>
      </c>
      <c r="AT74" s="185" t="s">
        <v>466</v>
      </c>
      <c r="AU74" s="185" t="s">
        <v>2312</v>
      </c>
      <c r="AV74" s="185" t="s">
        <v>232</v>
      </c>
      <c r="AW74" s="185" t="s">
        <v>1951</v>
      </c>
      <c r="AX74" s="185">
        <v>3</v>
      </c>
      <c r="AY74" s="185" t="s">
        <v>589</v>
      </c>
      <c r="AZ74" s="185" t="s">
        <v>2313</v>
      </c>
      <c r="BA74" s="185" t="s">
        <v>828</v>
      </c>
      <c r="BB74" s="185" t="s">
        <v>589</v>
      </c>
      <c r="BC74" s="185" t="s">
        <v>2313</v>
      </c>
      <c r="BD74" s="185" t="s">
        <v>828</v>
      </c>
      <c r="BE74" s="185" t="s">
        <v>57</v>
      </c>
      <c r="BF74" s="185">
        <v>3</v>
      </c>
      <c r="BG74" s="185" t="s">
        <v>282</v>
      </c>
      <c r="BH74" s="185" t="s">
        <v>467</v>
      </c>
      <c r="BI74" s="185" t="s">
        <v>280</v>
      </c>
      <c r="BJ74" s="185" t="s">
        <v>282</v>
      </c>
      <c r="BK74" s="185" t="s">
        <v>467</v>
      </c>
      <c r="BL74" s="185" t="s">
        <v>280</v>
      </c>
      <c r="BM74" s="185" t="s">
        <v>198</v>
      </c>
      <c r="BN74" s="185">
        <v>2</v>
      </c>
      <c r="BO74" s="185" t="s">
        <v>199</v>
      </c>
      <c r="BP74" s="185" t="s">
        <v>1952</v>
      </c>
      <c r="BQ74" s="185" t="s">
        <v>1953</v>
      </c>
      <c r="BR74" s="185" t="s">
        <v>199</v>
      </c>
      <c r="BS74" s="185" t="s">
        <v>202</v>
      </c>
      <c r="BT74" s="185" t="s">
        <v>1954</v>
      </c>
    </row>
    <row r="75" spans="1:72" s="184" customFormat="1" ht="36" customHeight="1" x14ac:dyDescent="0.25">
      <c r="A75" s="155">
        <v>23</v>
      </c>
      <c r="B75" s="184" t="s">
        <v>765</v>
      </c>
      <c r="C75" s="184" t="s">
        <v>205</v>
      </c>
      <c r="D75" s="184" t="s">
        <v>2314</v>
      </c>
      <c r="E75" s="184" t="s">
        <v>2315</v>
      </c>
      <c r="F75" s="184" t="s">
        <v>2316</v>
      </c>
      <c r="G75" s="184" t="s">
        <v>2317</v>
      </c>
      <c r="H75" s="184" t="s">
        <v>2318</v>
      </c>
      <c r="I75" s="184" t="s">
        <v>2319</v>
      </c>
      <c r="J75" s="184" t="s">
        <v>1937</v>
      </c>
      <c r="K75" s="184" t="s">
        <v>1938</v>
      </c>
      <c r="L75" s="184" t="s">
        <v>1939</v>
      </c>
      <c r="M75" s="184" t="s">
        <v>2320</v>
      </c>
      <c r="N75" s="184" t="s">
        <v>163</v>
      </c>
      <c r="O75" s="184">
        <v>20</v>
      </c>
      <c r="P75" s="184" t="s">
        <v>259</v>
      </c>
      <c r="Q75" s="184" t="s">
        <v>2321</v>
      </c>
      <c r="R75" s="184" t="s">
        <v>2322</v>
      </c>
      <c r="S75" s="184" t="s">
        <v>2323</v>
      </c>
      <c r="T75" s="184" t="s">
        <v>2324</v>
      </c>
      <c r="U75" s="184" t="s">
        <v>521</v>
      </c>
      <c r="V75" s="184" t="s">
        <v>2325</v>
      </c>
      <c r="W75" s="184" t="s">
        <v>2326</v>
      </c>
      <c r="X75" s="184" t="s">
        <v>2327</v>
      </c>
      <c r="Y75" s="185" t="s">
        <v>1948</v>
      </c>
      <c r="Z75" s="185">
        <v>4</v>
      </c>
      <c r="AA75" s="185" t="s">
        <v>2328</v>
      </c>
      <c r="AB75" s="185" t="s">
        <v>268</v>
      </c>
      <c r="AC75" s="185" t="s">
        <v>275</v>
      </c>
      <c r="AD75" s="185" t="s">
        <v>2328</v>
      </c>
      <c r="AE75" s="185" t="s">
        <v>268</v>
      </c>
      <c r="AF75" s="185" t="s">
        <v>275</v>
      </c>
      <c r="AG75" s="185" t="s">
        <v>1949</v>
      </c>
      <c r="AH75" s="185">
        <v>4</v>
      </c>
      <c r="AI75" s="185" t="s">
        <v>760</v>
      </c>
      <c r="AJ75" s="185" t="s">
        <v>435</v>
      </c>
      <c r="AK75" s="185" t="s">
        <v>2329</v>
      </c>
      <c r="AL75" s="185" t="s">
        <v>760</v>
      </c>
      <c r="AM75" s="185" t="s">
        <v>435</v>
      </c>
      <c r="AN75" s="185" t="s">
        <v>2329</v>
      </c>
      <c r="AO75" s="185" t="s">
        <v>1950</v>
      </c>
      <c r="AP75" s="185">
        <v>4</v>
      </c>
      <c r="AQ75" s="185" t="s">
        <v>232</v>
      </c>
      <c r="AR75" s="185" t="s">
        <v>275</v>
      </c>
      <c r="AS75" s="185" t="s">
        <v>435</v>
      </c>
      <c r="AT75" s="185" t="s">
        <v>232</v>
      </c>
      <c r="AU75" s="185" t="s">
        <v>275</v>
      </c>
      <c r="AV75" s="185" t="s">
        <v>435</v>
      </c>
      <c r="AW75" s="185" t="s">
        <v>1951</v>
      </c>
      <c r="AX75" s="185">
        <v>3</v>
      </c>
      <c r="AY75" s="185" t="s">
        <v>1784</v>
      </c>
      <c r="AZ75" s="185" t="s">
        <v>179</v>
      </c>
      <c r="BA75" s="185" t="s">
        <v>2128</v>
      </c>
      <c r="BB75" s="185" t="s">
        <v>1784</v>
      </c>
      <c r="BC75" s="185" t="s">
        <v>179</v>
      </c>
      <c r="BD75" s="185" t="s">
        <v>2128</v>
      </c>
      <c r="BE75" s="185" t="s">
        <v>57</v>
      </c>
      <c r="BF75" s="185">
        <v>3</v>
      </c>
      <c r="BG75" s="185" t="s">
        <v>2330</v>
      </c>
      <c r="BH75" s="185" t="s">
        <v>379</v>
      </c>
      <c r="BI75" s="185" t="s">
        <v>270</v>
      </c>
      <c r="BJ75" s="185" t="s">
        <v>2330</v>
      </c>
      <c r="BK75" s="185" t="s">
        <v>379</v>
      </c>
      <c r="BL75" s="185" t="s">
        <v>270</v>
      </c>
      <c r="BM75" s="185" t="s">
        <v>198</v>
      </c>
      <c r="BN75" s="185">
        <v>2</v>
      </c>
      <c r="BO75" s="185" t="s">
        <v>199</v>
      </c>
      <c r="BP75" s="185" t="s">
        <v>1952</v>
      </c>
      <c r="BQ75" s="185" t="s">
        <v>1953</v>
      </c>
      <c r="BR75" s="185" t="s">
        <v>199</v>
      </c>
      <c r="BS75" s="185" t="s">
        <v>202</v>
      </c>
      <c r="BT75" s="185" t="s">
        <v>1954</v>
      </c>
    </row>
    <row r="76" spans="1:72" s="184" customFormat="1" ht="36" customHeight="1" x14ac:dyDescent="0.25">
      <c r="A76" s="155">
        <v>24</v>
      </c>
      <c r="B76" s="184" t="s">
        <v>385</v>
      </c>
      <c r="C76" s="184" t="s">
        <v>247</v>
      </c>
      <c r="D76" s="184" t="s">
        <v>2331</v>
      </c>
      <c r="E76" s="184" t="s">
        <v>2332</v>
      </c>
      <c r="F76" s="184" t="s">
        <v>2333</v>
      </c>
      <c r="G76" s="184" t="s">
        <v>2334</v>
      </c>
      <c r="H76" s="184" t="s">
        <v>2335</v>
      </c>
      <c r="I76" s="184" t="s">
        <v>2336</v>
      </c>
      <c r="J76" s="184" t="s">
        <v>1937</v>
      </c>
      <c r="K76" s="184" t="s">
        <v>1938</v>
      </c>
      <c r="L76" s="184" t="s">
        <v>1939</v>
      </c>
      <c r="M76" s="184" t="s">
        <v>2337</v>
      </c>
      <c r="N76" s="184" t="s">
        <v>163</v>
      </c>
      <c r="O76" s="184">
        <v>20</v>
      </c>
      <c r="P76" s="184" t="s">
        <v>259</v>
      </c>
      <c r="Q76" s="184" t="s">
        <v>2338</v>
      </c>
      <c r="R76" s="184" t="s">
        <v>2339</v>
      </c>
      <c r="S76" s="184" t="s">
        <v>2340</v>
      </c>
      <c r="T76" s="184" t="s">
        <v>705</v>
      </c>
      <c r="U76" s="184" t="s">
        <v>2341</v>
      </c>
      <c r="V76" s="184" t="s">
        <v>2342</v>
      </c>
      <c r="W76" s="184" t="s">
        <v>2343</v>
      </c>
      <c r="X76" s="184" t="s">
        <v>2344</v>
      </c>
      <c r="Y76" s="185" t="s">
        <v>1948</v>
      </c>
      <c r="Z76" s="185">
        <v>4</v>
      </c>
      <c r="AA76" s="185" t="s">
        <v>275</v>
      </c>
      <c r="AB76" s="185" t="s">
        <v>2042</v>
      </c>
      <c r="AC76" s="185" t="s">
        <v>268</v>
      </c>
      <c r="AD76" s="185" t="s">
        <v>275</v>
      </c>
      <c r="AE76" s="185" t="s">
        <v>2042</v>
      </c>
      <c r="AF76" s="185" t="s">
        <v>268</v>
      </c>
      <c r="AG76" s="185" t="s">
        <v>1949</v>
      </c>
      <c r="AH76" s="185">
        <v>4</v>
      </c>
      <c r="AI76" s="185" t="s">
        <v>468</v>
      </c>
      <c r="AJ76" s="185" t="s">
        <v>226</v>
      </c>
      <c r="AK76" s="185" t="s">
        <v>179</v>
      </c>
      <c r="AL76" s="185" t="s">
        <v>468</v>
      </c>
      <c r="AM76" s="185" t="s">
        <v>226</v>
      </c>
      <c r="AN76" s="185" t="s">
        <v>179</v>
      </c>
      <c r="AO76" s="185" t="s">
        <v>1950</v>
      </c>
      <c r="AP76" s="185">
        <v>4</v>
      </c>
      <c r="AQ76" s="185" t="s">
        <v>466</v>
      </c>
      <c r="AR76" s="185" t="s">
        <v>1845</v>
      </c>
      <c r="AS76" s="185" t="s">
        <v>182</v>
      </c>
      <c r="AT76" s="185" t="s">
        <v>466</v>
      </c>
      <c r="AU76" s="185" t="s">
        <v>1845</v>
      </c>
      <c r="AV76" s="185" t="s">
        <v>182</v>
      </c>
      <c r="AW76" s="185" t="s">
        <v>1951</v>
      </c>
      <c r="AX76" s="185">
        <v>3</v>
      </c>
      <c r="AY76" s="185" t="s">
        <v>2042</v>
      </c>
      <c r="AZ76" s="185" t="s">
        <v>2345</v>
      </c>
      <c r="BA76" s="185" t="s">
        <v>828</v>
      </c>
      <c r="BB76" s="185" t="s">
        <v>2042</v>
      </c>
      <c r="BC76" s="185" t="s">
        <v>2345</v>
      </c>
      <c r="BD76" s="185" t="s">
        <v>828</v>
      </c>
      <c r="BE76" s="185" t="s">
        <v>57</v>
      </c>
      <c r="BF76" s="185">
        <v>3</v>
      </c>
      <c r="BG76" s="185" t="s">
        <v>237</v>
      </c>
      <c r="BH76" s="185" t="s">
        <v>1558</v>
      </c>
      <c r="BI76" s="185" t="s">
        <v>715</v>
      </c>
      <c r="BJ76" s="185" t="s">
        <v>237</v>
      </c>
      <c r="BK76" s="185" t="s">
        <v>1558</v>
      </c>
      <c r="BL76" s="185" t="s">
        <v>715</v>
      </c>
      <c r="BM76" s="185" t="s">
        <v>198</v>
      </c>
      <c r="BN76" s="185">
        <v>2</v>
      </c>
      <c r="BO76" s="185" t="s">
        <v>199</v>
      </c>
      <c r="BP76" s="185" t="s">
        <v>1952</v>
      </c>
      <c r="BQ76" s="185" t="s">
        <v>1953</v>
      </c>
      <c r="BR76" s="185" t="s">
        <v>199</v>
      </c>
      <c r="BS76" s="185" t="s">
        <v>202</v>
      </c>
      <c r="BT76" s="185" t="s">
        <v>1954</v>
      </c>
    </row>
    <row r="77" spans="1:72" s="184" customFormat="1" ht="36" customHeight="1" x14ac:dyDescent="0.25">
      <c r="A77" s="155">
        <v>25</v>
      </c>
      <c r="B77" s="184" t="s">
        <v>2096</v>
      </c>
      <c r="C77" s="184" t="s">
        <v>247</v>
      </c>
      <c r="D77" s="184" t="s">
        <v>2346</v>
      </c>
      <c r="E77" s="184" t="s">
        <v>2347</v>
      </c>
      <c r="F77" s="184" t="s">
        <v>2348</v>
      </c>
      <c r="G77" s="184" t="s">
        <v>2349</v>
      </c>
      <c r="H77" s="184" t="s">
        <v>2350</v>
      </c>
      <c r="I77" s="184" t="s">
        <v>2351</v>
      </c>
      <c r="J77" s="184" t="s">
        <v>1937</v>
      </c>
      <c r="K77" s="184" t="s">
        <v>1938</v>
      </c>
      <c r="L77" s="184" t="s">
        <v>1939</v>
      </c>
      <c r="M77" s="184" t="s">
        <v>2352</v>
      </c>
      <c r="N77" s="184" t="s">
        <v>163</v>
      </c>
      <c r="O77" s="184">
        <v>20</v>
      </c>
      <c r="P77" s="184" t="s">
        <v>259</v>
      </c>
      <c r="Q77" s="184" t="s">
        <v>1871</v>
      </c>
      <c r="R77" s="184" t="s">
        <v>2353</v>
      </c>
      <c r="S77" s="184" t="s">
        <v>2354</v>
      </c>
      <c r="T77" s="184" t="s">
        <v>705</v>
      </c>
      <c r="U77" s="184" t="s">
        <v>521</v>
      </c>
      <c r="V77" s="184" t="s">
        <v>2355</v>
      </c>
      <c r="W77" s="184" t="s">
        <v>2356</v>
      </c>
      <c r="X77" s="184" t="s">
        <v>2357</v>
      </c>
      <c r="Y77" s="185" t="s">
        <v>1948</v>
      </c>
      <c r="Z77" s="185">
        <v>4</v>
      </c>
      <c r="AA77" s="185" t="s">
        <v>525</v>
      </c>
      <c r="AB77" s="185" t="s">
        <v>2358</v>
      </c>
      <c r="AC77" s="185" t="s">
        <v>527</v>
      </c>
      <c r="AD77" s="185" t="s">
        <v>525</v>
      </c>
      <c r="AE77" s="185" t="s">
        <v>2358</v>
      </c>
      <c r="AF77" s="185" t="s">
        <v>527</v>
      </c>
      <c r="AG77" s="185" t="s">
        <v>1949</v>
      </c>
      <c r="AH77" s="185">
        <v>4</v>
      </c>
      <c r="AI77" s="185" t="s">
        <v>2359</v>
      </c>
      <c r="AJ77" s="185" t="s">
        <v>269</v>
      </c>
      <c r="AK77" s="185" t="s">
        <v>2360</v>
      </c>
      <c r="AL77" s="185" t="s">
        <v>2359</v>
      </c>
      <c r="AM77" s="185" t="s">
        <v>269</v>
      </c>
      <c r="AN77" s="185" t="s">
        <v>2360</v>
      </c>
      <c r="AO77" s="185" t="s">
        <v>1950</v>
      </c>
      <c r="AP77" s="185">
        <v>4</v>
      </c>
      <c r="AQ77" s="185" t="s">
        <v>279</v>
      </c>
      <c r="AR77" s="185" t="s">
        <v>234</v>
      </c>
      <c r="AS77" s="185" t="s">
        <v>408</v>
      </c>
      <c r="AT77" s="185" t="s">
        <v>279</v>
      </c>
      <c r="AU77" s="185" t="s">
        <v>234</v>
      </c>
      <c r="AV77" s="185" t="s">
        <v>408</v>
      </c>
      <c r="AW77" s="185" t="s">
        <v>1951</v>
      </c>
      <c r="AX77" s="185">
        <v>3</v>
      </c>
      <c r="AY77" s="185" t="s">
        <v>589</v>
      </c>
      <c r="AZ77" s="185" t="s">
        <v>179</v>
      </c>
      <c r="BA77" s="185" t="s">
        <v>2361</v>
      </c>
      <c r="BB77" s="185" t="s">
        <v>589</v>
      </c>
      <c r="BC77" s="185" t="s">
        <v>179</v>
      </c>
      <c r="BD77" s="185" t="s">
        <v>2361</v>
      </c>
      <c r="BE77" s="185" t="s">
        <v>57</v>
      </c>
      <c r="BF77" s="185">
        <v>3</v>
      </c>
      <c r="BG77" s="185" t="s">
        <v>189</v>
      </c>
      <c r="BH77" s="185" t="s">
        <v>188</v>
      </c>
      <c r="BI77" s="185" t="s">
        <v>191</v>
      </c>
      <c r="BJ77" s="185" t="s">
        <v>189</v>
      </c>
      <c r="BK77" s="185" t="s">
        <v>188</v>
      </c>
      <c r="BL77" s="185" t="s">
        <v>191</v>
      </c>
      <c r="BM77" s="185" t="s">
        <v>198</v>
      </c>
      <c r="BN77" s="185">
        <v>2</v>
      </c>
      <c r="BO77" s="185" t="s">
        <v>199</v>
      </c>
      <c r="BP77" s="185" t="s">
        <v>1952</v>
      </c>
      <c r="BQ77" s="185" t="s">
        <v>1953</v>
      </c>
      <c r="BR77" s="185" t="s">
        <v>199</v>
      </c>
      <c r="BS77" s="185" t="s">
        <v>202</v>
      </c>
      <c r="BT77" s="185" t="s">
        <v>1954</v>
      </c>
    </row>
    <row r="78" spans="1:72" s="184" customFormat="1" ht="36" customHeight="1" x14ac:dyDescent="0.25">
      <c r="A78" s="155">
        <v>26</v>
      </c>
      <c r="B78" s="184" t="s">
        <v>506</v>
      </c>
      <c r="C78" s="184" t="s">
        <v>247</v>
      </c>
      <c r="D78" s="184" t="s">
        <v>2362</v>
      </c>
      <c r="E78" s="184" t="s">
        <v>2363</v>
      </c>
      <c r="F78" s="184" t="s">
        <v>2364</v>
      </c>
      <c r="G78" s="184" t="s">
        <v>2365</v>
      </c>
      <c r="H78" s="184" t="s">
        <v>2366</v>
      </c>
      <c r="I78" s="184" t="s">
        <v>2367</v>
      </c>
      <c r="J78" s="184" t="s">
        <v>1937</v>
      </c>
      <c r="K78" s="184" t="s">
        <v>1938</v>
      </c>
      <c r="L78" s="184" t="s">
        <v>1939</v>
      </c>
      <c r="M78" s="184" t="s">
        <v>2368</v>
      </c>
      <c r="N78" s="184" t="s">
        <v>163</v>
      </c>
      <c r="O78" s="184">
        <v>20</v>
      </c>
      <c r="P78" s="184" t="s">
        <v>259</v>
      </c>
      <c r="Q78" s="184" t="s">
        <v>2369</v>
      </c>
      <c r="R78" s="184" t="s">
        <v>2370</v>
      </c>
      <c r="S78" s="184" t="s">
        <v>1817</v>
      </c>
      <c r="T78" s="184" t="s">
        <v>2123</v>
      </c>
      <c r="U78" s="184" t="s">
        <v>2292</v>
      </c>
      <c r="V78" s="184" t="s">
        <v>2371</v>
      </c>
      <c r="W78" s="184" t="s">
        <v>2372</v>
      </c>
      <c r="X78" s="184" t="s">
        <v>2373</v>
      </c>
      <c r="Y78" s="185" t="s">
        <v>1948</v>
      </c>
      <c r="Z78" s="185">
        <v>4</v>
      </c>
      <c r="AA78" s="185" t="s">
        <v>1687</v>
      </c>
      <c r="AB78" s="185" t="s">
        <v>2374</v>
      </c>
      <c r="AC78" s="185" t="s">
        <v>276</v>
      </c>
      <c r="AD78" s="185" t="s">
        <v>1687</v>
      </c>
      <c r="AE78" s="185" t="s">
        <v>2374</v>
      </c>
      <c r="AF78" s="185" t="s">
        <v>276</v>
      </c>
      <c r="AG78" s="185" t="s">
        <v>1949</v>
      </c>
      <c r="AH78" s="185">
        <v>4</v>
      </c>
      <c r="AI78" s="185" t="s">
        <v>176</v>
      </c>
      <c r="AJ78" s="185" t="s">
        <v>1397</v>
      </c>
      <c r="AK78" s="185" t="s">
        <v>2311</v>
      </c>
      <c r="AL78" s="185" t="s">
        <v>176</v>
      </c>
      <c r="AM78" s="185" t="s">
        <v>1397</v>
      </c>
      <c r="AN78" s="185" t="s">
        <v>2311</v>
      </c>
      <c r="AO78" s="185" t="s">
        <v>1950</v>
      </c>
      <c r="AP78" s="185">
        <v>4</v>
      </c>
      <c r="AQ78" s="185" t="s">
        <v>232</v>
      </c>
      <c r="AR78" s="185" t="s">
        <v>279</v>
      </c>
      <c r="AS78" s="185" t="s">
        <v>681</v>
      </c>
      <c r="AT78" s="185" t="s">
        <v>232</v>
      </c>
      <c r="AU78" s="185" t="s">
        <v>279</v>
      </c>
      <c r="AV78" s="185" t="s">
        <v>681</v>
      </c>
      <c r="AW78" s="185" t="s">
        <v>1951</v>
      </c>
      <c r="AX78" s="185">
        <v>3</v>
      </c>
      <c r="AY78" s="185" t="s">
        <v>278</v>
      </c>
      <c r="AZ78" s="185" t="s">
        <v>589</v>
      </c>
      <c r="BA78" s="185" t="s">
        <v>179</v>
      </c>
      <c r="BB78" s="185" t="s">
        <v>278</v>
      </c>
      <c r="BC78" s="185" t="s">
        <v>589</v>
      </c>
      <c r="BD78" s="185" t="s">
        <v>179</v>
      </c>
      <c r="BE78" s="185" t="s">
        <v>57</v>
      </c>
      <c r="BF78" s="185">
        <v>3</v>
      </c>
      <c r="BG78" s="185" t="s">
        <v>281</v>
      </c>
      <c r="BH78" s="185" t="s">
        <v>280</v>
      </c>
      <c r="BI78" s="185" t="s">
        <v>1558</v>
      </c>
      <c r="BJ78" s="185" t="s">
        <v>281</v>
      </c>
      <c r="BK78" s="185" t="s">
        <v>280</v>
      </c>
      <c r="BL78" s="185" t="s">
        <v>1558</v>
      </c>
      <c r="BM78" s="185" t="s">
        <v>198</v>
      </c>
      <c r="BN78" s="185">
        <v>2</v>
      </c>
      <c r="BO78" s="185" t="s">
        <v>199</v>
      </c>
      <c r="BP78" s="185" t="s">
        <v>1952</v>
      </c>
      <c r="BQ78" s="185" t="s">
        <v>1953</v>
      </c>
      <c r="BR78" s="185" t="s">
        <v>199</v>
      </c>
      <c r="BS78" s="185" t="s">
        <v>202</v>
      </c>
      <c r="BT78" s="185" t="s">
        <v>1954</v>
      </c>
    </row>
    <row r="79" spans="1:72" s="184" customFormat="1" ht="36" customHeight="1" x14ac:dyDescent="0.25">
      <c r="A79" s="155">
        <v>27</v>
      </c>
      <c r="B79" s="184" t="s">
        <v>444</v>
      </c>
      <c r="C79" s="184" t="s">
        <v>247</v>
      </c>
      <c r="D79" s="184" t="s">
        <v>2375</v>
      </c>
      <c r="E79" s="184" t="s">
        <v>2376</v>
      </c>
      <c r="F79" s="184" t="s">
        <v>2377</v>
      </c>
      <c r="G79" s="184" t="s">
        <v>2378</v>
      </c>
      <c r="H79" s="184" t="s">
        <v>2379</v>
      </c>
      <c r="I79" s="184" t="s">
        <v>2380</v>
      </c>
      <c r="J79" s="184" t="s">
        <v>1937</v>
      </c>
      <c r="K79" s="184" t="s">
        <v>1938</v>
      </c>
      <c r="L79" s="184" t="s">
        <v>1939</v>
      </c>
      <c r="M79" s="184" t="s">
        <v>2381</v>
      </c>
      <c r="N79" s="184" t="s">
        <v>163</v>
      </c>
      <c r="O79" s="184">
        <v>20</v>
      </c>
      <c r="P79" s="184" t="s">
        <v>259</v>
      </c>
      <c r="Q79" s="184" t="s">
        <v>2382</v>
      </c>
      <c r="R79" s="184" t="s">
        <v>2383</v>
      </c>
      <c r="S79" s="184" t="s">
        <v>2384</v>
      </c>
      <c r="T79" s="184" t="s">
        <v>2385</v>
      </c>
      <c r="U79" s="184" t="s">
        <v>521</v>
      </c>
      <c r="V79" s="184" t="s">
        <v>2386</v>
      </c>
      <c r="W79" s="184" t="s">
        <v>2387</v>
      </c>
      <c r="X79" s="184" t="s">
        <v>2388</v>
      </c>
      <c r="Y79" s="185" t="s">
        <v>1948</v>
      </c>
      <c r="Z79" s="185">
        <v>4</v>
      </c>
      <c r="AA79" s="185" t="s">
        <v>2389</v>
      </c>
      <c r="AB79" s="185" t="s">
        <v>1823</v>
      </c>
      <c r="AC79" s="185" t="s">
        <v>2390</v>
      </c>
      <c r="AD79" s="185" t="s">
        <v>2389</v>
      </c>
      <c r="AE79" s="185" t="s">
        <v>1823</v>
      </c>
      <c r="AF79" s="185" t="s">
        <v>2390</v>
      </c>
      <c r="AG79" s="185" t="s">
        <v>1949</v>
      </c>
      <c r="AH79" s="185">
        <v>4</v>
      </c>
      <c r="AI79" s="185" t="s">
        <v>176</v>
      </c>
      <c r="AJ79" s="185" t="s">
        <v>2391</v>
      </c>
      <c r="AK79" s="185" t="s">
        <v>2392</v>
      </c>
      <c r="AL79" s="185" t="s">
        <v>176</v>
      </c>
      <c r="AM79" s="185" t="s">
        <v>2391</v>
      </c>
      <c r="AN79" s="185" t="s">
        <v>2392</v>
      </c>
      <c r="AO79" s="185" t="s">
        <v>1950</v>
      </c>
      <c r="AP79" s="185">
        <v>4</v>
      </c>
      <c r="AQ79" s="185" t="s">
        <v>232</v>
      </c>
      <c r="AR79" s="185" t="s">
        <v>760</v>
      </c>
      <c r="AS79" s="185" t="s">
        <v>901</v>
      </c>
      <c r="AT79" s="185" t="s">
        <v>232</v>
      </c>
      <c r="AU79" s="185" t="s">
        <v>760</v>
      </c>
      <c r="AV79" s="185" t="s">
        <v>901</v>
      </c>
      <c r="AW79" s="185" t="s">
        <v>1951</v>
      </c>
      <c r="AX79" s="185">
        <v>3</v>
      </c>
      <c r="AY79" s="185" t="s">
        <v>179</v>
      </c>
      <c r="AZ79" s="185" t="s">
        <v>1987</v>
      </c>
      <c r="BA79" s="185" t="s">
        <v>176</v>
      </c>
      <c r="BB79" s="185" t="s">
        <v>179</v>
      </c>
      <c r="BC79" s="185" t="s">
        <v>1987</v>
      </c>
      <c r="BD79" s="185" t="s">
        <v>176</v>
      </c>
      <c r="BE79" s="185" t="s">
        <v>57</v>
      </c>
      <c r="BF79" s="185">
        <v>3</v>
      </c>
      <c r="BG79" s="185" t="s">
        <v>282</v>
      </c>
      <c r="BH79" s="185" t="s">
        <v>467</v>
      </c>
      <c r="BI79" s="185" t="s">
        <v>2393</v>
      </c>
      <c r="BJ79" s="185" t="s">
        <v>282</v>
      </c>
      <c r="BK79" s="185" t="s">
        <v>467</v>
      </c>
      <c r="BL79" s="185" t="s">
        <v>2393</v>
      </c>
      <c r="BM79" s="185" t="s">
        <v>198</v>
      </c>
      <c r="BN79" s="185">
        <v>2</v>
      </c>
      <c r="BO79" s="185" t="s">
        <v>199</v>
      </c>
      <c r="BP79" s="185" t="s">
        <v>1952</v>
      </c>
      <c r="BQ79" s="185" t="s">
        <v>1953</v>
      </c>
      <c r="BR79" s="185" t="s">
        <v>199</v>
      </c>
      <c r="BS79" s="185" t="s">
        <v>202</v>
      </c>
      <c r="BT79" s="185" t="s">
        <v>1954</v>
      </c>
    </row>
    <row r="80" spans="1:72" s="184" customFormat="1" ht="36" customHeight="1" x14ac:dyDescent="0.25">
      <c r="A80" s="155">
        <v>28</v>
      </c>
      <c r="B80" s="184" t="s">
        <v>385</v>
      </c>
      <c r="C80" s="184" t="s">
        <v>325</v>
      </c>
      <c r="D80" s="184" t="s">
        <v>2394</v>
      </c>
      <c r="E80" s="184" t="s">
        <v>2395</v>
      </c>
      <c r="F80" s="184" t="s">
        <v>2396</v>
      </c>
      <c r="G80" s="184" t="s">
        <v>2397</v>
      </c>
      <c r="H80" s="184" t="s">
        <v>2398</v>
      </c>
      <c r="I80" s="184" t="s">
        <v>2399</v>
      </c>
      <c r="J80" s="184" t="s">
        <v>1937</v>
      </c>
      <c r="K80" s="184" t="s">
        <v>1938</v>
      </c>
      <c r="L80" s="184" t="s">
        <v>1939</v>
      </c>
      <c r="M80" s="184" t="s">
        <v>2400</v>
      </c>
      <c r="N80" s="184" t="s">
        <v>163</v>
      </c>
      <c r="O80" s="184">
        <v>20</v>
      </c>
      <c r="P80" s="184" t="s">
        <v>259</v>
      </c>
      <c r="Q80" s="184" t="s">
        <v>2401</v>
      </c>
      <c r="R80" s="184" t="s">
        <v>2402</v>
      </c>
      <c r="S80" s="184" t="s">
        <v>2403</v>
      </c>
      <c r="T80" s="184" t="s">
        <v>2123</v>
      </c>
      <c r="U80" s="184" t="s">
        <v>2404</v>
      </c>
      <c r="V80" s="184" t="s">
        <v>2405</v>
      </c>
      <c r="W80" s="184" t="s">
        <v>2406</v>
      </c>
      <c r="X80" s="184" t="s">
        <v>2407</v>
      </c>
      <c r="Y80" s="185" t="s">
        <v>1948</v>
      </c>
      <c r="Z80" s="185">
        <v>4</v>
      </c>
      <c r="AA80" s="185" t="s">
        <v>1613</v>
      </c>
      <c r="AB80" s="185" t="s">
        <v>232</v>
      </c>
      <c r="AC80" s="185" t="s">
        <v>527</v>
      </c>
      <c r="AD80" s="185" t="s">
        <v>1613</v>
      </c>
      <c r="AE80" s="185" t="s">
        <v>232</v>
      </c>
      <c r="AF80" s="185" t="s">
        <v>527</v>
      </c>
      <c r="AG80" s="185" t="s">
        <v>1949</v>
      </c>
      <c r="AH80" s="185">
        <v>4</v>
      </c>
      <c r="AI80" s="185" t="s">
        <v>2182</v>
      </c>
      <c r="AJ80" s="185" t="s">
        <v>1986</v>
      </c>
      <c r="AK80" s="185" t="s">
        <v>373</v>
      </c>
      <c r="AL80" s="185" t="s">
        <v>2182</v>
      </c>
      <c r="AM80" s="185" t="s">
        <v>1986</v>
      </c>
      <c r="AN80" s="185" t="s">
        <v>373</v>
      </c>
      <c r="AO80" s="185" t="s">
        <v>1950</v>
      </c>
      <c r="AP80" s="185">
        <v>4</v>
      </c>
      <c r="AQ80" s="185" t="s">
        <v>279</v>
      </c>
      <c r="AR80" s="185" t="s">
        <v>408</v>
      </c>
      <c r="AS80" s="185" t="s">
        <v>383</v>
      </c>
      <c r="AT80" s="185" t="s">
        <v>279</v>
      </c>
      <c r="AU80" s="185" t="s">
        <v>408</v>
      </c>
      <c r="AV80" s="185" t="s">
        <v>383</v>
      </c>
      <c r="AW80" s="185" t="s">
        <v>1951</v>
      </c>
      <c r="AX80" s="185">
        <v>3</v>
      </c>
      <c r="AY80" s="185" t="s">
        <v>1612</v>
      </c>
      <c r="AZ80" s="185" t="s">
        <v>466</v>
      </c>
      <c r="BA80" s="185" t="s">
        <v>179</v>
      </c>
      <c r="BB80" s="185" t="s">
        <v>1612</v>
      </c>
      <c r="BC80" s="185" t="s">
        <v>466</v>
      </c>
      <c r="BD80" s="185" t="s">
        <v>179</v>
      </c>
      <c r="BE80" s="185" t="s">
        <v>57</v>
      </c>
      <c r="BF80" s="185">
        <v>3</v>
      </c>
      <c r="BG80" s="185" t="s">
        <v>237</v>
      </c>
      <c r="BH80" s="185" t="s">
        <v>531</v>
      </c>
      <c r="BI80" s="185" t="s">
        <v>1501</v>
      </c>
      <c r="BJ80" s="185" t="s">
        <v>237</v>
      </c>
      <c r="BK80" s="185" t="s">
        <v>531</v>
      </c>
      <c r="BL80" s="185" t="s">
        <v>1501</v>
      </c>
      <c r="BM80" s="185" t="s">
        <v>198</v>
      </c>
      <c r="BN80" s="185">
        <v>2</v>
      </c>
      <c r="BO80" s="185" t="s">
        <v>199</v>
      </c>
      <c r="BP80" s="185" t="s">
        <v>1952</v>
      </c>
      <c r="BQ80" s="185" t="s">
        <v>1953</v>
      </c>
      <c r="BR80" s="185" t="s">
        <v>199</v>
      </c>
      <c r="BS80" s="185" t="s">
        <v>202</v>
      </c>
      <c r="BT80" s="185" t="s">
        <v>1954</v>
      </c>
    </row>
    <row r="81" spans="1:72" s="184" customFormat="1" ht="36" customHeight="1" x14ac:dyDescent="0.25">
      <c r="A81" s="155">
        <v>29</v>
      </c>
      <c r="B81" s="184" t="s">
        <v>765</v>
      </c>
      <c r="C81" s="184" t="s">
        <v>570</v>
      </c>
      <c r="D81" s="184" t="s">
        <v>2408</v>
      </c>
      <c r="E81" s="184" t="s">
        <v>2409</v>
      </c>
      <c r="F81" s="184" t="s">
        <v>2410</v>
      </c>
      <c r="G81" s="184" t="s">
        <v>2411</v>
      </c>
      <c r="H81" s="184" t="s">
        <v>2412</v>
      </c>
      <c r="I81" s="184" t="s">
        <v>2413</v>
      </c>
      <c r="J81" s="184" t="s">
        <v>1937</v>
      </c>
      <c r="K81" s="184" t="s">
        <v>1938</v>
      </c>
      <c r="L81" s="184" t="s">
        <v>1939</v>
      </c>
      <c r="M81" s="184" t="s">
        <v>2414</v>
      </c>
      <c r="N81" s="184" t="s">
        <v>163</v>
      </c>
      <c r="O81" s="184">
        <v>20</v>
      </c>
      <c r="P81" s="184" t="s">
        <v>259</v>
      </c>
      <c r="Q81" s="184" t="s">
        <v>2415</v>
      </c>
      <c r="R81" s="184" t="s">
        <v>2416</v>
      </c>
      <c r="S81" s="184" t="s">
        <v>2417</v>
      </c>
      <c r="T81" s="184" t="s">
        <v>2418</v>
      </c>
      <c r="U81" s="184" t="s">
        <v>1628</v>
      </c>
      <c r="V81" s="184" t="s">
        <v>2419</v>
      </c>
      <c r="W81" s="184" t="s">
        <v>2420</v>
      </c>
      <c r="X81" s="184" t="s">
        <v>2421</v>
      </c>
      <c r="Y81" s="185" t="s">
        <v>1948</v>
      </c>
      <c r="Z81" s="185">
        <v>4</v>
      </c>
      <c r="AA81" s="185" t="s">
        <v>2422</v>
      </c>
      <c r="AB81" s="185" t="s">
        <v>527</v>
      </c>
      <c r="AC81" s="185" t="s">
        <v>466</v>
      </c>
      <c r="AD81" s="185" t="s">
        <v>2422</v>
      </c>
      <c r="AE81" s="185" t="s">
        <v>527</v>
      </c>
      <c r="AF81" s="185" t="s">
        <v>466</v>
      </c>
      <c r="AG81" s="185" t="s">
        <v>1949</v>
      </c>
      <c r="AH81" s="185">
        <v>4</v>
      </c>
      <c r="AI81" s="185" t="s">
        <v>176</v>
      </c>
      <c r="AJ81" s="185" t="s">
        <v>2423</v>
      </c>
      <c r="AK81" s="185" t="s">
        <v>2424</v>
      </c>
      <c r="AL81" s="185" t="s">
        <v>176</v>
      </c>
      <c r="AM81" s="185" t="s">
        <v>2423</v>
      </c>
      <c r="AN81" s="185" t="s">
        <v>2424</v>
      </c>
      <c r="AO81" s="185" t="s">
        <v>1950</v>
      </c>
      <c r="AP81" s="185">
        <v>4</v>
      </c>
      <c r="AQ81" s="185" t="s">
        <v>232</v>
      </c>
      <c r="AR81" s="185" t="s">
        <v>279</v>
      </c>
      <c r="AS81" s="185" t="s">
        <v>437</v>
      </c>
      <c r="AT81" s="185" t="s">
        <v>232</v>
      </c>
      <c r="AU81" s="185" t="s">
        <v>279</v>
      </c>
      <c r="AV81" s="185" t="s">
        <v>437</v>
      </c>
      <c r="AW81" s="185" t="s">
        <v>1951</v>
      </c>
      <c r="AX81" s="185">
        <v>3</v>
      </c>
      <c r="AY81" s="185" t="s">
        <v>1784</v>
      </c>
      <c r="AZ81" s="185" t="s">
        <v>879</v>
      </c>
      <c r="BA81" s="185" t="s">
        <v>2425</v>
      </c>
      <c r="BB81" s="185" t="s">
        <v>1784</v>
      </c>
      <c r="BC81" s="185" t="s">
        <v>879</v>
      </c>
      <c r="BD81" s="185" t="s">
        <v>2425</v>
      </c>
      <c r="BE81" s="185" t="s">
        <v>57</v>
      </c>
      <c r="BF81" s="185">
        <v>3</v>
      </c>
      <c r="BG81" s="185" t="s">
        <v>2330</v>
      </c>
      <c r="BH81" s="185" t="s">
        <v>1424</v>
      </c>
      <c r="BI81" s="185" t="s">
        <v>2426</v>
      </c>
      <c r="BJ81" s="185" t="s">
        <v>2330</v>
      </c>
      <c r="BK81" s="185" t="s">
        <v>1424</v>
      </c>
      <c r="BL81" s="185" t="s">
        <v>2426</v>
      </c>
      <c r="BM81" s="185" t="s">
        <v>198</v>
      </c>
      <c r="BN81" s="185">
        <v>2</v>
      </c>
      <c r="BO81" s="185" t="s">
        <v>199</v>
      </c>
      <c r="BP81" s="185" t="s">
        <v>1952</v>
      </c>
      <c r="BQ81" s="185" t="s">
        <v>1953</v>
      </c>
      <c r="BR81" s="185" t="s">
        <v>199</v>
      </c>
      <c r="BS81" s="185" t="s">
        <v>202</v>
      </c>
      <c r="BT81" s="185" t="s">
        <v>1954</v>
      </c>
    </row>
    <row r="82" spans="1:72" s="184" customFormat="1" ht="36" customHeight="1" x14ac:dyDescent="0.25">
      <c r="A82" s="155">
        <v>30</v>
      </c>
      <c r="B82" s="184" t="s">
        <v>246</v>
      </c>
      <c r="C82" s="184" t="s">
        <v>247</v>
      </c>
      <c r="D82" s="184" t="s">
        <v>2427</v>
      </c>
      <c r="E82" s="184" t="s">
        <v>2428</v>
      </c>
      <c r="F82" s="184" t="s">
        <v>2429</v>
      </c>
      <c r="G82" s="184" t="s">
        <v>2430</v>
      </c>
      <c r="H82" s="184" t="s">
        <v>2431</v>
      </c>
      <c r="I82" s="184" t="s">
        <v>2432</v>
      </c>
      <c r="J82" s="184" t="s">
        <v>1937</v>
      </c>
      <c r="K82" s="184" t="s">
        <v>1938</v>
      </c>
      <c r="L82" s="184" t="s">
        <v>1939</v>
      </c>
      <c r="M82" s="184" t="s">
        <v>2433</v>
      </c>
      <c r="N82" s="184" t="s">
        <v>163</v>
      </c>
      <c r="O82" s="184">
        <v>20</v>
      </c>
      <c r="P82" s="184" t="s">
        <v>164</v>
      </c>
      <c r="Q82" s="184" t="s">
        <v>2434</v>
      </c>
      <c r="R82" s="184" t="s">
        <v>2435</v>
      </c>
      <c r="S82" s="184" t="s">
        <v>2436</v>
      </c>
      <c r="T82" s="184" t="s">
        <v>705</v>
      </c>
      <c r="U82" s="184" t="s">
        <v>521</v>
      </c>
      <c r="V82" s="184" t="s">
        <v>2437</v>
      </c>
      <c r="W82" s="184" t="s">
        <v>2438</v>
      </c>
      <c r="X82" s="184" t="s">
        <v>2439</v>
      </c>
      <c r="Y82" s="185" t="s">
        <v>1948</v>
      </c>
      <c r="Z82" s="185">
        <v>4</v>
      </c>
      <c r="AA82" s="185" t="s">
        <v>1482</v>
      </c>
      <c r="AB82" s="185" t="s">
        <v>1878</v>
      </c>
      <c r="AC82" s="185" t="s">
        <v>2440</v>
      </c>
      <c r="AD82" s="185" t="s">
        <v>1482</v>
      </c>
      <c r="AE82" s="185" t="s">
        <v>1878</v>
      </c>
      <c r="AF82" s="185" t="s">
        <v>2440</v>
      </c>
      <c r="AG82" s="185" t="s">
        <v>1949</v>
      </c>
      <c r="AH82" s="185">
        <v>4</v>
      </c>
      <c r="AI82" s="185" t="s">
        <v>226</v>
      </c>
      <c r="AJ82" s="185" t="s">
        <v>2128</v>
      </c>
      <c r="AK82" s="185" t="s">
        <v>175</v>
      </c>
      <c r="AL82" s="185" t="s">
        <v>226</v>
      </c>
      <c r="AM82" s="185" t="s">
        <v>2128</v>
      </c>
      <c r="AN82" s="185" t="s">
        <v>175</v>
      </c>
      <c r="AO82" s="185" t="s">
        <v>1950</v>
      </c>
      <c r="AP82" s="185">
        <v>4</v>
      </c>
      <c r="AQ82" s="185" t="s">
        <v>2004</v>
      </c>
      <c r="AR82" s="185" t="s">
        <v>279</v>
      </c>
      <c r="AS82" s="185" t="s">
        <v>234</v>
      </c>
      <c r="AT82" s="185" t="s">
        <v>2004</v>
      </c>
      <c r="AU82" s="185" t="s">
        <v>279</v>
      </c>
      <c r="AV82" s="185" t="s">
        <v>234</v>
      </c>
      <c r="AW82" s="185" t="s">
        <v>1951</v>
      </c>
      <c r="AX82" s="185">
        <v>3</v>
      </c>
      <c r="AY82" s="185" t="s">
        <v>529</v>
      </c>
      <c r="AZ82" s="185" t="s">
        <v>179</v>
      </c>
      <c r="BA82" s="185" t="s">
        <v>2441</v>
      </c>
      <c r="BB82" s="185" t="s">
        <v>529</v>
      </c>
      <c r="BC82" s="185" t="s">
        <v>179</v>
      </c>
      <c r="BD82" s="185" t="s">
        <v>2441</v>
      </c>
      <c r="BE82" s="185" t="s">
        <v>57</v>
      </c>
      <c r="BF82" s="185">
        <v>3</v>
      </c>
      <c r="BG82" s="185" t="s">
        <v>281</v>
      </c>
      <c r="BH82" s="185" t="s">
        <v>282</v>
      </c>
      <c r="BI82" s="185" t="s">
        <v>280</v>
      </c>
      <c r="BJ82" s="185" t="s">
        <v>281</v>
      </c>
      <c r="BK82" s="185" t="s">
        <v>282</v>
      </c>
      <c r="BL82" s="185" t="s">
        <v>280</v>
      </c>
      <c r="BM82" s="185" t="s">
        <v>198</v>
      </c>
      <c r="BN82" s="185">
        <v>2</v>
      </c>
      <c r="BO82" s="185" t="s">
        <v>199</v>
      </c>
      <c r="BP82" s="185" t="s">
        <v>1952</v>
      </c>
      <c r="BQ82" s="185" t="s">
        <v>1953</v>
      </c>
      <c r="BR82" s="185" t="s">
        <v>199</v>
      </c>
      <c r="BS82" s="185" t="s">
        <v>202</v>
      </c>
      <c r="BT82" s="185" t="s">
        <v>1954</v>
      </c>
    </row>
    <row r="83" spans="1:72" s="184" customFormat="1" ht="36" customHeight="1" x14ac:dyDescent="0.25">
      <c r="A83" s="155">
        <v>31</v>
      </c>
      <c r="B83" s="184" t="s">
        <v>385</v>
      </c>
      <c r="C83" s="184" t="s">
        <v>247</v>
      </c>
      <c r="D83" s="184" t="s">
        <v>2442</v>
      </c>
      <c r="E83" s="184" t="s">
        <v>2443</v>
      </c>
      <c r="F83" s="184" t="s">
        <v>2444</v>
      </c>
      <c r="G83" s="184" t="s">
        <v>2445</v>
      </c>
      <c r="H83" s="184" t="s">
        <v>2446</v>
      </c>
      <c r="I83" s="184" t="s">
        <v>2447</v>
      </c>
      <c r="J83" s="184" t="s">
        <v>1937</v>
      </c>
      <c r="K83" s="184" t="s">
        <v>1938</v>
      </c>
      <c r="L83" s="184" t="s">
        <v>1939</v>
      </c>
      <c r="M83" s="184" t="s">
        <v>2448</v>
      </c>
      <c r="N83" s="184" t="s">
        <v>163</v>
      </c>
      <c r="O83" s="184">
        <v>20</v>
      </c>
      <c r="P83" s="184" t="s">
        <v>259</v>
      </c>
      <c r="Q83" s="184" t="s">
        <v>2449</v>
      </c>
      <c r="R83" s="184" t="s">
        <v>2450</v>
      </c>
      <c r="S83" s="184" t="s">
        <v>2451</v>
      </c>
      <c r="T83" s="184" t="s">
        <v>2123</v>
      </c>
      <c r="U83" s="184" t="s">
        <v>521</v>
      </c>
      <c r="V83" s="184" t="s">
        <v>2452</v>
      </c>
      <c r="W83" s="184" t="s">
        <v>2453</v>
      </c>
      <c r="X83" s="184" t="s">
        <v>2454</v>
      </c>
      <c r="Y83" s="185" t="s">
        <v>1948</v>
      </c>
      <c r="Z83" s="185">
        <v>4</v>
      </c>
      <c r="AA83" s="185" t="s">
        <v>2042</v>
      </c>
      <c r="AB83" s="185" t="s">
        <v>2023</v>
      </c>
      <c r="AC83" s="185" t="s">
        <v>232</v>
      </c>
      <c r="AD83" s="185" t="s">
        <v>2042</v>
      </c>
      <c r="AE83" s="185" t="s">
        <v>2023</v>
      </c>
      <c r="AF83" s="185" t="s">
        <v>232</v>
      </c>
      <c r="AG83" s="185" t="s">
        <v>1949</v>
      </c>
      <c r="AH83" s="185">
        <v>4</v>
      </c>
      <c r="AI83" s="185" t="s">
        <v>179</v>
      </c>
      <c r="AJ83" s="185" t="s">
        <v>228</v>
      </c>
      <c r="AK83" s="185" t="s">
        <v>2455</v>
      </c>
      <c r="AL83" s="185" t="s">
        <v>179</v>
      </c>
      <c r="AM83" s="185" t="s">
        <v>228</v>
      </c>
      <c r="AN83" s="185" t="s">
        <v>2455</v>
      </c>
      <c r="AO83" s="185" t="s">
        <v>1950</v>
      </c>
      <c r="AP83" s="185">
        <v>4</v>
      </c>
      <c r="AQ83" s="185" t="s">
        <v>466</v>
      </c>
      <c r="AR83" s="185" t="s">
        <v>232</v>
      </c>
      <c r="AS83" s="185" t="s">
        <v>2456</v>
      </c>
      <c r="AT83" s="185" t="s">
        <v>466</v>
      </c>
      <c r="AU83" s="185" t="s">
        <v>232</v>
      </c>
      <c r="AV83" s="185" t="s">
        <v>2456</v>
      </c>
      <c r="AW83" s="185" t="s">
        <v>1951</v>
      </c>
      <c r="AX83" s="185">
        <v>3</v>
      </c>
      <c r="AY83" s="185" t="s">
        <v>2042</v>
      </c>
      <c r="AZ83" s="185" t="s">
        <v>2457</v>
      </c>
      <c r="BA83" s="185" t="s">
        <v>468</v>
      </c>
      <c r="BB83" s="185" t="s">
        <v>2042</v>
      </c>
      <c r="BC83" s="185" t="s">
        <v>2457</v>
      </c>
      <c r="BD83" s="185" t="s">
        <v>468</v>
      </c>
      <c r="BE83" s="185" t="s">
        <v>57</v>
      </c>
      <c r="BF83" s="185">
        <v>3</v>
      </c>
      <c r="BG83" s="185" t="s">
        <v>237</v>
      </c>
      <c r="BH83" s="185" t="s">
        <v>270</v>
      </c>
      <c r="BI83" s="185" t="s">
        <v>715</v>
      </c>
      <c r="BJ83" s="185" t="s">
        <v>237</v>
      </c>
      <c r="BK83" s="185" t="s">
        <v>270</v>
      </c>
      <c r="BL83" s="185" t="s">
        <v>715</v>
      </c>
      <c r="BM83" s="185" t="s">
        <v>198</v>
      </c>
      <c r="BN83" s="185">
        <v>2</v>
      </c>
      <c r="BO83" s="185" t="s">
        <v>199</v>
      </c>
      <c r="BP83" s="185" t="s">
        <v>1952</v>
      </c>
      <c r="BQ83" s="185" t="s">
        <v>1953</v>
      </c>
      <c r="BR83" s="185" t="s">
        <v>199</v>
      </c>
      <c r="BS83" s="185" t="s">
        <v>202</v>
      </c>
      <c r="BT83" s="185" t="s">
        <v>1954</v>
      </c>
    </row>
    <row r="84" spans="1:72" s="184" customFormat="1" ht="36" customHeight="1" x14ac:dyDescent="0.25">
      <c r="A84" s="155">
        <v>32</v>
      </c>
      <c r="B84" s="184" t="s">
        <v>978</v>
      </c>
      <c r="C84" s="184" t="s">
        <v>247</v>
      </c>
      <c r="D84" s="184" t="s">
        <v>2458</v>
      </c>
      <c r="E84" s="184" t="s">
        <v>2459</v>
      </c>
      <c r="F84" s="184" t="s">
        <v>2460</v>
      </c>
      <c r="G84" s="184" t="s">
        <v>2461</v>
      </c>
      <c r="H84" s="184" t="s">
        <v>2462</v>
      </c>
      <c r="I84" s="184" t="s">
        <v>2463</v>
      </c>
      <c r="J84" s="184" t="s">
        <v>1937</v>
      </c>
      <c r="K84" s="184" t="s">
        <v>1938</v>
      </c>
      <c r="L84" s="184" t="s">
        <v>1939</v>
      </c>
      <c r="M84" s="184" t="s">
        <v>2464</v>
      </c>
      <c r="N84" s="184" t="s">
        <v>163</v>
      </c>
      <c r="O84" s="184">
        <v>20</v>
      </c>
      <c r="P84" s="184" t="s">
        <v>259</v>
      </c>
      <c r="Q84" s="184" t="s">
        <v>2465</v>
      </c>
      <c r="R84" s="184" t="s">
        <v>2466</v>
      </c>
      <c r="S84" s="184" t="s">
        <v>2467</v>
      </c>
      <c r="T84" s="184" t="s">
        <v>2468</v>
      </c>
      <c r="U84" s="184" t="s">
        <v>2469</v>
      </c>
      <c r="V84" s="184" t="s">
        <v>2470</v>
      </c>
      <c r="W84" s="184" t="s">
        <v>2471</v>
      </c>
      <c r="X84" s="184" t="s">
        <v>2472</v>
      </c>
      <c r="Y84" s="185" t="s">
        <v>1948</v>
      </c>
      <c r="Z84" s="185">
        <v>4</v>
      </c>
      <c r="AA84" s="185" t="s">
        <v>1897</v>
      </c>
      <c r="AB84" s="185" t="s">
        <v>2091</v>
      </c>
      <c r="AC84" s="185" t="s">
        <v>1038</v>
      </c>
      <c r="AD84" s="185" t="s">
        <v>1897</v>
      </c>
      <c r="AE84" s="185" t="s">
        <v>2091</v>
      </c>
      <c r="AF84" s="185" t="s">
        <v>1038</v>
      </c>
      <c r="AG84" s="185" t="s">
        <v>1949</v>
      </c>
      <c r="AH84" s="185">
        <v>4</v>
      </c>
      <c r="AI84" s="185" t="s">
        <v>657</v>
      </c>
      <c r="AJ84" s="185" t="s">
        <v>2473</v>
      </c>
      <c r="AK84" s="185" t="s">
        <v>373</v>
      </c>
      <c r="AL84" s="185" t="s">
        <v>657</v>
      </c>
      <c r="AM84" s="185" t="s">
        <v>2473</v>
      </c>
      <c r="AN84" s="185" t="s">
        <v>373</v>
      </c>
      <c r="AO84" s="185" t="s">
        <v>1950</v>
      </c>
      <c r="AP84" s="185">
        <v>4</v>
      </c>
      <c r="AQ84" s="185" t="s">
        <v>681</v>
      </c>
      <c r="AR84" s="185" t="s">
        <v>1402</v>
      </c>
      <c r="AS84" s="185" t="s">
        <v>1423</v>
      </c>
      <c r="AT84" s="185" t="s">
        <v>681</v>
      </c>
      <c r="AU84" s="185" t="s">
        <v>1402</v>
      </c>
      <c r="AV84" s="185" t="s">
        <v>1423</v>
      </c>
      <c r="AW84" s="185" t="s">
        <v>1951</v>
      </c>
      <c r="AX84" s="185">
        <v>3</v>
      </c>
      <c r="AY84" s="185" t="s">
        <v>179</v>
      </c>
      <c r="AZ84" s="185" t="s">
        <v>828</v>
      </c>
      <c r="BA84" s="185" t="s">
        <v>2183</v>
      </c>
      <c r="BB84" s="185" t="s">
        <v>179</v>
      </c>
      <c r="BC84" s="185" t="s">
        <v>828</v>
      </c>
      <c r="BD84" s="185" t="s">
        <v>2183</v>
      </c>
      <c r="BE84" s="185" t="s">
        <v>57</v>
      </c>
      <c r="BF84" s="185">
        <v>3</v>
      </c>
      <c r="BG84" s="185" t="s">
        <v>317</v>
      </c>
      <c r="BH84" s="185" t="s">
        <v>1805</v>
      </c>
      <c r="BI84" s="185" t="s">
        <v>658</v>
      </c>
      <c r="BJ84" s="185" t="s">
        <v>317</v>
      </c>
      <c r="BK84" s="185" t="s">
        <v>1805</v>
      </c>
      <c r="BL84" s="185" t="s">
        <v>658</v>
      </c>
      <c r="BM84" s="185" t="s">
        <v>198</v>
      </c>
      <c r="BN84" s="185">
        <v>2</v>
      </c>
      <c r="BO84" s="185" t="s">
        <v>199</v>
      </c>
      <c r="BP84" s="185" t="s">
        <v>1952</v>
      </c>
      <c r="BQ84" s="185" t="s">
        <v>1953</v>
      </c>
      <c r="BR84" s="185" t="s">
        <v>199</v>
      </c>
      <c r="BS84" s="185" t="s">
        <v>202</v>
      </c>
      <c r="BT84" s="185" t="s">
        <v>1954</v>
      </c>
    </row>
    <row r="85" spans="1:72" s="184" customFormat="1" ht="36" customHeight="1" x14ac:dyDescent="0.25">
      <c r="A85" s="155">
        <v>33</v>
      </c>
      <c r="B85" s="184" t="s">
        <v>2474</v>
      </c>
      <c r="C85" s="184" t="s">
        <v>247</v>
      </c>
      <c r="D85" s="184" t="s">
        <v>2475</v>
      </c>
      <c r="E85" s="184" t="s">
        <v>2476</v>
      </c>
      <c r="F85" s="184" t="s">
        <v>2477</v>
      </c>
      <c r="G85" s="184" t="s">
        <v>2478</v>
      </c>
      <c r="H85" s="184" t="s">
        <v>2479</v>
      </c>
      <c r="I85" s="184" t="s">
        <v>2480</v>
      </c>
      <c r="J85" s="184" t="s">
        <v>1937</v>
      </c>
      <c r="K85" s="184" t="s">
        <v>1938</v>
      </c>
      <c r="L85" s="184" t="s">
        <v>1939</v>
      </c>
      <c r="M85" s="184" t="s">
        <v>2481</v>
      </c>
      <c r="N85" s="184" t="s">
        <v>163</v>
      </c>
      <c r="O85" s="184">
        <v>20</v>
      </c>
      <c r="P85" s="184" t="s">
        <v>484</v>
      </c>
      <c r="Q85" s="184" t="s">
        <v>2482</v>
      </c>
      <c r="R85" s="184" t="s">
        <v>2483</v>
      </c>
      <c r="S85" s="184" t="s">
        <v>2484</v>
      </c>
      <c r="T85" s="184" t="s">
        <v>2485</v>
      </c>
      <c r="U85" s="184" t="s">
        <v>2486</v>
      </c>
      <c r="V85" s="184" t="s">
        <v>2487</v>
      </c>
      <c r="W85" s="184" t="s">
        <v>2488</v>
      </c>
      <c r="X85" s="184" t="s">
        <v>2489</v>
      </c>
      <c r="Y85" s="185" t="s">
        <v>1948</v>
      </c>
      <c r="Z85" s="185">
        <v>4</v>
      </c>
      <c r="AA85" s="185" t="s">
        <v>346</v>
      </c>
      <c r="AB85" s="185" t="s">
        <v>646</v>
      </c>
      <c r="AC85" s="185" t="s">
        <v>1038</v>
      </c>
      <c r="AD85" s="185" t="s">
        <v>346</v>
      </c>
      <c r="AE85" s="185" t="s">
        <v>646</v>
      </c>
      <c r="AF85" s="185" t="s">
        <v>1038</v>
      </c>
      <c r="AG85" s="185" t="s">
        <v>1949</v>
      </c>
      <c r="AH85" s="185">
        <v>4</v>
      </c>
      <c r="AI85" s="185" t="s">
        <v>175</v>
      </c>
      <c r="AJ85" s="185" t="s">
        <v>1558</v>
      </c>
      <c r="AK85" s="185" t="s">
        <v>321</v>
      </c>
      <c r="AL85" s="185" t="s">
        <v>175</v>
      </c>
      <c r="AM85" s="185" t="s">
        <v>1558</v>
      </c>
      <c r="AN85" s="185" t="s">
        <v>321</v>
      </c>
      <c r="AO85" s="185" t="s">
        <v>1950</v>
      </c>
      <c r="AP85" s="185">
        <v>4</v>
      </c>
      <c r="AQ85" s="185" t="s">
        <v>621</v>
      </c>
      <c r="AR85" s="185" t="s">
        <v>2490</v>
      </c>
      <c r="AS85" s="185" t="s">
        <v>1423</v>
      </c>
      <c r="AT85" s="185" t="s">
        <v>621</v>
      </c>
      <c r="AU85" s="185" t="s">
        <v>2490</v>
      </c>
      <c r="AV85" s="185" t="s">
        <v>1423</v>
      </c>
      <c r="AW85" s="185" t="s">
        <v>1951</v>
      </c>
      <c r="AX85" s="185">
        <v>3</v>
      </c>
      <c r="AY85" s="185" t="s">
        <v>179</v>
      </c>
      <c r="AZ85" s="185" t="s">
        <v>828</v>
      </c>
      <c r="BA85" s="185" t="s">
        <v>321</v>
      </c>
      <c r="BB85" s="185" t="s">
        <v>179</v>
      </c>
      <c r="BC85" s="185" t="s">
        <v>828</v>
      </c>
      <c r="BD85" s="185" t="s">
        <v>321</v>
      </c>
      <c r="BE85" s="185" t="s">
        <v>57</v>
      </c>
      <c r="BF85" s="185">
        <v>3</v>
      </c>
      <c r="BG85" s="185" t="s">
        <v>317</v>
      </c>
      <c r="BH85" s="185" t="s">
        <v>493</v>
      </c>
      <c r="BI85" s="185" t="s">
        <v>652</v>
      </c>
      <c r="BJ85" s="185" t="s">
        <v>317</v>
      </c>
      <c r="BK85" s="185" t="s">
        <v>493</v>
      </c>
      <c r="BL85" s="185" t="s">
        <v>652</v>
      </c>
      <c r="BM85" s="185" t="s">
        <v>198</v>
      </c>
      <c r="BN85" s="185">
        <v>2</v>
      </c>
      <c r="BO85" s="185" t="s">
        <v>199</v>
      </c>
      <c r="BP85" s="185" t="s">
        <v>1952</v>
      </c>
      <c r="BQ85" s="185" t="s">
        <v>1953</v>
      </c>
      <c r="BR85" s="185" t="s">
        <v>199</v>
      </c>
      <c r="BS85" s="185" t="s">
        <v>202</v>
      </c>
      <c r="BT85" s="185" t="s">
        <v>1954</v>
      </c>
    </row>
    <row r="86" spans="1:72" s="184" customFormat="1" ht="36" customHeight="1" x14ac:dyDescent="0.25">
      <c r="A86" s="155">
        <v>34</v>
      </c>
      <c r="B86" s="184" t="s">
        <v>2491</v>
      </c>
      <c r="C86" s="184" t="s">
        <v>247</v>
      </c>
      <c r="D86" s="184" t="s">
        <v>2492</v>
      </c>
      <c r="E86" s="184" t="s">
        <v>2493</v>
      </c>
      <c r="F86" s="184" t="s">
        <v>2494</v>
      </c>
      <c r="G86" s="184" t="s">
        <v>2495</v>
      </c>
      <c r="H86" s="184" t="s">
        <v>2496</v>
      </c>
      <c r="I86" s="184" t="s">
        <v>2497</v>
      </c>
      <c r="J86" s="184" t="s">
        <v>1937</v>
      </c>
      <c r="K86" s="184" t="s">
        <v>1938</v>
      </c>
      <c r="L86" s="184" t="s">
        <v>1939</v>
      </c>
      <c r="M86" s="184" t="s">
        <v>2498</v>
      </c>
      <c r="N86" s="184" t="s">
        <v>163</v>
      </c>
      <c r="O86" s="184">
        <v>20</v>
      </c>
      <c r="P86" s="184" t="s">
        <v>484</v>
      </c>
      <c r="Q86" s="184" t="s">
        <v>2499</v>
      </c>
      <c r="R86" s="184" t="s">
        <v>2500</v>
      </c>
      <c r="S86" s="184" t="s">
        <v>2501</v>
      </c>
      <c r="T86" s="184" t="s">
        <v>2502</v>
      </c>
      <c r="U86" s="184" t="s">
        <v>2503</v>
      </c>
      <c r="V86" s="184" t="s">
        <v>2504</v>
      </c>
      <c r="W86" s="184" t="s">
        <v>2505</v>
      </c>
      <c r="X86" s="184" t="s">
        <v>2506</v>
      </c>
      <c r="Y86" s="185" t="s">
        <v>1948</v>
      </c>
      <c r="Z86" s="185">
        <v>4</v>
      </c>
      <c r="AA86" s="185" t="s">
        <v>2507</v>
      </c>
      <c r="AB86" s="185" t="s">
        <v>2508</v>
      </c>
      <c r="AC86" s="185" t="s">
        <v>1879</v>
      </c>
      <c r="AD86" s="185" t="s">
        <v>2507</v>
      </c>
      <c r="AE86" s="185" t="s">
        <v>2508</v>
      </c>
      <c r="AF86" s="185" t="s">
        <v>1879</v>
      </c>
      <c r="AG86" s="185" t="s">
        <v>1949</v>
      </c>
      <c r="AH86" s="185">
        <v>4</v>
      </c>
      <c r="AI86" s="185" t="s">
        <v>176</v>
      </c>
      <c r="AJ86" s="185" t="s">
        <v>2509</v>
      </c>
      <c r="AK86" s="185" t="s">
        <v>531</v>
      </c>
      <c r="AL86" s="185" t="s">
        <v>176</v>
      </c>
      <c r="AM86" s="185" t="s">
        <v>2509</v>
      </c>
      <c r="AN86" s="185" t="s">
        <v>531</v>
      </c>
      <c r="AO86" s="185" t="s">
        <v>1950</v>
      </c>
      <c r="AP86" s="185">
        <v>4</v>
      </c>
      <c r="AQ86" s="185" t="s">
        <v>232</v>
      </c>
      <c r="AR86" s="185" t="s">
        <v>2075</v>
      </c>
      <c r="AS86" s="185" t="s">
        <v>2510</v>
      </c>
      <c r="AT86" s="185" t="s">
        <v>232</v>
      </c>
      <c r="AU86" s="185" t="s">
        <v>2075</v>
      </c>
      <c r="AV86" s="185" t="s">
        <v>2510</v>
      </c>
      <c r="AW86" s="185" t="s">
        <v>1951</v>
      </c>
      <c r="AX86" s="185">
        <v>3</v>
      </c>
      <c r="AY86" s="185" t="s">
        <v>179</v>
      </c>
      <c r="AZ86" s="185" t="s">
        <v>504</v>
      </c>
      <c r="BA86" s="185" t="s">
        <v>321</v>
      </c>
      <c r="BB86" s="185" t="s">
        <v>179</v>
      </c>
      <c r="BC86" s="185" t="s">
        <v>504</v>
      </c>
      <c r="BD86" s="185" t="s">
        <v>321</v>
      </c>
      <c r="BE86" s="185" t="s">
        <v>57</v>
      </c>
      <c r="BF86" s="185">
        <v>3</v>
      </c>
      <c r="BG86" s="185" t="s">
        <v>2511</v>
      </c>
      <c r="BH86" s="185" t="s">
        <v>317</v>
      </c>
      <c r="BI86" s="185" t="s">
        <v>2512</v>
      </c>
      <c r="BJ86" s="185" t="s">
        <v>2511</v>
      </c>
      <c r="BK86" s="185" t="s">
        <v>317</v>
      </c>
      <c r="BL86" s="185" t="s">
        <v>2512</v>
      </c>
      <c r="BM86" s="185" t="s">
        <v>198</v>
      </c>
      <c r="BN86" s="185">
        <v>2</v>
      </c>
      <c r="BO86" s="185" t="s">
        <v>199</v>
      </c>
      <c r="BP86" s="185" t="s">
        <v>1952</v>
      </c>
      <c r="BQ86" s="185" t="s">
        <v>1953</v>
      </c>
      <c r="BR86" s="185" t="s">
        <v>199</v>
      </c>
      <c r="BS86" s="185" t="s">
        <v>202</v>
      </c>
      <c r="BT86" s="185" t="s">
        <v>1954</v>
      </c>
    </row>
    <row r="87" spans="1:72" s="184" customFormat="1" ht="36" customHeight="1" x14ac:dyDescent="0.25">
      <c r="A87" s="155">
        <v>35</v>
      </c>
      <c r="B87" s="184" t="s">
        <v>2076</v>
      </c>
      <c r="C87" s="184" t="s">
        <v>154</v>
      </c>
      <c r="D87" s="184" t="s">
        <v>2513</v>
      </c>
      <c r="E87" s="184" t="s">
        <v>2514</v>
      </c>
      <c r="F87" s="184" t="s">
        <v>2515</v>
      </c>
      <c r="G87" s="184" t="s">
        <v>2516</v>
      </c>
      <c r="H87" s="184" t="s">
        <v>2517</v>
      </c>
      <c r="I87" s="184" t="s">
        <v>2518</v>
      </c>
      <c r="J87" s="184" t="s">
        <v>1937</v>
      </c>
      <c r="K87" s="184" t="s">
        <v>1938</v>
      </c>
      <c r="L87" s="184" t="s">
        <v>1939</v>
      </c>
      <c r="M87" s="184" t="s">
        <v>2519</v>
      </c>
      <c r="N87" s="184" t="s">
        <v>163</v>
      </c>
      <c r="O87" s="184">
        <v>20</v>
      </c>
      <c r="P87" s="184" t="s">
        <v>259</v>
      </c>
      <c r="Q87" s="184" t="s">
        <v>2520</v>
      </c>
      <c r="R87" s="184" t="s">
        <v>2521</v>
      </c>
      <c r="S87" s="184" t="s">
        <v>2522</v>
      </c>
      <c r="T87" s="184" t="s">
        <v>2523</v>
      </c>
      <c r="U87" s="184" t="s">
        <v>2524</v>
      </c>
      <c r="V87" s="184" t="s">
        <v>2525</v>
      </c>
      <c r="W87" s="184" t="s">
        <v>2526</v>
      </c>
      <c r="X87" s="184" t="s">
        <v>2527</v>
      </c>
      <c r="Y87" s="185" t="s">
        <v>1948</v>
      </c>
      <c r="Z87" s="185">
        <v>4</v>
      </c>
      <c r="AA87" s="185" t="s">
        <v>2528</v>
      </c>
      <c r="AB87" s="185" t="s">
        <v>273</v>
      </c>
      <c r="AC87" s="185" t="s">
        <v>1784</v>
      </c>
      <c r="AD87" s="185" t="s">
        <v>2528</v>
      </c>
      <c r="AE87" s="185" t="s">
        <v>273</v>
      </c>
      <c r="AF87" s="185" t="s">
        <v>1784</v>
      </c>
      <c r="AG87" s="185" t="s">
        <v>1949</v>
      </c>
      <c r="AH87" s="185">
        <v>4</v>
      </c>
      <c r="AI87" s="185" t="s">
        <v>784</v>
      </c>
      <c r="AJ87" s="185" t="s">
        <v>2146</v>
      </c>
      <c r="AK87" s="185" t="s">
        <v>2093</v>
      </c>
      <c r="AL87" s="185" t="s">
        <v>784</v>
      </c>
      <c r="AM87" s="185" t="s">
        <v>2146</v>
      </c>
      <c r="AN87" s="185" t="s">
        <v>2093</v>
      </c>
      <c r="AO87" s="185" t="s">
        <v>1950</v>
      </c>
      <c r="AP87" s="185">
        <v>4</v>
      </c>
      <c r="AQ87" s="185" t="s">
        <v>232</v>
      </c>
      <c r="AR87" s="185" t="s">
        <v>230</v>
      </c>
      <c r="AS87" s="185" t="s">
        <v>2455</v>
      </c>
      <c r="AT87" s="185" t="s">
        <v>232</v>
      </c>
      <c r="AU87" s="185" t="s">
        <v>230</v>
      </c>
      <c r="AV87" s="185" t="s">
        <v>2455</v>
      </c>
      <c r="AW87" s="185" t="s">
        <v>1951</v>
      </c>
      <c r="AX87" s="185">
        <v>3</v>
      </c>
      <c r="AY87" s="185" t="s">
        <v>1784</v>
      </c>
      <c r="AZ87" s="185" t="s">
        <v>231</v>
      </c>
      <c r="BA87" s="185" t="s">
        <v>1461</v>
      </c>
      <c r="BB87" s="185" t="s">
        <v>1784</v>
      </c>
      <c r="BC87" s="185" t="s">
        <v>231</v>
      </c>
      <c r="BD87" s="185" t="s">
        <v>1461</v>
      </c>
      <c r="BE87" s="185" t="s">
        <v>57</v>
      </c>
      <c r="BF87" s="185">
        <v>3</v>
      </c>
      <c r="BG87" s="185" t="s">
        <v>237</v>
      </c>
      <c r="BH87" s="185" t="s">
        <v>317</v>
      </c>
      <c r="BI87" s="185" t="s">
        <v>1805</v>
      </c>
      <c r="BJ87" s="185" t="s">
        <v>237</v>
      </c>
      <c r="BK87" s="185" t="s">
        <v>317</v>
      </c>
      <c r="BL87" s="185" t="s">
        <v>1805</v>
      </c>
      <c r="BM87" s="185" t="s">
        <v>198</v>
      </c>
      <c r="BN87" s="185">
        <v>2</v>
      </c>
      <c r="BO87" s="185" t="s">
        <v>199</v>
      </c>
      <c r="BP87" s="185" t="s">
        <v>1952</v>
      </c>
      <c r="BQ87" s="185" t="s">
        <v>1953</v>
      </c>
      <c r="BR87" s="185" t="s">
        <v>199</v>
      </c>
      <c r="BS87" s="185" t="s">
        <v>202</v>
      </c>
      <c r="BT87" s="185" t="s">
        <v>1954</v>
      </c>
    </row>
    <row r="88" spans="1:72" s="184" customFormat="1" ht="36" customHeight="1" x14ac:dyDescent="0.25">
      <c r="A88" s="155">
        <v>36</v>
      </c>
      <c r="B88" s="184" t="s">
        <v>2529</v>
      </c>
      <c r="C88" s="184" t="s">
        <v>205</v>
      </c>
      <c r="D88" s="184" t="s">
        <v>2530</v>
      </c>
      <c r="E88" s="184" t="s">
        <v>2531</v>
      </c>
      <c r="F88" s="184" t="s">
        <v>2532</v>
      </c>
      <c r="G88" s="184" t="s">
        <v>2533</v>
      </c>
      <c r="H88" s="184" t="s">
        <v>2534</v>
      </c>
      <c r="I88" s="184" t="s">
        <v>2535</v>
      </c>
      <c r="J88" s="184" t="s">
        <v>1937</v>
      </c>
      <c r="K88" s="184" t="s">
        <v>1938</v>
      </c>
      <c r="L88" s="184" t="s">
        <v>1939</v>
      </c>
      <c r="M88" s="184" t="s">
        <v>2536</v>
      </c>
      <c r="N88" s="184" t="s">
        <v>163</v>
      </c>
      <c r="O88" s="184">
        <v>20</v>
      </c>
      <c r="P88" s="184" t="s">
        <v>259</v>
      </c>
      <c r="Q88" s="184" t="s">
        <v>2537</v>
      </c>
      <c r="R88" s="184" t="s">
        <v>2538</v>
      </c>
      <c r="S88" s="184" t="s">
        <v>2539</v>
      </c>
      <c r="T88" s="184" t="s">
        <v>2540</v>
      </c>
      <c r="U88" s="184" t="s">
        <v>2541</v>
      </c>
      <c r="V88" s="184" t="s">
        <v>2542</v>
      </c>
      <c r="W88" s="184" t="s">
        <v>2543</v>
      </c>
      <c r="X88" s="184" t="s">
        <v>2544</v>
      </c>
      <c r="Y88" s="185" t="s">
        <v>1948</v>
      </c>
      <c r="Z88" s="185">
        <v>4</v>
      </c>
      <c r="AA88" s="185" t="s">
        <v>2545</v>
      </c>
      <c r="AB88" s="185" t="s">
        <v>2022</v>
      </c>
      <c r="AC88" s="185" t="s">
        <v>2023</v>
      </c>
      <c r="AD88" s="185" t="s">
        <v>2545</v>
      </c>
      <c r="AE88" s="185" t="s">
        <v>2022</v>
      </c>
      <c r="AF88" s="185" t="s">
        <v>2023</v>
      </c>
      <c r="AG88" s="185" t="s">
        <v>1949</v>
      </c>
      <c r="AH88" s="185">
        <v>4</v>
      </c>
      <c r="AI88" s="185" t="s">
        <v>468</v>
      </c>
      <c r="AJ88" s="185" t="s">
        <v>1916</v>
      </c>
      <c r="AK88" s="185" t="s">
        <v>2128</v>
      </c>
      <c r="AL88" s="185" t="s">
        <v>468</v>
      </c>
      <c r="AM88" s="185" t="s">
        <v>1916</v>
      </c>
      <c r="AN88" s="185" t="s">
        <v>2128</v>
      </c>
      <c r="AO88" s="185" t="s">
        <v>1950</v>
      </c>
      <c r="AP88" s="185">
        <v>4</v>
      </c>
      <c r="AQ88" s="185" t="s">
        <v>435</v>
      </c>
      <c r="AR88" s="185" t="s">
        <v>232</v>
      </c>
      <c r="AS88" s="185" t="s">
        <v>411</v>
      </c>
      <c r="AT88" s="185" t="s">
        <v>435</v>
      </c>
      <c r="AU88" s="185" t="s">
        <v>232</v>
      </c>
      <c r="AV88" s="185" t="s">
        <v>411</v>
      </c>
      <c r="AW88" s="185" t="s">
        <v>1951</v>
      </c>
      <c r="AX88" s="185">
        <v>3</v>
      </c>
      <c r="AY88" s="185" t="s">
        <v>179</v>
      </c>
      <c r="AZ88" s="185" t="s">
        <v>2546</v>
      </c>
      <c r="BA88" s="185" t="s">
        <v>828</v>
      </c>
      <c r="BB88" s="185" t="s">
        <v>179</v>
      </c>
      <c r="BC88" s="185" t="s">
        <v>2546</v>
      </c>
      <c r="BD88" s="185" t="s">
        <v>828</v>
      </c>
      <c r="BE88" s="185" t="s">
        <v>57</v>
      </c>
      <c r="BF88" s="185">
        <v>3</v>
      </c>
      <c r="BG88" s="185" t="s">
        <v>237</v>
      </c>
      <c r="BH88" s="185" t="s">
        <v>282</v>
      </c>
      <c r="BI88" s="185" t="s">
        <v>786</v>
      </c>
      <c r="BJ88" s="185" t="s">
        <v>237</v>
      </c>
      <c r="BK88" s="185" t="s">
        <v>282</v>
      </c>
      <c r="BL88" s="185" t="s">
        <v>786</v>
      </c>
      <c r="BM88" s="185" t="s">
        <v>198</v>
      </c>
      <c r="BN88" s="185">
        <v>2</v>
      </c>
      <c r="BO88" s="185" t="s">
        <v>199</v>
      </c>
      <c r="BP88" s="185" t="s">
        <v>1952</v>
      </c>
      <c r="BQ88" s="185" t="s">
        <v>1953</v>
      </c>
      <c r="BR88" s="185" t="s">
        <v>199</v>
      </c>
      <c r="BS88" s="185" t="s">
        <v>202</v>
      </c>
      <c r="BT88" s="185" t="s">
        <v>1954</v>
      </c>
    </row>
    <row r="89" spans="1:72" s="184" customFormat="1" ht="36" customHeight="1" x14ac:dyDescent="0.25">
      <c r="A89" s="155">
        <v>37</v>
      </c>
      <c r="B89" s="184" t="s">
        <v>765</v>
      </c>
      <c r="C89" s="184" t="s">
        <v>570</v>
      </c>
      <c r="D89" s="184" t="s">
        <v>2547</v>
      </c>
      <c r="E89" s="184" t="s">
        <v>2548</v>
      </c>
      <c r="F89" s="184" t="s">
        <v>2549</v>
      </c>
      <c r="G89" s="184" t="s">
        <v>2550</v>
      </c>
      <c r="H89" s="184" t="s">
        <v>2551</v>
      </c>
      <c r="I89" s="184" t="s">
        <v>2552</v>
      </c>
      <c r="J89" s="184" t="s">
        <v>1937</v>
      </c>
      <c r="K89" s="184" t="s">
        <v>1938</v>
      </c>
      <c r="L89" s="184" t="s">
        <v>1939</v>
      </c>
      <c r="M89" s="184" t="s">
        <v>2553</v>
      </c>
      <c r="N89" s="184" t="s">
        <v>163</v>
      </c>
      <c r="O89" s="184">
        <v>20</v>
      </c>
      <c r="P89" s="184" t="s">
        <v>164</v>
      </c>
      <c r="Q89" s="184" t="s">
        <v>2554</v>
      </c>
      <c r="R89" s="184" t="s">
        <v>2555</v>
      </c>
      <c r="S89" s="184" t="s">
        <v>2556</v>
      </c>
      <c r="T89" s="184" t="s">
        <v>2324</v>
      </c>
      <c r="U89" s="184" t="s">
        <v>2341</v>
      </c>
      <c r="V89" s="184" t="s">
        <v>2557</v>
      </c>
      <c r="W89" s="184" t="s">
        <v>2558</v>
      </c>
      <c r="X89" s="184" t="s">
        <v>2559</v>
      </c>
      <c r="Y89" s="185" t="s">
        <v>1948</v>
      </c>
      <c r="Z89" s="185">
        <v>4</v>
      </c>
      <c r="AA89" s="185" t="s">
        <v>2022</v>
      </c>
      <c r="AB89" s="185" t="s">
        <v>2560</v>
      </c>
      <c r="AC89" s="185" t="s">
        <v>2023</v>
      </c>
      <c r="AD89" s="185" t="s">
        <v>2022</v>
      </c>
      <c r="AE89" s="185" t="s">
        <v>2560</v>
      </c>
      <c r="AF89" s="185" t="s">
        <v>2023</v>
      </c>
      <c r="AG89" s="185" t="s">
        <v>1949</v>
      </c>
      <c r="AH89" s="185">
        <v>4</v>
      </c>
      <c r="AI89" s="185" t="s">
        <v>2561</v>
      </c>
      <c r="AJ89" s="185" t="s">
        <v>1443</v>
      </c>
      <c r="AK89" s="185" t="s">
        <v>179</v>
      </c>
      <c r="AL89" s="185" t="s">
        <v>2561</v>
      </c>
      <c r="AM89" s="185" t="s">
        <v>1443</v>
      </c>
      <c r="AN89" s="185" t="s">
        <v>179</v>
      </c>
      <c r="AO89" s="185" t="s">
        <v>1950</v>
      </c>
      <c r="AP89" s="185">
        <v>4</v>
      </c>
      <c r="AQ89" s="185" t="s">
        <v>466</v>
      </c>
      <c r="AR89" s="185" t="s">
        <v>435</v>
      </c>
      <c r="AS89" s="185" t="s">
        <v>232</v>
      </c>
      <c r="AT89" s="185" t="s">
        <v>466</v>
      </c>
      <c r="AU89" s="185" t="s">
        <v>435</v>
      </c>
      <c r="AV89" s="185" t="s">
        <v>232</v>
      </c>
      <c r="AW89" s="185" t="s">
        <v>1951</v>
      </c>
      <c r="AX89" s="185">
        <v>3</v>
      </c>
      <c r="AY89" s="185" t="s">
        <v>589</v>
      </c>
      <c r="AZ89" s="185" t="s">
        <v>2562</v>
      </c>
      <c r="BA89" s="185" t="s">
        <v>2563</v>
      </c>
      <c r="BB89" s="185" t="s">
        <v>589</v>
      </c>
      <c r="BC89" s="185" t="s">
        <v>2562</v>
      </c>
      <c r="BD89" s="185" t="s">
        <v>2563</v>
      </c>
      <c r="BE89" s="185" t="s">
        <v>57</v>
      </c>
      <c r="BF89" s="185">
        <v>3</v>
      </c>
      <c r="BG89" s="185" t="s">
        <v>2330</v>
      </c>
      <c r="BH89" s="185" t="s">
        <v>2564</v>
      </c>
      <c r="BI89" s="185" t="s">
        <v>379</v>
      </c>
      <c r="BJ89" s="185" t="s">
        <v>2330</v>
      </c>
      <c r="BK89" s="185" t="s">
        <v>2564</v>
      </c>
      <c r="BL89" s="185" t="s">
        <v>379</v>
      </c>
      <c r="BM89" s="185" t="s">
        <v>198</v>
      </c>
      <c r="BN89" s="185">
        <v>2</v>
      </c>
      <c r="BO89" s="185" t="s">
        <v>199</v>
      </c>
      <c r="BP89" s="185" t="s">
        <v>1952</v>
      </c>
      <c r="BQ89" s="185" t="s">
        <v>1953</v>
      </c>
      <c r="BR89" s="185" t="s">
        <v>199</v>
      </c>
      <c r="BS89" s="185" t="s">
        <v>202</v>
      </c>
      <c r="BT89" s="185" t="s">
        <v>1954</v>
      </c>
    </row>
    <row r="90" spans="1:72" s="184" customFormat="1" ht="36" customHeight="1" x14ac:dyDescent="0.25">
      <c r="A90" s="155">
        <v>38</v>
      </c>
      <c r="B90" s="184" t="s">
        <v>2096</v>
      </c>
      <c r="C90" s="184" t="s">
        <v>325</v>
      </c>
      <c r="D90" s="184" t="s">
        <v>2565</v>
      </c>
      <c r="E90" s="184" t="s">
        <v>2566</v>
      </c>
      <c r="F90" s="184" t="s">
        <v>2567</v>
      </c>
      <c r="G90" s="184" t="s">
        <v>2568</v>
      </c>
      <c r="H90" s="184" t="s">
        <v>2569</v>
      </c>
      <c r="I90" s="184" t="s">
        <v>2570</v>
      </c>
      <c r="J90" s="184" t="s">
        <v>1937</v>
      </c>
      <c r="K90" s="184" t="s">
        <v>1938</v>
      </c>
      <c r="L90" s="184" t="s">
        <v>1939</v>
      </c>
      <c r="M90" s="184" t="s">
        <v>2571</v>
      </c>
      <c r="N90" s="184" t="s">
        <v>163</v>
      </c>
      <c r="O90" s="184">
        <v>20</v>
      </c>
      <c r="P90" s="184" t="s">
        <v>259</v>
      </c>
      <c r="Q90" s="184" t="s">
        <v>2572</v>
      </c>
      <c r="R90" s="184" t="s">
        <v>2573</v>
      </c>
      <c r="S90" s="184" t="s">
        <v>2574</v>
      </c>
      <c r="T90" s="184" t="s">
        <v>2575</v>
      </c>
      <c r="U90" s="184" t="s">
        <v>521</v>
      </c>
      <c r="V90" s="184" t="s">
        <v>2576</v>
      </c>
      <c r="W90" s="184" t="s">
        <v>2577</v>
      </c>
      <c r="X90" s="184" t="s">
        <v>2578</v>
      </c>
      <c r="Y90" s="185" t="s">
        <v>1948</v>
      </c>
      <c r="Z90" s="185">
        <v>4</v>
      </c>
      <c r="AA90" s="185" t="s">
        <v>935</v>
      </c>
      <c r="AB90" s="185" t="s">
        <v>2229</v>
      </c>
      <c r="AC90" s="185" t="s">
        <v>232</v>
      </c>
      <c r="AD90" s="185" t="s">
        <v>935</v>
      </c>
      <c r="AE90" s="185" t="s">
        <v>2229</v>
      </c>
      <c r="AF90" s="185" t="s">
        <v>232</v>
      </c>
      <c r="AG90" s="185" t="s">
        <v>1949</v>
      </c>
      <c r="AH90" s="185">
        <v>4</v>
      </c>
      <c r="AI90" s="185" t="s">
        <v>1442</v>
      </c>
      <c r="AJ90" s="185" t="s">
        <v>531</v>
      </c>
      <c r="AK90" s="185" t="s">
        <v>195</v>
      </c>
      <c r="AL90" s="185" t="s">
        <v>1442</v>
      </c>
      <c r="AM90" s="185" t="s">
        <v>531</v>
      </c>
      <c r="AN90" s="185" t="s">
        <v>195</v>
      </c>
      <c r="AO90" s="185" t="s">
        <v>1950</v>
      </c>
      <c r="AP90" s="185">
        <v>4</v>
      </c>
      <c r="AQ90" s="185" t="s">
        <v>279</v>
      </c>
      <c r="AR90" s="185" t="s">
        <v>230</v>
      </c>
      <c r="AS90" s="185" t="s">
        <v>760</v>
      </c>
      <c r="AT90" s="185" t="s">
        <v>279</v>
      </c>
      <c r="AU90" s="185" t="s">
        <v>230</v>
      </c>
      <c r="AV90" s="185" t="s">
        <v>760</v>
      </c>
      <c r="AW90" s="185" t="s">
        <v>1951</v>
      </c>
      <c r="AX90" s="185">
        <v>3</v>
      </c>
      <c r="AY90" s="185" t="s">
        <v>180</v>
      </c>
      <c r="AZ90" s="185" t="s">
        <v>2233</v>
      </c>
      <c r="BA90" s="185" t="s">
        <v>236</v>
      </c>
      <c r="BB90" s="185" t="s">
        <v>180</v>
      </c>
      <c r="BC90" s="185" t="s">
        <v>2233</v>
      </c>
      <c r="BD90" s="185" t="s">
        <v>236</v>
      </c>
      <c r="BE90" s="185" t="s">
        <v>57</v>
      </c>
      <c r="BF90" s="185">
        <v>3</v>
      </c>
      <c r="BG90" s="185" t="s">
        <v>188</v>
      </c>
      <c r="BH90" s="185" t="s">
        <v>189</v>
      </c>
      <c r="BI90" s="185" t="s">
        <v>2579</v>
      </c>
      <c r="BJ90" s="185" t="s">
        <v>188</v>
      </c>
      <c r="BK90" s="185" t="s">
        <v>189</v>
      </c>
      <c r="BL90" s="185" t="s">
        <v>2579</v>
      </c>
      <c r="BM90" s="185" t="s">
        <v>198</v>
      </c>
      <c r="BN90" s="185">
        <v>2</v>
      </c>
      <c r="BO90" s="185" t="s">
        <v>199</v>
      </c>
      <c r="BP90" s="185" t="s">
        <v>1952</v>
      </c>
      <c r="BQ90" s="185" t="s">
        <v>1953</v>
      </c>
      <c r="BR90" s="185" t="s">
        <v>199</v>
      </c>
      <c r="BS90" s="185" t="s">
        <v>202</v>
      </c>
      <c r="BT90" s="185" t="s">
        <v>1954</v>
      </c>
    </row>
    <row r="91" spans="1:72" s="184" customFormat="1" ht="36" customHeight="1" x14ac:dyDescent="0.25">
      <c r="A91" s="155">
        <v>39</v>
      </c>
      <c r="B91" s="184" t="s">
        <v>385</v>
      </c>
      <c r="C91" s="184" t="s">
        <v>247</v>
      </c>
      <c r="D91" s="184" t="s">
        <v>2580</v>
      </c>
      <c r="E91" s="184" t="s">
        <v>2581</v>
      </c>
      <c r="F91" s="184" t="s">
        <v>2582</v>
      </c>
      <c r="G91" s="184" t="s">
        <v>2583</v>
      </c>
      <c r="H91" s="184" t="s">
        <v>2584</v>
      </c>
      <c r="I91" s="184" t="s">
        <v>2585</v>
      </c>
      <c r="J91" s="184" t="s">
        <v>1937</v>
      </c>
      <c r="K91" s="184" t="s">
        <v>1938</v>
      </c>
      <c r="L91" s="184" t="s">
        <v>1939</v>
      </c>
      <c r="M91" s="184" t="s">
        <v>2586</v>
      </c>
      <c r="N91" s="184" t="s">
        <v>163</v>
      </c>
      <c r="O91" s="184">
        <v>20</v>
      </c>
      <c r="P91" s="184" t="s">
        <v>164</v>
      </c>
      <c r="Q91" s="184" t="s">
        <v>2587</v>
      </c>
      <c r="R91" s="184" t="s">
        <v>2353</v>
      </c>
      <c r="S91" s="184" t="s">
        <v>2588</v>
      </c>
      <c r="T91" s="184" t="s">
        <v>2123</v>
      </c>
      <c r="U91" s="184" t="s">
        <v>521</v>
      </c>
      <c r="V91" s="184" t="s">
        <v>2589</v>
      </c>
      <c r="W91" s="184" t="s">
        <v>2590</v>
      </c>
      <c r="X91" s="184" t="s">
        <v>2591</v>
      </c>
      <c r="Y91" s="185" t="s">
        <v>1948</v>
      </c>
      <c r="Z91" s="185">
        <v>4</v>
      </c>
      <c r="AA91" s="185" t="s">
        <v>2592</v>
      </c>
      <c r="AB91" s="185" t="s">
        <v>2229</v>
      </c>
      <c r="AC91" s="185" t="s">
        <v>2593</v>
      </c>
      <c r="AD91" s="185" t="s">
        <v>2592</v>
      </c>
      <c r="AE91" s="185" t="s">
        <v>2229</v>
      </c>
      <c r="AF91" s="185" t="s">
        <v>2593</v>
      </c>
      <c r="AG91" s="185" t="s">
        <v>1949</v>
      </c>
      <c r="AH91" s="185">
        <v>4</v>
      </c>
      <c r="AI91" s="185" t="s">
        <v>620</v>
      </c>
      <c r="AJ91" s="185" t="s">
        <v>226</v>
      </c>
      <c r="AK91" s="185" t="s">
        <v>760</v>
      </c>
      <c r="AL91" s="185" t="s">
        <v>620</v>
      </c>
      <c r="AM91" s="185" t="s">
        <v>226</v>
      </c>
      <c r="AN91" s="185" t="s">
        <v>760</v>
      </c>
      <c r="AO91" s="185" t="s">
        <v>1950</v>
      </c>
      <c r="AP91" s="185">
        <v>4</v>
      </c>
      <c r="AQ91" s="185" t="s">
        <v>279</v>
      </c>
      <c r="AR91" s="185" t="s">
        <v>234</v>
      </c>
      <c r="AS91" s="185" t="s">
        <v>1987</v>
      </c>
      <c r="AT91" s="185" t="s">
        <v>279</v>
      </c>
      <c r="AU91" s="185" t="s">
        <v>234</v>
      </c>
      <c r="AV91" s="185" t="s">
        <v>1987</v>
      </c>
      <c r="AW91" s="185" t="s">
        <v>1951</v>
      </c>
      <c r="AX91" s="185">
        <v>3</v>
      </c>
      <c r="AY91" s="185" t="s">
        <v>179</v>
      </c>
      <c r="AZ91" s="185" t="s">
        <v>180</v>
      </c>
      <c r="BA91" s="185" t="s">
        <v>1987</v>
      </c>
      <c r="BB91" s="185" t="s">
        <v>179</v>
      </c>
      <c r="BC91" s="185" t="s">
        <v>180</v>
      </c>
      <c r="BD91" s="185" t="s">
        <v>1987</v>
      </c>
      <c r="BE91" s="185" t="s">
        <v>57</v>
      </c>
      <c r="BF91" s="185">
        <v>3</v>
      </c>
      <c r="BG91" s="185" t="s">
        <v>237</v>
      </c>
      <c r="BH91" s="185" t="s">
        <v>620</v>
      </c>
      <c r="BI91" s="185" t="s">
        <v>240</v>
      </c>
      <c r="BJ91" s="185" t="s">
        <v>237</v>
      </c>
      <c r="BK91" s="185" t="s">
        <v>620</v>
      </c>
      <c r="BL91" s="185" t="s">
        <v>240</v>
      </c>
      <c r="BM91" s="185" t="s">
        <v>198</v>
      </c>
      <c r="BN91" s="185">
        <v>2</v>
      </c>
      <c r="BO91" s="185" t="s">
        <v>199</v>
      </c>
      <c r="BP91" s="185" t="s">
        <v>1952</v>
      </c>
      <c r="BQ91" s="185" t="s">
        <v>1953</v>
      </c>
      <c r="BR91" s="185" t="s">
        <v>199</v>
      </c>
      <c r="BS91" s="185" t="s">
        <v>202</v>
      </c>
      <c r="BT91" s="185" t="s">
        <v>1954</v>
      </c>
    </row>
    <row r="92" spans="1:72" s="184" customFormat="1" ht="36" customHeight="1" x14ac:dyDescent="0.25">
      <c r="A92" s="155">
        <v>40</v>
      </c>
      <c r="B92" s="184" t="s">
        <v>385</v>
      </c>
      <c r="C92" s="184" t="s">
        <v>205</v>
      </c>
      <c r="D92" s="184" t="s">
        <v>2594</v>
      </c>
      <c r="E92" s="184" t="s">
        <v>2595</v>
      </c>
      <c r="F92" s="184" t="s">
        <v>2596</v>
      </c>
      <c r="G92" s="184" t="s">
        <v>2597</v>
      </c>
      <c r="H92" s="184" t="s">
        <v>2598</v>
      </c>
      <c r="I92" s="184" t="s">
        <v>2599</v>
      </c>
      <c r="J92" s="184" t="s">
        <v>1937</v>
      </c>
      <c r="K92" s="184" t="s">
        <v>1938</v>
      </c>
      <c r="L92" s="184" t="s">
        <v>1939</v>
      </c>
      <c r="M92" s="184" t="s">
        <v>2600</v>
      </c>
      <c r="N92" s="184" t="s">
        <v>163</v>
      </c>
      <c r="O92" s="184">
        <v>20</v>
      </c>
      <c r="P92" s="184" t="s">
        <v>484</v>
      </c>
      <c r="Q92" s="184" t="s">
        <v>2601</v>
      </c>
      <c r="R92" s="184" t="s">
        <v>2602</v>
      </c>
      <c r="S92" s="184" t="s">
        <v>2603</v>
      </c>
      <c r="T92" s="184" t="s">
        <v>2604</v>
      </c>
      <c r="U92" s="184" t="s">
        <v>521</v>
      </c>
      <c r="V92" s="184" t="s">
        <v>2605</v>
      </c>
      <c r="W92" s="184" t="s">
        <v>2606</v>
      </c>
      <c r="X92" s="184" t="s">
        <v>2607</v>
      </c>
      <c r="Y92" s="185" t="s">
        <v>1948</v>
      </c>
      <c r="Z92" s="185">
        <v>4</v>
      </c>
      <c r="AA92" s="185" t="s">
        <v>2608</v>
      </c>
      <c r="AB92" s="185" t="s">
        <v>2609</v>
      </c>
      <c r="AC92" s="185" t="s">
        <v>2610</v>
      </c>
      <c r="AD92" s="185" t="s">
        <v>2608</v>
      </c>
      <c r="AE92" s="185" t="s">
        <v>2609</v>
      </c>
      <c r="AF92" s="185" t="s">
        <v>2610</v>
      </c>
      <c r="AG92" s="185" t="s">
        <v>1949</v>
      </c>
      <c r="AH92" s="185">
        <v>4</v>
      </c>
      <c r="AI92" s="185" t="s">
        <v>567</v>
      </c>
      <c r="AJ92" s="185" t="s">
        <v>2611</v>
      </c>
      <c r="AK92" s="185" t="s">
        <v>352</v>
      </c>
      <c r="AL92" s="185" t="s">
        <v>567</v>
      </c>
      <c r="AM92" s="185" t="s">
        <v>2611</v>
      </c>
      <c r="AN92" s="185" t="s">
        <v>352</v>
      </c>
      <c r="AO92" s="185" t="s">
        <v>1950</v>
      </c>
      <c r="AP92" s="185">
        <v>4</v>
      </c>
      <c r="AQ92" s="185" t="s">
        <v>230</v>
      </c>
      <c r="AR92" s="185" t="s">
        <v>229</v>
      </c>
      <c r="AS92" s="185" t="s">
        <v>710</v>
      </c>
      <c r="AT92" s="185" t="s">
        <v>230</v>
      </c>
      <c r="AU92" s="185" t="s">
        <v>229</v>
      </c>
      <c r="AV92" s="185" t="s">
        <v>710</v>
      </c>
      <c r="AW92" s="185" t="s">
        <v>1951</v>
      </c>
      <c r="AX92" s="185">
        <v>3</v>
      </c>
      <c r="AY92" s="185" t="s">
        <v>231</v>
      </c>
      <c r="AZ92" s="185" t="s">
        <v>2612</v>
      </c>
      <c r="BA92" s="185" t="s">
        <v>179</v>
      </c>
      <c r="BB92" s="185" t="s">
        <v>231</v>
      </c>
      <c r="BC92" s="185" t="s">
        <v>2612</v>
      </c>
      <c r="BD92" s="185" t="s">
        <v>179</v>
      </c>
      <c r="BE92" s="185" t="s">
        <v>57</v>
      </c>
      <c r="BF92" s="185">
        <v>3</v>
      </c>
      <c r="BG92" s="185" t="s">
        <v>2613</v>
      </c>
      <c r="BH92" s="185" t="s">
        <v>679</v>
      </c>
      <c r="BI92" s="185" t="s">
        <v>237</v>
      </c>
      <c r="BJ92" s="185" t="s">
        <v>2613</v>
      </c>
      <c r="BK92" s="185" t="s">
        <v>679</v>
      </c>
      <c r="BL92" s="185" t="s">
        <v>237</v>
      </c>
      <c r="BM92" s="185" t="s">
        <v>198</v>
      </c>
      <c r="BN92" s="185">
        <v>2</v>
      </c>
      <c r="BO92" s="185" t="s">
        <v>199</v>
      </c>
      <c r="BP92" s="185" t="s">
        <v>1952</v>
      </c>
      <c r="BQ92" s="185" t="s">
        <v>1953</v>
      </c>
      <c r="BR92" s="185" t="s">
        <v>199</v>
      </c>
      <c r="BS92" s="185" t="s">
        <v>202</v>
      </c>
      <c r="BT92" s="185" t="s">
        <v>1954</v>
      </c>
    </row>
    <row r="93" spans="1:72" s="184" customFormat="1" ht="36" customHeight="1" x14ac:dyDescent="0.25">
      <c r="A93" s="155">
        <v>41</v>
      </c>
      <c r="B93" s="184" t="s">
        <v>506</v>
      </c>
      <c r="C93" s="184" t="s">
        <v>247</v>
      </c>
      <c r="D93" s="184" t="s">
        <v>2614</v>
      </c>
      <c r="E93" s="184" t="s">
        <v>2615</v>
      </c>
      <c r="F93" s="184" t="s">
        <v>2616</v>
      </c>
      <c r="G93" s="184" t="s">
        <v>2617</v>
      </c>
      <c r="H93" s="184" t="s">
        <v>2618</v>
      </c>
      <c r="I93" s="184" t="s">
        <v>2619</v>
      </c>
      <c r="J93" s="184" t="s">
        <v>1937</v>
      </c>
      <c r="K93" s="184" t="s">
        <v>1938</v>
      </c>
      <c r="L93" s="184" t="s">
        <v>1939</v>
      </c>
      <c r="M93" s="184" t="s">
        <v>2620</v>
      </c>
      <c r="N93" s="184" t="s">
        <v>163</v>
      </c>
      <c r="O93" s="184">
        <v>20</v>
      </c>
      <c r="P93" s="184" t="s">
        <v>164</v>
      </c>
      <c r="Q93" s="184" t="s">
        <v>2621</v>
      </c>
      <c r="R93" s="184" t="s">
        <v>2622</v>
      </c>
      <c r="S93" s="184" t="s">
        <v>2623</v>
      </c>
      <c r="T93" s="184" t="s">
        <v>705</v>
      </c>
      <c r="U93" s="184" t="s">
        <v>673</v>
      </c>
      <c r="V93" s="184" t="s">
        <v>2624</v>
      </c>
      <c r="W93" s="184" t="s">
        <v>2625</v>
      </c>
      <c r="X93" s="184" t="s">
        <v>2626</v>
      </c>
      <c r="Y93" s="185" t="s">
        <v>1948</v>
      </c>
      <c r="Z93" s="185">
        <v>4</v>
      </c>
      <c r="AA93" s="185" t="s">
        <v>2627</v>
      </c>
      <c r="AB93" s="185" t="s">
        <v>346</v>
      </c>
      <c r="AC93" s="185" t="s">
        <v>589</v>
      </c>
      <c r="AD93" s="185" t="s">
        <v>2627</v>
      </c>
      <c r="AE93" s="185" t="s">
        <v>346</v>
      </c>
      <c r="AF93" s="185" t="s">
        <v>589</v>
      </c>
      <c r="AG93" s="185" t="s">
        <v>1949</v>
      </c>
      <c r="AH93" s="185">
        <v>4</v>
      </c>
      <c r="AI93" s="185" t="s">
        <v>176</v>
      </c>
      <c r="AJ93" s="185" t="s">
        <v>2628</v>
      </c>
      <c r="AK93" s="185" t="s">
        <v>2629</v>
      </c>
      <c r="AL93" s="185" t="s">
        <v>176</v>
      </c>
      <c r="AM93" s="185" t="s">
        <v>2628</v>
      </c>
      <c r="AN93" s="185" t="s">
        <v>2629</v>
      </c>
      <c r="AO93" s="185" t="s">
        <v>1950</v>
      </c>
      <c r="AP93" s="185">
        <v>4</v>
      </c>
      <c r="AQ93" s="185" t="s">
        <v>435</v>
      </c>
      <c r="AR93" s="185" t="s">
        <v>466</v>
      </c>
      <c r="AS93" s="185" t="s">
        <v>232</v>
      </c>
      <c r="AT93" s="185" t="s">
        <v>435</v>
      </c>
      <c r="AU93" s="185" t="s">
        <v>466</v>
      </c>
      <c r="AV93" s="185" t="s">
        <v>232</v>
      </c>
      <c r="AW93" s="185" t="s">
        <v>1951</v>
      </c>
      <c r="AX93" s="185">
        <v>3</v>
      </c>
      <c r="AY93" s="185" t="s">
        <v>589</v>
      </c>
      <c r="AZ93" s="185" t="s">
        <v>179</v>
      </c>
      <c r="BA93" s="185" t="s">
        <v>2630</v>
      </c>
      <c r="BB93" s="185" t="s">
        <v>589</v>
      </c>
      <c r="BC93" s="185" t="s">
        <v>179</v>
      </c>
      <c r="BD93" s="185" t="s">
        <v>2630</v>
      </c>
      <c r="BE93" s="185" t="s">
        <v>57</v>
      </c>
      <c r="BF93" s="185">
        <v>3</v>
      </c>
      <c r="BG93" s="185" t="s">
        <v>281</v>
      </c>
      <c r="BH93" s="185" t="s">
        <v>280</v>
      </c>
      <c r="BI93" s="185" t="s">
        <v>2183</v>
      </c>
      <c r="BJ93" s="185" t="s">
        <v>281</v>
      </c>
      <c r="BK93" s="185" t="s">
        <v>280</v>
      </c>
      <c r="BL93" s="185" t="s">
        <v>2183</v>
      </c>
      <c r="BM93" s="185" t="s">
        <v>198</v>
      </c>
      <c r="BN93" s="185">
        <v>2</v>
      </c>
      <c r="BO93" s="185" t="s">
        <v>199</v>
      </c>
      <c r="BP93" s="185" t="s">
        <v>1952</v>
      </c>
      <c r="BQ93" s="185" t="s">
        <v>1953</v>
      </c>
      <c r="BR93" s="185" t="s">
        <v>199</v>
      </c>
      <c r="BS93" s="185" t="s">
        <v>202</v>
      </c>
      <c r="BT93" s="185" t="s">
        <v>1954</v>
      </c>
    </row>
    <row r="94" spans="1:72" s="184" customFormat="1" ht="36" customHeight="1" x14ac:dyDescent="0.25">
      <c r="A94" s="155">
        <v>42</v>
      </c>
      <c r="B94" s="184" t="s">
        <v>324</v>
      </c>
      <c r="C94" s="184" t="s">
        <v>154</v>
      </c>
      <c r="D94" s="184" t="s">
        <v>2631</v>
      </c>
      <c r="E94" s="184" t="s">
        <v>2236</v>
      </c>
      <c r="F94" s="184" t="s">
        <v>2632</v>
      </c>
      <c r="G94" s="184" t="s">
        <v>2633</v>
      </c>
      <c r="H94" s="184" t="s">
        <v>2634</v>
      </c>
      <c r="I94" s="184" t="s">
        <v>2635</v>
      </c>
      <c r="J94" s="184" t="s">
        <v>1937</v>
      </c>
      <c r="K94" s="184" t="s">
        <v>1938</v>
      </c>
      <c r="L94" s="184" t="s">
        <v>1939</v>
      </c>
      <c r="M94" s="184" t="s">
        <v>2636</v>
      </c>
      <c r="N94" s="184" t="s">
        <v>163</v>
      </c>
      <c r="O94" s="184">
        <v>20</v>
      </c>
      <c r="P94" s="184" t="s">
        <v>259</v>
      </c>
      <c r="Q94" s="184" t="s">
        <v>2637</v>
      </c>
      <c r="R94" s="184" t="s">
        <v>2638</v>
      </c>
      <c r="S94" s="184" t="s">
        <v>2639</v>
      </c>
      <c r="T94" s="184" t="s">
        <v>2640</v>
      </c>
      <c r="U94" s="184" t="s">
        <v>1243</v>
      </c>
      <c r="V94" s="184" t="s">
        <v>2641</v>
      </c>
      <c r="W94" s="184" t="s">
        <v>2642</v>
      </c>
      <c r="X94" s="184" t="s">
        <v>2643</v>
      </c>
      <c r="Y94" s="185" t="s">
        <v>1948</v>
      </c>
      <c r="Z94" s="185">
        <v>4</v>
      </c>
      <c r="AA94" s="185" t="s">
        <v>1482</v>
      </c>
      <c r="AB94" s="185" t="s">
        <v>346</v>
      </c>
      <c r="AC94" s="185" t="s">
        <v>179</v>
      </c>
      <c r="AD94" s="185" t="s">
        <v>1482</v>
      </c>
      <c r="AE94" s="185" t="s">
        <v>346</v>
      </c>
      <c r="AF94" s="185" t="s">
        <v>179</v>
      </c>
      <c r="AG94" s="185" t="s">
        <v>1949</v>
      </c>
      <c r="AH94" s="185">
        <v>4</v>
      </c>
      <c r="AI94" s="185" t="s">
        <v>175</v>
      </c>
      <c r="AJ94" s="185" t="s">
        <v>226</v>
      </c>
      <c r="AK94" s="185" t="s">
        <v>2250</v>
      </c>
      <c r="AL94" s="185" t="s">
        <v>175</v>
      </c>
      <c r="AM94" s="185" t="s">
        <v>226</v>
      </c>
      <c r="AN94" s="185" t="s">
        <v>2250</v>
      </c>
      <c r="AO94" s="185" t="s">
        <v>1950</v>
      </c>
      <c r="AP94" s="185">
        <v>4</v>
      </c>
      <c r="AQ94" s="185" t="s">
        <v>2004</v>
      </c>
      <c r="AR94" s="185" t="s">
        <v>182</v>
      </c>
      <c r="AS94" s="185" t="s">
        <v>437</v>
      </c>
      <c r="AT94" s="185" t="s">
        <v>2004</v>
      </c>
      <c r="AU94" s="185" t="s">
        <v>182</v>
      </c>
      <c r="AV94" s="185" t="s">
        <v>437</v>
      </c>
      <c r="AW94" s="185" t="s">
        <v>1951</v>
      </c>
      <c r="AX94" s="185">
        <v>3</v>
      </c>
      <c r="AY94" s="185" t="s">
        <v>179</v>
      </c>
      <c r="AZ94" s="185" t="s">
        <v>2250</v>
      </c>
      <c r="BA94" s="185" t="s">
        <v>1482</v>
      </c>
      <c r="BB94" s="185" t="s">
        <v>179</v>
      </c>
      <c r="BC94" s="185" t="s">
        <v>2250</v>
      </c>
      <c r="BD94" s="185" t="s">
        <v>1482</v>
      </c>
      <c r="BE94" s="185" t="s">
        <v>57</v>
      </c>
      <c r="BF94" s="185">
        <v>3</v>
      </c>
      <c r="BG94" s="185" t="s">
        <v>188</v>
      </c>
      <c r="BH94" s="185" t="s">
        <v>190</v>
      </c>
      <c r="BI94" s="185" t="s">
        <v>648</v>
      </c>
      <c r="BJ94" s="185" t="s">
        <v>188</v>
      </c>
      <c r="BK94" s="185" t="s">
        <v>190</v>
      </c>
      <c r="BL94" s="185" t="s">
        <v>648</v>
      </c>
      <c r="BM94" s="185" t="s">
        <v>198</v>
      </c>
      <c r="BN94" s="185">
        <v>2</v>
      </c>
      <c r="BO94" s="185" t="s">
        <v>199</v>
      </c>
      <c r="BP94" s="185" t="s">
        <v>1952</v>
      </c>
      <c r="BQ94" s="185" t="s">
        <v>1953</v>
      </c>
      <c r="BR94" s="185" t="s">
        <v>199</v>
      </c>
      <c r="BS94" s="185" t="s">
        <v>202</v>
      </c>
      <c r="BT94" s="185" t="s">
        <v>1954</v>
      </c>
    </row>
    <row r="95" spans="1:72" s="184" customFormat="1" ht="36" customHeight="1" x14ac:dyDescent="0.25">
      <c r="A95" s="155">
        <v>43</v>
      </c>
      <c r="B95" s="184" t="s">
        <v>2096</v>
      </c>
      <c r="C95" s="184" t="s">
        <v>247</v>
      </c>
      <c r="D95" s="184" t="s">
        <v>2644</v>
      </c>
      <c r="E95" s="184" t="s">
        <v>2645</v>
      </c>
      <c r="F95" s="184" t="s">
        <v>2646</v>
      </c>
      <c r="G95" s="184" t="s">
        <v>2647</v>
      </c>
      <c r="H95" s="184" t="s">
        <v>2648</v>
      </c>
      <c r="I95" s="184" t="s">
        <v>2649</v>
      </c>
      <c r="J95" s="184" t="s">
        <v>1937</v>
      </c>
      <c r="K95" s="184" t="s">
        <v>1938</v>
      </c>
      <c r="L95" s="184" t="s">
        <v>1939</v>
      </c>
      <c r="M95" s="184" t="s">
        <v>2650</v>
      </c>
      <c r="N95" s="184" t="s">
        <v>163</v>
      </c>
      <c r="O95" s="184">
        <v>20</v>
      </c>
      <c r="P95" s="184" t="s">
        <v>259</v>
      </c>
      <c r="Q95" s="184" t="s">
        <v>2651</v>
      </c>
      <c r="R95" s="184" t="s">
        <v>2652</v>
      </c>
      <c r="S95" s="184" t="s">
        <v>2653</v>
      </c>
      <c r="T95" s="184" t="s">
        <v>2194</v>
      </c>
      <c r="U95" s="184" t="s">
        <v>521</v>
      </c>
      <c r="V95" s="184" t="s">
        <v>2654</v>
      </c>
      <c r="W95" s="184" t="s">
        <v>2655</v>
      </c>
      <c r="X95" s="184" t="s">
        <v>2656</v>
      </c>
      <c r="Y95" s="185" t="s">
        <v>1948</v>
      </c>
      <c r="Z95" s="185">
        <v>4</v>
      </c>
      <c r="AA95" s="185" t="s">
        <v>2440</v>
      </c>
      <c r="AB95" s="185" t="s">
        <v>677</v>
      </c>
      <c r="AC95" s="185" t="s">
        <v>2657</v>
      </c>
      <c r="AD95" s="185" t="s">
        <v>2440</v>
      </c>
      <c r="AE95" s="185" t="s">
        <v>677</v>
      </c>
      <c r="AF95" s="185" t="s">
        <v>2657</v>
      </c>
      <c r="AG95" s="185" t="s">
        <v>1949</v>
      </c>
      <c r="AH95" s="185">
        <v>4</v>
      </c>
      <c r="AI95" s="185" t="s">
        <v>2128</v>
      </c>
      <c r="AJ95" s="185" t="s">
        <v>2658</v>
      </c>
      <c r="AK95" s="185" t="s">
        <v>679</v>
      </c>
      <c r="AL95" s="185" t="s">
        <v>2128</v>
      </c>
      <c r="AM95" s="185" t="s">
        <v>2658</v>
      </c>
      <c r="AN95" s="185" t="s">
        <v>679</v>
      </c>
      <c r="AO95" s="185" t="s">
        <v>1950</v>
      </c>
      <c r="AP95" s="185">
        <v>4</v>
      </c>
      <c r="AQ95" s="185" t="s">
        <v>229</v>
      </c>
      <c r="AR95" s="185" t="s">
        <v>681</v>
      </c>
      <c r="AS95" s="185" t="s">
        <v>230</v>
      </c>
      <c r="AT95" s="185" t="s">
        <v>229</v>
      </c>
      <c r="AU95" s="185" t="s">
        <v>681</v>
      </c>
      <c r="AV95" s="185" t="s">
        <v>230</v>
      </c>
      <c r="AW95" s="185" t="s">
        <v>1951</v>
      </c>
      <c r="AX95" s="185">
        <v>3</v>
      </c>
      <c r="AY95" s="185" t="s">
        <v>179</v>
      </c>
      <c r="AZ95" s="185" t="s">
        <v>2658</v>
      </c>
      <c r="BA95" s="185" t="s">
        <v>1987</v>
      </c>
      <c r="BB95" s="185" t="s">
        <v>179</v>
      </c>
      <c r="BC95" s="185" t="s">
        <v>2658</v>
      </c>
      <c r="BD95" s="185" t="s">
        <v>1987</v>
      </c>
      <c r="BE95" s="185" t="s">
        <v>57</v>
      </c>
      <c r="BF95" s="185">
        <v>3</v>
      </c>
      <c r="BG95" s="185" t="s">
        <v>684</v>
      </c>
      <c r="BH95" s="185" t="s">
        <v>685</v>
      </c>
      <c r="BI95" s="185" t="s">
        <v>189</v>
      </c>
      <c r="BJ95" s="185" t="s">
        <v>684</v>
      </c>
      <c r="BK95" s="185" t="s">
        <v>685</v>
      </c>
      <c r="BL95" s="185" t="s">
        <v>189</v>
      </c>
      <c r="BM95" s="185" t="s">
        <v>198</v>
      </c>
      <c r="BN95" s="185">
        <v>2</v>
      </c>
      <c r="BO95" s="185" t="s">
        <v>199</v>
      </c>
      <c r="BP95" s="185" t="s">
        <v>1952</v>
      </c>
      <c r="BQ95" s="185" t="s">
        <v>1953</v>
      </c>
      <c r="BR95" s="185" t="s">
        <v>199</v>
      </c>
      <c r="BS95" s="185" t="s">
        <v>202</v>
      </c>
      <c r="BT95" s="185" t="s">
        <v>1954</v>
      </c>
    </row>
  </sheetData>
  <mergeCells count="21">
    <mergeCell ref="I13:M13"/>
    <mergeCell ref="B13:F13"/>
    <mergeCell ref="A26:A36"/>
    <mergeCell ref="A15:A16"/>
    <mergeCell ref="A11:A12"/>
    <mergeCell ref="H11:H12"/>
    <mergeCell ref="H15:H16"/>
    <mergeCell ref="B19:F19"/>
    <mergeCell ref="I19:M19"/>
    <mergeCell ref="B15:F15"/>
    <mergeCell ref="I15:M15"/>
    <mergeCell ref="B16:F16"/>
    <mergeCell ref="I16:M16"/>
    <mergeCell ref="B17:F17"/>
    <mergeCell ref="I17:M17"/>
    <mergeCell ref="I9:M9"/>
    <mergeCell ref="B11:F11"/>
    <mergeCell ref="I11:M11"/>
    <mergeCell ref="B12:F12"/>
    <mergeCell ref="I12:M12"/>
    <mergeCell ref="B9:F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T82"/>
  <sheetViews>
    <sheetView workbookViewId="0">
      <selection activeCell="A52" sqref="A52:XFD82"/>
    </sheetView>
  </sheetViews>
  <sheetFormatPr baseColWidth="10" defaultColWidth="9" defaultRowHeight="15" x14ac:dyDescent="0.25"/>
  <cols>
    <col min="1" max="1" width="31.75" style="1" customWidth="1"/>
    <col min="2" max="2" width="37.625" style="1" customWidth="1"/>
    <col min="3" max="3" width="14.625" style="1" customWidth="1"/>
    <col min="4" max="4" width="37.625" style="1" customWidth="1"/>
    <col min="5" max="5" width="16.625" style="1" customWidth="1"/>
    <col min="6" max="6" width="33.625" style="1" customWidth="1"/>
    <col min="7" max="7" width="18" style="1" customWidth="1"/>
    <col min="8" max="8" width="31.625" style="1" customWidth="1"/>
    <col min="9" max="9" width="38.625" style="1" customWidth="1"/>
    <col min="10" max="10" width="31.625" style="1" customWidth="1"/>
    <col min="11" max="11" width="18.625" style="1" customWidth="1"/>
    <col min="12" max="12" width="31.625" style="1" customWidth="1"/>
    <col min="13" max="13" width="16" style="1" customWidth="1"/>
    <col min="14" max="15" width="18" style="1" customWidth="1"/>
    <col min="16" max="16" width="22" style="1" customWidth="1"/>
    <col min="17" max="17" width="18" style="1" customWidth="1"/>
    <col min="18" max="24" width="30" style="1" customWidth="1"/>
    <col min="25" max="26" width="14" style="7" customWidth="1"/>
    <col min="27" max="27" width="27.75" style="7" customWidth="1"/>
    <col min="28" max="34" width="14" style="7" customWidth="1"/>
    <col min="35" max="35" width="15" style="7" customWidth="1"/>
    <col min="36" max="72" width="14" style="7" customWidth="1"/>
    <col min="73" max="73" width="9" style="1" customWidth="1"/>
    <col min="74" max="16384" width="9" style="1"/>
  </cols>
  <sheetData>
    <row r="1" spans="1:35" ht="24" customHeight="1" x14ac:dyDescent="0.25">
      <c r="A1" s="33" t="s">
        <v>4765</v>
      </c>
      <c r="B1" s="34"/>
      <c r="C1" s="35"/>
      <c r="D1" s="35"/>
      <c r="E1" s="35"/>
      <c r="F1" s="35"/>
      <c r="G1" s="35"/>
      <c r="H1" s="35"/>
      <c r="I1" s="35"/>
      <c r="J1" s="35"/>
      <c r="K1" s="35"/>
      <c r="L1" s="35"/>
      <c r="M1" s="35"/>
      <c r="N1" s="6"/>
      <c r="O1" s="6"/>
      <c r="P1" s="6"/>
      <c r="Q1" s="6"/>
      <c r="R1" s="6"/>
      <c r="S1" s="6"/>
      <c r="T1" s="6"/>
      <c r="U1" s="6"/>
      <c r="V1" s="6"/>
      <c r="W1" s="6"/>
      <c r="X1" s="6"/>
    </row>
    <row r="2" spans="1:35" ht="20.100000000000001" customHeight="1" x14ac:dyDescent="0.25">
      <c r="A2" s="36" t="s">
        <v>3260</v>
      </c>
      <c r="B2" s="8"/>
      <c r="C2" s="9"/>
      <c r="D2" s="9"/>
      <c r="E2" s="9"/>
      <c r="F2" s="9"/>
      <c r="G2" s="9"/>
      <c r="H2" s="9"/>
      <c r="I2" s="9"/>
      <c r="J2" s="9"/>
      <c r="K2" s="9"/>
      <c r="L2" s="9"/>
      <c r="M2" s="9"/>
    </row>
    <row r="3" spans="1:35" ht="15.75" customHeight="1" x14ac:dyDescent="0.25">
      <c r="A3" s="37"/>
      <c r="B3" s="1187" t="s">
        <v>4756</v>
      </c>
      <c r="C3" s="37"/>
      <c r="D3" s="37"/>
      <c r="E3" s="37"/>
      <c r="F3" s="37"/>
      <c r="G3" s="37"/>
      <c r="H3" s="1188" t="s">
        <v>7941</v>
      </c>
      <c r="I3" s="37"/>
      <c r="J3" s="37"/>
      <c r="K3" s="37"/>
      <c r="L3" s="37"/>
      <c r="M3" s="37"/>
      <c r="AA3" s="10" t="s">
        <v>2</v>
      </c>
      <c r="AI3" s="10" t="s">
        <v>3</v>
      </c>
    </row>
    <row r="4" spans="1:35" ht="24" customHeight="1" x14ac:dyDescent="0.25">
      <c r="A4" s="38" t="s">
        <v>4</v>
      </c>
      <c r="B4" s="40">
        <v>1</v>
      </c>
      <c r="C4" s="38" t="s">
        <v>5</v>
      </c>
      <c r="D4" s="39" t="str">
        <f>IFERROR(INDEX($B$53:$B$82,MATCH($B$4,$A$53:$A$82,0)),"")</f>
        <v>Collège / lycée</v>
      </c>
      <c r="E4" s="38" t="s">
        <v>6</v>
      </c>
      <c r="F4" s="39" t="str">
        <f>IFERROR(INDEX($C$53:$C$82,MATCH($B$4,$A$53:$A$82,0)),"")</f>
        <v>Toute saison</v>
      </c>
      <c r="G4" s="38" t="s">
        <v>7</v>
      </c>
      <c r="H4" s="138" t="s">
        <v>8</v>
      </c>
      <c r="I4" s="38" t="s">
        <v>9</v>
      </c>
      <c r="J4" s="39" t="str">
        <f>IFERROR(INDEX($Q$53:$Q$82,MATCH($B$4,$A$53:$A$82,0)),"")</f>
        <v>Végétarien faible</v>
      </c>
      <c r="L4" s="38" t="s">
        <v>10</v>
      </c>
      <c r="M4" s="39" t="str">
        <f>IFERROR(INDEX($P$53:$P$82,MATCH($B$4,$A$53:$A$82,0)),"")</f>
        <v>Facile</v>
      </c>
      <c r="AA4"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"&amp;$B$12),CHAR(160)," ")," "," "),CHAR(10)," "),CHAR(13)," "),CHAR(9)," "),"’","'"),"."," "),","," "),";"," "),":"," "),"-"," "),"("," "),")"," "),"?"," "),"!"," "),"/"," "),"é","e"),"è","e"),"ê","e"),"ë","e"),"à","a"),"â","a"),"ä","a"),"ù","u"),"û","u"),"ü","u"),"ô","o"),"ö","o"),"î","i"),"ï","i"),"ç","c")))</f>
        <v>les pates sauce tomate seules ne construisent pas un vrai plat vegetarien il faut ajouter une base nourrissante comme lentilles corail pois chiches ou haricots</v>
      </c>
      <c r="AI4"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H$53:$H$82,MATCH($B$4,$A$53:$A$82,0)),"")),CHAR(160)," ")," "," "),CHAR(10)," "),CHAR(13)," "),CHAR(9)," "),"’","'"),"."," "),","," "),";"," "),":"," "),"-"," "),"("," "),")"," "),"?"," "),"!"," "),"/"," "),"é","e"),"è","e"),"ê","e"),"ë","e"),"à","a"),"â","a"),"ä","a"),"ù","u"),"û","u"),"ü","u"),"ô","o"),"ö","o"),"î","i"),"ï","i"),"ç","c")))</f>
        <v>les pates sauce tomate seules ne construisent pas un vrai plat vegetarien il faut ajouter une base nourrissante comme lentilles corail pois chiches ou haricots renforcer la sauce avec legumes et herbes puis garder un laitage ou un fruit selon l'equilibre</v>
      </c>
    </row>
    <row r="5" spans="1:35" ht="24" customHeight="1" x14ac:dyDescent="0.25">
      <c r="A5" s="41" t="s">
        <v>11</v>
      </c>
      <c r="B5" s="78" t="str">
        <f>IFERROR(INDEX($E$53:$E$82,MATCH($B$4,$A$53:$A$82,0)),"")</f>
        <v>Plat végétarien trop faible : absence de vraie base nourrissante</v>
      </c>
      <c r="C5" s="42"/>
      <c r="D5" s="42"/>
      <c r="E5" s="43"/>
      <c r="F5" s="43"/>
      <c r="G5" s="44"/>
      <c r="H5" s="43"/>
      <c r="I5" s="43"/>
      <c r="J5" s="43"/>
      <c r="K5" s="43"/>
      <c r="L5" s="43"/>
      <c r="M5" s="43"/>
      <c r="O5" s="162" t="s">
        <v>4830</v>
      </c>
      <c r="AA5"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"&amp;$B$12&amp;" "&amp;$B$15&amp;" "&amp;$B$16),CHAR(160)," ")," "," "),CHAR(10)," "),CHAR(13)," "),CHAR(9)," "),"’","'"),"."," "),","," "),";"," "),":"," "),"-"," "),"("," "),")"," "),"?"," "),"!"," "),"/"," "),"é","e"),"è","e"),"ê","e"),"ë","e"),"à","a"),"â","a"),"ä","a"),"ù","u"),"û","u"),"ü","u"),"ô","o"),"ö","o"),"î","i"),"ï","i"),"ç","c")))</f>
        <v>les pates sauce tomate seules ne construisent pas un vrai plat vegetarien il faut ajouter une base nourrissante comme lentilles corail pois chiches ou haricots renforcer la sauce avec legumes et herbes puis garder un laitage ou un fruit selon l'equilibre</v>
      </c>
      <c r="AI5"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I$53:$I$82,MATCH($B$4,$A$53:$A$82,0)),"")),CHAR(160)," ")," "," "),CHAR(10)," "),CHAR(13)," "),CHAR(9)," "),"’","'"),"."," "),","," "),";"," "),":"," "),"-"," "),"("," "),")"," "),"?"," "),"!"," "),"/"," "),"é","e"),"è","e"),"ê","e"),"ë","e"),"à","a"),"â","a"),"ä","a"),"ù","u"),"û","u"),"ü","u"),"ô","o"),"ö","o"),"î","i"),"ï","i"),"ç","c")))</f>
        <v>les pates tomate seules ne calent pas assez j'ajoute des lentilles des pois chiches ou des haricots avec des legumes et du gout pour faire un vrai plat</v>
      </c>
    </row>
    <row r="6" spans="1:35" ht="24" customHeight="1" x14ac:dyDescent="0.25">
      <c r="A6" s="41" t="s">
        <v>12</v>
      </c>
      <c r="B6" s="45" t="str">
        <f>IFERROR(INDEX($D$53:$D$82,MATCH($B$4,$A$53:$A$82,0)),"")</f>
        <v>Salade verte ; pâtes sauce tomate ; yaourt ; fruit</v>
      </c>
      <c r="C6" s="46"/>
      <c r="D6" s="46"/>
      <c r="E6" s="46"/>
      <c r="F6" s="46"/>
      <c r="G6" s="44"/>
      <c r="H6" s="43"/>
      <c r="I6" s="43"/>
      <c r="J6" s="43"/>
      <c r="K6" s="43"/>
      <c r="L6" s="43"/>
      <c r="M6" s="43"/>
      <c r="O6" s="157" t="s">
        <v>4844</v>
      </c>
      <c r="AA6"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"&amp;$I$12),CHAR(160)," ")," "," "),CHAR(10)," "),CHAR(13)," "),CHAR(9)," "),"’","'"),"."," "),","," "),";"," "),":"," "),"-"," "),"("," "),")"," "),"?"," "),"!"," "),"/"," "),"é","e"),"è","e"),"ê","e"),"ë","e"),"à","a"),"â","a"),"ä","a"),"ù","u"),"û","u"),"ü","u"),"ô","o"),"ö","o"),"î","i"),"ï","i"),"ç","c")))</f>
        <v>les pates tomate seules ne calent pas assez j'ajoute des lentilles</v>
      </c>
    </row>
    <row r="7" spans="1:35" ht="15.75" customHeight="1" x14ac:dyDescent="0.25">
      <c r="A7" s="11"/>
      <c r="B7" s="47"/>
      <c r="C7" s="47"/>
      <c r="D7" s="47"/>
      <c r="E7" s="47"/>
      <c r="F7" s="47"/>
      <c r="G7" s="11"/>
      <c r="H7" s="11"/>
      <c r="I7" s="47"/>
      <c r="J7" s="47"/>
      <c r="K7" s="47"/>
      <c r="L7" s="47"/>
      <c r="M7" s="47"/>
      <c r="AA7"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"&amp;$I$12&amp;" "&amp;$I$15&amp;" "&amp;$I$16),CHAR(160)," ")," "," "),CHAR(10)," "),CHAR(13)," "),CHAR(9)," "),"’","'"),"."," "),","," "),";"," "),":"," "),"-"," "),"("," "),")"," "),"?"," "),"!"," "),"/"," "),"é","e"),"è","e"),"ê","e"),"ë","e"),"à","a"),"â","a"),"ä","a"),"ù","u"),"û","u"),"ü","u"),"ô","o"),"ö","o"),"î","i"),"ï","i"),"ç","c")))</f>
        <v>les pates tomate seules ne calent pas assez j'ajoute des lentilles des pois chiches ou des haricots avec des legumes et du gout pour faire un vrai plat et du gout pour faire un vrai plat</v>
      </c>
    </row>
    <row r="8" spans="1:35" ht="24" customHeight="1" x14ac:dyDescent="0.25">
      <c r="A8" s="135" t="s">
        <v>13</v>
      </c>
      <c r="B8" s="48"/>
      <c r="C8" s="48"/>
      <c r="D8" s="48"/>
      <c r="E8" s="48"/>
      <c r="F8" s="48"/>
      <c r="G8" s="12"/>
      <c r="H8" s="134" t="s">
        <v>14</v>
      </c>
      <c r="I8" s="49"/>
      <c r="J8" s="49"/>
      <c r="K8" s="49"/>
      <c r="L8" s="49"/>
      <c r="M8" s="49"/>
      <c r="O8" s="2" t="s">
        <v>3261</v>
      </c>
      <c r="P8" s="3"/>
      <c r="Q8" s="3"/>
      <c r="R8" s="3"/>
      <c r="S8" s="3"/>
      <c r="T8" s="3"/>
    </row>
    <row r="9" spans="1:35" ht="54.95" customHeight="1" x14ac:dyDescent="0.25">
      <c r="A9" s="13" t="s">
        <v>16</v>
      </c>
      <c r="B9" s="1559" t="str">
        <f>IFERROR(INDEX($F$53:$F$82,MATCH($B$4,$A$53:$A$82,0)),"")</f>
        <v>Analysez pourquoi ce menu végétarien est insuffisamment construit et proposez une base nourrissante crédible.</v>
      </c>
      <c r="C9" s="1559"/>
      <c r="D9" s="1559"/>
      <c r="E9" s="1559"/>
      <c r="F9" s="1559"/>
      <c r="G9" s="12"/>
      <c r="H9" s="14" t="s">
        <v>17</v>
      </c>
      <c r="I9" s="1559" t="str">
        <f>IFERROR(INDEX($G$53:$G$82,MATCH($B$4,$A$53:$A$82,0)),"")</f>
        <v>Pourquoi ce menu végé risque-t-il de ne pas assez caler, et qu’est-ce que tu ajoutes dans le plat ?</v>
      </c>
      <c r="J9" s="1559"/>
      <c r="K9" s="1559"/>
      <c r="L9" s="1559"/>
      <c r="M9" s="1559"/>
      <c r="O9" s="140" t="s">
        <v>18</v>
      </c>
      <c r="P9" s="139" t="s">
        <v>3262</v>
      </c>
      <c r="Q9" s="5"/>
      <c r="R9" s="5"/>
      <c r="S9" s="5"/>
      <c r="T9" s="5"/>
      <c r="V9" s="15"/>
      <c r="W9" s="15"/>
      <c r="X9" s="15"/>
    </row>
    <row r="10" spans="1:35" ht="15.75" customHeight="1" x14ac:dyDescent="0.25">
      <c r="A10" s="11"/>
      <c r="B10" s="47"/>
      <c r="C10" s="47"/>
      <c r="D10" s="47"/>
      <c r="E10" s="47"/>
      <c r="F10" s="47"/>
      <c r="G10" s="11"/>
      <c r="H10" s="11"/>
      <c r="I10" s="47"/>
      <c r="J10" s="47"/>
      <c r="K10" s="47"/>
      <c r="L10" s="47"/>
      <c r="M10" s="47"/>
      <c r="O10" s="140" t="s">
        <v>20</v>
      </c>
      <c r="P10" s="139" t="s">
        <v>3263</v>
      </c>
      <c r="Q10" s="5"/>
      <c r="R10" s="5"/>
      <c r="S10" s="5"/>
      <c r="T10" s="5"/>
      <c r="V10" s="15"/>
      <c r="W10" s="15"/>
      <c r="X10" s="15"/>
    </row>
    <row r="11" spans="1:35" ht="50.1" customHeight="1" x14ac:dyDescent="0.25">
      <c r="A11" s="1565" t="s">
        <v>22</v>
      </c>
      <c r="B11" s="1560" t="s">
        <v>4793</v>
      </c>
      <c r="C11" s="1560"/>
      <c r="D11" s="1560"/>
      <c r="E11" s="1560"/>
      <c r="F11" s="1560"/>
      <c r="G11" s="12"/>
      <c r="H11" s="1566" t="s">
        <v>23</v>
      </c>
      <c r="I11" s="1560" t="s">
        <v>4797</v>
      </c>
      <c r="J11" s="1560"/>
      <c r="K11" s="1560"/>
      <c r="L11" s="1560"/>
      <c r="M11" s="1560"/>
      <c r="O11" s="140" t="s">
        <v>25</v>
      </c>
      <c r="P11" s="139" t="s">
        <v>3266</v>
      </c>
      <c r="Q11" s="5"/>
      <c r="R11" s="5"/>
      <c r="S11" s="5"/>
      <c r="T11" s="5"/>
      <c r="V11" s="15"/>
      <c r="W11" s="15"/>
      <c r="X11" s="15"/>
    </row>
    <row r="12" spans="1:35" ht="50.1" customHeight="1" x14ac:dyDescent="0.25">
      <c r="A12" s="1565"/>
      <c r="B12" s="1560" t="s">
        <v>4794</v>
      </c>
      <c r="C12" s="1560"/>
      <c r="D12" s="1560"/>
      <c r="E12" s="1560"/>
      <c r="F12" s="1560"/>
      <c r="G12" s="12"/>
      <c r="H12" s="1566"/>
      <c r="I12" s="1560" t="s">
        <v>4798</v>
      </c>
      <c r="J12" s="1560"/>
      <c r="K12" s="1560"/>
      <c r="L12" s="1560"/>
      <c r="M12" s="1560"/>
      <c r="O12" s="140" t="s">
        <v>28</v>
      </c>
      <c r="P12" s="139" t="s">
        <v>3267</v>
      </c>
      <c r="Q12" s="5"/>
      <c r="R12" s="5"/>
      <c r="S12" s="5"/>
      <c r="T12" s="5"/>
      <c r="V12" s="15"/>
      <c r="W12" s="15"/>
      <c r="X12" s="15"/>
    </row>
    <row r="13" spans="1:35" ht="60" customHeight="1" x14ac:dyDescent="0.25">
      <c r="A13" s="13" t="s">
        <v>30</v>
      </c>
      <c r="B13" s="1562" t="str">
        <f>IFERROR(INDEX($J$53:$J$82,MATCH($B$4,$A$53:$A$82,0)),"")</f>
        <v>Si la réponse propose seulement du fromage, demander si le plat principal devient vraiment nourrissant ou seulement complété en fin de repas.</v>
      </c>
      <c r="C13" s="1562"/>
      <c r="D13" s="1562"/>
      <c r="E13" s="1562"/>
      <c r="F13" s="1562"/>
      <c r="G13" s="12"/>
      <c r="H13" s="14" t="s">
        <v>31</v>
      </c>
      <c r="I13" s="1561" t="str">
        <f>IFERROR(INDEX($K$53:$K$82,MATCH($B$4,$A$53:$A$82,0)),"")</f>
        <v>Demander : « Qu’est-ce qui remplace vraiment la viande dans ton assiette ? Qu’est-ce qui va caler les élèves ? »</v>
      </c>
      <c r="J13" s="1561"/>
      <c r="K13" s="1561"/>
      <c r="L13" s="1561"/>
      <c r="M13" s="1561"/>
      <c r="O13" s="140" t="s">
        <v>32</v>
      </c>
      <c r="P13" s="139" t="s">
        <v>3268</v>
      </c>
      <c r="Q13" s="5"/>
      <c r="R13" s="5"/>
      <c r="S13" s="5"/>
      <c r="T13" s="5"/>
      <c r="V13" s="15"/>
      <c r="W13" s="15"/>
      <c r="X13" s="15"/>
    </row>
    <row r="14" spans="1:35" ht="15.75" customHeight="1" x14ac:dyDescent="0.25">
      <c r="A14" s="11"/>
      <c r="B14" s="47"/>
      <c r="C14" s="47"/>
      <c r="D14" s="47"/>
      <c r="E14" s="47"/>
      <c r="F14" s="47"/>
      <c r="G14" s="11"/>
      <c r="H14" s="11"/>
      <c r="I14" s="47"/>
      <c r="J14" s="47"/>
      <c r="K14" s="47"/>
      <c r="L14" s="47"/>
      <c r="M14" s="47"/>
      <c r="O14" s="140" t="s">
        <v>34</v>
      </c>
      <c r="P14" s="139" t="s">
        <v>3269</v>
      </c>
      <c r="Q14" s="5"/>
      <c r="R14" s="5"/>
      <c r="S14" s="5"/>
      <c r="T14" s="5"/>
      <c r="V14" s="15"/>
      <c r="W14" s="15"/>
      <c r="X14" s="15"/>
    </row>
    <row r="15" spans="1:35" ht="50.1" customHeight="1" x14ac:dyDescent="0.25">
      <c r="A15" s="1564" t="s">
        <v>36</v>
      </c>
      <c r="B15" s="1560" t="s">
        <v>4795</v>
      </c>
      <c r="C15" s="1560"/>
      <c r="D15" s="1560"/>
      <c r="E15" s="1560"/>
      <c r="F15" s="1560"/>
      <c r="G15" s="12"/>
      <c r="H15" s="1566" t="s">
        <v>38</v>
      </c>
      <c r="I15" s="1560" t="s">
        <v>4799</v>
      </c>
      <c r="J15" s="1560"/>
      <c r="K15" s="1560"/>
      <c r="L15" s="1560"/>
      <c r="M15" s="1560"/>
      <c r="O15" s="140" t="s">
        <v>39</v>
      </c>
      <c r="P15" s="139" t="s">
        <v>3270</v>
      </c>
      <c r="Q15" s="5"/>
      <c r="R15" s="5"/>
      <c r="S15" s="5"/>
      <c r="T15" s="5"/>
      <c r="V15" s="15"/>
      <c r="W15" s="15"/>
      <c r="X15" s="15"/>
    </row>
    <row r="16" spans="1:35" ht="50.1" customHeight="1" x14ac:dyDescent="0.25">
      <c r="A16" s="1564"/>
      <c r="B16" s="1560" t="s">
        <v>4796</v>
      </c>
      <c r="C16" s="1560"/>
      <c r="D16" s="1560"/>
      <c r="E16" s="1560"/>
      <c r="F16" s="1560"/>
      <c r="G16" s="12"/>
      <c r="H16" s="1566"/>
      <c r="I16" s="1560" t="s">
        <v>4800</v>
      </c>
      <c r="J16" s="1560"/>
      <c r="K16" s="1560"/>
      <c r="L16" s="1560"/>
      <c r="M16" s="1560"/>
      <c r="O16" s="140" t="s">
        <v>42</v>
      </c>
      <c r="P16" s="139" t="s">
        <v>3271</v>
      </c>
      <c r="Q16" s="5"/>
      <c r="R16" s="5"/>
      <c r="S16" s="5"/>
      <c r="T16" s="5"/>
      <c r="V16" s="15"/>
      <c r="W16" s="15"/>
      <c r="X16" s="15"/>
    </row>
    <row r="17" spans="1:34" ht="60" customHeight="1" x14ac:dyDescent="0.25">
      <c r="A17" s="13" t="s">
        <v>44</v>
      </c>
      <c r="B17" s="1562" t="str">
        <f>IF(UPPER($H$4)="X",IFERROR(INDEX($H$53:$H$82,MATCH($B$4,$A$53:$A$82,0)),""),"Réponse attendue masquée — saisir X en H4 pour afficher")</f>
        <v>Les pâtes sauce tomate seules ne construisent pas un vrai plat végétarien. Il faut ajouter une base nourrissante comme lentilles corail, pois chiches ou haricots, renforcer la sauce avec légumes et herbes, puis garder un laitage ou un fruit selon l’équilibre.</v>
      </c>
      <c r="C17" s="1562"/>
      <c r="D17" s="1562"/>
      <c r="E17" s="1562"/>
      <c r="F17" s="1562"/>
      <c r="G17" s="12"/>
      <c r="H17" s="17" t="s">
        <v>45</v>
      </c>
      <c r="I17" s="1561" t="str">
        <f>IF(UPPER($H$4)="X",IFERROR(INDEX($I$53:$I$82,MATCH($B$4,$A$53:$A$82,0)),""),"Réponse attendue masquée — saisir X en H4 pour afficher")</f>
        <v>Les pâtes tomate seules ne calent pas assez. J’ajoute des lentilles, des pois chiches ou des haricots avec des légumes et du goût pour faire un vrai plat.</v>
      </c>
      <c r="J17" s="1561"/>
      <c r="K17" s="1561"/>
      <c r="L17" s="1561"/>
      <c r="M17" s="1561"/>
      <c r="O17" s="140" t="s">
        <v>46</v>
      </c>
      <c r="P17" s="139" t="s">
        <v>3272</v>
      </c>
      <c r="Q17" s="5"/>
      <c r="R17" s="5"/>
      <c r="S17" s="5"/>
      <c r="T17" s="5"/>
      <c r="V17" s="15"/>
      <c r="W17" s="15"/>
      <c r="X17" s="15"/>
    </row>
    <row r="18" spans="1:34" ht="15.75" customHeight="1" x14ac:dyDescent="0.25">
      <c r="A18" s="11"/>
      <c r="B18" s="47"/>
      <c r="C18" s="47"/>
      <c r="D18" s="47"/>
      <c r="E18" s="47"/>
      <c r="F18" s="47"/>
      <c r="G18" s="11"/>
      <c r="H18" s="11"/>
      <c r="I18" s="47"/>
      <c r="J18" s="47"/>
      <c r="K18" s="47"/>
      <c r="L18" s="47"/>
      <c r="M18" s="47"/>
      <c r="O18" s="140" t="s">
        <v>3273</v>
      </c>
      <c r="P18" s="139" t="s">
        <v>3274</v>
      </c>
      <c r="Q18" s="5"/>
      <c r="R18" s="5"/>
      <c r="S18" s="5"/>
      <c r="T18" s="5"/>
      <c r="U18" s="15"/>
      <c r="V18" s="15"/>
      <c r="W18" s="15"/>
      <c r="X18" s="15"/>
    </row>
    <row r="19" spans="1:34" ht="54.95" customHeight="1" x14ac:dyDescent="0.25">
      <c r="A19" s="50" t="s">
        <v>50</v>
      </c>
      <c r="B19" s="1568" t="str">
        <f>IF(ISBLANK(H4),"",IF(UPPER(TRIM($H$4))="X",IFERROR(INDEX($M$53:$M$82,MATCH($B$4,$A$53:$A$82,0)),""),"Mots-clés masqués — saisir X en H4 pour afficher"))</f>
        <v>végétarien ; pâtes ; tomate ; lentilles ; pois chiches ; haricots ; protéines ; satiété ; vrai plat ; adolescents</v>
      </c>
      <c r="C19" s="1568"/>
      <c r="D19" s="1568"/>
      <c r="E19" s="1568"/>
      <c r="F19" s="1568"/>
      <c r="G19" s="12"/>
      <c r="H19" s="51" t="s">
        <v>51</v>
      </c>
      <c r="I19" s="1567" t="str">
        <f>IF(ISBLANK(H4),"",IFERROR(INDEX($X$53:$X$82,MATCH($B$4,$A$53:$A$82,0)),""))</f>
        <v>Végétarien = vrai plat, pas viande retirée</v>
      </c>
      <c r="J19" s="1567"/>
      <c r="K19" s="1567"/>
      <c r="L19" s="1567"/>
      <c r="M19" s="1567"/>
      <c r="O19" s="140"/>
      <c r="P19" s="139"/>
      <c r="Q19" s="5"/>
      <c r="R19" s="5"/>
      <c r="S19" s="5"/>
      <c r="T19" s="5"/>
    </row>
    <row r="20" spans="1:34" ht="15.75" customHeight="1" x14ac:dyDescent="0.25">
      <c r="A20" s="52"/>
      <c r="B20" s="47"/>
      <c r="C20" s="47"/>
      <c r="D20" s="47"/>
      <c r="E20" s="47"/>
      <c r="F20" s="47"/>
      <c r="G20" s="11"/>
      <c r="H20" s="12"/>
      <c r="I20" s="44"/>
      <c r="J20" s="44"/>
      <c r="K20" s="44"/>
      <c r="L20" s="44"/>
      <c r="M20" s="44"/>
    </row>
    <row r="21" spans="1:34" ht="18.75" customHeight="1" x14ac:dyDescent="0.25">
      <c r="A21" s="12"/>
      <c r="B21" s="12"/>
      <c r="C21" s="12"/>
      <c r="D21" s="12"/>
      <c r="E21" s="12"/>
      <c r="F21" s="12"/>
      <c r="G21" s="12"/>
      <c r="H21" s="12"/>
      <c r="I21" s="12"/>
      <c r="J21" s="12"/>
      <c r="K21" s="12"/>
      <c r="L21" s="12"/>
      <c r="M21" s="12"/>
    </row>
    <row r="22" spans="1:34" ht="24" customHeight="1" x14ac:dyDescent="0.25">
      <c r="A22" s="75" t="s">
        <v>52</v>
      </c>
      <c r="B22" s="18"/>
      <c r="C22" s="18"/>
      <c r="D22" s="18"/>
      <c r="E22" s="18"/>
      <c r="F22" s="18"/>
      <c r="G22" s="18"/>
      <c r="H22" s="18"/>
      <c r="I22" s="18"/>
      <c r="J22" s="18"/>
      <c r="K22" s="18"/>
      <c r="L22" s="18"/>
      <c r="M22" s="18"/>
    </row>
    <row r="23" spans="1:34" ht="60" customHeight="1" x14ac:dyDescent="0.25">
      <c r="A23" s="76" t="s">
        <v>3275</v>
      </c>
      <c r="B23" s="74" t="str">
        <f>IF(UPPER($H$4)="X",IFERROR(INDEX($R$53:$R$82,MATCH($B$4,$A$53:$A$82,0)),""),"Masqué")</f>
        <v>Pâtes + lentilles corail, pois chiches ou haricots rouges</v>
      </c>
      <c r="C23" s="77" t="s">
        <v>3276</v>
      </c>
      <c r="D23" s="74" t="str">
        <f>IF(UPPER($H$4)="X",IFERROR(INDEX($S$53:$S$82,MATCH($B$4,$A$53:$A$82,0)),""),"Masqué")</f>
        <v>Sauce tomate enrichie en légumes, herbes, épices douces</v>
      </c>
      <c r="E23" s="77" t="s">
        <v>55</v>
      </c>
      <c r="F23" s="74" t="str">
        <f>IF(UPPER($H$4)="X",IFERROR(INDEX($T$53:$T$82,MATCH($B$4,$A$53:$A$82,0)),""),"Masqué")</f>
        <v>Crudité colorée ou salade composée</v>
      </c>
      <c r="G23" s="77" t="s">
        <v>56</v>
      </c>
      <c r="H23" s="74" t="str">
        <f>IF(UPPER($H$4)="X",IFERROR(INDEX($U$53:$U$82,MATCH($B$4,$A$53:$A$82,0)),""),"Masqué")</f>
        <v>Yaourt, fromage blanc ou fruit selon équilibre</v>
      </c>
      <c r="I23" s="77" t="s">
        <v>57</v>
      </c>
      <c r="J23" s="74" t="str">
        <f>IF(UPPER($H$4)="X",IFERROR(INDEX($V$53:$V$82,MATCH($B$4,$A$53:$A$82,0)),""),"Masqué")</f>
        <v>Renforcer satiété et acceptabilité pour adolescents</v>
      </c>
      <c r="K23" s="77" t="s">
        <v>58</v>
      </c>
      <c r="L23" s="74" t="str">
        <f>IF(UPPER($H$4)="X",IFERROR(INDEX($W$53:$W$82,MATCH($B$4,$A$53:$A$82,0)),""),"Masqué")</f>
        <v>Cuisson des légumineuses et tenue de la sauce à maîtriser</v>
      </c>
      <c r="M23" s="12"/>
    </row>
    <row r="24" spans="1:34" ht="15.75" customHeight="1" x14ac:dyDescent="0.25">
      <c r="A24" s="12"/>
      <c r="B24" s="12"/>
      <c r="C24" s="12"/>
      <c r="D24" s="12"/>
      <c r="E24" s="12"/>
      <c r="F24" s="12"/>
      <c r="G24" s="12"/>
      <c r="H24" s="12"/>
      <c r="I24" s="12"/>
      <c r="J24" s="12"/>
      <c r="K24" s="12"/>
      <c r="L24" s="12"/>
      <c r="M24" s="12"/>
    </row>
    <row r="25" spans="1:34" ht="15.75" customHeight="1" x14ac:dyDescent="0.25">
      <c r="A25" s="12"/>
      <c r="B25" s="12"/>
      <c r="C25" s="12"/>
      <c r="D25" s="12"/>
      <c r="E25" s="12"/>
      <c r="F25" s="12"/>
      <c r="G25" s="12"/>
      <c r="H25" s="12"/>
      <c r="I25" s="12"/>
      <c r="J25" s="12"/>
      <c r="K25" s="12"/>
      <c r="L25" s="79"/>
      <c r="M25" s="79"/>
      <c r="N25" s="80"/>
      <c r="O25" s="80"/>
      <c r="P25" s="80"/>
      <c r="Q25" s="80"/>
      <c r="R25" s="80"/>
      <c r="S25" s="80"/>
      <c r="T25" s="80"/>
    </row>
    <row r="26" spans="1:34" ht="24" customHeight="1" x14ac:dyDescent="0.25">
      <c r="A26" s="1563" t="s">
        <v>59</v>
      </c>
      <c r="B26" s="19" t="s">
        <v>60</v>
      </c>
      <c r="C26" s="19" t="s">
        <v>61</v>
      </c>
      <c r="D26" s="19" t="s">
        <v>62</v>
      </c>
      <c r="E26" s="19" t="s">
        <v>63</v>
      </c>
      <c r="F26" s="19" t="s">
        <v>64</v>
      </c>
      <c r="G26" s="20"/>
      <c r="H26" s="17" t="s">
        <v>65</v>
      </c>
      <c r="I26" s="17" t="s">
        <v>61</v>
      </c>
      <c r="J26" s="17" t="s">
        <v>62</v>
      </c>
      <c r="K26" s="17" t="s">
        <v>63</v>
      </c>
      <c r="L26" s="17" t="s">
        <v>64</v>
      </c>
      <c r="M26" s="12"/>
    </row>
    <row r="27" spans="1:34" ht="24" customHeight="1" x14ac:dyDescent="0.25">
      <c r="A27" s="1563"/>
      <c r="B27" s="19" t="s">
        <v>66</v>
      </c>
      <c r="C27" s="19" t="s">
        <v>67</v>
      </c>
      <c r="D27" s="19" t="s">
        <v>68</v>
      </c>
      <c r="E27" s="19" t="s">
        <v>69</v>
      </c>
      <c r="F27" s="19" t="s">
        <v>64</v>
      </c>
      <c r="G27" s="21"/>
      <c r="H27" s="17" t="s">
        <v>66</v>
      </c>
      <c r="I27" s="22" t="s">
        <v>67</v>
      </c>
      <c r="J27" s="22" t="s">
        <v>68</v>
      </c>
      <c r="K27" s="22" t="s">
        <v>69</v>
      </c>
      <c r="L27" s="22" t="s">
        <v>64</v>
      </c>
      <c r="M27" s="12"/>
      <c r="AA27" s="23" t="s">
        <v>70</v>
      </c>
      <c r="AB27" s="23" t="s">
        <v>61</v>
      </c>
      <c r="AC27" s="23" t="s">
        <v>71</v>
      </c>
      <c r="AD27" s="23" t="s">
        <v>72</v>
      </c>
      <c r="AE27" s="23" t="s">
        <v>73</v>
      </c>
      <c r="AF27" s="23" t="s">
        <v>74</v>
      </c>
      <c r="AG27" s="23" t="s">
        <v>75</v>
      </c>
      <c r="AH27" s="23" t="s">
        <v>76</v>
      </c>
    </row>
    <row r="28" spans="1:34" ht="24" customHeight="1" x14ac:dyDescent="0.25">
      <c r="A28" s="1563"/>
      <c r="B28" s="13" t="str">
        <f t="shared" ref="B28:B33" si="0">$AA28</f>
        <v>Plat végétarien insuffisant repéré</v>
      </c>
      <c r="C28" s="24">
        <f t="shared" ref="C28:C33" si="1">$AB28</f>
        <v>4</v>
      </c>
      <c r="D28" s="24">
        <f t="shared" ref="D28:D33" si="2">IF($B28="","",IF(OR(AND($AI$4&lt;&gt;"",ISNUMBER(SEARCH($AI$4,$AA$4))),AND($AC28&lt;&gt;"",ISNUMBER(SEARCH($AC28,$AA$4))),AND($AD28&lt;&gt;"",ISNUMBER(SEARCH($AD28,$AA$4))),AND($AE28&lt;&gt;"",ISNUMBER(SEARCH($AE28,$AA$4)))),$C28,0))</f>
        <v>4</v>
      </c>
      <c r="E28" s="24">
        <f t="shared" ref="E28:E33" si="3">IF(COUNTA($B$15:$B$16)=0,"",IF(OR(AND($AI$4&lt;&gt;"",ISNUMBER(SEARCH($AI$4,$AA$5))),AND($AC28&lt;&gt;"",ISNUMBER(SEARCH($AC28,$AA$5))),AND($AD28&lt;&gt;"",ISNUMBER(SEARCH($AD28,$AA$5))),AND($AE28&lt;&gt;"",ISNUMBER(SEARCH($AE28,$AA$5)))),$C28,0))</f>
        <v>4</v>
      </c>
      <c r="F28" s="16" t="str">
        <f t="shared" ref="F28:F33" si="4">IF(COUNTA($B$15:$B$16)=0,IF($D28&gt;0,"OK initial","Manque"),IF($E28&gt;0,IF($D28&gt;0,"OK","Corrigé"),"Manque"))</f>
        <v>OK</v>
      </c>
      <c r="G28" s="25"/>
      <c r="H28" s="14" t="str">
        <f t="shared" ref="H28:H33" si="5">$AA28</f>
        <v>Plat végétarien insuffisant repéré</v>
      </c>
      <c r="I28" s="24">
        <f t="shared" ref="I28:I33" si="6">$AB28</f>
        <v>4</v>
      </c>
      <c r="J28" s="24">
        <f t="shared" ref="J28:J33" si="7">IF($H28="","",IF(OR(AND($AI$5&lt;&gt;"",ISNUMBER(SEARCH($AI$5,$AA$6))),AND($AF28&lt;&gt;"",ISNUMBER(SEARCH($AF28,$AA$6))),AND($AG28&lt;&gt;"",ISNUMBER(SEARCH($AG28,$AA$6))),AND($AH28&lt;&gt;"",ISNUMBER(SEARCH($AH28,$AA$6)))),$I28,0))</f>
        <v>4</v>
      </c>
      <c r="K28" s="24">
        <f t="shared" ref="K28:K33" si="8">IF(COUNTA($I$15:$I$16)=0,"",IF(OR(AND($AI$5&lt;&gt;"",ISNUMBER(SEARCH($AI$5,$AA$7))),AND($AF28&lt;&gt;"",ISNUMBER(SEARCH($AF28,$AA$7))),AND($AG28&lt;&gt;"",ISNUMBER(SEARCH($AG28,$AA$7))),AND($AH28&lt;&gt;"",ISNUMBER(SEARCH($AH28,$AA$7)))),$I28,0))</f>
        <v>4</v>
      </c>
      <c r="L28" s="16" t="str">
        <f t="shared" ref="L28:L33" si="9">IF(COUNTA($I$15:$I$16)=0,IF($J28&gt;0,"OK initial","Manque"),IF($K28&gt;0,IF($J28&gt;0,"OK","Corrigé"),"Manque"))</f>
        <v>OK</v>
      </c>
      <c r="M28" s="12"/>
      <c r="AA28" s="10" t="str">
        <f>IFERROR(INDEX($Y$53:$Y$82,MATCH($B$4,$A$53:$A$82,0)),"")</f>
        <v>Plat végétarien insuffisant repéré</v>
      </c>
      <c r="AB28" s="26">
        <f>IFERROR(INDEX($Z$53:$Z$82,MATCH($B$4,$A$53:$A$82,0)),0)</f>
        <v>4</v>
      </c>
      <c r="AC28" s="26" t="str">
        <f>IFERROR(INDEX($AA$53:$AA$82,MATCH($B$4,$A$53:$A$82,0)),"")</f>
        <v>faible</v>
      </c>
      <c r="AD28" s="26" t="str">
        <f>IFERROR(INDEX($AB$53:$AB$82,MATCH($B$4,$A$53:$A$82,0)),"")</f>
        <v>insuffisant</v>
      </c>
      <c r="AE28" s="26" t="str">
        <f>IFERROR(INDEX($AC$53:$AC$82,MATCH($B$4,$A$53:$A$82,0)),"")</f>
        <v>vegetarien</v>
      </c>
      <c r="AF28" s="26" t="str">
        <f>IFERROR(INDEX($AD$53:$AD$82,MATCH($B$4,$A$53:$A$82,0)),"")</f>
        <v>manque</v>
      </c>
      <c r="AG28" s="26" t="str">
        <f>IFERROR(INDEX($AE$53:$AE$82,MATCH($B$4,$A$53:$A$82,0)),"")</f>
        <v>pas assez</v>
      </c>
      <c r="AH28" s="26" t="str">
        <f>IFERROR(INDEX($AF$53:$AF$82,MATCH($B$4,$A$53:$A$82,0)),"")</f>
        <v>viande</v>
      </c>
    </row>
    <row r="29" spans="1:34" ht="24" customHeight="1" x14ac:dyDescent="0.25">
      <c r="A29" s="1563"/>
      <c r="B29" s="13" t="str">
        <f t="shared" si="0"/>
        <v>Base nourrissante proposée</v>
      </c>
      <c r="C29" s="24">
        <f t="shared" si="1"/>
        <v>4</v>
      </c>
      <c r="D29" s="24">
        <f t="shared" si="2"/>
        <v>4</v>
      </c>
      <c r="E29" s="24">
        <f t="shared" si="3"/>
        <v>4</v>
      </c>
      <c r="F29" s="16" t="str">
        <f t="shared" si="4"/>
        <v>OK</v>
      </c>
      <c r="G29" s="25"/>
      <c r="H29" s="14" t="str">
        <f t="shared" si="5"/>
        <v>Base nourrissante proposée</v>
      </c>
      <c r="I29" s="24">
        <f t="shared" si="6"/>
        <v>4</v>
      </c>
      <c r="J29" s="24">
        <f t="shared" si="7"/>
        <v>4</v>
      </c>
      <c r="K29" s="24">
        <f t="shared" si="8"/>
        <v>4</v>
      </c>
      <c r="L29" s="16" t="str">
        <f t="shared" si="9"/>
        <v>OK</v>
      </c>
      <c r="M29" s="12"/>
      <c r="AA29" s="10" t="str">
        <f>IFERROR(INDEX($AG$53:$AG$82,MATCH($B$4,$A$53:$A$82,0)),"")</f>
        <v>Base nourrissante proposée</v>
      </c>
      <c r="AB29" s="26">
        <f>IFERROR(INDEX($AH$53:$AH$82,MATCH($B$4,$A$53:$A$82,0)),0)</f>
        <v>4</v>
      </c>
      <c r="AC29" s="26" t="str">
        <f>IFERROR(INDEX($AI$53:$AI$82,MATCH($B$4,$A$53:$A$82,0)),"")</f>
        <v>lentilles</v>
      </c>
      <c r="AD29" s="26" t="str">
        <f>IFERROR(INDEX($AJ$53:$AJ$82,MATCH($B$4,$A$53:$A$82,0)),"")</f>
        <v>pois chiches</v>
      </c>
      <c r="AE29" s="26" t="str">
        <f>IFERROR(INDEX($AK$53:$AK$82,MATCH($B$4,$A$53:$A$82,0)),"")</f>
        <v>haricots</v>
      </c>
      <c r="AF29" s="26" t="str">
        <f>IFERROR(INDEX($AL$53:$AL$82,MATCH($B$4,$A$53:$A$82,0)),"")</f>
        <v>lentilles</v>
      </c>
      <c r="AG29" s="26" t="str">
        <f>IFERROR(INDEX($AM$53:$AM$82,MATCH($B$4,$A$53:$A$82,0)),"")</f>
        <v>pois chiches</v>
      </c>
      <c r="AH29" s="26" t="str">
        <f>IFERROR(INDEX($AN$53:$AN$82,MATCH($B$4,$A$53:$A$82,0)),"")</f>
        <v>caler</v>
      </c>
    </row>
    <row r="30" spans="1:34" ht="24" customHeight="1" x14ac:dyDescent="0.25">
      <c r="A30" s="1563"/>
      <c r="B30" s="13" t="str">
        <f t="shared" si="0"/>
        <v>Association adaptée</v>
      </c>
      <c r="C30" s="24">
        <f t="shared" si="1"/>
        <v>4</v>
      </c>
      <c r="D30" s="24">
        <f t="shared" si="2"/>
        <v>0</v>
      </c>
      <c r="E30" s="24">
        <f t="shared" si="3"/>
        <v>4</v>
      </c>
      <c r="F30" s="16" t="str">
        <f t="shared" si="4"/>
        <v>Corrigé</v>
      </c>
      <c r="G30" s="25"/>
      <c r="H30" s="14" t="str">
        <f t="shared" si="5"/>
        <v>Association adaptée</v>
      </c>
      <c r="I30" s="24">
        <f t="shared" si="6"/>
        <v>4</v>
      </c>
      <c r="J30" s="24">
        <f t="shared" si="7"/>
        <v>0</v>
      </c>
      <c r="K30" s="24">
        <f t="shared" si="8"/>
        <v>4</v>
      </c>
      <c r="L30" s="16" t="str">
        <f t="shared" si="9"/>
        <v>Corrigé</v>
      </c>
      <c r="M30" s="12"/>
      <c r="AA30" s="10" t="str">
        <f>IFERROR(INDEX($AO$53:$AO$82,MATCH($B$4,$A$53:$A$82,0)),"")</f>
        <v>Association adaptée</v>
      </c>
      <c r="AB30" s="26">
        <f>IFERROR(INDEX($AP$53:$AP$82,MATCH($B$4,$A$53:$A$82,0)),0)</f>
        <v>4</v>
      </c>
      <c r="AC30" s="26" t="str">
        <f>IFERROR(INDEX($AQ$53:$AQ$82,MATCH($B$4,$A$53:$A$82,0)),"")</f>
        <v>cereales</v>
      </c>
      <c r="AD30" s="26" t="str">
        <f>IFERROR(INDEX($AR$53:$AR$82,MATCH($B$4,$A$53:$A$82,0)),"")</f>
        <v>legumineuses</v>
      </c>
      <c r="AE30" s="26" t="str">
        <f>IFERROR(INDEX($AS$53:$AS$82,MATCH($B$4,$A$53:$A$82,0)),"")</f>
        <v>oeuf</v>
      </c>
      <c r="AF30" s="26" t="str">
        <f>IFERROR(INDEX($AT$53:$AT$82,MATCH($B$4,$A$53:$A$82,0)),"")</f>
        <v>cereales</v>
      </c>
      <c r="AG30" s="26" t="str">
        <f>IFERROR(INDEX($AU$53:$AU$82,MATCH($B$4,$A$53:$A$82,0)),"")</f>
        <v>legumineuses</v>
      </c>
      <c r="AH30" s="26" t="str">
        <f>IFERROR(INDEX($AV$53:$AV$82,MATCH($B$4,$A$53:$A$82,0)),"")</f>
        <v>oeuf</v>
      </c>
    </row>
    <row r="31" spans="1:34" ht="24" customHeight="1" x14ac:dyDescent="0.25">
      <c r="A31" s="1563"/>
      <c r="B31" s="13" t="str">
        <f t="shared" si="0"/>
        <v>Goût, couleur et satiété</v>
      </c>
      <c r="C31" s="24">
        <f t="shared" si="1"/>
        <v>3</v>
      </c>
      <c r="D31" s="24">
        <f t="shared" si="2"/>
        <v>0</v>
      </c>
      <c r="E31" s="24">
        <f t="shared" si="3"/>
        <v>3</v>
      </c>
      <c r="F31" s="16" t="str">
        <f t="shared" si="4"/>
        <v>Corrigé</v>
      </c>
      <c r="G31" s="25"/>
      <c r="H31" s="14" t="str">
        <f t="shared" si="5"/>
        <v>Goût, couleur et satiété</v>
      </c>
      <c r="I31" s="24">
        <f t="shared" si="6"/>
        <v>3</v>
      </c>
      <c r="J31" s="24">
        <f t="shared" si="7"/>
        <v>0</v>
      </c>
      <c r="K31" s="24">
        <f t="shared" si="8"/>
        <v>3</v>
      </c>
      <c r="L31" s="16" t="str">
        <f t="shared" si="9"/>
        <v>Corrigé</v>
      </c>
      <c r="M31" s="12"/>
      <c r="AA31" s="10" t="str">
        <f>IFERROR(INDEX($AW$53:$AW$82,MATCH($B$4,$A$53:$A$82,0)),"")</f>
        <v>Goût, couleur et satiété</v>
      </c>
      <c r="AB31" s="26">
        <f>IFERROR(INDEX($AX$53:$AX$82,MATCH($B$4,$A$53:$A$82,0)),0)</f>
        <v>3</v>
      </c>
      <c r="AC31" s="26" t="str">
        <f>IFERROR(INDEX($AY$53:$AY$82,MATCH($B$4,$A$53:$A$82,0)),"")</f>
        <v>gout</v>
      </c>
      <c r="AD31" s="26" t="str">
        <f>IFERROR(INDEX($AZ$53:$AZ$82,MATCH($B$4,$A$53:$A$82,0)),"")</f>
        <v>couleur</v>
      </c>
      <c r="AE31" s="26" t="str">
        <f>IFERROR(INDEX($BA$53:$BA$82,MATCH($B$4,$A$53:$A$82,0)),"")</f>
        <v>satiete</v>
      </c>
      <c r="AF31" s="26" t="str">
        <f>IFERROR(INDEX($BB$53:$BB$82,MATCH($B$4,$A$53:$A$82,0)),"")</f>
        <v>gout</v>
      </c>
      <c r="AG31" s="26" t="str">
        <f>IFERROR(INDEX($BC$53:$BC$82,MATCH($B$4,$A$53:$A$82,0)),"")</f>
        <v>couleur</v>
      </c>
      <c r="AH31" s="26" t="str">
        <f>IFERROR(INDEX($BD$53:$BD$82,MATCH($B$4,$A$53:$A$82,0)),"")</f>
        <v>calera</v>
      </c>
    </row>
    <row r="32" spans="1:34" ht="24" customHeight="1" x14ac:dyDescent="0.25">
      <c r="A32" s="1563"/>
      <c r="B32" s="13" t="str">
        <f t="shared" si="0"/>
        <v>Convive / contexte pris en compte</v>
      </c>
      <c r="C32" s="24">
        <f t="shared" si="1"/>
        <v>3</v>
      </c>
      <c r="D32" s="24">
        <f t="shared" si="2"/>
        <v>0</v>
      </c>
      <c r="E32" s="24">
        <f t="shared" si="3"/>
        <v>3</v>
      </c>
      <c r="F32" s="16" t="str">
        <f t="shared" si="4"/>
        <v>Corrigé</v>
      </c>
      <c r="G32" s="25"/>
      <c r="H32" s="14" t="str">
        <f t="shared" si="5"/>
        <v>Convive / contexte pris en compte</v>
      </c>
      <c r="I32" s="24">
        <f t="shared" si="6"/>
        <v>3</v>
      </c>
      <c r="J32" s="24">
        <f t="shared" si="7"/>
        <v>0</v>
      </c>
      <c r="K32" s="24">
        <f t="shared" si="8"/>
        <v>3</v>
      </c>
      <c r="L32" s="16" t="str">
        <f t="shared" si="9"/>
        <v>Corrigé</v>
      </c>
      <c r="M32" s="12"/>
      <c r="AA32" s="10" t="str">
        <f>IFERROR(INDEX($BE$53:$BE$82,MATCH($B$4,$A$53:$A$82,0)),"")</f>
        <v>Convive / contexte pris en compte</v>
      </c>
      <c r="AB32" s="26">
        <f>IFERROR(INDEX($BF$53:$BF$82,MATCH($B$4,$A$53:$A$82,0)),0)</f>
        <v>3</v>
      </c>
      <c r="AC32" s="26" t="str">
        <f>IFERROR(INDEX($BG$53:$BG$82,MATCH($B$4,$A$53:$A$82,0)),"")</f>
        <v>public</v>
      </c>
      <c r="AD32" s="26" t="str">
        <f>IFERROR(INDEX($BH$53:$BH$82,MATCH($B$4,$A$53:$A$82,0)),"")</f>
        <v>convive</v>
      </c>
      <c r="AE32" s="26" t="str">
        <f>IFERROR(INDEX($BI$53:$BI$82,MATCH($B$4,$A$53:$A$82,0)),"")</f>
        <v>acceptabilite</v>
      </c>
      <c r="AF32" s="26" t="str">
        <f>IFERROR(INDEX($BJ$53:$BJ$82,MATCH($B$4,$A$53:$A$82,0)),"")</f>
        <v>enfants</v>
      </c>
      <c r="AG32" s="26" t="str">
        <f>IFERROR(INDEX($BK$53:$BK$82,MATCH($B$4,$A$53:$A$82,0)),"")</f>
        <v>ados</v>
      </c>
      <c r="AH32" s="26" t="str">
        <f>IFERROR(INDEX($BL$53:$BL$82,MATCH($B$4,$A$53:$A$82,0)),"")</f>
        <v>personnes</v>
      </c>
    </row>
    <row r="33" spans="1:34" ht="24" customHeight="1" x14ac:dyDescent="0.25">
      <c r="A33" s="1563"/>
      <c r="B33" s="13" t="str">
        <f t="shared" si="0"/>
        <v>Justification claire</v>
      </c>
      <c r="C33" s="24">
        <f t="shared" si="1"/>
        <v>2</v>
      </c>
      <c r="D33" s="24">
        <f t="shared" si="2"/>
        <v>0</v>
      </c>
      <c r="E33" s="24">
        <f t="shared" si="3"/>
        <v>2</v>
      </c>
      <c r="F33" s="16" t="str">
        <f t="shared" si="4"/>
        <v>Corrigé</v>
      </c>
      <c r="G33" s="25"/>
      <c r="H33" s="14" t="str">
        <f t="shared" si="5"/>
        <v>Justification claire</v>
      </c>
      <c r="I33" s="24">
        <f t="shared" si="6"/>
        <v>2</v>
      </c>
      <c r="J33" s="24">
        <f t="shared" si="7"/>
        <v>0</v>
      </c>
      <c r="K33" s="24">
        <f t="shared" si="8"/>
        <v>2</v>
      </c>
      <c r="L33" s="16" t="str">
        <f t="shared" si="9"/>
        <v>Corrigé</v>
      </c>
      <c r="M33" s="12"/>
      <c r="AA33" s="10" t="str">
        <f>IFERROR(INDEX($BM$53:$BM$82,MATCH($B$4,$A$53:$A$82,0)),"")</f>
        <v>Justification claire</v>
      </c>
      <c r="AB33" s="26">
        <f>IFERROR(INDEX($BN$53:$BN$82,MATCH($B$4,$A$53:$A$82,0)),0)</f>
        <v>2</v>
      </c>
      <c r="AC33" s="26" t="str">
        <f>IFERROR(INDEX($BO$53:$BO$82,MATCH($B$4,$A$53:$A$82,0)),"")</f>
        <v>parce</v>
      </c>
      <c r="AD33" s="26" t="str">
        <f>IFERROR(INDEX($BP$53:$BP$82,MATCH($B$4,$A$53:$A$82,0)),"")</f>
        <v>justifie</v>
      </c>
      <c r="AE33" s="26" t="str">
        <f>IFERROR(INDEX($BQ$53:$BQ$82,MATCH($B$4,$A$53:$A$82,0)),"")</f>
        <v>coherent</v>
      </c>
      <c r="AF33" s="26" t="str">
        <f>IFERROR(INDEX($BR$53:$BR$82,MATCH($B$4,$A$53:$A$82,0)),"")</f>
        <v>parce</v>
      </c>
      <c r="AG33" s="26" t="str">
        <f>IFERROR(INDEX($BS$53:$BS$82,MATCH($B$4,$A$53:$A$82,0)),"")</f>
        <v>pour</v>
      </c>
      <c r="AH33" s="26" t="str">
        <f>IFERROR(INDEX($BT$53:$BT$82,MATCH($B$4,$A$53:$A$82,0)),"")</f>
        <v>eviter</v>
      </c>
    </row>
    <row r="34" spans="1:34" ht="24" customHeight="1" x14ac:dyDescent="0.25">
      <c r="A34" s="1563"/>
      <c r="B34" s="13" t="str">
        <f>"Score A PRO"</f>
        <v>Score A PRO</v>
      </c>
      <c r="C34" s="19">
        <f>SUM($D$28:$D$33)</f>
        <v>8</v>
      </c>
      <c r="D34" s="27"/>
      <c r="E34" s="27"/>
      <c r="F34" s="27"/>
      <c r="G34" s="28"/>
      <c r="H34" s="14" t="str">
        <f>"Score A CFA"</f>
        <v>Score A CFA</v>
      </c>
      <c r="I34" s="17">
        <f>SUM($J$28:$J$33)</f>
        <v>8</v>
      </c>
      <c r="J34" s="27"/>
      <c r="K34" s="27"/>
      <c r="L34" s="27"/>
      <c r="M34" s="12"/>
    </row>
    <row r="35" spans="1:34" ht="24" customHeight="1" x14ac:dyDescent="0.25">
      <c r="A35" s="1563"/>
      <c r="B35" s="13" t="str">
        <f>"Score B PRO (A+B)"</f>
        <v>Score B PRO (A+B)</v>
      </c>
      <c r="C35" s="19">
        <f>IF(COUNTA($B$15:$B$16)=0,"",SUM($E$28:$E$33))</f>
        <v>20</v>
      </c>
      <c r="D35" s="27"/>
      <c r="E35" s="27"/>
      <c r="F35" s="27"/>
      <c r="G35" s="28"/>
      <c r="H35" s="14" t="str">
        <f>"Score B CFA (A+B)"</f>
        <v>Score B CFA (A+B)</v>
      </c>
      <c r="I35" s="17">
        <f>IF(COUNTA($I$15:$I$16)=0,"",SUM($K$28:$K$33))</f>
        <v>20</v>
      </c>
      <c r="J35" s="27"/>
      <c r="K35" s="27"/>
      <c r="L35" s="27"/>
      <c r="M35" s="12"/>
    </row>
    <row r="36" spans="1:34" ht="24" customHeight="1" x14ac:dyDescent="0.25">
      <c r="A36" s="1563"/>
      <c r="B36" s="136" t="str">
        <f>"Progression PRO"</f>
        <v>Progression PRO</v>
      </c>
      <c r="C36" s="137">
        <f>IF($C$35="","",$C$35-$C$34)</f>
        <v>12</v>
      </c>
      <c r="D36" s="56"/>
      <c r="E36" s="56"/>
      <c r="F36" s="56"/>
      <c r="G36" s="57"/>
      <c r="H36" s="136" t="str">
        <f>"Progression CFA"</f>
        <v>Progression CFA</v>
      </c>
      <c r="I36" s="137">
        <f>IF($I$35="","",$I$35-$I$34)</f>
        <v>12</v>
      </c>
      <c r="J36" s="29"/>
      <c r="K36" s="29"/>
      <c r="L36" s="29"/>
      <c r="M36" s="12"/>
    </row>
    <row r="37" spans="1:34" ht="15.75" customHeight="1" x14ac:dyDescent="0.25">
      <c r="A37" s="9"/>
      <c r="B37" s="8"/>
      <c r="C37" s="9"/>
      <c r="D37" s="9"/>
      <c r="E37" s="9"/>
      <c r="F37" s="9"/>
      <c r="G37" s="9"/>
      <c r="H37" s="9"/>
      <c r="I37" s="9"/>
      <c r="J37" s="30"/>
      <c r="K37" s="30"/>
      <c r="L37" s="30"/>
      <c r="M37" s="30"/>
    </row>
    <row r="52" spans="1:72" ht="27.95" customHeight="1" x14ac:dyDescent="0.25">
      <c r="A52" s="31" t="s">
        <v>83</v>
      </c>
      <c r="B52" s="31" t="s">
        <v>5</v>
      </c>
      <c r="C52" s="31" t="s">
        <v>6</v>
      </c>
      <c r="D52" s="31" t="s">
        <v>84</v>
      </c>
      <c r="E52" s="31" t="s">
        <v>85</v>
      </c>
      <c r="F52" s="31" t="s">
        <v>86</v>
      </c>
      <c r="G52" s="31" t="s">
        <v>87</v>
      </c>
      <c r="H52" s="31" t="s">
        <v>88</v>
      </c>
      <c r="I52" s="31" t="s">
        <v>89</v>
      </c>
      <c r="J52" s="31" t="s">
        <v>90</v>
      </c>
      <c r="K52" s="31" t="s">
        <v>91</v>
      </c>
      <c r="L52" s="31" t="s">
        <v>92</v>
      </c>
      <c r="M52" s="31" t="s">
        <v>93</v>
      </c>
      <c r="N52" s="31" t="s">
        <v>94</v>
      </c>
      <c r="O52" s="31" t="s">
        <v>95</v>
      </c>
      <c r="P52" s="31" t="s">
        <v>96</v>
      </c>
      <c r="Q52" s="31" t="s">
        <v>97</v>
      </c>
      <c r="R52" s="31" t="s">
        <v>98</v>
      </c>
      <c r="S52" s="31" t="s">
        <v>99</v>
      </c>
      <c r="T52" s="31" t="s">
        <v>100</v>
      </c>
      <c r="U52" s="31" t="s">
        <v>101</v>
      </c>
      <c r="V52" s="31" t="s">
        <v>102</v>
      </c>
      <c r="W52" s="31" t="s">
        <v>103</v>
      </c>
      <c r="X52" s="31" t="s">
        <v>104</v>
      </c>
      <c r="Y52" s="32" t="s">
        <v>105</v>
      </c>
      <c r="Z52" s="32" t="s">
        <v>106</v>
      </c>
      <c r="AA52" s="32" t="s">
        <v>107</v>
      </c>
      <c r="AB52" s="32" t="s">
        <v>108</v>
      </c>
      <c r="AC52" s="32" t="s">
        <v>109</v>
      </c>
      <c r="AD52" s="32" t="s">
        <v>110</v>
      </c>
      <c r="AE52" s="32" t="s">
        <v>111</v>
      </c>
      <c r="AF52" s="32" t="s">
        <v>112</v>
      </c>
      <c r="AG52" s="32" t="s">
        <v>113</v>
      </c>
      <c r="AH52" s="32" t="s">
        <v>114</v>
      </c>
      <c r="AI52" s="32" t="s">
        <v>115</v>
      </c>
      <c r="AJ52" s="32" t="s">
        <v>116</v>
      </c>
      <c r="AK52" s="32" t="s">
        <v>117</v>
      </c>
      <c r="AL52" s="32" t="s">
        <v>118</v>
      </c>
      <c r="AM52" s="32" t="s">
        <v>119</v>
      </c>
      <c r="AN52" s="32" t="s">
        <v>120</v>
      </c>
      <c r="AO52" s="32" t="s">
        <v>121</v>
      </c>
      <c r="AP52" s="32" t="s">
        <v>122</v>
      </c>
      <c r="AQ52" s="32" t="s">
        <v>123</v>
      </c>
      <c r="AR52" s="32" t="s">
        <v>124</v>
      </c>
      <c r="AS52" s="32" t="s">
        <v>125</v>
      </c>
      <c r="AT52" s="32" t="s">
        <v>126</v>
      </c>
      <c r="AU52" s="32" t="s">
        <v>127</v>
      </c>
      <c r="AV52" s="32" t="s">
        <v>128</v>
      </c>
      <c r="AW52" s="32" t="s">
        <v>129</v>
      </c>
      <c r="AX52" s="32" t="s">
        <v>130</v>
      </c>
      <c r="AY52" s="32" t="s">
        <v>131</v>
      </c>
      <c r="AZ52" s="32" t="s">
        <v>132</v>
      </c>
      <c r="BA52" s="32" t="s">
        <v>133</v>
      </c>
      <c r="BB52" s="32" t="s">
        <v>134</v>
      </c>
      <c r="BC52" s="32" t="s">
        <v>135</v>
      </c>
      <c r="BD52" s="32" t="s">
        <v>136</v>
      </c>
      <c r="BE52" s="32" t="s">
        <v>137</v>
      </c>
      <c r="BF52" s="32" t="s">
        <v>138</v>
      </c>
      <c r="BG52" s="32" t="s">
        <v>139</v>
      </c>
      <c r="BH52" s="32" t="s">
        <v>140</v>
      </c>
      <c r="BI52" s="32" t="s">
        <v>141</v>
      </c>
      <c r="BJ52" s="32" t="s">
        <v>142</v>
      </c>
      <c r="BK52" s="32" t="s">
        <v>143</v>
      </c>
      <c r="BL52" s="32" t="s">
        <v>144</v>
      </c>
      <c r="BM52" s="32" t="s">
        <v>145</v>
      </c>
      <c r="BN52" s="32" t="s">
        <v>146</v>
      </c>
      <c r="BO52" s="32" t="s">
        <v>147</v>
      </c>
      <c r="BP52" s="32" t="s">
        <v>148</v>
      </c>
      <c r="BQ52" s="32" t="s">
        <v>149</v>
      </c>
      <c r="BR52" s="32" t="s">
        <v>150</v>
      </c>
      <c r="BS52" s="32" t="s">
        <v>151</v>
      </c>
      <c r="BT52" s="32" t="s">
        <v>152</v>
      </c>
    </row>
    <row r="53" spans="1:72" s="184" customFormat="1" ht="54.95" customHeight="1" x14ac:dyDescent="0.25">
      <c r="A53" s="155">
        <v>1</v>
      </c>
      <c r="B53" s="184" t="s">
        <v>246</v>
      </c>
      <c r="C53" s="184" t="s">
        <v>247</v>
      </c>
      <c r="D53" s="184" t="s">
        <v>248</v>
      </c>
      <c r="E53" s="184" t="s">
        <v>3277</v>
      </c>
      <c r="F53" s="184" t="s">
        <v>3278</v>
      </c>
      <c r="G53" s="184" t="s">
        <v>3279</v>
      </c>
      <c r="H53" s="184" t="s">
        <v>3264</v>
      </c>
      <c r="I53" s="184" t="s">
        <v>3265</v>
      </c>
      <c r="J53" s="184" t="s">
        <v>3280</v>
      </c>
      <c r="K53" s="184" t="s">
        <v>3281</v>
      </c>
      <c r="L53" s="184" t="s">
        <v>3282</v>
      </c>
      <c r="M53" s="184" t="s">
        <v>3283</v>
      </c>
      <c r="N53" s="184" t="s">
        <v>3284</v>
      </c>
      <c r="O53" s="184">
        <v>20</v>
      </c>
      <c r="P53" s="184" t="s">
        <v>164</v>
      </c>
      <c r="Q53" s="184" t="s">
        <v>260</v>
      </c>
      <c r="R53" s="184" t="s">
        <v>3285</v>
      </c>
      <c r="S53" s="184" t="s">
        <v>3286</v>
      </c>
      <c r="T53" s="184" t="s">
        <v>3287</v>
      </c>
      <c r="U53" s="184" t="s">
        <v>3288</v>
      </c>
      <c r="V53" s="184" t="s">
        <v>3289</v>
      </c>
      <c r="W53" s="184" t="s">
        <v>3290</v>
      </c>
      <c r="X53" s="184" t="s">
        <v>3291</v>
      </c>
      <c r="Y53" s="185" t="s">
        <v>3292</v>
      </c>
      <c r="Z53" s="185">
        <v>4</v>
      </c>
      <c r="AA53" s="185" t="s">
        <v>2359</v>
      </c>
      <c r="AB53" s="185" t="s">
        <v>3293</v>
      </c>
      <c r="AC53" s="185" t="s">
        <v>268</v>
      </c>
      <c r="AD53" s="185" t="s">
        <v>464</v>
      </c>
      <c r="AE53" s="185" t="s">
        <v>2772</v>
      </c>
      <c r="AF53" s="185" t="s">
        <v>273</v>
      </c>
      <c r="AG53" s="185" t="s">
        <v>3294</v>
      </c>
      <c r="AH53" s="185">
        <v>4</v>
      </c>
      <c r="AI53" s="185" t="s">
        <v>274</v>
      </c>
      <c r="AJ53" s="185" t="s">
        <v>275</v>
      </c>
      <c r="AK53" s="185" t="s">
        <v>465</v>
      </c>
      <c r="AL53" s="185" t="s">
        <v>274</v>
      </c>
      <c r="AM53" s="185" t="s">
        <v>275</v>
      </c>
      <c r="AN53" s="185" t="s">
        <v>272</v>
      </c>
      <c r="AO53" s="185" t="s">
        <v>3295</v>
      </c>
      <c r="AP53" s="185">
        <v>4</v>
      </c>
      <c r="AQ53" s="185" t="s">
        <v>2374</v>
      </c>
      <c r="AR53" s="185" t="s">
        <v>276</v>
      </c>
      <c r="AS53" s="185" t="s">
        <v>3296</v>
      </c>
      <c r="AT53" s="185" t="s">
        <v>2374</v>
      </c>
      <c r="AU53" s="185" t="s">
        <v>276</v>
      </c>
      <c r="AV53" s="185" t="s">
        <v>3296</v>
      </c>
      <c r="AW53" s="185" t="s">
        <v>3297</v>
      </c>
      <c r="AX53" s="185">
        <v>3</v>
      </c>
      <c r="AY53" s="185" t="s">
        <v>1558</v>
      </c>
      <c r="AZ53" s="185" t="s">
        <v>437</v>
      </c>
      <c r="BA53" s="185" t="s">
        <v>1035</v>
      </c>
      <c r="BB53" s="185" t="s">
        <v>1558</v>
      </c>
      <c r="BC53" s="185" t="s">
        <v>437</v>
      </c>
      <c r="BD53" s="185" t="s">
        <v>289</v>
      </c>
      <c r="BE53" s="185" t="s">
        <v>3298</v>
      </c>
      <c r="BF53" s="185">
        <v>3</v>
      </c>
      <c r="BG53" s="185" t="s">
        <v>786</v>
      </c>
      <c r="BH53" s="185" t="s">
        <v>410</v>
      </c>
      <c r="BI53" s="185" t="s">
        <v>352</v>
      </c>
      <c r="BJ53" s="185" t="s">
        <v>188</v>
      </c>
      <c r="BK53" s="185" t="s">
        <v>284</v>
      </c>
      <c r="BL53" s="185" t="s">
        <v>788</v>
      </c>
      <c r="BM53" s="185" t="s">
        <v>198</v>
      </c>
      <c r="BN53" s="185">
        <v>2</v>
      </c>
      <c r="BO53" s="185" t="s">
        <v>199</v>
      </c>
      <c r="BP53" s="185" t="s">
        <v>3299</v>
      </c>
      <c r="BQ53" s="185" t="s">
        <v>3300</v>
      </c>
      <c r="BR53" s="185" t="s">
        <v>199</v>
      </c>
      <c r="BS53" s="185" t="s">
        <v>202</v>
      </c>
      <c r="BT53" s="185" t="s">
        <v>203</v>
      </c>
    </row>
    <row r="54" spans="1:72" s="184" customFormat="1" ht="54.95" customHeight="1" x14ac:dyDescent="0.25">
      <c r="A54" s="155">
        <v>2</v>
      </c>
      <c r="B54" s="184" t="s">
        <v>153</v>
      </c>
      <c r="C54" s="184" t="s">
        <v>154</v>
      </c>
      <c r="D54" s="184" t="s">
        <v>3301</v>
      </c>
      <c r="E54" s="184" t="s">
        <v>3302</v>
      </c>
      <c r="F54" s="184" t="s">
        <v>3303</v>
      </c>
      <c r="G54" s="184" t="s">
        <v>3304</v>
      </c>
      <c r="H54" s="184" t="s">
        <v>3305</v>
      </c>
      <c r="I54" s="184" t="s">
        <v>3306</v>
      </c>
      <c r="J54" s="184" t="s">
        <v>3307</v>
      </c>
      <c r="K54" s="184" t="s">
        <v>3308</v>
      </c>
      <c r="L54" s="184" t="s">
        <v>3282</v>
      </c>
      <c r="M54" s="184" t="s">
        <v>3309</v>
      </c>
      <c r="N54" s="184" t="s">
        <v>3284</v>
      </c>
      <c r="O54" s="184">
        <v>20</v>
      </c>
      <c r="P54" s="184" t="s">
        <v>164</v>
      </c>
      <c r="Q54" s="184" t="s">
        <v>3310</v>
      </c>
      <c r="R54" s="184" t="s">
        <v>3311</v>
      </c>
      <c r="S54" s="184" t="s">
        <v>3312</v>
      </c>
      <c r="T54" s="184" t="s">
        <v>3313</v>
      </c>
      <c r="U54" s="184" t="s">
        <v>3314</v>
      </c>
      <c r="V54" s="184" t="s">
        <v>3315</v>
      </c>
      <c r="W54" s="184" t="s">
        <v>3316</v>
      </c>
      <c r="X54" s="184" t="s">
        <v>3317</v>
      </c>
      <c r="Y54" s="185" t="s">
        <v>3292</v>
      </c>
      <c r="Z54" s="185">
        <v>4</v>
      </c>
      <c r="AA54" s="185" t="s">
        <v>2359</v>
      </c>
      <c r="AB54" s="185" t="s">
        <v>3293</v>
      </c>
      <c r="AC54" s="185" t="s">
        <v>268</v>
      </c>
      <c r="AD54" s="185" t="s">
        <v>464</v>
      </c>
      <c r="AE54" s="185" t="s">
        <v>2772</v>
      </c>
      <c r="AF54" s="185" t="s">
        <v>273</v>
      </c>
      <c r="AG54" s="185" t="s">
        <v>3294</v>
      </c>
      <c r="AH54" s="185">
        <v>4</v>
      </c>
      <c r="AI54" s="185" t="s">
        <v>274</v>
      </c>
      <c r="AJ54" s="185" t="s">
        <v>275</v>
      </c>
      <c r="AK54" s="185" t="s">
        <v>465</v>
      </c>
      <c r="AL54" s="185" t="s">
        <v>274</v>
      </c>
      <c r="AM54" s="185" t="s">
        <v>275</v>
      </c>
      <c r="AN54" s="185" t="s">
        <v>272</v>
      </c>
      <c r="AO54" s="185" t="s">
        <v>3295</v>
      </c>
      <c r="AP54" s="185">
        <v>4</v>
      </c>
      <c r="AQ54" s="185" t="s">
        <v>2374</v>
      </c>
      <c r="AR54" s="185" t="s">
        <v>276</v>
      </c>
      <c r="AS54" s="185" t="s">
        <v>3296</v>
      </c>
      <c r="AT54" s="185" t="s">
        <v>2374</v>
      </c>
      <c r="AU54" s="185" t="s">
        <v>276</v>
      </c>
      <c r="AV54" s="185" t="s">
        <v>3296</v>
      </c>
      <c r="AW54" s="185" t="s">
        <v>3297</v>
      </c>
      <c r="AX54" s="185">
        <v>3</v>
      </c>
      <c r="AY54" s="185" t="s">
        <v>1558</v>
      </c>
      <c r="AZ54" s="185" t="s">
        <v>437</v>
      </c>
      <c r="BA54" s="185" t="s">
        <v>1035</v>
      </c>
      <c r="BB54" s="185" t="s">
        <v>1558</v>
      </c>
      <c r="BC54" s="185" t="s">
        <v>437</v>
      </c>
      <c r="BD54" s="185" t="s">
        <v>289</v>
      </c>
      <c r="BE54" s="185" t="s">
        <v>3298</v>
      </c>
      <c r="BF54" s="185">
        <v>3</v>
      </c>
      <c r="BG54" s="185" t="s">
        <v>786</v>
      </c>
      <c r="BH54" s="185" t="s">
        <v>410</v>
      </c>
      <c r="BI54" s="185" t="s">
        <v>352</v>
      </c>
      <c r="BJ54" s="185" t="s">
        <v>188</v>
      </c>
      <c r="BK54" s="185" t="s">
        <v>284</v>
      </c>
      <c r="BL54" s="185" t="s">
        <v>788</v>
      </c>
      <c r="BM54" s="185" t="s">
        <v>198</v>
      </c>
      <c r="BN54" s="185">
        <v>2</v>
      </c>
      <c r="BO54" s="185" t="s">
        <v>199</v>
      </c>
      <c r="BP54" s="185" t="s">
        <v>3299</v>
      </c>
      <c r="BQ54" s="185" t="s">
        <v>3300</v>
      </c>
      <c r="BR54" s="185" t="s">
        <v>199</v>
      </c>
      <c r="BS54" s="185" t="s">
        <v>202</v>
      </c>
      <c r="BT54" s="185" t="s">
        <v>203</v>
      </c>
    </row>
    <row r="55" spans="1:72" s="184" customFormat="1" ht="54.95" customHeight="1" x14ac:dyDescent="0.25">
      <c r="A55" s="155">
        <v>3</v>
      </c>
      <c r="B55" s="184" t="s">
        <v>204</v>
      </c>
      <c r="C55" s="184" t="s">
        <v>205</v>
      </c>
      <c r="D55" s="184" t="s">
        <v>3318</v>
      </c>
      <c r="E55" s="184" t="s">
        <v>3319</v>
      </c>
      <c r="F55" s="184" t="s">
        <v>3320</v>
      </c>
      <c r="G55" s="184" t="s">
        <v>3321</v>
      </c>
      <c r="H55" s="184" t="s">
        <v>3322</v>
      </c>
      <c r="I55" s="184" t="s">
        <v>3323</v>
      </c>
      <c r="J55" s="184" t="s">
        <v>3324</v>
      </c>
      <c r="K55" s="184" t="s">
        <v>3325</v>
      </c>
      <c r="L55" s="184" t="s">
        <v>3282</v>
      </c>
      <c r="M55" s="184" t="s">
        <v>3326</v>
      </c>
      <c r="N55" s="184" t="s">
        <v>3284</v>
      </c>
      <c r="O55" s="184">
        <v>20</v>
      </c>
      <c r="P55" s="184" t="s">
        <v>259</v>
      </c>
      <c r="Q55" s="184" t="s">
        <v>3327</v>
      </c>
      <c r="R55" s="184" t="s">
        <v>3328</v>
      </c>
      <c r="S55" s="184" t="s">
        <v>3329</v>
      </c>
      <c r="T55" s="184" t="s">
        <v>3330</v>
      </c>
      <c r="U55" s="184" t="s">
        <v>3331</v>
      </c>
      <c r="V55" s="184" t="s">
        <v>3332</v>
      </c>
      <c r="W55" s="184" t="s">
        <v>3333</v>
      </c>
      <c r="X55" s="184" t="s">
        <v>3334</v>
      </c>
      <c r="Y55" s="185" t="s">
        <v>3292</v>
      </c>
      <c r="Z55" s="185">
        <v>4</v>
      </c>
      <c r="AA55" s="185" t="s">
        <v>2359</v>
      </c>
      <c r="AB55" s="185" t="s">
        <v>3293</v>
      </c>
      <c r="AC55" s="185" t="s">
        <v>268</v>
      </c>
      <c r="AD55" s="185" t="s">
        <v>464</v>
      </c>
      <c r="AE55" s="185" t="s">
        <v>2772</v>
      </c>
      <c r="AF55" s="185" t="s">
        <v>273</v>
      </c>
      <c r="AG55" s="185" t="s">
        <v>3294</v>
      </c>
      <c r="AH55" s="185">
        <v>4</v>
      </c>
      <c r="AI55" s="185" t="s">
        <v>274</v>
      </c>
      <c r="AJ55" s="185" t="s">
        <v>275</v>
      </c>
      <c r="AK55" s="185" t="s">
        <v>465</v>
      </c>
      <c r="AL55" s="185" t="s">
        <v>274</v>
      </c>
      <c r="AM55" s="185" t="s">
        <v>275</v>
      </c>
      <c r="AN55" s="185" t="s">
        <v>272</v>
      </c>
      <c r="AO55" s="185" t="s">
        <v>3295</v>
      </c>
      <c r="AP55" s="185">
        <v>4</v>
      </c>
      <c r="AQ55" s="185" t="s">
        <v>2374</v>
      </c>
      <c r="AR55" s="185" t="s">
        <v>276</v>
      </c>
      <c r="AS55" s="185" t="s">
        <v>3296</v>
      </c>
      <c r="AT55" s="185" t="s">
        <v>2374</v>
      </c>
      <c r="AU55" s="185" t="s">
        <v>276</v>
      </c>
      <c r="AV55" s="185" t="s">
        <v>3296</v>
      </c>
      <c r="AW55" s="185" t="s">
        <v>3297</v>
      </c>
      <c r="AX55" s="185">
        <v>3</v>
      </c>
      <c r="AY55" s="185" t="s">
        <v>1558</v>
      </c>
      <c r="AZ55" s="185" t="s">
        <v>437</v>
      </c>
      <c r="BA55" s="185" t="s">
        <v>1035</v>
      </c>
      <c r="BB55" s="185" t="s">
        <v>1558</v>
      </c>
      <c r="BC55" s="185" t="s">
        <v>437</v>
      </c>
      <c r="BD55" s="185" t="s">
        <v>289</v>
      </c>
      <c r="BE55" s="185" t="s">
        <v>3298</v>
      </c>
      <c r="BF55" s="185">
        <v>3</v>
      </c>
      <c r="BG55" s="185" t="s">
        <v>786</v>
      </c>
      <c r="BH55" s="185" t="s">
        <v>410</v>
      </c>
      <c r="BI55" s="185" t="s">
        <v>352</v>
      </c>
      <c r="BJ55" s="185" t="s">
        <v>188</v>
      </c>
      <c r="BK55" s="185" t="s">
        <v>284</v>
      </c>
      <c r="BL55" s="185" t="s">
        <v>788</v>
      </c>
      <c r="BM55" s="185" t="s">
        <v>198</v>
      </c>
      <c r="BN55" s="185">
        <v>2</v>
      </c>
      <c r="BO55" s="185" t="s">
        <v>199</v>
      </c>
      <c r="BP55" s="185" t="s">
        <v>3299</v>
      </c>
      <c r="BQ55" s="185" t="s">
        <v>3300</v>
      </c>
      <c r="BR55" s="185" t="s">
        <v>199</v>
      </c>
      <c r="BS55" s="185" t="s">
        <v>202</v>
      </c>
      <c r="BT55" s="185" t="s">
        <v>203</v>
      </c>
    </row>
    <row r="56" spans="1:72" s="184" customFormat="1" ht="54.95" customHeight="1" x14ac:dyDescent="0.25">
      <c r="A56" s="155">
        <v>4</v>
      </c>
      <c r="B56" s="184" t="s">
        <v>444</v>
      </c>
      <c r="C56" s="184" t="s">
        <v>247</v>
      </c>
      <c r="D56" s="184" t="s">
        <v>3335</v>
      </c>
      <c r="E56" s="184" t="s">
        <v>3336</v>
      </c>
      <c r="F56" s="184" t="s">
        <v>3337</v>
      </c>
      <c r="G56" s="184" t="s">
        <v>3338</v>
      </c>
      <c r="H56" s="184" t="s">
        <v>3339</v>
      </c>
      <c r="I56" s="184" t="s">
        <v>3340</v>
      </c>
      <c r="J56" s="184" t="s">
        <v>3341</v>
      </c>
      <c r="K56" s="184" t="s">
        <v>3342</v>
      </c>
      <c r="L56" s="184" t="s">
        <v>3282</v>
      </c>
      <c r="M56" s="184" t="s">
        <v>3343</v>
      </c>
      <c r="N56" s="184" t="s">
        <v>3284</v>
      </c>
      <c r="O56" s="184">
        <v>20</v>
      </c>
      <c r="P56" s="184" t="s">
        <v>259</v>
      </c>
      <c r="Q56" s="184" t="s">
        <v>3344</v>
      </c>
      <c r="R56" s="184" t="s">
        <v>3345</v>
      </c>
      <c r="S56" s="184" t="s">
        <v>3346</v>
      </c>
      <c r="T56" s="184" t="s">
        <v>3347</v>
      </c>
      <c r="U56" s="184" t="s">
        <v>2541</v>
      </c>
      <c r="V56" s="184" t="s">
        <v>3348</v>
      </c>
      <c r="W56" s="184" t="s">
        <v>3349</v>
      </c>
      <c r="X56" s="184" t="s">
        <v>3350</v>
      </c>
      <c r="Y56" s="185" t="s">
        <v>3292</v>
      </c>
      <c r="Z56" s="185">
        <v>4</v>
      </c>
      <c r="AA56" s="185" t="s">
        <v>2359</v>
      </c>
      <c r="AB56" s="185" t="s">
        <v>3293</v>
      </c>
      <c r="AC56" s="185" t="s">
        <v>268</v>
      </c>
      <c r="AD56" s="185" t="s">
        <v>464</v>
      </c>
      <c r="AE56" s="185" t="s">
        <v>2772</v>
      </c>
      <c r="AF56" s="185" t="s">
        <v>273</v>
      </c>
      <c r="AG56" s="185" t="s">
        <v>3294</v>
      </c>
      <c r="AH56" s="185">
        <v>4</v>
      </c>
      <c r="AI56" s="185" t="s">
        <v>274</v>
      </c>
      <c r="AJ56" s="185" t="s">
        <v>275</v>
      </c>
      <c r="AK56" s="185" t="s">
        <v>465</v>
      </c>
      <c r="AL56" s="185" t="s">
        <v>274</v>
      </c>
      <c r="AM56" s="185" t="s">
        <v>275</v>
      </c>
      <c r="AN56" s="185" t="s">
        <v>272</v>
      </c>
      <c r="AO56" s="185" t="s">
        <v>3295</v>
      </c>
      <c r="AP56" s="185">
        <v>4</v>
      </c>
      <c r="AQ56" s="185" t="s">
        <v>2374</v>
      </c>
      <c r="AR56" s="185" t="s">
        <v>276</v>
      </c>
      <c r="AS56" s="185" t="s">
        <v>3296</v>
      </c>
      <c r="AT56" s="185" t="s">
        <v>2374</v>
      </c>
      <c r="AU56" s="185" t="s">
        <v>276</v>
      </c>
      <c r="AV56" s="185" t="s">
        <v>3296</v>
      </c>
      <c r="AW56" s="185" t="s">
        <v>3297</v>
      </c>
      <c r="AX56" s="185">
        <v>3</v>
      </c>
      <c r="AY56" s="185" t="s">
        <v>1558</v>
      </c>
      <c r="AZ56" s="185" t="s">
        <v>437</v>
      </c>
      <c r="BA56" s="185" t="s">
        <v>1035</v>
      </c>
      <c r="BB56" s="185" t="s">
        <v>1558</v>
      </c>
      <c r="BC56" s="185" t="s">
        <v>437</v>
      </c>
      <c r="BD56" s="185" t="s">
        <v>289</v>
      </c>
      <c r="BE56" s="185" t="s">
        <v>3298</v>
      </c>
      <c r="BF56" s="185">
        <v>3</v>
      </c>
      <c r="BG56" s="185" t="s">
        <v>786</v>
      </c>
      <c r="BH56" s="185" t="s">
        <v>410</v>
      </c>
      <c r="BI56" s="185" t="s">
        <v>352</v>
      </c>
      <c r="BJ56" s="185" t="s">
        <v>188</v>
      </c>
      <c r="BK56" s="185" t="s">
        <v>284</v>
      </c>
      <c r="BL56" s="185" t="s">
        <v>788</v>
      </c>
      <c r="BM56" s="185" t="s">
        <v>198</v>
      </c>
      <c r="BN56" s="185">
        <v>2</v>
      </c>
      <c r="BO56" s="185" t="s">
        <v>199</v>
      </c>
      <c r="BP56" s="185" t="s">
        <v>3299</v>
      </c>
      <c r="BQ56" s="185" t="s">
        <v>3300</v>
      </c>
      <c r="BR56" s="185" t="s">
        <v>199</v>
      </c>
      <c r="BS56" s="185" t="s">
        <v>202</v>
      </c>
      <c r="BT56" s="185" t="s">
        <v>203</v>
      </c>
    </row>
    <row r="57" spans="1:72" s="184" customFormat="1" ht="54.95" customHeight="1" x14ac:dyDescent="0.25">
      <c r="A57" s="155">
        <v>5</v>
      </c>
      <c r="B57" s="184" t="s">
        <v>385</v>
      </c>
      <c r="C57" s="184" t="s">
        <v>154</v>
      </c>
      <c r="D57" s="184" t="s">
        <v>718</v>
      </c>
      <c r="E57" s="184" t="s">
        <v>3351</v>
      </c>
      <c r="F57" s="184" t="s">
        <v>3352</v>
      </c>
      <c r="G57" s="184" t="s">
        <v>3353</v>
      </c>
      <c r="H57" s="184" t="s">
        <v>3354</v>
      </c>
      <c r="I57" s="184" t="s">
        <v>3355</v>
      </c>
      <c r="J57" s="184" t="s">
        <v>3356</v>
      </c>
      <c r="K57" s="184" t="s">
        <v>725</v>
      </c>
      <c r="L57" s="184" t="s">
        <v>3282</v>
      </c>
      <c r="M57" s="184" t="s">
        <v>3357</v>
      </c>
      <c r="N57" s="184" t="s">
        <v>3284</v>
      </c>
      <c r="O57" s="184">
        <v>20</v>
      </c>
      <c r="P57" s="184" t="s">
        <v>259</v>
      </c>
      <c r="Q57" s="184" t="s">
        <v>1414</v>
      </c>
      <c r="R57" s="184" t="s">
        <v>3358</v>
      </c>
      <c r="S57" s="184" t="s">
        <v>3359</v>
      </c>
      <c r="T57" s="184" t="s">
        <v>3360</v>
      </c>
      <c r="U57" s="184" t="s">
        <v>3361</v>
      </c>
      <c r="V57" s="184" t="s">
        <v>3362</v>
      </c>
      <c r="W57" s="184" t="s">
        <v>3363</v>
      </c>
      <c r="X57" s="184" t="s">
        <v>3364</v>
      </c>
      <c r="Y57" s="185" t="s">
        <v>3292</v>
      </c>
      <c r="Z57" s="185">
        <v>4</v>
      </c>
      <c r="AA57" s="185" t="s">
        <v>2359</v>
      </c>
      <c r="AB57" s="185" t="s">
        <v>3293</v>
      </c>
      <c r="AC57" s="185" t="s">
        <v>268</v>
      </c>
      <c r="AD57" s="185" t="s">
        <v>464</v>
      </c>
      <c r="AE57" s="185" t="s">
        <v>2772</v>
      </c>
      <c r="AF57" s="185" t="s">
        <v>273</v>
      </c>
      <c r="AG57" s="185" t="s">
        <v>3294</v>
      </c>
      <c r="AH57" s="185">
        <v>4</v>
      </c>
      <c r="AI57" s="185" t="s">
        <v>274</v>
      </c>
      <c r="AJ57" s="185" t="s">
        <v>275</v>
      </c>
      <c r="AK57" s="185" t="s">
        <v>465</v>
      </c>
      <c r="AL57" s="185" t="s">
        <v>274</v>
      </c>
      <c r="AM57" s="185" t="s">
        <v>275</v>
      </c>
      <c r="AN57" s="185" t="s">
        <v>272</v>
      </c>
      <c r="AO57" s="185" t="s">
        <v>3295</v>
      </c>
      <c r="AP57" s="185">
        <v>4</v>
      </c>
      <c r="AQ57" s="185" t="s">
        <v>2374</v>
      </c>
      <c r="AR57" s="185" t="s">
        <v>276</v>
      </c>
      <c r="AS57" s="185" t="s">
        <v>3296</v>
      </c>
      <c r="AT57" s="185" t="s">
        <v>2374</v>
      </c>
      <c r="AU57" s="185" t="s">
        <v>276</v>
      </c>
      <c r="AV57" s="185" t="s">
        <v>3296</v>
      </c>
      <c r="AW57" s="185" t="s">
        <v>3297</v>
      </c>
      <c r="AX57" s="185">
        <v>3</v>
      </c>
      <c r="AY57" s="185" t="s">
        <v>1558</v>
      </c>
      <c r="AZ57" s="185" t="s">
        <v>437</v>
      </c>
      <c r="BA57" s="185" t="s">
        <v>1035</v>
      </c>
      <c r="BB57" s="185" t="s">
        <v>1558</v>
      </c>
      <c r="BC57" s="185" t="s">
        <v>437</v>
      </c>
      <c r="BD57" s="185" t="s">
        <v>289</v>
      </c>
      <c r="BE57" s="185" t="s">
        <v>3298</v>
      </c>
      <c r="BF57" s="185">
        <v>3</v>
      </c>
      <c r="BG57" s="185" t="s">
        <v>786</v>
      </c>
      <c r="BH57" s="185" t="s">
        <v>410</v>
      </c>
      <c r="BI57" s="185" t="s">
        <v>352</v>
      </c>
      <c r="BJ57" s="185" t="s">
        <v>188</v>
      </c>
      <c r="BK57" s="185" t="s">
        <v>284</v>
      </c>
      <c r="BL57" s="185" t="s">
        <v>788</v>
      </c>
      <c r="BM57" s="185" t="s">
        <v>198</v>
      </c>
      <c r="BN57" s="185">
        <v>2</v>
      </c>
      <c r="BO57" s="185" t="s">
        <v>199</v>
      </c>
      <c r="BP57" s="185" t="s">
        <v>3299</v>
      </c>
      <c r="BQ57" s="185" t="s">
        <v>3300</v>
      </c>
      <c r="BR57" s="185" t="s">
        <v>199</v>
      </c>
      <c r="BS57" s="185" t="s">
        <v>202</v>
      </c>
      <c r="BT57" s="185" t="s">
        <v>203</v>
      </c>
    </row>
    <row r="58" spans="1:72" s="184" customFormat="1" ht="54.95" customHeight="1" x14ac:dyDescent="0.25">
      <c r="A58" s="155">
        <v>6</v>
      </c>
      <c r="B58" s="184" t="s">
        <v>506</v>
      </c>
      <c r="C58" s="184" t="s">
        <v>247</v>
      </c>
      <c r="D58" s="184" t="s">
        <v>3365</v>
      </c>
      <c r="E58" s="184" t="s">
        <v>3366</v>
      </c>
      <c r="F58" s="184" t="s">
        <v>3367</v>
      </c>
      <c r="G58" s="184" t="s">
        <v>3368</v>
      </c>
      <c r="H58" s="184" t="s">
        <v>3369</v>
      </c>
      <c r="I58" s="184" t="s">
        <v>3370</v>
      </c>
      <c r="J58" s="184" t="s">
        <v>3371</v>
      </c>
      <c r="K58" s="184" t="s">
        <v>3372</v>
      </c>
      <c r="L58" s="184" t="s">
        <v>3282</v>
      </c>
      <c r="M58" s="184" t="s">
        <v>3373</v>
      </c>
      <c r="N58" s="184" t="s">
        <v>3284</v>
      </c>
      <c r="O58" s="184">
        <v>20</v>
      </c>
      <c r="P58" s="184" t="s">
        <v>164</v>
      </c>
      <c r="Q58" s="184" t="s">
        <v>3374</v>
      </c>
      <c r="R58" s="184" t="s">
        <v>3375</v>
      </c>
      <c r="S58" s="184" t="s">
        <v>3376</v>
      </c>
      <c r="T58" s="184" t="s">
        <v>3377</v>
      </c>
      <c r="U58" s="184" t="s">
        <v>3378</v>
      </c>
      <c r="V58" s="184" t="s">
        <v>3379</v>
      </c>
      <c r="W58" s="184" t="s">
        <v>3380</v>
      </c>
      <c r="X58" s="184" t="s">
        <v>3381</v>
      </c>
      <c r="Y58" s="185" t="s">
        <v>3292</v>
      </c>
      <c r="Z58" s="185">
        <v>4</v>
      </c>
      <c r="AA58" s="185" t="s">
        <v>2359</v>
      </c>
      <c r="AB58" s="185" t="s">
        <v>3293</v>
      </c>
      <c r="AC58" s="185" t="s">
        <v>268</v>
      </c>
      <c r="AD58" s="185" t="s">
        <v>464</v>
      </c>
      <c r="AE58" s="185" t="s">
        <v>2772</v>
      </c>
      <c r="AF58" s="185" t="s">
        <v>273</v>
      </c>
      <c r="AG58" s="185" t="s">
        <v>3294</v>
      </c>
      <c r="AH58" s="185">
        <v>4</v>
      </c>
      <c r="AI58" s="185" t="s">
        <v>274</v>
      </c>
      <c r="AJ58" s="185" t="s">
        <v>275</v>
      </c>
      <c r="AK58" s="185" t="s">
        <v>465</v>
      </c>
      <c r="AL58" s="185" t="s">
        <v>274</v>
      </c>
      <c r="AM58" s="185" t="s">
        <v>275</v>
      </c>
      <c r="AN58" s="185" t="s">
        <v>272</v>
      </c>
      <c r="AO58" s="185" t="s">
        <v>3295</v>
      </c>
      <c r="AP58" s="185">
        <v>4</v>
      </c>
      <c r="AQ58" s="185" t="s">
        <v>2374</v>
      </c>
      <c r="AR58" s="185" t="s">
        <v>276</v>
      </c>
      <c r="AS58" s="185" t="s">
        <v>3296</v>
      </c>
      <c r="AT58" s="185" t="s">
        <v>2374</v>
      </c>
      <c r="AU58" s="185" t="s">
        <v>276</v>
      </c>
      <c r="AV58" s="185" t="s">
        <v>3296</v>
      </c>
      <c r="AW58" s="185" t="s">
        <v>3297</v>
      </c>
      <c r="AX58" s="185">
        <v>3</v>
      </c>
      <c r="AY58" s="185" t="s">
        <v>1558</v>
      </c>
      <c r="AZ58" s="185" t="s">
        <v>437</v>
      </c>
      <c r="BA58" s="185" t="s">
        <v>1035</v>
      </c>
      <c r="BB58" s="185" t="s">
        <v>1558</v>
      </c>
      <c r="BC58" s="185" t="s">
        <v>437</v>
      </c>
      <c r="BD58" s="185" t="s">
        <v>289</v>
      </c>
      <c r="BE58" s="185" t="s">
        <v>3298</v>
      </c>
      <c r="BF58" s="185">
        <v>3</v>
      </c>
      <c r="BG58" s="185" t="s">
        <v>786</v>
      </c>
      <c r="BH58" s="185" t="s">
        <v>410</v>
      </c>
      <c r="BI58" s="185" t="s">
        <v>352</v>
      </c>
      <c r="BJ58" s="185" t="s">
        <v>188</v>
      </c>
      <c r="BK58" s="185" t="s">
        <v>284</v>
      </c>
      <c r="BL58" s="185" t="s">
        <v>788</v>
      </c>
      <c r="BM58" s="185" t="s">
        <v>198</v>
      </c>
      <c r="BN58" s="185">
        <v>2</v>
      </c>
      <c r="BO58" s="185" t="s">
        <v>199</v>
      </c>
      <c r="BP58" s="185" t="s">
        <v>3299</v>
      </c>
      <c r="BQ58" s="185" t="s">
        <v>3300</v>
      </c>
      <c r="BR58" s="185" t="s">
        <v>199</v>
      </c>
      <c r="BS58" s="185" t="s">
        <v>202</v>
      </c>
      <c r="BT58" s="185" t="s">
        <v>203</v>
      </c>
    </row>
    <row r="59" spans="1:72" s="184" customFormat="1" ht="54.95" customHeight="1" x14ac:dyDescent="0.25">
      <c r="A59" s="155">
        <v>7</v>
      </c>
      <c r="B59" s="184" t="s">
        <v>385</v>
      </c>
      <c r="C59" s="184" t="s">
        <v>205</v>
      </c>
      <c r="D59" s="184" t="s">
        <v>3382</v>
      </c>
      <c r="E59" s="184" t="s">
        <v>3383</v>
      </c>
      <c r="F59" s="184" t="s">
        <v>3384</v>
      </c>
      <c r="G59" s="184" t="s">
        <v>3385</v>
      </c>
      <c r="H59" s="184" t="s">
        <v>3386</v>
      </c>
      <c r="I59" s="184" t="s">
        <v>3387</v>
      </c>
      <c r="J59" s="184" t="s">
        <v>3388</v>
      </c>
      <c r="K59" s="184" t="s">
        <v>3389</v>
      </c>
      <c r="L59" s="184" t="s">
        <v>3282</v>
      </c>
      <c r="M59" s="184" t="s">
        <v>3390</v>
      </c>
      <c r="N59" s="184" t="s">
        <v>3284</v>
      </c>
      <c r="O59" s="184">
        <v>20</v>
      </c>
      <c r="P59" s="184" t="s">
        <v>259</v>
      </c>
      <c r="Q59" s="184" t="s">
        <v>517</v>
      </c>
      <c r="R59" s="184" t="s">
        <v>3391</v>
      </c>
      <c r="S59" s="184" t="s">
        <v>3392</v>
      </c>
      <c r="T59" s="184" t="s">
        <v>3393</v>
      </c>
      <c r="U59" s="184" t="s">
        <v>1965</v>
      </c>
      <c r="V59" s="184" t="s">
        <v>3394</v>
      </c>
      <c r="W59" s="184" t="s">
        <v>3395</v>
      </c>
      <c r="X59" s="184" t="s">
        <v>3396</v>
      </c>
      <c r="Y59" s="185" t="s">
        <v>3292</v>
      </c>
      <c r="Z59" s="185">
        <v>4</v>
      </c>
      <c r="AA59" s="185" t="s">
        <v>2359</v>
      </c>
      <c r="AB59" s="185" t="s">
        <v>3293</v>
      </c>
      <c r="AC59" s="185" t="s">
        <v>268</v>
      </c>
      <c r="AD59" s="185" t="s">
        <v>464</v>
      </c>
      <c r="AE59" s="185" t="s">
        <v>2772</v>
      </c>
      <c r="AF59" s="185" t="s">
        <v>273</v>
      </c>
      <c r="AG59" s="185" t="s">
        <v>3294</v>
      </c>
      <c r="AH59" s="185">
        <v>4</v>
      </c>
      <c r="AI59" s="185" t="s">
        <v>274</v>
      </c>
      <c r="AJ59" s="185" t="s">
        <v>275</v>
      </c>
      <c r="AK59" s="185" t="s">
        <v>465</v>
      </c>
      <c r="AL59" s="185" t="s">
        <v>274</v>
      </c>
      <c r="AM59" s="185" t="s">
        <v>275</v>
      </c>
      <c r="AN59" s="185" t="s">
        <v>272</v>
      </c>
      <c r="AO59" s="185" t="s">
        <v>3295</v>
      </c>
      <c r="AP59" s="185">
        <v>4</v>
      </c>
      <c r="AQ59" s="185" t="s">
        <v>2374</v>
      </c>
      <c r="AR59" s="185" t="s">
        <v>276</v>
      </c>
      <c r="AS59" s="185" t="s">
        <v>3296</v>
      </c>
      <c r="AT59" s="185" t="s">
        <v>2374</v>
      </c>
      <c r="AU59" s="185" t="s">
        <v>276</v>
      </c>
      <c r="AV59" s="185" t="s">
        <v>3296</v>
      </c>
      <c r="AW59" s="185" t="s">
        <v>3297</v>
      </c>
      <c r="AX59" s="185">
        <v>3</v>
      </c>
      <c r="AY59" s="185" t="s">
        <v>1558</v>
      </c>
      <c r="AZ59" s="185" t="s">
        <v>437</v>
      </c>
      <c r="BA59" s="185" t="s">
        <v>1035</v>
      </c>
      <c r="BB59" s="185" t="s">
        <v>1558</v>
      </c>
      <c r="BC59" s="185" t="s">
        <v>437</v>
      </c>
      <c r="BD59" s="185" t="s">
        <v>289</v>
      </c>
      <c r="BE59" s="185" t="s">
        <v>3298</v>
      </c>
      <c r="BF59" s="185">
        <v>3</v>
      </c>
      <c r="BG59" s="185" t="s">
        <v>786</v>
      </c>
      <c r="BH59" s="185" t="s">
        <v>410</v>
      </c>
      <c r="BI59" s="185" t="s">
        <v>352</v>
      </c>
      <c r="BJ59" s="185" t="s">
        <v>188</v>
      </c>
      <c r="BK59" s="185" t="s">
        <v>284</v>
      </c>
      <c r="BL59" s="185" t="s">
        <v>788</v>
      </c>
      <c r="BM59" s="185" t="s">
        <v>198</v>
      </c>
      <c r="BN59" s="185">
        <v>2</v>
      </c>
      <c r="BO59" s="185" t="s">
        <v>199</v>
      </c>
      <c r="BP59" s="185" t="s">
        <v>3299</v>
      </c>
      <c r="BQ59" s="185" t="s">
        <v>3300</v>
      </c>
      <c r="BR59" s="185" t="s">
        <v>199</v>
      </c>
      <c r="BS59" s="185" t="s">
        <v>202</v>
      </c>
      <c r="BT59" s="185" t="s">
        <v>203</v>
      </c>
    </row>
    <row r="60" spans="1:72" s="184" customFormat="1" ht="54.95" customHeight="1" x14ac:dyDescent="0.25">
      <c r="A60" s="155">
        <v>8</v>
      </c>
      <c r="B60" s="184" t="s">
        <v>444</v>
      </c>
      <c r="C60" s="184" t="s">
        <v>154</v>
      </c>
      <c r="D60" s="184" t="s">
        <v>445</v>
      </c>
      <c r="E60" s="184" t="s">
        <v>3397</v>
      </c>
      <c r="F60" s="184" t="s">
        <v>3398</v>
      </c>
      <c r="G60" s="184" t="s">
        <v>3399</v>
      </c>
      <c r="H60" s="184" t="s">
        <v>3400</v>
      </c>
      <c r="I60" s="184" t="s">
        <v>3401</v>
      </c>
      <c r="J60" s="184" t="s">
        <v>3402</v>
      </c>
      <c r="K60" s="184" t="s">
        <v>3403</v>
      </c>
      <c r="L60" s="184" t="s">
        <v>3282</v>
      </c>
      <c r="M60" s="184" t="s">
        <v>3404</v>
      </c>
      <c r="N60" s="184" t="s">
        <v>3284</v>
      </c>
      <c r="O60" s="184">
        <v>20</v>
      </c>
      <c r="P60" s="184" t="s">
        <v>259</v>
      </c>
      <c r="Q60" s="184" t="s">
        <v>3405</v>
      </c>
      <c r="R60" s="184" t="s">
        <v>3406</v>
      </c>
      <c r="S60" s="184" t="s">
        <v>3407</v>
      </c>
      <c r="T60" s="184" t="s">
        <v>3408</v>
      </c>
      <c r="U60" s="184" t="s">
        <v>893</v>
      </c>
      <c r="V60" s="184" t="s">
        <v>3409</v>
      </c>
      <c r="W60" s="184" t="s">
        <v>3410</v>
      </c>
      <c r="X60" s="184" t="s">
        <v>3411</v>
      </c>
      <c r="Y60" s="185" t="s">
        <v>3292</v>
      </c>
      <c r="Z60" s="185">
        <v>4</v>
      </c>
      <c r="AA60" s="185" t="s">
        <v>2359</v>
      </c>
      <c r="AB60" s="185" t="s">
        <v>3293</v>
      </c>
      <c r="AC60" s="185" t="s">
        <v>268</v>
      </c>
      <c r="AD60" s="185" t="s">
        <v>464</v>
      </c>
      <c r="AE60" s="185" t="s">
        <v>2772</v>
      </c>
      <c r="AF60" s="185" t="s">
        <v>273</v>
      </c>
      <c r="AG60" s="185" t="s">
        <v>3294</v>
      </c>
      <c r="AH60" s="185">
        <v>4</v>
      </c>
      <c r="AI60" s="185" t="s">
        <v>274</v>
      </c>
      <c r="AJ60" s="185" t="s">
        <v>275</v>
      </c>
      <c r="AK60" s="185" t="s">
        <v>465</v>
      </c>
      <c r="AL60" s="185" t="s">
        <v>274</v>
      </c>
      <c r="AM60" s="185" t="s">
        <v>275</v>
      </c>
      <c r="AN60" s="185" t="s">
        <v>272</v>
      </c>
      <c r="AO60" s="185" t="s">
        <v>3295</v>
      </c>
      <c r="AP60" s="185">
        <v>4</v>
      </c>
      <c r="AQ60" s="185" t="s">
        <v>2374</v>
      </c>
      <c r="AR60" s="185" t="s">
        <v>276</v>
      </c>
      <c r="AS60" s="185" t="s">
        <v>3296</v>
      </c>
      <c r="AT60" s="185" t="s">
        <v>2374</v>
      </c>
      <c r="AU60" s="185" t="s">
        <v>276</v>
      </c>
      <c r="AV60" s="185" t="s">
        <v>3296</v>
      </c>
      <c r="AW60" s="185" t="s">
        <v>3297</v>
      </c>
      <c r="AX60" s="185">
        <v>3</v>
      </c>
      <c r="AY60" s="185" t="s">
        <v>1558</v>
      </c>
      <c r="AZ60" s="185" t="s">
        <v>437</v>
      </c>
      <c r="BA60" s="185" t="s">
        <v>1035</v>
      </c>
      <c r="BB60" s="185" t="s">
        <v>1558</v>
      </c>
      <c r="BC60" s="185" t="s">
        <v>437</v>
      </c>
      <c r="BD60" s="185" t="s">
        <v>289</v>
      </c>
      <c r="BE60" s="185" t="s">
        <v>3298</v>
      </c>
      <c r="BF60" s="185">
        <v>3</v>
      </c>
      <c r="BG60" s="185" t="s">
        <v>786</v>
      </c>
      <c r="BH60" s="185" t="s">
        <v>410</v>
      </c>
      <c r="BI60" s="185" t="s">
        <v>352</v>
      </c>
      <c r="BJ60" s="185" t="s">
        <v>188</v>
      </c>
      <c r="BK60" s="185" t="s">
        <v>284</v>
      </c>
      <c r="BL60" s="185" t="s">
        <v>788</v>
      </c>
      <c r="BM60" s="185" t="s">
        <v>198</v>
      </c>
      <c r="BN60" s="185">
        <v>2</v>
      </c>
      <c r="BO60" s="185" t="s">
        <v>199</v>
      </c>
      <c r="BP60" s="185" t="s">
        <v>3299</v>
      </c>
      <c r="BQ60" s="185" t="s">
        <v>3300</v>
      </c>
      <c r="BR60" s="185" t="s">
        <v>199</v>
      </c>
      <c r="BS60" s="185" t="s">
        <v>202</v>
      </c>
      <c r="BT60" s="185" t="s">
        <v>203</v>
      </c>
    </row>
    <row r="61" spans="1:72" s="184" customFormat="1" ht="54.95" customHeight="1" x14ac:dyDescent="0.25">
      <c r="A61" s="155">
        <v>9</v>
      </c>
      <c r="B61" s="184" t="s">
        <v>324</v>
      </c>
      <c r="C61" s="184" t="s">
        <v>325</v>
      </c>
      <c r="D61" s="184" t="s">
        <v>3412</v>
      </c>
      <c r="E61" s="184" t="s">
        <v>3413</v>
      </c>
      <c r="F61" s="184" t="s">
        <v>3414</v>
      </c>
      <c r="G61" s="184" t="s">
        <v>3415</v>
      </c>
      <c r="H61" s="184" t="s">
        <v>3416</v>
      </c>
      <c r="I61" s="184" t="s">
        <v>3417</v>
      </c>
      <c r="J61" s="184" t="s">
        <v>3418</v>
      </c>
      <c r="K61" s="184" t="s">
        <v>3419</v>
      </c>
      <c r="L61" s="184" t="s">
        <v>3282</v>
      </c>
      <c r="M61" s="184" t="s">
        <v>3420</v>
      </c>
      <c r="N61" s="184" t="s">
        <v>3284</v>
      </c>
      <c r="O61" s="184">
        <v>20</v>
      </c>
      <c r="P61" s="184" t="s">
        <v>164</v>
      </c>
      <c r="Q61" s="184" t="s">
        <v>3421</v>
      </c>
      <c r="R61" s="184" t="s">
        <v>3422</v>
      </c>
      <c r="S61" s="184" t="s">
        <v>3423</v>
      </c>
      <c r="T61" s="184" t="s">
        <v>3424</v>
      </c>
      <c r="U61" s="184" t="s">
        <v>458</v>
      </c>
      <c r="V61" s="184" t="s">
        <v>3425</v>
      </c>
      <c r="W61" s="184" t="s">
        <v>3426</v>
      </c>
      <c r="X61" s="184" t="s">
        <v>3427</v>
      </c>
      <c r="Y61" s="185" t="s">
        <v>3292</v>
      </c>
      <c r="Z61" s="185">
        <v>4</v>
      </c>
      <c r="AA61" s="185" t="s">
        <v>2359</v>
      </c>
      <c r="AB61" s="185" t="s">
        <v>3293</v>
      </c>
      <c r="AC61" s="185" t="s">
        <v>268</v>
      </c>
      <c r="AD61" s="185" t="s">
        <v>464</v>
      </c>
      <c r="AE61" s="185" t="s">
        <v>2772</v>
      </c>
      <c r="AF61" s="185" t="s">
        <v>273</v>
      </c>
      <c r="AG61" s="185" t="s">
        <v>3294</v>
      </c>
      <c r="AH61" s="185">
        <v>4</v>
      </c>
      <c r="AI61" s="185" t="s">
        <v>274</v>
      </c>
      <c r="AJ61" s="185" t="s">
        <v>275</v>
      </c>
      <c r="AK61" s="185" t="s">
        <v>465</v>
      </c>
      <c r="AL61" s="185" t="s">
        <v>274</v>
      </c>
      <c r="AM61" s="185" t="s">
        <v>275</v>
      </c>
      <c r="AN61" s="185" t="s">
        <v>272</v>
      </c>
      <c r="AO61" s="185" t="s">
        <v>3295</v>
      </c>
      <c r="AP61" s="185">
        <v>4</v>
      </c>
      <c r="AQ61" s="185" t="s">
        <v>2374</v>
      </c>
      <c r="AR61" s="185" t="s">
        <v>276</v>
      </c>
      <c r="AS61" s="185" t="s">
        <v>3296</v>
      </c>
      <c r="AT61" s="185" t="s">
        <v>2374</v>
      </c>
      <c r="AU61" s="185" t="s">
        <v>276</v>
      </c>
      <c r="AV61" s="185" t="s">
        <v>3296</v>
      </c>
      <c r="AW61" s="185" t="s">
        <v>3297</v>
      </c>
      <c r="AX61" s="185">
        <v>3</v>
      </c>
      <c r="AY61" s="185" t="s">
        <v>1558</v>
      </c>
      <c r="AZ61" s="185" t="s">
        <v>437</v>
      </c>
      <c r="BA61" s="185" t="s">
        <v>1035</v>
      </c>
      <c r="BB61" s="185" t="s">
        <v>1558</v>
      </c>
      <c r="BC61" s="185" t="s">
        <v>437</v>
      </c>
      <c r="BD61" s="185" t="s">
        <v>289</v>
      </c>
      <c r="BE61" s="185" t="s">
        <v>3298</v>
      </c>
      <c r="BF61" s="185">
        <v>3</v>
      </c>
      <c r="BG61" s="185" t="s">
        <v>786</v>
      </c>
      <c r="BH61" s="185" t="s">
        <v>410</v>
      </c>
      <c r="BI61" s="185" t="s">
        <v>352</v>
      </c>
      <c r="BJ61" s="185" t="s">
        <v>188</v>
      </c>
      <c r="BK61" s="185" t="s">
        <v>284</v>
      </c>
      <c r="BL61" s="185" t="s">
        <v>788</v>
      </c>
      <c r="BM61" s="185" t="s">
        <v>198</v>
      </c>
      <c r="BN61" s="185">
        <v>2</v>
      </c>
      <c r="BO61" s="185" t="s">
        <v>199</v>
      </c>
      <c r="BP61" s="185" t="s">
        <v>3299</v>
      </c>
      <c r="BQ61" s="185" t="s">
        <v>3300</v>
      </c>
      <c r="BR61" s="185" t="s">
        <v>199</v>
      </c>
      <c r="BS61" s="185" t="s">
        <v>202</v>
      </c>
      <c r="BT61" s="185" t="s">
        <v>203</v>
      </c>
    </row>
    <row r="62" spans="1:72" s="184" customFormat="1" ht="54.95" customHeight="1" x14ac:dyDescent="0.25">
      <c r="A62" s="155">
        <v>10</v>
      </c>
      <c r="B62" s="184" t="s">
        <v>385</v>
      </c>
      <c r="C62" s="184" t="s">
        <v>570</v>
      </c>
      <c r="D62" s="184" t="s">
        <v>3428</v>
      </c>
      <c r="E62" s="184" t="s">
        <v>3429</v>
      </c>
      <c r="F62" s="184" t="s">
        <v>3430</v>
      </c>
      <c r="G62" s="184" t="s">
        <v>3431</v>
      </c>
      <c r="H62" s="184" t="s">
        <v>3432</v>
      </c>
      <c r="I62" s="184" t="s">
        <v>3433</v>
      </c>
      <c r="J62" s="184" t="s">
        <v>3434</v>
      </c>
      <c r="K62" s="184" t="s">
        <v>3435</v>
      </c>
      <c r="L62" s="184" t="s">
        <v>3282</v>
      </c>
      <c r="M62" s="184" t="s">
        <v>3436</v>
      </c>
      <c r="N62" s="184" t="s">
        <v>3284</v>
      </c>
      <c r="O62" s="184">
        <v>20</v>
      </c>
      <c r="P62" s="184" t="s">
        <v>259</v>
      </c>
      <c r="Q62" s="184" t="s">
        <v>3437</v>
      </c>
      <c r="R62" s="184" t="s">
        <v>3438</v>
      </c>
      <c r="S62" s="184" t="s">
        <v>3439</v>
      </c>
      <c r="T62" s="184" t="s">
        <v>3440</v>
      </c>
      <c r="U62" s="184" t="s">
        <v>1628</v>
      </c>
      <c r="V62" s="184" t="s">
        <v>3441</v>
      </c>
      <c r="W62" s="184" t="s">
        <v>3442</v>
      </c>
      <c r="X62" s="184" t="s">
        <v>3443</v>
      </c>
      <c r="Y62" s="185" t="s">
        <v>3292</v>
      </c>
      <c r="Z62" s="185">
        <v>4</v>
      </c>
      <c r="AA62" s="185" t="s">
        <v>2359</v>
      </c>
      <c r="AB62" s="185" t="s">
        <v>3293</v>
      </c>
      <c r="AC62" s="185" t="s">
        <v>268</v>
      </c>
      <c r="AD62" s="185" t="s">
        <v>464</v>
      </c>
      <c r="AE62" s="185" t="s">
        <v>2772</v>
      </c>
      <c r="AF62" s="185" t="s">
        <v>273</v>
      </c>
      <c r="AG62" s="185" t="s">
        <v>3294</v>
      </c>
      <c r="AH62" s="185">
        <v>4</v>
      </c>
      <c r="AI62" s="185" t="s">
        <v>274</v>
      </c>
      <c r="AJ62" s="185" t="s">
        <v>275</v>
      </c>
      <c r="AK62" s="185" t="s">
        <v>465</v>
      </c>
      <c r="AL62" s="185" t="s">
        <v>274</v>
      </c>
      <c r="AM62" s="185" t="s">
        <v>275</v>
      </c>
      <c r="AN62" s="185" t="s">
        <v>272</v>
      </c>
      <c r="AO62" s="185" t="s">
        <v>3295</v>
      </c>
      <c r="AP62" s="185">
        <v>4</v>
      </c>
      <c r="AQ62" s="185" t="s">
        <v>2374</v>
      </c>
      <c r="AR62" s="185" t="s">
        <v>276</v>
      </c>
      <c r="AS62" s="185" t="s">
        <v>3296</v>
      </c>
      <c r="AT62" s="185" t="s">
        <v>2374</v>
      </c>
      <c r="AU62" s="185" t="s">
        <v>276</v>
      </c>
      <c r="AV62" s="185" t="s">
        <v>3296</v>
      </c>
      <c r="AW62" s="185" t="s">
        <v>3297</v>
      </c>
      <c r="AX62" s="185">
        <v>3</v>
      </c>
      <c r="AY62" s="185" t="s">
        <v>1558</v>
      </c>
      <c r="AZ62" s="185" t="s">
        <v>437</v>
      </c>
      <c r="BA62" s="185" t="s">
        <v>1035</v>
      </c>
      <c r="BB62" s="185" t="s">
        <v>1558</v>
      </c>
      <c r="BC62" s="185" t="s">
        <v>437</v>
      </c>
      <c r="BD62" s="185" t="s">
        <v>289</v>
      </c>
      <c r="BE62" s="185" t="s">
        <v>3298</v>
      </c>
      <c r="BF62" s="185">
        <v>3</v>
      </c>
      <c r="BG62" s="185" t="s">
        <v>786</v>
      </c>
      <c r="BH62" s="185" t="s">
        <v>410</v>
      </c>
      <c r="BI62" s="185" t="s">
        <v>352</v>
      </c>
      <c r="BJ62" s="185" t="s">
        <v>188</v>
      </c>
      <c r="BK62" s="185" t="s">
        <v>284</v>
      </c>
      <c r="BL62" s="185" t="s">
        <v>788</v>
      </c>
      <c r="BM62" s="185" t="s">
        <v>198</v>
      </c>
      <c r="BN62" s="185">
        <v>2</v>
      </c>
      <c r="BO62" s="185" t="s">
        <v>199</v>
      </c>
      <c r="BP62" s="185" t="s">
        <v>3299</v>
      </c>
      <c r="BQ62" s="185" t="s">
        <v>3300</v>
      </c>
      <c r="BR62" s="185" t="s">
        <v>199</v>
      </c>
      <c r="BS62" s="185" t="s">
        <v>202</v>
      </c>
      <c r="BT62" s="185" t="s">
        <v>203</v>
      </c>
    </row>
    <row r="63" spans="1:72" s="184" customFormat="1" ht="54.95" customHeight="1" x14ac:dyDescent="0.25">
      <c r="A63" s="155">
        <v>11</v>
      </c>
      <c r="B63" s="184" t="s">
        <v>739</v>
      </c>
      <c r="C63" s="184" t="s">
        <v>205</v>
      </c>
      <c r="D63" s="184" t="s">
        <v>3444</v>
      </c>
      <c r="E63" s="184" t="s">
        <v>3445</v>
      </c>
      <c r="F63" s="184" t="s">
        <v>3446</v>
      </c>
      <c r="G63" s="184" t="s">
        <v>3447</v>
      </c>
      <c r="H63" s="184" t="s">
        <v>3448</v>
      </c>
      <c r="I63" s="184" t="s">
        <v>3449</v>
      </c>
      <c r="J63" s="184" t="s">
        <v>3450</v>
      </c>
      <c r="K63" s="184" t="s">
        <v>3451</v>
      </c>
      <c r="L63" s="184" t="s">
        <v>3282</v>
      </c>
      <c r="M63" s="184" t="s">
        <v>3452</v>
      </c>
      <c r="N63" s="184" t="s">
        <v>3284</v>
      </c>
      <c r="O63" s="184">
        <v>20</v>
      </c>
      <c r="P63" s="184" t="s">
        <v>259</v>
      </c>
      <c r="Q63" s="184" t="s">
        <v>3453</v>
      </c>
      <c r="R63" s="184" t="s">
        <v>3454</v>
      </c>
      <c r="S63" s="184" t="s">
        <v>3455</v>
      </c>
      <c r="T63" s="184" t="s">
        <v>3456</v>
      </c>
      <c r="U63" s="184" t="s">
        <v>3457</v>
      </c>
      <c r="V63" s="184" t="s">
        <v>3458</v>
      </c>
      <c r="W63" s="184" t="s">
        <v>3459</v>
      </c>
      <c r="X63" s="184" t="s">
        <v>3460</v>
      </c>
      <c r="Y63" s="185" t="s">
        <v>3292</v>
      </c>
      <c r="Z63" s="185">
        <v>4</v>
      </c>
      <c r="AA63" s="185" t="s">
        <v>2359</v>
      </c>
      <c r="AB63" s="185" t="s">
        <v>3293</v>
      </c>
      <c r="AC63" s="185" t="s">
        <v>268</v>
      </c>
      <c r="AD63" s="185" t="s">
        <v>464</v>
      </c>
      <c r="AE63" s="185" t="s">
        <v>2772</v>
      </c>
      <c r="AF63" s="185" t="s">
        <v>273</v>
      </c>
      <c r="AG63" s="185" t="s">
        <v>3294</v>
      </c>
      <c r="AH63" s="185">
        <v>4</v>
      </c>
      <c r="AI63" s="185" t="s">
        <v>274</v>
      </c>
      <c r="AJ63" s="185" t="s">
        <v>275</v>
      </c>
      <c r="AK63" s="185" t="s">
        <v>465</v>
      </c>
      <c r="AL63" s="185" t="s">
        <v>274</v>
      </c>
      <c r="AM63" s="185" t="s">
        <v>275</v>
      </c>
      <c r="AN63" s="185" t="s">
        <v>272</v>
      </c>
      <c r="AO63" s="185" t="s">
        <v>3295</v>
      </c>
      <c r="AP63" s="185">
        <v>4</v>
      </c>
      <c r="AQ63" s="185" t="s">
        <v>2374</v>
      </c>
      <c r="AR63" s="185" t="s">
        <v>276</v>
      </c>
      <c r="AS63" s="185" t="s">
        <v>3296</v>
      </c>
      <c r="AT63" s="185" t="s">
        <v>2374</v>
      </c>
      <c r="AU63" s="185" t="s">
        <v>276</v>
      </c>
      <c r="AV63" s="185" t="s">
        <v>3296</v>
      </c>
      <c r="AW63" s="185" t="s">
        <v>3297</v>
      </c>
      <c r="AX63" s="185">
        <v>3</v>
      </c>
      <c r="AY63" s="185" t="s">
        <v>1558</v>
      </c>
      <c r="AZ63" s="185" t="s">
        <v>437</v>
      </c>
      <c r="BA63" s="185" t="s">
        <v>1035</v>
      </c>
      <c r="BB63" s="185" t="s">
        <v>1558</v>
      </c>
      <c r="BC63" s="185" t="s">
        <v>437</v>
      </c>
      <c r="BD63" s="185" t="s">
        <v>289</v>
      </c>
      <c r="BE63" s="185" t="s">
        <v>3298</v>
      </c>
      <c r="BF63" s="185">
        <v>3</v>
      </c>
      <c r="BG63" s="185" t="s">
        <v>786</v>
      </c>
      <c r="BH63" s="185" t="s">
        <v>410</v>
      </c>
      <c r="BI63" s="185" t="s">
        <v>352</v>
      </c>
      <c r="BJ63" s="185" t="s">
        <v>188</v>
      </c>
      <c r="BK63" s="185" t="s">
        <v>284</v>
      </c>
      <c r="BL63" s="185" t="s">
        <v>788</v>
      </c>
      <c r="BM63" s="185" t="s">
        <v>198</v>
      </c>
      <c r="BN63" s="185">
        <v>2</v>
      </c>
      <c r="BO63" s="185" t="s">
        <v>199</v>
      </c>
      <c r="BP63" s="185" t="s">
        <v>3299</v>
      </c>
      <c r="BQ63" s="185" t="s">
        <v>3300</v>
      </c>
      <c r="BR63" s="185" t="s">
        <v>199</v>
      </c>
      <c r="BS63" s="185" t="s">
        <v>202</v>
      </c>
      <c r="BT63" s="185" t="s">
        <v>203</v>
      </c>
    </row>
    <row r="64" spans="1:72" s="184" customFormat="1" ht="54.95" customHeight="1" x14ac:dyDescent="0.25">
      <c r="A64" s="155">
        <v>12</v>
      </c>
      <c r="B64" s="184" t="s">
        <v>415</v>
      </c>
      <c r="C64" s="184" t="s">
        <v>247</v>
      </c>
      <c r="D64" s="184" t="s">
        <v>3461</v>
      </c>
      <c r="E64" s="184" t="s">
        <v>3462</v>
      </c>
      <c r="F64" s="184" t="s">
        <v>3463</v>
      </c>
      <c r="G64" s="184" t="s">
        <v>3464</v>
      </c>
      <c r="H64" s="184" t="s">
        <v>3465</v>
      </c>
      <c r="I64" s="184" t="s">
        <v>3466</v>
      </c>
      <c r="J64" s="184" t="s">
        <v>3467</v>
      </c>
      <c r="K64" s="184" t="s">
        <v>3468</v>
      </c>
      <c r="L64" s="184" t="s">
        <v>3282</v>
      </c>
      <c r="M64" s="184" t="s">
        <v>3469</v>
      </c>
      <c r="N64" s="184" t="s">
        <v>3284</v>
      </c>
      <c r="O64" s="184">
        <v>20</v>
      </c>
      <c r="P64" s="184" t="s">
        <v>259</v>
      </c>
      <c r="Q64" s="184" t="s">
        <v>3470</v>
      </c>
      <c r="R64" s="184" t="s">
        <v>3471</v>
      </c>
      <c r="S64" s="184" t="s">
        <v>3472</v>
      </c>
      <c r="T64" s="184" t="s">
        <v>3473</v>
      </c>
      <c r="U64" s="184" t="s">
        <v>2524</v>
      </c>
      <c r="V64" s="184" t="s">
        <v>3474</v>
      </c>
      <c r="W64" s="184" t="s">
        <v>3475</v>
      </c>
      <c r="X64" s="184" t="s">
        <v>3476</v>
      </c>
      <c r="Y64" s="185" t="s">
        <v>3292</v>
      </c>
      <c r="Z64" s="185">
        <v>4</v>
      </c>
      <c r="AA64" s="185" t="s">
        <v>2359</v>
      </c>
      <c r="AB64" s="185" t="s">
        <v>3293</v>
      </c>
      <c r="AC64" s="185" t="s">
        <v>268</v>
      </c>
      <c r="AD64" s="185" t="s">
        <v>464</v>
      </c>
      <c r="AE64" s="185" t="s">
        <v>2772</v>
      </c>
      <c r="AF64" s="185" t="s">
        <v>273</v>
      </c>
      <c r="AG64" s="185" t="s">
        <v>3294</v>
      </c>
      <c r="AH64" s="185">
        <v>4</v>
      </c>
      <c r="AI64" s="185" t="s">
        <v>274</v>
      </c>
      <c r="AJ64" s="185" t="s">
        <v>275</v>
      </c>
      <c r="AK64" s="185" t="s">
        <v>465</v>
      </c>
      <c r="AL64" s="185" t="s">
        <v>274</v>
      </c>
      <c r="AM64" s="185" t="s">
        <v>275</v>
      </c>
      <c r="AN64" s="185" t="s">
        <v>272</v>
      </c>
      <c r="AO64" s="185" t="s">
        <v>3295</v>
      </c>
      <c r="AP64" s="185">
        <v>4</v>
      </c>
      <c r="AQ64" s="185" t="s">
        <v>2374</v>
      </c>
      <c r="AR64" s="185" t="s">
        <v>276</v>
      </c>
      <c r="AS64" s="185" t="s">
        <v>3296</v>
      </c>
      <c r="AT64" s="185" t="s">
        <v>2374</v>
      </c>
      <c r="AU64" s="185" t="s">
        <v>276</v>
      </c>
      <c r="AV64" s="185" t="s">
        <v>3296</v>
      </c>
      <c r="AW64" s="185" t="s">
        <v>3297</v>
      </c>
      <c r="AX64" s="185">
        <v>3</v>
      </c>
      <c r="AY64" s="185" t="s">
        <v>1558</v>
      </c>
      <c r="AZ64" s="185" t="s">
        <v>437</v>
      </c>
      <c r="BA64" s="185" t="s">
        <v>1035</v>
      </c>
      <c r="BB64" s="185" t="s">
        <v>1558</v>
      </c>
      <c r="BC64" s="185" t="s">
        <v>437</v>
      </c>
      <c r="BD64" s="185" t="s">
        <v>289</v>
      </c>
      <c r="BE64" s="185" t="s">
        <v>3298</v>
      </c>
      <c r="BF64" s="185">
        <v>3</v>
      </c>
      <c r="BG64" s="185" t="s">
        <v>786</v>
      </c>
      <c r="BH64" s="185" t="s">
        <v>410</v>
      </c>
      <c r="BI64" s="185" t="s">
        <v>352</v>
      </c>
      <c r="BJ64" s="185" t="s">
        <v>188</v>
      </c>
      <c r="BK64" s="185" t="s">
        <v>284</v>
      </c>
      <c r="BL64" s="185" t="s">
        <v>788</v>
      </c>
      <c r="BM64" s="185" t="s">
        <v>198</v>
      </c>
      <c r="BN64" s="185">
        <v>2</v>
      </c>
      <c r="BO64" s="185" t="s">
        <v>199</v>
      </c>
      <c r="BP64" s="185" t="s">
        <v>3299</v>
      </c>
      <c r="BQ64" s="185" t="s">
        <v>3300</v>
      </c>
      <c r="BR64" s="185" t="s">
        <v>199</v>
      </c>
      <c r="BS64" s="185" t="s">
        <v>202</v>
      </c>
      <c r="BT64" s="185" t="s">
        <v>203</v>
      </c>
    </row>
    <row r="65" spans="1:72" s="184" customFormat="1" ht="54.95" customHeight="1" x14ac:dyDescent="0.25">
      <c r="A65" s="155">
        <v>13</v>
      </c>
      <c r="B65" s="184" t="s">
        <v>204</v>
      </c>
      <c r="C65" s="184" t="s">
        <v>570</v>
      </c>
      <c r="D65" s="184" t="s">
        <v>3477</v>
      </c>
      <c r="E65" s="184" t="s">
        <v>3478</v>
      </c>
      <c r="F65" s="184" t="s">
        <v>3479</v>
      </c>
      <c r="G65" s="184" t="s">
        <v>3480</v>
      </c>
      <c r="H65" s="184" t="s">
        <v>3481</v>
      </c>
      <c r="I65" s="184" t="s">
        <v>3482</v>
      </c>
      <c r="J65" s="184" t="s">
        <v>3483</v>
      </c>
      <c r="K65" s="184" t="s">
        <v>3484</v>
      </c>
      <c r="L65" s="184" t="s">
        <v>3282</v>
      </c>
      <c r="M65" s="184" t="s">
        <v>3485</v>
      </c>
      <c r="N65" s="184" t="s">
        <v>3284</v>
      </c>
      <c r="O65" s="184">
        <v>20</v>
      </c>
      <c r="P65" s="184" t="s">
        <v>164</v>
      </c>
      <c r="Q65" s="184" t="s">
        <v>3486</v>
      </c>
      <c r="R65" s="184" t="s">
        <v>3487</v>
      </c>
      <c r="S65" s="184" t="s">
        <v>3488</v>
      </c>
      <c r="T65" s="184" t="s">
        <v>753</v>
      </c>
      <c r="U65" s="184" t="s">
        <v>3489</v>
      </c>
      <c r="V65" s="184" t="s">
        <v>3490</v>
      </c>
      <c r="W65" s="184" t="s">
        <v>3491</v>
      </c>
      <c r="X65" s="184" t="s">
        <v>3492</v>
      </c>
      <c r="Y65" s="185" t="s">
        <v>3292</v>
      </c>
      <c r="Z65" s="185">
        <v>4</v>
      </c>
      <c r="AA65" s="185" t="s">
        <v>2359</v>
      </c>
      <c r="AB65" s="185" t="s">
        <v>3293</v>
      </c>
      <c r="AC65" s="185" t="s">
        <v>268</v>
      </c>
      <c r="AD65" s="185" t="s">
        <v>464</v>
      </c>
      <c r="AE65" s="185" t="s">
        <v>2772</v>
      </c>
      <c r="AF65" s="185" t="s">
        <v>273</v>
      </c>
      <c r="AG65" s="185" t="s">
        <v>3294</v>
      </c>
      <c r="AH65" s="185">
        <v>4</v>
      </c>
      <c r="AI65" s="185" t="s">
        <v>274</v>
      </c>
      <c r="AJ65" s="185" t="s">
        <v>275</v>
      </c>
      <c r="AK65" s="185" t="s">
        <v>465</v>
      </c>
      <c r="AL65" s="185" t="s">
        <v>274</v>
      </c>
      <c r="AM65" s="185" t="s">
        <v>275</v>
      </c>
      <c r="AN65" s="185" t="s">
        <v>272</v>
      </c>
      <c r="AO65" s="185" t="s">
        <v>3295</v>
      </c>
      <c r="AP65" s="185">
        <v>4</v>
      </c>
      <c r="AQ65" s="185" t="s">
        <v>2374</v>
      </c>
      <c r="AR65" s="185" t="s">
        <v>276</v>
      </c>
      <c r="AS65" s="185" t="s">
        <v>3296</v>
      </c>
      <c r="AT65" s="185" t="s">
        <v>2374</v>
      </c>
      <c r="AU65" s="185" t="s">
        <v>276</v>
      </c>
      <c r="AV65" s="185" t="s">
        <v>3296</v>
      </c>
      <c r="AW65" s="185" t="s">
        <v>3297</v>
      </c>
      <c r="AX65" s="185">
        <v>3</v>
      </c>
      <c r="AY65" s="185" t="s">
        <v>1558</v>
      </c>
      <c r="AZ65" s="185" t="s">
        <v>437</v>
      </c>
      <c r="BA65" s="185" t="s">
        <v>1035</v>
      </c>
      <c r="BB65" s="185" t="s">
        <v>1558</v>
      </c>
      <c r="BC65" s="185" t="s">
        <v>437</v>
      </c>
      <c r="BD65" s="185" t="s">
        <v>289</v>
      </c>
      <c r="BE65" s="185" t="s">
        <v>3298</v>
      </c>
      <c r="BF65" s="185">
        <v>3</v>
      </c>
      <c r="BG65" s="185" t="s">
        <v>786</v>
      </c>
      <c r="BH65" s="185" t="s">
        <v>410</v>
      </c>
      <c r="BI65" s="185" t="s">
        <v>352</v>
      </c>
      <c r="BJ65" s="185" t="s">
        <v>188</v>
      </c>
      <c r="BK65" s="185" t="s">
        <v>284</v>
      </c>
      <c r="BL65" s="185" t="s">
        <v>788</v>
      </c>
      <c r="BM65" s="185" t="s">
        <v>198</v>
      </c>
      <c r="BN65" s="185">
        <v>2</v>
      </c>
      <c r="BO65" s="185" t="s">
        <v>199</v>
      </c>
      <c r="BP65" s="185" t="s">
        <v>3299</v>
      </c>
      <c r="BQ65" s="185" t="s">
        <v>3300</v>
      </c>
      <c r="BR65" s="185" t="s">
        <v>199</v>
      </c>
      <c r="BS65" s="185" t="s">
        <v>202</v>
      </c>
      <c r="BT65" s="185" t="s">
        <v>203</v>
      </c>
    </row>
    <row r="66" spans="1:72" s="184" customFormat="1" ht="54.95" customHeight="1" x14ac:dyDescent="0.25">
      <c r="A66" s="155">
        <v>14</v>
      </c>
      <c r="B66" s="184" t="s">
        <v>324</v>
      </c>
      <c r="C66" s="184" t="s">
        <v>205</v>
      </c>
      <c r="D66" s="184" t="s">
        <v>3493</v>
      </c>
      <c r="E66" s="184" t="s">
        <v>3494</v>
      </c>
      <c r="F66" s="184" t="s">
        <v>3495</v>
      </c>
      <c r="G66" s="184" t="s">
        <v>3496</v>
      </c>
      <c r="H66" s="184" t="s">
        <v>3497</v>
      </c>
      <c r="I66" s="184" t="s">
        <v>3498</v>
      </c>
      <c r="J66" s="184" t="s">
        <v>3499</v>
      </c>
      <c r="K66" s="184" t="s">
        <v>3500</v>
      </c>
      <c r="L66" s="184" t="s">
        <v>3282</v>
      </c>
      <c r="M66" s="184" t="s">
        <v>3501</v>
      </c>
      <c r="N66" s="184" t="s">
        <v>3284</v>
      </c>
      <c r="O66" s="184">
        <v>20</v>
      </c>
      <c r="P66" s="184" t="s">
        <v>259</v>
      </c>
      <c r="Q66" s="184" t="s">
        <v>3502</v>
      </c>
      <c r="R66" s="184" t="s">
        <v>3503</v>
      </c>
      <c r="S66" s="184" t="s">
        <v>3504</v>
      </c>
      <c r="T66" s="184" t="s">
        <v>3505</v>
      </c>
      <c r="U66" s="184" t="s">
        <v>3506</v>
      </c>
      <c r="V66" s="184" t="s">
        <v>3507</v>
      </c>
      <c r="W66" s="184" t="s">
        <v>3508</v>
      </c>
      <c r="X66" s="184" t="s">
        <v>3509</v>
      </c>
      <c r="Y66" s="185" t="s">
        <v>3292</v>
      </c>
      <c r="Z66" s="185">
        <v>4</v>
      </c>
      <c r="AA66" s="185" t="s">
        <v>2359</v>
      </c>
      <c r="AB66" s="185" t="s">
        <v>3293</v>
      </c>
      <c r="AC66" s="185" t="s">
        <v>268</v>
      </c>
      <c r="AD66" s="185" t="s">
        <v>464</v>
      </c>
      <c r="AE66" s="185" t="s">
        <v>2772</v>
      </c>
      <c r="AF66" s="185" t="s">
        <v>273</v>
      </c>
      <c r="AG66" s="185" t="s">
        <v>3294</v>
      </c>
      <c r="AH66" s="185">
        <v>4</v>
      </c>
      <c r="AI66" s="185" t="s">
        <v>274</v>
      </c>
      <c r="AJ66" s="185" t="s">
        <v>275</v>
      </c>
      <c r="AK66" s="185" t="s">
        <v>465</v>
      </c>
      <c r="AL66" s="185" t="s">
        <v>274</v>
      </c>
      <c r="AM66" s="185" t="s">
        <v>275</v>
      </c>
      <c r="AN66" s="185" t="s">
        <v>272</v>
      </c>
      <c r="AO66" s="185" t="s">
        <v>3295</v>
      </c>
      <c r="AP66" s="185">
        <v>4</v>
      </c>
      <c r="AQ66" s="185" t="s">
        <v>2374</v>
      </c>
      <c r="AR66" s="185" t="s">
        <v>276</v>
      </c>
      <c r="AS66" s="185" t="s">
        <v>3296</v>
      </c>
      <c r="AT66" s="185" t="s">
        <v>2374</v>
      </c>
      <c r="AU66" s="185" t="s">
        <v>276</v>
      </c>
      <c r="AV66" s="185" t="s">
        <v>3296</v>
      </c>
      <c r="AW66" s="185" t="s">
        <v>3297</v>
      </c>
      <c r="AX66" s="185">
        <v>3</v>
      </c>
      <c r="AY66" s="185" t="s">
        <v>1558</v>
      </c>
      <c r="AZ66" s="185" t="s">
        <v>437</v>
      </c>
      <c r="BA66" s="185" t="s">
        <v>1035</v>
      </c>
      <c r="BB66" s="185" t="s">
        <v>1558</v>
      </c>
      <c r="BC66" s="185" t="s">
        <v>437</v>
      </c>
      <c r="BD66" s="185" t="s">
        <v>289</v>
      </c>
      <c r="BE66" s="185" t="s">
        <v>3298</v>
      </c>
      <c r="BF66" s="185">
        <v>3</v>
      </c>
      <c r="BG66" s="185" t="s">
        <v>786</v>
      </c>
      <c r="BH66" s="185" t="s">
        <v>410</v>
      </c>
      <c r="BI66" s="185" t="s">
        <v>352</v>
      </c>
      <c r="BJ66" s="185" t="s">
        <v>188</v>
      </c>
      <c r="BK66" s="185" t="s">
        <v>284</v>
      </c>
      <c r="BL66" s="185" t="s">
        <v>788</v>
      </c>
      <c r="BM66" s="185" t="s">
        <v>198</v>
      </c>
      <c r="BN66" s="185">
        <v>2</v>
      </c>
      <c r="BO66" s="185" t="s">
        <v>199</v>
      </c>
      <c r="BP66" s="185" t="s">
        <v>3299</v>
      </c>
      <c r="BQ66" s="185" t="s">
        <v>3300</v>
      </c>
      <c r="BR66" s="185" t="s">
        <v>199</v>
      </c>
      <c r="BS66" s="185" t="s">
        <v>202</v>
      </c>
      <c r="BT66" s="185" t="s">
        <v>203</v>
      </c>
    </row>
    <row r="67" spans="1:72" s="184" customFormat="1" ht="54.95" customHeight="1" x14ac:dyDescent="0.25">
      <c r="A67" s="155">
        <v>15</v>
      </c>
      <c r="B67" s="184" t="s">
        <v>385</v>
      </c>
      <c r="C67" s="184" t="s">
        <v>154</v>
      </c>
      <c r="D67" s="184" t="s">
        <v>3510</v>
      </c>
      <c r="E67" s="184" t="s">
        <v>3511</v>
      </c>
      <c r="F67" s="184" t="s">
        <v>3512</v>
      </c>
      <c r="G67" s="184" t="s">
        <v>3513</v>
      </c>
      <c r="H67" s="184" t="s">
        <v>3514</v>
      </c>
      <c r="I67" s="184" t="s">
        <v>3515</v>
      </c>
      <c r="J67" s="184" t="s">
        <v>3516</v>
      </c>
      <c r="K67" s="184" t="s">
        <v>3517</v>
      </c>
      <c r="L67" s="184" t="s">
        <v>3282</v>
      </c>
      <c r="M67" s="184" t="s">
        <v>3518</v>
      </c>
      <c r="N67" s="184" t="s">
        <v>3284</v>
      </c>
      <c r="O67" s="184">
        <v>20</v>
      </c>
      <c r="P67" s="184" t="s">
        <v>164</v>
      </c>
      <c r="Q67" s="184" t="s">
        <v>3519</v>
      </c>
      <c r="R67" s="184" t="s">
        <v>3520</v>
      </c>
      <c r="S67" s="184" t="s">
        <v>3521</v>
      </c>
      <c r="T67" s="184" t="s">
        <v>3522</v>
      </c>
      <c r="U67" s="184" t="s">
        <v>1051</v>
      </c>
      <c r="V67" s="184" t="s">
        <v>3523</v>
      </c>
      <c r="W67" s="184" t="s">
        <v>3524</v>
      </c>
      <c r="X67" s="184" t="s">
        <v>3525</v>
      </c>
      <c r="Y67" s="185" t="s">
        <v>3292</v>
      </c>
      <c r="Z67" s="185">
        <v>4</v>
      </c>
      <c r="AA67" s="185" t="s">
        <v>2359</v>
      </c>
      <c r="AB67" s="185" t="s">
        <v>3293</v>
      </c>
      <c r="AC67" s="185" t="s">
        <v>268</v>
      </c>
      <c r="AD67" s="185" t="s">
        <v>464</v>
      </c>
      <c r="AE67" s="185" t="s">
        <v>2772</v>
      </c>
      <c r="AF67" s="185" t="s">
        <v>273</v>
      </c>
      <c r="AG67" s="185" t="s">
        <v>3294</v>
      </c>
      <c r="AH67" s="185">
        <v>4</v>
      </c>
      <c r="AI67" s="185" t="s">
        <v>274</v>
      </c>
      <c r="AJ67" s="185" t="s">
        <v>275</v>
      </c>
      <c r="AK67" s="185" t="s">
        <v>465</v>
      </c>
      <c r="AL67" s="185" t="s">
        <v>274</v>
      </c>
      <c r="AM67" s="185" t="s">
        <v>275</v>
      </c>
      <c r="AN67" s="185" t="s">
        <v>272</v>
      </c>
      <c r="AO67" s="185" t="s">
        <v>3295</v>
      </c>
      <c r="AP67" s="185">
        <v>4</v>
      </c>
      <c r="AQ67" s="185" t="s">
        <v>2374</v>
      </c>
      <c r="AR67" s="185" t="s">
        <v>276</v>
      </c>
      <c r="AS67" s="185" t="s">
        <v>3296</v>
      </c>
      <c r="AT67" s="185" t="s">
        <v>2374</v>
      </c>
      <c r="AU67" s="185" t="s">
        <v>276</v>
      </c>
      <c r="AV67" s="185" t="s">
        <v>3296</v>
      </c>
      <c r="AW67" s="185" t="s">
        <v>3297</v>
      </c>
      <c r="AX67" s="185">
        <v>3</v>
      </c>
      <c r="AY67" s="185" t="s">
        <v>1558</v>
      </c>
      <c r="AZ67" s="185" t="s">
        <v>437</v>
      </c>
      <c r="BA67" s="185" t="s">
        <v>1035</v>
      </c>
      <c r="BB67" s="185" t="s">
        <v>1558</v>
      </c>
      <c r="BC67" s="185" t="s">
        <v>437</v>
      </c>
      <c r="BD67" s="185" t="s">
        <v>289</v>
      </c>
      <c r="BE67" s="185" t="s">
        <v>3298</v>
      </c>
      <c r="BF67" s="185">
        <v>3</v>
      </c>
      <c r="BG67" s="185" t="s">
        <v>786</v>
      </c>
      <c r="BH67" s="185" t="s">
        <v>410</v>
      </c>
      <c r="BI67" s="185" t="s">
        <v>352</v>
      </c>
      <c r="BJ67" s="185" t="s">
        <v>188</v>
      </c>
      <c r="BK67" s="185" t="s">
        <v>284</v>
      </c>
      <c r="BL67" s="185" t="s">
        <v>788</v>
      </c>
      <c r="BM67" s="185" t="s">
        <v>198</v>
      </c>
      <c r="BN67" s="185">
        <v>2</v>
      </c>
      <c r="BO67" s="185" t="s">
        <v>199</v>
      </c>
      <c r="BP67" s="185" t="s">
        <v>3299</v>
      </c>
      <c r="BQ67" s="185" t="s">
        <v>3300</v>
      </c>
      <c r="BR67" s="185" t="s">
        <v>199</v>
      </c>
      <c r="BS67" s="185" t="s">
        <v>202</v>
      </c>
      <c r="BT67" s="185" t="s">
        <v>203</v>
      </c>
    </row>
    <row r="68" spans="1:72" s="184" customFormat="1" ht="54.95" customHeight="1" x14ac:dyDescent="0.25">
      <c r="A68" s="155">
        <v>16</v>
      </c>
      <c r="B68" s="184" t="s">
        <v>506</v>
      </c>
      <c r="C68" s="184" t="s">
        <v>325</v>
      </c>
      <c r="D68" s="184" t="s">
        <v>3526</v>
      </c>
      <c r="E68" s="184" t="s">
        <v>3527</v>
      </c>
      <c r="F68" s="184" t="s">
        <v>3528</v>
      </c>
      <c r="G68" s="184" t="s">
        <v>3529</v>
      </c>
      <c r="H68" s="184" t="s">
        <v>3530</v>
      </c>
      <c r="I68" s="184" t="s">
        <v>3531</v>
      </c>
      <c r="J68" s="184" t="s">
        <v>3532</v>
      </c>
      <c r="K68" s="184" t="s">
        <v>3533</v>
      </c>
      <c r="L68" s="184" t="s">
        <v>3282</v>
      </c>
      <c r="M68" s="184" t="s">
        <v>3534</v>
      </c>
      <c r="N68" s="184" t="s">
        <v>3284</v>
      </c>
      <c r="O68" s="184">
        <v>20</v>
      </c>
      <c r="P68" s="184" t="s">
        <v>484</v>
      </c>
      <c r="Q68" s="184" t="s">
        <v>3535</v>
      </c>
      <c r="R68" s="184" t="s">
        <v>3536</v>
      </c>
      <c r="S68" s="184" t="s">
        <v>3537</v>
      </c>
      <c r="T68" s="184" t="s">
        <v>3538</v>
      </c>
      <c r="U68" s="184" t="s">
        <v>3539</v>
      </c>
      <c r="V68" s="184" t="s">
        <v>3540</v>
      </c>
      <c r="W68" s="184" t="s">
        <v>3541</v>
      </c>
      <c r="X68" s="184" t="s">
        <v>3542</v>
      </c>
      <c r="Y68" s="185" t="s">
        <v>3292</v>
      </c>
      <c r="Z68" s="185">
        <v>4</v>
      </c>
      <c r="AA68" s="185" t="s">
        <v>2359</v>
      </c>
      <c r="AB68" s="185" t="s">
        <v>3293</v>
      </c>
      <c r="AC68" s="185" t="s">
        <v>268</v>
      </c>
      <c r="AD68" s="185" t="s">
        <v>464</v>
      </c>
      <c r="AE68" s="185" t="s">
        <v>2772</v>
      </c>
      <c r="AF68" s="185" t="s">
        <v>273</v>
      </c>
      <c r="AG68" s="185" t="s">
        <v>3294</v>
      </c>
      <c r="AH68" s="185">
        <v>4</v>
      </c>
      <c r="AI68" s="185" t="s">
        <v>274</v>
      </c>
      <c r="AJ68" s="185" t="s">
        <v>275</v>
      </c>
      <c r="AK68" s="185" t="s">
        <v>465</v>
      </c>
      <c r="AL68" s="185" t="s">
        <v>274</v>
      </c>
      <c r="AM68" s="185" t="s">
        <v>275</v>
      </c>
      <c r="AN68" s="185" t="s">
        <v>272</v>
      </c>
      <c r="AO68" s="185" t="s">
        <v>3295</v>
      </c>
      <c r="AP68" s="185">
        <v>4</v>
      </c>
      <c r="AQ68" s="185" t="s">
        <v>2374</v>
      </c>
      <c r="AR68" s="185" t="s">
        <v>276</v>
      </c>
      <c r="AS68" s="185" t="s">
        <v>3296</v>
      </c>
      <c r="AT68" s="185" t="s">
        <v>2374</v>
      </c>
      <c r="AU68" s="185" t="s">
        <v>276</v>
      </c>
      <c r="AV68" s="185" t="s">
        <v>3296</v>
      </c>
      <c r="AW68" s="185" t="s">
        <v>3297</v>
      </c>
      <c r="AX68" s="185">
        <v>3</v>
      </c>
      <c r="AY68" s="185" t="s">
        <v>1558</v>
      </c>
      <c r="AZ68" s="185" t="s">
        <v>437</v>
      </c>
      <c r="BA68" s="185" t="s">
        <v>1035</v>
      </c>
      <c r="BB68" s="185" t="s">
        <v>1558</v>
      </c>
      <c r="BC68" s="185" t="s">
        <v>437</v>
      </c>
      <c r="BD68" s="185" t="s">
        <v>289</v>
      </c>
      <c r="BE68" s="185" t="s">
        <v>3298</v>
      </c>
      <c r="BF68" s="185">
        <v>3</v>
      </c>
      <c r="BG68" s="185" t="s">
        <v>786</v>
      </c>
      <c r="BH68" s="185" t="s">
        <v>410</v>
      </c>
      <c r="BI68" s="185" t="s">
        <v>352</v>
      </c>
      <c r="BJ68" s="185" t="s">
        <v>188</v>
      </c>
      <c r="BK68" s="185" t="s">
        <v>284</v>
      </c>
      <c r="BL68" s="185" t="s">
        <v>788</v>
      </c>
      <c r="BM68" s="185" t="s">
        <v>198</v>
      </c>
      <c r="BN68" s="185">
        <v>2</v>
      </c>
      <c r="BO68" s="185" t="s">
        <v>199</v>
      </c>
      <c r="BP68" s="185" t="s">
        <v>3299</v>
      </c>
      <c r="BQ68" s="185" t="s">
        <v>3300</v>
      </c>
      <c r="BR68" s="185" t="s">
        <v>199</v>
      </c>
      <c r="BS68" s="185" t="s">
        <v>202</v>
      </c>
      <c r="BT68" s="185" t="s">
        <v>203</v>
      </c>
    </row>
    <row r="69" spans="1:72" s="184" customFormat="1" ht="54.95" customHeight="1" x14ac:dyDescent="0.25">
      <c r="A69" s="155">
        <v>17</v>
      </c>
      <c r="B69" s="184" t="s">
        <v>385</v>
      </c>
      <c r="C69" s="184" t="s">
        <v>247</v>
      </c>
      <c r="D69" s="184" t="s">
        <v>3543</v>
      </c>
      <c r="E69" s="184" t="s">
        <v>3544</v>
      </c>
      <c r="F69" s="184" t="s">
        <v>3545</v>
      </c>
      <c r="G69" s="184" t="s">
        <v>3546</v>
      </c>
      <c r="H69" s="184" t="s">
        <v>3547</v>
      </c>
      <c r="I69" s="184" t="s">
        <v>3548</v>
      </c>
      <c r="J69" s="184" t="s">
        <v>3549</v>
      </c>
      <c r="K69" s="184" t="s">
        <v>3550</v>
      </c>
      <c r="L69" s="184" t="s">
        <v>3282</v>
      </c>
      <c r="M69" s="184" t="s">
        <v>3551</v>
      </c>
      <c r="N69" s="184" t="s">
        <v>3284</v>
      </c>
      <c r="O69" s="184">
        <v>20</v>
      </c>
      <c r="P69" s="184" t="s">
        <v>164</v>
      </c>
      <c r="Q69" s="184" t="s">
        <v>3552</v>
      </c>
      <c r="R69" s="184" t="s">
        <v>3553</v>
      </c>
      <c r="S69" s="184" t="s">
        <v>3554</v>
      </c>
      <c r="T69" s="184" t="s">
        <v>3555</v>
      </c>
      <c r="U69" s="184" t="s">
        <v>221</v>
      </c>
      <c r="V69" s="184" t="s">
        <v>3556</v>
      </c>
      <c r="W69" s="184" t="s">
        <v>3557</v>
      </c>
      <c r="X69" s="184" t="s">
        <v>3558</v>
      </c>
      <c r="Y69" s="185" t="s">
        <v>3292</v>
      </c>
      <c r="Z69" s="185">
        <v>4</v>
      </c>
      <c r="AA69" s="185" t="s">
        <v>2359</v>
      </c>
      <c r="AB69" s="185" t="s">
        <v>3293</v>
      </c>
      <c r="AC69" s="185" t="s">
        <v>268</v>
      </c>
      <c r="AD69" s="185" t="s">
        <v>464</v>
      </c>
      <c r="AE69" s="185" t="s">
        <v>2772</v>
      </c>
      <c r="AF69" s="185" t="s">
        <v>273</v>
      </c>
      <c r="AG69" s="185" t="s">
        <v>3294</v>
      </c>
      <c r="AH69" s="185">
        <v>4</v>
      </c>
      <c r="AI69" s="185" t="s">
        <v>274</v>
      </c>
      <c r="AJ69" s="185" t="s">
        <v>275</v>
      </c>
      <c r="AK69" s="185" t="s">
        <v>465</v>
      </c>
      <c r="AL69" s="185" t="s">
        <v>274</v>
      </c>
      <c r="AM69" s="185" t="s">
        <v>275</v>
      </c>
      <c r="AN69" s="185" t="s">
        <v>272</v>
      </c>
      <c r="AO69" s="185" t="s">
        <v>3295</v>
      </c>
      <c r="AP69" s="185">
        <v>4</v>
      </c>
      <c r="AQ69" s="185" t="s">
        <v>2374</v>
      </c>
      <c r="AR69" s="185" t="s">
        <v>276</v>
      </c>
      <c r="AS69" s="185" t="s">
        <v>3296</v>
      </c>
      <c r="AT69" s="185" t="s">
        <v>2374</v>
      </c>
      <c r="AU69" s="185" t="s">
        <v>276</v>
      </c>
      <c r="AV69" s="185" t="s">
        <v>3296</v>
      </c>
      <c r="AW69" s="185" t="s">
        <v>3297</v>
      </c>
      <c r="AX69" s="185">
        <v>3</v>
      </c>
      <c r="AY69" s="185" t="s">
        <v>1558</v>
      </c>
      <c r="AZ69" s="185" t="s">
        <v>437</v>
      </c>
      <c r="BA69" s="185" t="s">
        <v>1035</v>
      </c>
      <c r="BB69" s="185" t="s">
        <v>1558</v>
      </c>
      <c r="BC69" s="185" t="s">
        <v>437</v>
      </c>
      <c r="BD69" s="185" t="s">
        <v>289</v>
      </c>
      <c r="BE69" s="185" t="s">
        <v>3298</v>
      </c>
      <c r="BF69" s="185">
        <v>3</v>
      </c>
      <c r="BG69" s="185" t="s">
        <v>786</v>
      </c>
      <c r="BH69" s="185" t="s">
        <v>410</v>
      </c>
      <c r="BI69" s="185" t="s">
        <v>352</v>
      </c>
      <c r="BJ69" s="185" t="s">
        <v>188</v>
      </c>
      <c r="BK69" s="185" t="s">
        <v>284</v>
      </c>
      <c r="BL69" s="185" t="s">
        <v>788</v>
      </c>
      <c r="BM69" s="185" t="s">
        <v>198</v>
      </c>
      <c r="BN69" s="185">
        <v>2</v>
      </c>
      <c r="BO69" s="185" t="s">
        <v>199</v>
      </c>
      <c r="BP69" s="185" t="s">
        <v>3299</v>
      </c>
      <c r="BQ69" s="185" t="s">
        <v>3300</v>
      </c>
      <c r="BR69" s="185" t="s">
        <v>199</v>
      </c>
      <c r="BS69" s="185" t="s">
        <v>202</v>
      </c>
      <c r="BT69" s="185" t="s">
        <v>203</v>
      </c>
    </row>
    <row r="70" spans="1:72" s="184" customFormat="1" ht="54.95" customHeight="1" x14ac:dyDescent="0.25">
      <c r="A70" s="155">
        <v>18</v>
      </c>
      <c r="B70" s="184" t="s">
        <v>959</v>
      </c>
      <c r="C70" s="184" t="s">
        <v>154</v>
      </c>
      <c r="D70" s="184" t="s">
        <v>3559</v>
      </c>
      <c r="E70" s="184" t="s">
        <v>3560</v>
      </c>
      <c r="F70" s="184" t="s">
        <v>3561</v>
      </c>
      <c r="G70" s="184" t="s">
        <v>3562</v>
      </c>
      <c r="H70" s="184" t="s">
        <v>3563</v>
      </c>
      <c r="I70" s="184" t="s">
        <v>3564</v>
      </c>
      <c r="J70" s="184" t="s">
        <v>3565</v>
      </c>
      <c r="K70" s="184" t="s">
        <v>3566</v>
      </c>
      <c r="L70" s="184" t="s">
        <v>3282</v>
      </c>
      <c r="M70" s="184" t="s">
        <v>3567</v>
      </c>
      <c r="N70" s="184" t="s">
        <v>3284</v>
      </c>
      <c r="O70" s="184">
        <v>20</v>
      </c>
      <c r="P70" s="184" t="s">
        <v>164</v>
      </c>
      <c r="Q70" s="184" t="s">
        <v>3568</v>
      </c>
      <c r="R70" s="184" t="s">
        <v>3569</v>
      </c>
      <c r="S70" s="184" t="s">
        <v>3570</v>
      </c>
      <c r="T70" s="184" t="s">
        <v>3571</v>
      </c>
      <c r="U70" s="184" t="s">
        <v>3572</v>
      </c>
      <c r="V70" s="184" t="s">
        <v>3573</v>
      </c>
      <c r="W70" s="184" t="s">
        <v>3574</v>
      </c>
      <c r="X70" s="184" t="s">
        <v>3575</v>
      </c>
      <c r="Y70" s="185" t="s">
        <v>3292</v>
      </c>
      <c r="Z70" s="185">
        <v>4</v>
      </c>
      <c r="AA70" s="185" t="s">
        <v>2359</v>
      </c>
      <c r="AB70" s="185" t="s">
        <v>3293</v>
      </c>
      <c r="AC70" s="185" t="s">
        <v>268</v>
      </c>
      <c r="AD70" s="185" t="s">
        <v>464</v>
      </c>
      <c r="AE70" s="185" t="s">
        <v>2772</v>
      </c>
      <c r="AF70" s="185" t="s">
        <v>273</v>
      </c>
      <c r="AG70" s="185" t="s">
        <v>3294</v>
      </c>
      <c r="AH70" s="185">
        <v>4</v>
      </c>
      <c r="AI70" s="185" t="s">
        <v>274</v>
      </c>
      <c r="AJ70" s="185" t="s">
        <v>275</v>
      </c>
      <c r="AK70" s="185" t="s">
        <v>465</v>
      </c>
      <c r="AL70" s="185" t="s">
        <v>274</v>
      </c>
      <c r="AM70" s="185" t="s">
        <v>275</v>
      </c>
      <c r="AN70" s="185" t="s">
        <v>272</v>
      </c>
      <c r="AO70" s="185" t="s">
        <v>3295</v>
      </c>
      <c r="AP70" s="185">
        <v>4</v>
      </c>
      <c r="AQ70" s="185" t="s">
        <v>2374</v>
      </c>
      <c r="AR70" s="185" t="s">
        <v>276</v>
      </c>
      <c r="AS70" s="185" t="s">
        <v>3296</v>
      </c>
      <c r="AT70" s="185" t="s">
        <v>2374</v>
      </c>
      <c r="AU70" s="185" t="s">
        <v>276</v>
      </c>
      <c r="AV70" s="185" t="s">
        <v>3296</v>
      </c>
      <c r="AW70" s="185" t="s">
        <v>3297</v>
      </c>
      <c r="AX70" s="185">
        <v>3</v>
      </c>
      <c r="AY70" s="185" t="s">
        <v>1558</v>
      </c>
      <c r="AZ70" s="185" t="s">
        <v>437</v>
      </c>
      <c r="BA70" s="185" t="s">
        <v>1035</v>
      </c>
      <c r="BB70" s="185" t="s">
        <v>1558</v>
      </c>
      <c r="BC70" s="185" t="s">
        <v>437</v>
      </c>
      <c r="BD70" s="185" t="s">
        <v>289</v>
      </c>
      <c r="BE70" s="185" t="s">
        <v>3298</v>
      </c>
      <c r="BF70" s="185">
        <v>3</v>
      </c>
      <c r="BG70" s="185" t="s">
        <v>786</v>
      </c>
      <c r="BH70" s="185" t="s">
        <v>410</v>
      </c>
      <c r="BI70" s="185" t="s">
        <v>352</v>
      </c>
      <c r="BJ70" s="185" t="s">
        <v>188</v>
      </c>
      <c r="BK70" s="185" t="s">
        <v>284</v>
      </c>
      <c r="BL70" s="185" t="s">
        <v>788</v>
      </c>
      <c r="BM70" s="185" t="s">
        <v>198</v>
      </c>
      <c r="BN70" s="185">
        <v>2</v>
      </c>
      <c r="BO70" s="185" t="s">
        <v>199</v>
      </c>
      <c r="BP70" s="185" t="s">
        <v>3299</v>
      </c>
      <c r="BQ70" s="185" t="s">
        <v>3300</v>
      </c>
      <c r="BR70" s="185" t="s">
        <v>199</v>
      </c>
      <c r="BS70" s="185" t="s">
        <v>202</v>
      </c>
      <c r="BT70" s="185" t="s">
        <v>203</v>
      </c>
    </row>
    <row r="71" spans="1:72" s="184" customFormat="1" ht="54.95" customHeight="1" x14ac:dyDescent="0.25">
      <c r="A71" s="155">
        <v>19</v>
      </c>
      <c r="B71" s="184" t="s">
        <v>385</v>
      </c>
      <c r="C71" s="184" t="s">
        <v>205</v>
      </c>
      <c r="D71" s="184" t="s">
        <v>3576</v>
      </c>
      <c r="E71" s="184" t="s">
        <v>3577</v>
      </c>
      <c r="F71" s="184" t="s">
        <v>3578</v>
      </c>
      <c r="G71" s="184" t="s">
        <v>3579</v>
      </c>
      <c r="H71" s="184" t="s">
        <v>3580</v>
      </c>
      <c r="I71" s="184" t="s">
        <v>3581</v>
      </c>
      <c r="J71" s="184" t="s">
        <v>3582</v>
      </c>
      <c r="K71" s="184" t="s">
        <v>3583</v>
      </c>
      <c r="L71" s="184" t="s">
        <v>3282</v>
      </c>
      <c r="M71" s="184" t="s">
        <v>3584</v>
      </c>
      <c r="N71" s="184" t="s">
        <v>3284</v>
      </c>
      <c r="O71" s="184">
        <v>20</v>
      </c>
      <c r="P71" s="184" t="s">
        <v>259</v>
      </c>
      <c r="Q71" s="184" t="s">
        <v>3585</v>
      </c>
      <c r="R71" s="184" t="s">
        <v>3586</v>
      </c>
      <c r="S71" s="184" t="s">
        <v>3587</v>
      </c>
      <c r="T71" s="184" t="s">
        <v>3588</v>
      </c>
      <c r="U71" s="184" t="s">
        <v>1571</v>
      </c>
      <c r="V71" s="184" t="s">
        <v>3589</v>
      </c>
      <c r="W71" s="184" t="s">
        <v>3590</v>
      </c>
      <c r="X71" s="184" t="s">
        <v>3591</v>
      </c>
      <c r="Y71" s="185" t="s">
        <v>3292</v>
      </c>
      <c r="Z71" s="185">
        <v>4</v>
      </c>
      <c r="AA71" s="185" t="s">
        <v>2359</v>
      </c>
      <c r="AB71" s="185" t="s">
        <v>3293</v>
      </c>
      <c r="AC71" s="185" t="s">
        <v>268</v>
      </c>
      <c r="AD71" s="185" t="s">
        <v>464</v>
      </c>
      <c r="AE71" s="185" t="s">
        <v>2772</v>
      </c>
      <c r="AF71" s="185" t="s">
        <v>273</v>
      </c>
      <c r="AG71" s="185" t="s">
        <v>3294</v>
      </c>
      <c r="AH71" s="185">
        <v>4</v>
      </c>
      <c r="AI71" s="185" t="s">
        <v>274</v>
      </c>
      <c r="AJ71" s="185" t="s">
        <v>275</v>
      </c>
      <c r="AK71" s="185" t="s">
        <v>465</v>
      </c>
      <c r="AL71" s="185" t="s">
        <v>274</v>
      </c>
      <c r="AM71" s="185" t="s">
        <v>275</v>
      </c>
      <c r="AN71" s="185" t="s">
        <v>272</v>
      </c>
      <c r="AO71" s="185" t="s">
        <v>3295</v>
      </c>
      <c r="AP71" s="185">
        <v>4</v>
      </c>
      <c r="AQ71" s="185" t="s">
        <v>2374</v>
      </c>
      <c r="AR71" s="185" t="s">
        <v>276</v>
      </c>
      <c r="AS71" s="185" t="s">
        <v>3296</v>
      </c>
      <c r="AT71" s="185" t="s">
        <v>2374</v>
      </c>
      <c r="AU71" s="185" t="s">
        <v>276</v>
      </c>
      <c r="AV71" s="185" t="s">
        <v>3296</v>
      </c>
      <c r="AW71" s="185" t="s">
        <v>3297</v>
      </c>
      <c r="AX71" s="185">
        <v>3</v>
      </c>
      <c r="AY71" s="185" t="s">
        <v>1558</v>
      </c>
      <c r="AZ71" s="185" t="s">
        <v>437</v>
      </c>
      <c r="BA71" s="185" t="s">
        <v>1035</v>
      </c>
      <c r="BB71" s="185" t="s">
        <v>1558</v>
      </c>
      <c r="BC71" s="185" t="s">
        <v>437</v>
      </c>
      <c r="BD71" s="185" t="s">
        <v>289</v>
      </c>
      <c r="BE71" s="185" t="s">
        <v>3298</v>
      </c>
      <c r="BF71" s="185">
        <v>3</v>
      </c>
      <c r="BG71" s="185" t="s">
        <v>786</v>
      </c>
      <c r="BH71" s="185" t="s">
        <v>410</v>
      </c>
      <c r="BI71" s="185" t="s">
        <v>352</v>
      </c>
      <c r="BJ71" s="185" t="s">
        <v>188</v>
      </c>
      <c r="BK71" s="185" t="s">
        <v>284</v>
      </c>
      <c r="BL71" s="185" t="s">
        <v>788</v>
      </c>
      <c r="BM71" s="185" t="s">
        <v>198</v>
      </c>
      <c r="BN71" s="185">
        <v>2</v>
      </c>
      <c r="BO71" s="185" t="s">
        <v>199</v>
      </c>
      <c r="BP71" s="185" t="s">
        <v>3299</v>
      </c>
      <c r="BQ71" s="185" t="s">
        <v>3300</v>
      </c>
      <c r="BR71" s="185" t="s">
        <v>199</v>
      </c>
      <c r="BS71" s="185" t="s">
        <v>202</v>
      </c>
      <c r="BT71" s="185" t="s">
        <v>203</v>
      </c>
    </row>
    <row r="72" spans="1:72" s="184" customFormat="1" ht="54.95" customHeight="1" x14ac:dyDescent="0.25">
      <c r="A72" s="155">
        <v>20</v>
      </c>
      <c r="B72" s="184" t="s">
        <v>739</v>
      </c>
      <c r="C72" s="184" t="s">
        <v>325</v>
      </c>
      <c r="D72" s="184" t="s">
        <v>3592</v>
      </c>
      <c r="E72" s="184" t="s">
        <v>3593</v>
      </c>
      <c r="F72" s="184" t="s">
        <v>3594</v>
      </c>
      <c r="G72" s="184" t="s">
        <v>3595</v>
      </c>
      <c r="H72" s="184" t="s">
        <v>3596</v>
      </c>
      <c r="I72" s="184" t="s">
        <v>3597</v>
      </c>
      <c r="J72" s="184" t="s">
        <v>3598</v>
      </c>
      <c r="K72" s="184" t="s">
        <v>3599</v>
      </c>
      <c r="L72" s="184" t="s">
        <v>3282</v>
      </c>
      <c r="M72" s="184" t="s">
        <v>3600</v>
      </c>
      <c r="N72" s="184" t="s">
        <v>3284</v>
      </c>
      <c r="O72" s="184">
        <v>20</v>
      </c>
      <c r="P72" s="184" t="s">
        <v>259</v>
      </c>
      <c r="Q72" s="184" t="s">
        <v>3601</v>
      </c>
      <c r="R72" s="184" t="s">
        <v>3602</v>
      </c>
      <c r="S72" s="184" t="s">
        <v>3603</v>
      </c>
      <c r="T72" s="184" t="s">
        <v>3604</v>
      </c>
      <c r="U72" s="184" t="s">
        <v>3605</v>
      </c>
      <c r="V72" s="184" t="s">
        <v>3606</v>
      </c>
      <c r="W72" s="184" t="s">
        <v>3607</v>
      </c>
      <c r="X72" s="184" t="s">
        <v>3608</v>
      </c>
      <c r="Y72" s="185" t="s">
        <v>3292</v>
      </c>
      <c r="Z72" s="185">
        <v>4</v>
      </c>
      <c r="AA72" s="185" t="s">
        <v>2359</v>
      </c>
      <c r="AB72" s="185" t="s">
        <v>3293</v>
      </c>
      <c r="AC72" s="185" t="s">
        <v>268</v>
      </c>
      <c r="AD72" s="185" t="s">
        <v>464</v>
      </c>
      <c r="AE72" s="185" t="s">
        <v>2772</v>
      </c>
      <c r="AF72" s="185" t="s">
        <v>273</v>
      </c>
      <c r="AG72" s="185" t="s">
        <v>3294</v>
      </c>
      <c r="AH72" s="185">
        <v>4</v>
      </c>
      <c r="AI72" s="185" t="s">
        <v>274</v>
      </c>
      <c r="AJ72" s="185" t="s">
        <v>275</v>
      </c>
      <c r="AK72" s="185" t="s">
        <v>465</v>
      </c>
      <c r="AL72" s="185" t="s">
        <v>274</v>
      </c>
      <c r="AM72" s="185" t="s">
        <v>275</v>
      </c>
      <c r="AN72" s="185" t="s">
        <v>272</v>
      </c>
      <c r="AO72" s="185" t="s">
        <v>3295</v>
      </c>
      <c r="AP72" s="185">
        <v>4</v>
      </c>
      <c r="AQ72" s="185" t="s">
        <v>2374</v>
      </c>
      <c r="AR72" s="185" t="s">
        <v>276</v>
      </c>
      <c r="AS72" s="185" t="s">
        <v>3296</v>
      </c>
      <c r="AT72" s="185" t="s">
        <v>2374</v>
      </c>
      <c r="AU72" s="185" t="s">
        <v>276</v>
      </c>
      <c r="AV72" s="185" t="s">
        <v>3296</v>
      </c>
      <c r="AW72" s="185" t="s">
        <v>3297</v>
      </c>
      <c r="AX72" s="185">
        <v>3</v>
      </c>
      <c r="AY72" s="185" t="s">
        <v>1558</v>
      </c>
      <c r="AZ72" s="185" t="s">
        <v>437</v>
      </c>
      <c r="BA72" s="185" t="s">
        <v>1035</v>
      </c>
      <c r="BB72" s="185" t="s">
        <v>1558</v>
      </c>
      <c r="BC72" s="185" t="s">
        <v>437</v>
      </c>
      <c r="BD72" s="185" t="s">
        <v>289</v>
      </c>
      <c r="BE72" s="185" t="s">
        <v>3298</v>
      </c>
      <c r="BF72" s="185">
        <v>3</v>
      </c>
      <c r="BG72" s="185" t="s">
        <v>786</v>
      </c>
      <c r="BH72" s="185" t="s">
        <v>410</v>
      </c>
      <c r="BI72" s="185" t="s">
        <v>352</v>
      </c>
      <c r="BJ72" s="185" t="s">
        <v>188</v>
      </c>
      <c r="BK72" s="185" t="s">
        <v>284</v>
      </c>
      <c r="BL72" s="185" t="s">
        <v>788</v>
      </c>
      <c r="BM72" s="185" t="s">
        <v>198</v>
      </c>
      <c r="BN72" s="185">
        <v>2</v>
      </c>
      <c r="BO72" s="185" t="s">
        <v>199</v>
      </c>
      <c r="BP72" s="185" t="s">
        <v>3299</v>
      </c>
      <c r="BQ72" s="185" t="s">
        <v>3300</v>
      </c>
      <c r="BR72" s="185" t="s">
        <v>199</v>
      </c>
      <c r="BS72" s="185" t="s">
        <v>202</v>
      </c>
      <c r="BT72" s="185" t="s">
        <v>203</v>
      </c>
    </row>
    <row r="73" spans="1:72" s="184" customFormat="1" ht="54.95" customHeight="1" x14ac:dyDescent="0.25">
      <c r="A73" s="155">
        <v>21</v>
      </c>
      <c r="B73" s="184" t="s">
        <v>978</v>
      </c>
      <c r="C73" s="184" t="s">
        <v>154</v>
      </c>
      <c r="D73" s="184" t="s">
        <v>3609</v>
      </c>
      <c r="E73" s="184" t="s">
        <v>3610</v>
      </c>
      <c r="F73" s="184" t="s">
        <v>3611</v>
      </c>
      <c r="G73" s="184" t="s">
        <v>3612</v>
      </c>
      <c r="H73" s="184" t="s">
        <v>3613</v>
      </c>
      <c r="I73" s="184" t="s">
        <v>3614</v>
      </c>
      <c r="J73" s="184" t="s">
        <v>3615</v>
      </c>
      <c r="K73" s="184" t="s">
        <v>3616</v>
      </c>
      <c r="L73" s="184" t="s">
        <v>3282</v>
      </c>
      <c r="M73" s="184" t="s">
        <v>3617</v>
      </c>
      <c r="N73" s="184" t="s">
        <v>3284</v>
      </c>
      <c r="O73" s="184">
        <v>20</v>
      </c>
      <c r="P73" s="184" t="s">
        <v>484</v>
      </c>
      <c r="Q73" s="184" t="s">
        <v>3618</v>
      </c>
      <c r="R73" s="184" t="s">
        <v>3619</v>
      </c>
      <c r="S73" s="184" t="s">
        <v>3620</v>
      </c>
      <c r="T73" s="184" t="s">
        <v>3621</v>
      </c>
      <c r="U73" s="184" t="s">
        <v>2744</v>
      </c>
      <c r="V73" s="184" t="s">
        <v>3622</v>
      </c>
      <c r="W73" s="184" t="s">
        <v>3623</v>
      </c>
      <c r="X73" s="184" t="s">
        <v>3624</v>
      </c>
      <c r="Y73" s="185" t="s">
        <v>3292</v>
      </c>
      <c r="Z73" s="185">
        <v>4</v>
      </c>
      <c r="AA73" s="185" t="s">
        <v>2359</v>
      </c>
      <c r="AB73" s="185" t="s">
        <v>3293</v>
      </c>
      <c r="AC73" s="185" t="s">
        <v>268</v>
      </c>
      <c r="AD73" s="185" t="s">
        <v>464</v>
      </c>
      <c r="AE73" s="185" t="s">
        <v>2772</v>
      </c>
      <c r="AF73" s="185" t="s">
        <v>273</v>
      </c>
      <c r="AG73" s="185" t="s">
        <v>3294</v>
      </c>
      <c r="AH73" s="185">
        <v>4</v>
      </c>
      <c r="AI73" s="185" t="s">
        <v>274</v>
      </c>
      <c r="AJ73" s="185" t="s">
        <v>275</v>
      </c>
      <c r="AK73" s="185" t="s">
        <v>465</v>
      </c>
      <c r="AL73" s="185" t="s">
        <v>274</v>
      </c>
      <c r="AM73" s="185" t="s">
        <v>275</v>
      </c>
      <c r="AN73" s="185" t="s">
        <v>272</v>
      </c>
      <c r="AO73" s="185" t="s">
        <v>3295</v>
      </c>
      <c r="AP73" s="185">
        <v>4</v>
      </c>
      <c r="AQ73" s="185" t="s">
        <v>2374</v>
      </c>
      <c r="AR73" s="185" t="s">
        <v>276</v>
      </c>
      <c r="AS73" s="185" t="s">
        <v>3296</v>
      </c>
      <c r="AT73" s="185" t="s">
        <v>2374</v>
      </c>
      <c r="AU73" s="185" t="s">
        <v>276</v>
      </c>
      <c r="AV73" s="185" t="s">
        <v>3296</v>
      </c>
      <c r="AW73" s="185" t="s">
        <v>3297</v>
      </c>
      <c r="AX73" s="185">
        <v>3</v>
      </c>
      <c r="AY73" s="185" t="s">
        <v>1558</v>
      </c>
      <c r="AZ73" s="185" t="s">
        <v>437</v>
      </c>
      <c r="BA73" s="185" t="s">
        <v>1035</v>
      </c>
      <c r="BB73" s="185" t="s">
        <v>1558</v>
      </c>
      <c r="BC73" s="185" t="s">
        <v>437</v>
      </c>
      <c r="BD73" s="185" t="s">
        <v>289</v>
      </c>
      <c r="BE73" s="185" t="s">
        <v>3298</v>
      </c>
      <c r="BF73" s="185">
        <v>3</v>
      </c>
      <c r="BG73" s="185" t="s">
        <v>786</v>
      </c>
      <c r="BH73" s="185" t="s">
        <v>410</v>
      </c>
      <c r="BI73" s="185" t="s">
        <v>352</v>
      </c>
      <c r="BJ73" s="185" t="s">
        <v>188</v>
      </c>
      <c r="BK73" s="185" t="s">
        <v>284</v>
      </c>
      <c r="BL73" s="185" t="s">
        <v>788</v>
      </c>
      <c r="BM73" s="185" t="s">
        <v>198</v>
      </c>
      <c r="BN73" s="185">
        <v>2</v>
      </c>
      <c r="BO73" s="185" t="s">
        <v>199</v>
      </c>
      <c r="BP73" s="185" t="s">
        <v>3299</v>
      </c>
      <c r="BQ73" s="185" t="s">
        <v>3300</v>
      </c>
      <c r="BR73" s="185" t="s">
        <v>199</v>
      </c>
      <c r="BS73" s="185" t="s">
        <v>202</v>
      </c>
      <c r="BT73" s="185" t="s">
        <v>203</v>
      </c>
    </row>
    <row r="74" spans="1:72" s="184" customFormat="1" ht="54.95" customHeight="1" x14ac:dyDescent="0.25">
      <c r="A74" s="155">
        <v>22</v>
      </c>
      <c r="B74" s="184" t="s">
        <v>472</v>
      </c>
      <c r="C74" s="184" t="s">
        <v>247</v>
      </c>
      <c r="D74" s="184" t="s">
        <v>3625</v>
      </c>
      <c r="E74" s="184" t="s">
        <v>3626</v>
      </c>
      <c r="F74" s="184" t="s">
        <v>3627</v>
      </c>
      <c r="G74" s="184" t="s">
        <v>3628</v>
      </c>
      <c r="H74" s="184" t="s">
        <v>3629</v>
      </c>
      <c r="I74" s="184" t="s">
        <v>3630</v>
      </c>
      <c r="J74" s="184" t="s">
        <v>3631</v>
      </c>
      <c r="K74" s="184" t="s">
        <v>3632</v>
      </c>
      <c r="L74" s="184" t="s">
        <v>3282</v>
      </c>
      <c r="M74" s="184" t="s">
        <v>3633</v>
      </c>
      <c r="N74" s="184" t="s">
        <v>3284</v>
      </c>
      <c r="O74" s="184">
        <v>20</v>
      </c>
      <c r="P74" s="184" t="s">
        <v>484</v>
      </c>
      <c r="Q74" s="184" t="s">
        <v>3634</v>
      </c>
      <c r="R74" s="184" t="s">
        <v>3635</v>
      </c>
      <c r="S74" s="184" t="s">
        <v>3636</v>
      </c>
      <c r="T74" s="184" t="s">
        <v>3637</v>
      </c>
      <c r="U74" s="184" t="s">
        <v>3638</v>
      </c>
      <c r="V74" s="184" t="s">
        <v>3639</v>
      </c>
      <c r="W74" s="184" t="s">
        <v>3640</v>
      </c>
      <c r="X74" s="184" t="s">
        <v>3641</v>
      </c>
      <c r="Y74" s="185" t="s">
        <v>3292</v>
      </c>
      <c r="Z74" s="185">
        <v>4</v>
      </c>
      <c r="AA74" s="185" t="s">
        <v>2359</v>
      </c>
      <c r="AB74" s="185" t="s">
        <v>3293</v>
      </c>
      <c r="AC74" s="185" t="s">
        <v>268</v>
      </c>
      <c r="AD74" s="185" t="s">
        <v>464</v>
      </c>
      <c r="AE74" s="185" t="s">
        <v>2772</v>
      </c>
      <c r="AF74" s="185" t="s">
        <v>273</v>
      </c>
      <c r="AG74" s="185" t="s">
        <v>3294</v>
      </c>
      <c r="AH74" s="185">
        <v>4</v>
      </c>
      <c r="AI74" s="185" t="s">
        <v>274</v>
      </c>
      <c r="AJ74" s="185" t="s">
        <v>275</v>
      </c>
      <c r="AK74" s="185" t="s">
        <v>465</v>
      </c>
      <c r="AL74" s="185" t="s">
        <v>274</v>
      </c>
      <c r="AM74" s="185" t="s">
        <v>275</v>
      </c>
      <c r="AN74" s="185" t="s">
        <v>272</v>
      </c>
      <c r="AO74" s="185" t="s">
        <v>3295</v>
      </c>
      <c r="AP74" s="185">
        <v>4</v>
      </c>
      <c r="AQ74" s="185" t="s">
        <v>2374</v>
      </c>
      <c r="AR74" s="185" t="s">
        <v>276</v>
      </c>
      <c r="AS74" s="185" t="s">
        <v>3296</v>
      </c>
      <c r="AT74" s="185" t="s">
        <v>2374</v>
      </c>
      <c r="AU74" s="185" t="s">
        <v>276</v>
      </c>
      <c r="AV74" s="185" t="s">
        <v>3296</v>
      </c>
      <c r="AW74" s="185" t="s">
        <v>3297</v>
      </c>
      <c r="AX74" s="185">
        <v>3</v>
      </c>
      <c r="AY74" s="185" t="s">
        <v>1558</v>
      </c>
      <c r="AZ74" s="185" t="s">
        <v>437</v>
      </c>
      <c r="BA74" s="185" t="s">
        <v>1035</v>
      </c>
      <c r="BB74" s="185" t="s">
        <v>1558</v>
      </c>
      <c r="BC74" s="185" t="s">
        <v>437</v>
      </c>
      <c r="BD74" s="185" t="s">
        <v>289</v>
      </c>
      <c r="BE74" s="185" t="s">
        <v>3298</v>
      </c>
      <c r="BF74" s="185">
        <v>3</v>
      </c>
      <c r="BG74" s="185" t="s">
        <v>786</v>
      </c>
      <c r="BH74" s="185" t="s">
        <v>410</v>
      </c>
      <c r="BI74" s="185" t="s">
        <v>352</v>
      </c>
      <c r="BJ74" s="185" t="s">
        <v>188</v>
      </c>
      <c r="BK74" s="185" t="s">
        <v>284</v>
      </c>
      <c r="BL74" s="185" t="s">
        <v>788</v>
      </c>
      <c r="BM74" s="185" t="s">
        <v>198</v>
      </c>
      <c r="BN74" s="185">
        <v>2</v>
      </c>
      <c r="BO74" s="185" t="s">
        <v>199</v>
      </c>
      <c r="BP74" s="185" t="s">
        <v>3299</v>
      </c>
      <c r="BQ74" s="185" t="s">
        <v>3300</v>
      </c>
      <c r="BR74" s="185" t="s">
        <v>199</v>
      </c>
      <c r="BS74" s="185" t="s">
        <v>202</v>
      </c>
      <c r="BT74" s="185" t="s">
        <v>203</v>
      </c>
    </row>
    <row r="75" spans="1:72" s="184" customFormat="1" ht="54.95" customHeight="1" x14ac:dyDescent="0.25">
      <c r="A75" s="155">
        <v>23</v>
      </c>
      <c r="B75" s="184" t="s">
        <v>798</v>
      </c>
      <c r="C75" s="184" t="s">
        <v>325</v>
      </c>
      <c r="D75" s="184" t="s">
        <v>3642</v>
      </c>
      <c r="E75" s="184" t="s">
        <v>3643</v>
      </c>
      <c r="F75" s="184" t="s">
        <v>3644</v>
      </c>
      <c r="G75" s="184" t="s">
        <v>3645</v>
      </c>
      <c r="H75" s="184" t="s">
        <v>3646</v>
      </c>
      <c r="I75" s="184" t="s">
        <v>3647</v>
      </c>
      <c r="J75" s="184" t="s">
        <v>3648</v>
      </c>
      <c r="K75" s="184" t="s">
        <v>3649</v>
      </c>
      <c r="L75" s="184" t="s">
        <v>3282</v>
      </c>
      <c r="M75" s="184" t="s">
        <v>3650</v>
      </c>
      <c r="N75" s="184" t="s">
        <v>3284</v>
      </c>
      <c r="O75" s="184">
        <v>20</v>
      </c>
      <c r="P75" s="184" t="s">
        <v>484</v>
      </c>
      <c r="Q75" s="184" t="s">
        <v>534</v>
      </c>
      <c r="R75" s="184" t="s">
        <v>3651</v>
      </c>
      <c r="S75" s="184" t="s">
        <v>3652</v>
      </c>
      <c r="T75" s="184" t="s">
        <v>3653</v>
      </c>
      <c r="U75" s="184" t="s">
        <v>3654</v>
      </c>
      <c r="V75" s="184" t="s">
        <v>3655</v>
      </c>
      <c r="W75" s="184" t="s">
        <v>3656</v>
      </c>
      <c r="X75" s="184" t="s">
        <v>3657</v>
      </c>
      <c r="Y75" s="185" t="s">
        <v>3292</v>
      </c>
      <c r="Z75" s="185">
        <v>4</v>
      </c>
      <c r="AA75" s="185" t="s">
        <v>2359</v>
      </c>
      <c r="AB75" s="185" t="s">
        <v>3293</v>
      </c>
      <c r="AC75" s="185" t="s">
        <v>268</v>
      </c>
      <c r="AD75" s="185" t="s">
        <v>464</v>
      </c>
      <c r="AE75" s="185" t="s">
        <v>2772</v>
      </c>
      <c r="AF75" s="185" t="s">
        <v>273</v>
      </c>
      <c r="AG75" s="185" t="s">
        <v>3294</v>
      </c>
      <c r="AH75" s="185">
        <v>4</v>
      </c>
      <c r="AI75" s="185" t="s">
        <v>274</v>
      </c>
      <c r="AJ75" s="185" t="s">
        <v>275</v>
      </c>
      <c r="AK75" s="185" t="s">
        <v>465</v>
      </c>
      <c r="AL75" s="185" t="s">
        <v>274</v>
      </c>
      <c r="AM75" s="185" t="s">
        <v>275</v>
      </c>
      <c r="AN75" s="185" t="s">
        <v>272</v>
      </c>
      <c r="AO75" s="185" t="s">
        <v>3295</v>
      </c>
      <c r="AP75" s="185">
        <v>4</v>
      </c>
      <c r="AQ75" s="185" t="s">
        <v>2374</v>
      </c>
      <c r="AR75" s="185" t="s">
        <v>276</v>
      </c>
      <c r="AS75" s="185" t="s">
        <v>3296</v>
      </c>
      <c r="AT75" s="185" t="s">
        <v>2374</v>
      </c>
      <c r="AU75" s="185" t="s">
        <v>276</v>
      </c>
      <c r="AV75" s="185" t="s">
        <v>3296</v>
      </c>
      <c r="AW75" s="185" t="s">
        <v>3297</v>
      </c>
      <c r="AX75" s="185">
        <v>3</v>
      </c>
      <c r="AY75" s="185" t="s">
        <v>1558</v>
      </c>
      <c r="AZ75" s="185" t="s">
        <v>437</v>
      </c>
      <c r="BA75" s="185" t="s">
        <v>1035</v>
      </c>
      <c r="BB75" s="185" t="s">
        <v>1558</v>
      </c>
      <c r="BC75" s="185" t="s">
        <v>437</v>
      </c>
      <c r="BD75" s="185" t="s">
        <v>289</v>
      </c>
      <c r="BE75" s="185" t="s">
        <v>3298</v>
      </c>
      <c r="BF75" s="185">
        <v>3</v>
      </c>
      <c r="BG75" s="185" t="s">
        <v>786</v>
      </c>
      <c r="BH75" s="185" t="s">
        <v>410</v>
      </c>
      <c r="BI75" s="185" t="s">
        <v>352</v>
      </c>
      <c r="BJ75" s="185" t="s">
        <v>188</v>
      </c>
      <c r="BK75" s="185" t="s">
        <v>284</v>
      </c>
      <c r="BL75" s="185" t="s">
        <v>788</v>
      </c>
      <c r="BM75" s="185" t="s">
        <v>198</v>
      </c>
      <c r="BN75" s="185">
        <v>2</v>
      </c>
      <c r="BO75" s="185" t="s">
        <v>199</v>
      </c>
      <c r="BP75" s="185" t="s">
        <v>3299</v>
      </c>
      <c r="BQ75" s="185" t="s">
        <v>3300</v>
      </c>
      <c r="BR75" s="185" t="s">
        <v>199</v>
      </c>
      <c r="BS75" s="185" t="s">
        <v>202</v>
      </c>
      <c r="BT75" s="185" t="s">
        <v>203</v>
      </c>
    </row>
    <row r="76" spans="1:72" s="184" customFormat="1" ht="54.95" customHeight="1" x14ac:dyDescent="0.25">
      <c r="A76" s="155">
        <v>24</v>
      </c>
      <c r="B76" s="184" t="s">
        <v>444</v>
      </c>
      <c r="C76" s="184" t="s">
        <v>247</v>
      </c>
      <c r="D76" s="184" t="s">
        <v>3658</v>
      </c>
      <c r="E76" s="184" t="s">
        <v>3659</v>
      </c>
      <c r="F76" s="184" t="s">
        <v>3660</v>
      </c>
      <c r="G76" s="184" t="s">
        <v>3661</v>
      </c>
      <c r="H76" s="184" t="s">
        <v>3662</v>
      </c>
      <c r="I76" s="184" t="s">
        <v>3663</v>
      </c>
      <c r="J76" s="184" t="s">
        <v>3664</v>
      </c>
      <c r="K76" s="184" t="s">
        <v>3665</v>
      </c>
      <c r="L76" s="184" t="s">
        <v>3282</v>
      </c>
      <c r="M76" s="184" t="s">
        <v>3666</v>
      </c>
      <c r="N76" s="184" t="s">
        <v>3284</v>
      </c>
      <c r="O76" s="184">
        <v>20</v>
      </c>
      <c r="P76" s="184" t="s">
        <v>259</v>
      </c>
      <c r="Q76" s="184" t="s">
        <v>3667</v>
      </c>
      <c r="R76" s="184" t="s">
        <v>3668</v>
      </c>
      <c r="S76" s="184" t="s">
        <v>3669</v>
      </c>
      <c r="T76" s="184" t="s">
        <v>3670</v>
      </c>
      <c r="U76" s="184" t="s">
        <v>2107</v>
      </c>
      <c r="V76" s="184" t="s">
        <v>3671</v>
      </c>
      <c r="W76" s="184" t="s">
        <v>3672</v>
      </c>
      <c r="X76" s="184" t="s">
        <v>3673</v>
      </c>
      <c r="Y76" s="185" t="s">
        <v>3292</v>
      </c>
      <c r="Z76" s="185">
        <v>4</v>
      </c>
      <c r="AA76" s="185" t="s">
        <v>2359</v>
      </c>
      <c r="AB76" s="185" t="s">
        <v>3293</v>
      </c>
      <c r="AC76" s="185" t="s">
        <v>268</v>
      </c>
      <c r="AD76" s="185" t="s">
        <v>464</v>
      </c>
      <c r="AE76" s="185" t="s">
        <v>2772</v>
      </c>
      <c r="AF76" s="185" t="s">
        <v>273</v>
      </c>
      <c r="AG76" s="185" t="s">
        <v>3294</v>
      </c>
      <c r="AH76" s="185">
        <v>4</v>
      </c>
      <c r="AI76" s="185" t="s">
        <v>274</v>
      </c>
      <c r="AJ76" s="185" t="s">
        <v>275</v>
      </c>
      <c r="AK76" s="185" t="s">
        <v>465</v>
      </c>
      <c r="AL76" s="185" t="s">
        <v>274</v>
      </c>
      <c r="AM76" s="185" t="s">
        <v>275</v>
      </c>
      <c r="AN76" s="185" t="s">
        <v>272</v>
      </c>
      <c r="AO76" s="185" t="s">
        <v>3295</v>
      </c>
      <c r="AP76" s="185">
        <v>4</v>
      </c>
      <c r="AQ76" s="185" t="s">
        <v>2374</v>
      </c>
      <c r="AR76" s="185" t="s">
        <v>276</v>
      </c>
      <c r="AS76" s="185" t="s">
        <v>3296</v>
      </c>
      <c r="AT76" s="185" t="s">
        <v>2374</v>
      </c>
      <c r="AU76" s="185" t="s">
        <v>276</v>
      </c>
      <c r="AV76" s="185" t="s">
        <v>3296</v>
      </c>
      <c r="AW76" s="185" t="s">
        <v>3297</v>
      </c>
      <c r="AX76" s="185">
        <v>3</v>
      </c>
      <c r="AY76" s="185" t="s">
        <v>1558</v>
      </c>
      <c r="AZ76" s="185" t="s">
        <v>437</v>
      </c>
      <c r="BA76" s="185" t="s">
        <v>1035</v>
      </c>
      <c r="BB76" s="185" t="s">
        <v>1558</v>
      </c>
      <c r="BC76" s="185" t="s">
        <v>437</v>
      </c>
      <c r="BD76" s="185" t="s">
        <v>289</v>
      </c>
      <c r="BE76" s="185" t="s">
        <v>3298</v>
      </c>
      <c r="BF76" s="185">
        <v>3</v>
      </c>
      <c r="BG76" s="185" t="s">
        <v>786</v>
      </c>
      <c r="BH76" s="185" t="s">
        <v>410</v>
      </c>
      <c r="BI76" s="185" t="s">
        <v>352</v>
      </c>
      <c r="BJ76" s="185" t="s">
        <v>188</v>
      </c>
      <c r="BK76" s="185" t="s">
        <v>284</v>
      </c>
      <c r="BL76" s="185" t="s">
        <v>788</v>
      </c>
      <c r="BM76" s="185" t="s">
        <v>198</v>
      </c>
      <c r="BN76" s="185">
        <v>2</v>
      </c>
      <c r="BO76" s="185" t="s">
        <v>199</v>
      </c>
      <c r="BP76" s="185" t="s">
        <v>3299</v>
      </c>
      <c r="BQ76" s="185" t="s">
        <v>3300</v>
      </c>
      <c r="BR76" s="185" t="s">
        <v>199</v>
      </c>
      <c r="BS76" s="185" t="s">
        <v>202</v>
      </c>
      <c r="BT76" s="185" t="s">
        <v>203</v>
      </c>
    </row>
    <row r="77" spans="1:72" s="184" customFormat="1" ht="54.95" customHeight="1" x14ac:dyDescent="0.25">
      <c r="A77" s="155">
        <v>25</v>
      </c>
      <c r="B77" s="184" t="s">
        <v>506</v>
      </c>
      <c r="C77" s="184" t="s">
        <v>3674</v>
      </c>
      <c r="D77" s="184" t="s">
        <v>3675</v>
      </c>
      <c r="E77" s="184" t="s">
        <v>3676</v>
      </c>
      <c r="F77" s="184" t="s">
        <v>3677</v>
      </c>
      <c r="G77" s="184" t="s">
        <v>3678</v>
      </c>
      <c r="H77" s="184" t="s">
        <v>3679</v>
      </c>
      <c r="I77" s="184" t="s">
        <v>3680</v>
      </c>
      <c r="J77" s="184" t="s">
        <v>3681</v>
      </c>
      <c r="K77" s="184" t="s">
        <v>3682</v>
      </c>
      <c r="L77" s="184" t="s">
        <v>3282</v>
      </c>
      <c r="M77" s="184" t="s">
        <v>3683</v>
      </c>
      <c r="N77" s="184" t="s">
        <v>3284</v>
      </c>
      <c r="O77" s="184">
        <v>20</v>
      </c>
      <c r="P77" s="184" t="s">
        <v>259</v>
      </c>
      <c r="Q77" s="184" t="s">
        <v>3684</v>
      </c>
      <c r="R77" s="184" t="s">
        <v>3685</v>
      </c>
      <c r="S77" s="184" t="s">
        <v>3686</v>
      </c>
      <c r="T77" s="184" t="s">
        <v>3687</v>
      </c>
      <c r="U77" s="184" t="s">
        <v>3688</v>
      </c>
      <c r="V77" s="184" t="s">
        <v>3689</v>
      </c>
      <c r="W77" s="184" t="s">
        <v>3690</v>
      </c>
      <c r="X77" s="184" t="s">
        <v>3691</v>
      </c>
      <c r="Y77" s="185" t="s">
        <v>3292</v>
      </c>
      <c r="Z77" s="185">
        <v>4</v>
      </c>
      <c r="AA77" s="185" t="s">
        <v>2359</v>
      </c>
      <c r="AB77" s="185" t="s">
        <v>3293</v>
      </c>
      <c r="AC77" s="185" t="s">
        <v>268</v>
      </c>
      <c r="AD77" s="185" t="s">
        <v>464</v>
      </c>
      <c r="AE77" s="185" t="s">
        <v>2772</v>
      </c>
      <c r="AF77" s="185" t="s">
        <v>273</v>
      </c>
      <c r="AG77" s="185" t="s">
        <v>3294</v>
      </c>
      <c r="AH77" s="185">
        <v>4</v>
      </c>
      <c r="AI77" s="185" t="s">
        <v>274</v>
      </c>
      <c r="AJ77" s="185" t="s">
        <v>275</v>
      </c>
      <c r="AK77" s="185" t="s">
        <v>465</v>
      </c>
      <c r="AL77" s="185" t="s">
        <v>274</v>
      </c>
      <c r="AM77" s="185" t="s">
        <v>275</v>
      </c>
      <c r="AN77" s="185" t="s">
        <v>272</v>
      </c>
      <c r="AO77" s="185" t="s">
        <v>3295</v>
      </c>
      <c r="AP77" s="185">
        <v>4</v>
      </c>
      <c r="AQ77" s="185" t="s">
        <v>2374</v>
      </c>
      <c r="AR77" s="185" t="s">
        <v>276</v>
      </c>
      <c r="AS77" s="185" t="s">
        <v>3296</v>
      </c>
      <c r="AT77" s="185" t="s">
        <v>2374</v>
      </c>
      <c r="AU77" s="185" t="s">
        <v>276</v>
      </c>
      <c r="AV77" s="185" t="s">
        <v>3296</v>
      </c>
      <c r="AW77" s="185" t="s">
        <v>3297</v>
      </c>
      <c r="AX77" s="185">
        <v>3</v>
      </c>
      <c r="AY77" s="185" t="s">
        <v>1558</v>
      </c>
      <c r="AZ77" s="185" t="s">
        <v>437</v>
      </c>
      <c r="BA77" s="185" t="s">
        <v>1035</v>
      </c>
      <c r="BB77" s="185" t="s">
        <v>1558</v>
      </c>
      <c r="BC77" s="185" t="s">
        <v>437</v>
      </c>
      <c r="BD77" s="185" t="s">
        <v>289</v>
      </c>
      <c r="BE77" s="185" t="s">
        <v>3298</v>
      </c>
      <c r="BF77" s="185">
        <v>3</v>
      </c>
      <c r="BG77" s="185" t="s">
        <v>786</v>
      </c>
      <c r="BH77" s="185" t="s">
        <v>410</v>
      </c>
      <c r="BI77" s="185" t="s">
        <v>352</v>
      </c>
      <c r="BJ77" s="185" t="s">
        <v>188</v>
      </c>
      <c r="BK77" s="185" t="s">
        <v>284</v>
      </c>
      <c r="BL77" s="185" t="s">
        <v>788</v>
      </c>
      <c r="BM77" s="185" t="s">
        <v>198</v>
      </c>
      <c r="BN77" s="185">
        <v>2</v>
      </c>
      <c r="BO77" s="185" t="s">
        <v>199</v>
      </c>
      <c r="BP77" s="185" t="s">
        <v>3299</v>
      </c>
      <c r="BQ77" s="185" t="s">
        <v>3300</v>
      </c>
      <c r="BR77" s="185" t="s">
        <v>199</v>
      </c>
      <c r="BS77" s="185" t="s">
        <v>202</v>
      </c>
      <c r="BT77" s="185" t="s">
        <v>203</v>
      </c>
    </row>
    <row r="78" spans="1:72" s="184" customFormat="1" ht="54.95" customHeight="1" x14ac:dyDescent="0.25">
      <c r="A78" s="155">
        <v>26</v>
      </c>
      <c r="B78" s="184" t="s">
        <v>324</v>
      </c>
      <c r="C78" s="184" t="s">
        <v>247</v>
      </c>
      <c r="D78" s="184" t="s">
        <v>3692</v>
      </c>
      <c r="E78" s="184" t="s">
        <v>3693</v>
      </c>
      <c r="F78" s="184" t="s">
        <v>3694</v>
      </c>
      <c r="G78" s="184" t="s">
        <v>3695</v>
      </c>
      <c r="H78" s="184" t="s">
        <v>3696</v>
      </c>
      <c r="I78" s="184" t="s">
        <v>3697</v>
      </c>
      <c r="J78" s="184" t="s">
        <v>3698</v>
      </c>
      <c r="K78" s="184" t="s">
        <v>3699</v>
      </c>
      <c r="L78" s="184" t="s">
        <v>3282</v>
      </c>
      <c r="M78" s="184" t="s">
        <v>3700</v>
      </c>
      <c r="N78" s="184" t="s">
        <v>3284</v>
      </c>
      <c r="O78" s="184">
        <v>20</v>
      </c>
      <c r="P78" s="184" t="s">
        <v>164</v>
      </c>
      <c r="Q78" s="184" t="s">
        <v>3701</v>
      </c>
      <c r="R78" s="184" t="s">
        <v>3702</v>
      </c>
      <c r="S78" s="184" t="s">
        <v>3703</v>
      </c>
      <c r="T78" s="184" t="s">
        <v>3424</v>
      </c>
      <c r="U78" s="184" t="s">
        <v>2524</v>
      </c>
      <c r="V78" s="184" t="s">
        <v>3704</v>
      </c>
      <c r="W78" s="184" t="s">
        <v>3705</v>
      </c>
      <c r="X78" s="184" t="s">
        <v>3706</v>
      </c>
      <c r="Y78" s="185" t="s">
        <v>3292</v>
      </c>
      <c r="Z78" s="185">
        <v>4</v>
      </c>
      <c r="AA78" s="185" t="s">
        <v>2359</v>
      </c>
      <c r="AB78" s="185" t="s">
        <v>3293</v>
      </c>
      <c r="AC78" s="185" t="s">
        <v>268</v>
      </c>
      <c r="AD78" s="185" t="s">
        <v>464</v>
      </c>
      <c r="AE78" s="185" t="s">
        <v>2772</v>
      </c>
      <c r="AF78" s="185" t="s">
        <v>273</v>
      </c>
      <c r="AG78" s="185" t="s">
        <v>3294</v>
      </c>
      <c r="AH78" s="185">
        <v>4</v>
      </c>
      <c r="AI78" s="185" t="s">
        <v>274</v>
      </c>
      <c r="AJ78" s="185" t="s">
        <v>275</v>
      </c>
      <c r="AK78" s="185" t="s">
        <v>465</v>
      </c>
      <c r="AL78" s="185" t="s">
        <v>274</v>
      </c>
      <c r="AM78" s="185" t="s">
        <v>275</v>
      </c>
      <c r="AN78" s="185" t="s">
        <v>272</v>
      </c>
      <c r="AO78" s="185" t="s">
        <v>3295</v>
      </c>
      <c r="AP78" s="185">
        <v>4</v>
      </c>
      <c r="AQ78" s="185" t="s">
        <v>2374</v>
      </c>
      <c r="AR78" s="185" t="s">
        <v>276</v>
      </c>
      <c r="AS78" s="185" t="s">
        <v>3296</v>
      </c>
      <c r="AT78" s="185" t="s">
        <v>2374</v>
      </c>
      <c r="AU78" s="185" t="s">
        <v>276</v>
      </c>
      <c r="AV78" s="185" t="s">
        <v>3296</v>
      </c>
      <c r="AW78" s="185" t="s">
        <v>3297</v>
      </c>
      <c r="AX78" s="185">
        <v>3</v>
      </c>
      <c r="AY78" s="185" t="s">
        <v>1558</v>
      </c>
      <c r="AZ78" s="185" t="s">
        <v>437</v>
      </c>
      <c r="BA78" s="185" t="s">
        <v>1035</v>
      </c>
      <c r="BB78" s="185" t="s">
        <v>1558</v>
      </c>
      <c r="BC78" s="185" t="s">
        <v>437</v>
      </c>
      <c r="BD78" s="185" t="s">
        <v>289</v>
      </c>
      <c r="BE78" s="185" t="s">
        <v>3298</v>
      </c>
      <c r="BF78" s="185">
        <v>3</v>
      </c>
      <c r="BG78" s="185" t="s">
        <v>786</v>
      </c>
      <c r="BH78" s="185" t="s">
        <v>410</v>
      </c>
      <c r="BI78" s="185" t="s">
        <v>352</v>
      </c>
      <c r="BJ78" s="185" t="s">
        <v>188</v>
      </c>
      <c r="BK78" s="185" t="s">
        <v>284</v>
      </c>
      <c r="BL78" s="185" t="s">
        <v>788</v>
      </c>
      <c r="BM78" s="185" t="s">
        <v>198</v>
      </c>
      <c r="BN78" s="185">
        <v>2</v>
      </c>
      <c r="BO78" s="185" t="s">
        <v>199</v>
      </c>
      <c r="BP78" s="185" t="s">
        <v>3299</v>
      </c>
      <c r="BQ78" s="185" t="s">
        <v>3300</v>
      </c>
      <c r="BR78" s="185" t="s">
        <v>199</v>
      </c>
      <c r="BS78" s="185" t="s">
        <v>202</v>
      </c>
      <c r="BT78" s="185" t="s">
        <v>203</v>
      </c>
    </row>
    <row r="79" spans="1:72" s="184" customFormat="1" ht="54.95" customHeight="1" x14ac:dyDescent="0.25">
      <c r="A79" s="155">
        <v>27</v>
      </c>
      <c r="B79" s="184" t="s">
        <v>324</v>
      </c>
      <c r="C79" s="184" t="s">
        <v>570</v>
      </c>
      <c r="D79" s="184" t="s">
        <v>3707</v>
      </c>
      <c r="E79" s="184" t="s">
        <v>3708</v>
      </c>
      <c r="F79" s="184" t="s">
        <v>3709</v>
      </c>
      <c r="G79" s="184" t="s">
        <v>3710</v>
      </c>
      <c r="H79" s="184" t="s">
        <v>3711</v>
      </c>
      <c r="I79" s="184" t="s">
        <v>3712</v>
      </c>
      <c r="J79" s="184" t="s">
        <v>3713</v>
      </c>
      <c r="K79" s="184" t="s">
        <v>3714</v>
      </c>
      <c r="L79" s="184" t="s">
        <v>3282</v>
      </c>
      <c r="M79" s="184" t="s">
        <v>3715</v>
      </c>
      <c r="N79" s="184" t="s">
        <v>3284</v>
      </c>
      <c r="O79" s="184">
        <v>20</v>
      </c>
      <c r="P79" s="184" t="s">
        <v>259</v>
      </c>
      <c r="Q79" s="184" t="s">
        <v>3716</v>
      </c>
      <c r="R79" s="184" t="s">
        <v>3717</v>
      </c>
      <c r="S79" s="184" t="s">
        <v>3718</v>
      </c>
      <c r="T79" s="184" t="s">
        <v>3719</v>
      </c>
      <c r="U79" s="184" t="s">
        <v>3720</v>
      </c>
      <c r="V79" s="184" t="s">
        <v>3721</v>
      </c>
      <c r="W79" s="184" t="s">
        <v>3722</v>
      </c>
      <c r="X79" s="184" t="s">
        <v>3723</v>
      </c>
      <c r="Y79" s="185" t="s">
        <v>3292</v>
      </c>
      <c r="Z79" s="185">
        <v>4</v>
      </c>
      <c r="AA79" s="185" t="s">
        <v>2359</v>
      </c>
      <c r="AB79" s="185" t="s">
        <v>3293</v>
      </c>
      <c r="AC79" s="185" t="s">
        <v>268</v>
      </c>
      <c r="AD79" s="185" t="s">
        <v>464</v>
      </c>
      <c r="AE79" s="185" t="s">
        <v>2772</v>
      </c>
      <c r="AF79" s="185" t="s">
        <v>273</v>
      </c>
      <c r="AG79" s="185" t="s">
        <v>3294</v>
      </c>
      <c r="AH79" s="185">
        <v>4</v>
      </c>
      <c r="AI79" s="185" t="s">
        <v>274</v>
      </c>
      <c r="AJ79" s="185" t="s">
        <v>275</v>
      </c>
      <c r="AK79" s="185" t="s">
        <v>465</v>
      </c>
      <c r="AL79" s="185" t="s">
        <v>274</v>
      </c>
      <c r="AM79" s="185" t="s">
        <v>275</v>
      </c>
      <c r="AN79" s="185" t="s">
        <v>272</v>
      </c>
      <c r="AO79" s="185" t="s">
        <v>3295</v>
      </c>
      <c r="AP79" s="185">
        <v>4</v>
      </c>
      <c r="AQ79" s="185" t="s">
        <v>2374</v>
      </c>
      <c r="AR79" s="185" t="s">
        <v>276</v>
      </c>
      <c r="AS79" s="185" t="s">
        <v>3296</v>
      </c>
      <c r="AT79" s="185" t="s">
        <v>2374</v>
      </c>
      <c r="AU79" s="185" t="s">
        <v>276</v>
      </c>
      <c r="AV79" s="185" t="s">
        <v>3296</v>
      </c>
      <c r="AW79" s="185" t="s">
        <v>3297</v>
      </c>
      <c r="AX79" s="185">
        <v>3</v>
      </c>
      <c r="AY79" s="185" t="s">
        <v>1558</v>
      </c>
      <c r="AZ79" s="185" t="s">
        <v>437</v>
      </c>
      <c r="BA79" s="185" t="s">
        <v>1035</v>
      </c>
      <c r="BB79" s="185" t="s">
        <v>1558</v>
      </c>
      <c r="BC79" s="185" t="s">
        <v>437</v>
      </c>
      <c r="BD79" s="185" t="s">
        <v>289</v>
      </c>
      <c r="BE79" s="185" t="s">
        <v>3298</v>
      </c>
      <c r="BF79" s="185">
        <v>3</v>
      </c>
      <c r="BG79" s="185" t="s">
        <v>786</v>
      </c>
      <c r="BH79" s="185" t="s">
        <v>410</v>
      </c>
      <c r="BI79" s="185" t="s">
        <v>352</v>
      </c>
      <c r="BJ79" s="185" t="s">
        <v>188</v>
      </c>
      <c r="BK79" s="185" t="s">
        <v>284</v>
      </c>
      <c r="BL79" s="185" t="s">
        <v>788</v>
      </c>
      <c r="BM79" s="185" t="s">
        <v>198</v>
      </c>
      <c r="BN79" s="185">
        <v>2</v>
      </c>
      <c r="BO79" s="185" t="s">
        <v>199</v>
      </c>
      <c r="BP79" s="185" t="s">
        <v>3299</v>
      </c>
      <c r="BQ79" s="185" t="s">
        <v>3300</v>
      </c>
      <c r="BR79" s="185" t="s">
        <v>199</v>
      </c>
      <c r="BS79" s="185" t="s">
        <v>202</v>
      </c>
      <c r="BT79" s="185" t="s">
        <v>203</v>
      </c>
    </row>
    <row r="80" spans="1:72" s="184" customFormat="1" ht="54.95" customHeight="1" x14ac:dyDescent="0.25">
      <c r="A80" s="155">
        <v>28</v>
      </c>
      <c r="B80" s="184" t="s">
        <v>385</v>
      </c>
      <c r="C80" s="184" t="s">
        <v>154</v>
      </c>
      <c r="D80" s="184" t="s">
        <v>3724</v>
      </c>
      <c r="E80" s="184" t="s">
        <v>3725</v>
      </c>
      <c r="F80" s="184" t="s">
        <v>3726</v>
      </c>
      <c r="G80" s="184" t="s">
        <v>3727</v>
      </c>
      <c r="H80" s="184" t="s">
        <v>3728</v>
      </c>
      <c r="I80" s="184" t="s">
        <v>3729</v>
      </c>
      <c r="J80" s="184" t="s">
        <v>3730</v>
      </c>
      <c r="K80" s="184" t="s">
        <v>3731</v>
      </c>
      <c r="L80" s="184" t="s">
        <v>3282</v>
      </c>
      <c r="M80" s="184" t="s">
        <v>3732</v>
      </c>
      <c r="N80" s="184" t="s">
        <v>3284</v>
      </c>
      <c r="O80" s="184">
        <v>20</v>
      </c>
      <c r="P80" s="184" t="s">
        <v>259</v>
      </c>
      <c r="Q80" s="184" t="s">
        <v>3733</v>
      </c>
      <c r="R80" s="184" t="s">
        <v>3734</v>
      </c>
      <c r="S80" s="184" t="s">
        <v>3735</v>
      </c>
      <c r="T80" s="184" t="s">
        <v>3736</v>
      </c>
      <c r="U80" s="184" t="s">
        <v>521</v>
      </c>
      <c r="V80" s="184" t="s">
        <v>3737</v>
      </c>
      <c r="W80" s="184" t="s">
        <v>3738</v>
      </c>
      <c r="X80" s="184" t="s">
        <v>3739</v>
      </c>
      <c r="Y80" s="185" t="s">
        <v>3292</v>
      </c>
      <c r="Z80" s="185">
        <v>4</v>
      </c>
      <c r="AA80" s="185" t="s">
        <v>2359</v>
      </c>
      <c r="AB80" s="185" t="s">
        <v>3293</v>
      </c>
      <c r="AC80" s="185" t="s">
        <v>268</v>
      </c>
      <c r="AD80" s="185" t="s">
        <v>464</v>
      </c>
      <c r="AE80" s="185" t="s">
        <v>2772</v>
      </c>
      <c r="AF80" s="185" t="s">
        <v>273</v>
      </c>
      <c r="AG80" s="185" t="s">
        <v>3294</v>
      </c>
      <c r="AH80" s="185">
        <v>4</v>
      </c>
      <c r="AI80" s="185" t="s">
        <v>274</v>
      </c>
      <c r="AJ80" s="185" t="s">
        <v>275</v>
      </c>
      <c r="AK80" s="185" t="s">
        <v>465</v>
      </c>
      <c r="AL80" s="185" t="s">
        <v>274</v>
      </c>
      <c r="AM80" s="185" t="s">
        <v>275</v>
      </c>
      <c r="AN80" s="185" t="s">
        <v>272</v>
      </c>
      <c r="AO80" s="185" t="s">
        <v>3295</v>
      </c>
      <c r="AP80" s="185">
        <v>4</v>
      </c>
      <c r="AQ80" s="185" t="s">
        <v>2374</v>
      </c>
      <c r="AR80" s="185" t="s">
        <v>276</v>
      </c>
      <c r="AS80" s="185" t="s">
        <v>3296</v>
      </c>
      <c r="AT80" s="185" t="s">
        <v>2374</v>
      </c>
      <c r="AU80" s="185" t="s">
        <v>276</v>
      </c>
      <c r="AV80" s="185" t="s">
        <v>3296</v>
      </c>
      <c r="AW80" s="185" t="s">
        <v>3297</v>
      </c>
      <c r="AX80" s="185">
        <v>3</v>
      </c>
      <c r="AY80" s="185" t="s">
        <v>1558</v>
      </c>
      <c r="AZ80" s="185" t="s">
        <v>437</v>
      </c>
      <c r="BA80" s="185" t="s">
        <v>1035</v>
      </c>
      <c r="BB80" s="185" t="s">
        <v>1558</v>
      </c>
      <c r="BC80" s="185" t="s">
        <v>437</v>
      </c>
      <c r="BD80" s="185" t="s">
        <v>289</v>
      </c>
      <c r="BE80" s="185" t="s">
        <v>3298</v>
      </c>
      <c r="BF80" s="185">
        <v>3</v>
      </c>
      <c r="BG80" s="185" t="s">
        <v>786</v>
      </c>
      <c r="BH80" s="185" t="s">
        <v>410</v>
      </c>
      <c r="BI80" s="185" t="s">
        <v>352</v>
      </c>
      <c r="BJ80" s="185" t="s">
        <v>188</v>
      </c>
      <c r="BK80" s="185" t="s">
        <v>284</v>
      </c>
      <c r="BL80" s="185" t="s">
        <v>788</v>
      </c>
      <c r="BM80" s="185" t="s">
        <v>198</v>
      </c>
      <c r="BN80" s="185">
        <v>2</v>
      </c>
      <c r="BO80" s="185" t="s">
        <v>199</v>
      </c>
      <c r="BP80" s="185" t="s">
        <v>3299</v>
      </c>
      <c r="BQ80" s="185" t="s">
        <v>3300</v>
      </c>
      <c r="BR80" s="185" t="s">
        <v>199</v>
      </c>
      <c r="BS80" s="185" t="s">
        <v>202</v>
      </c>
      <c r="BT80" s="185" t="s">
        <v>203</v>
      </c>
    </row>
    <row r="81" spans="1:72" s="184" customFormat="1" ht="54.95" customHeight="1" x14ac:dyDescent="0.25">
      <c r="A81" s="155">
        <v>29</v>
      </c>
      <c r="B81" s="184" t="s">
        <v>978</v>
      </c>
      <c r="C81" s="184" t="s">
        <v>205</v>
      </c>
      <c r="D81" s="184" t="s">
        <v>3740</v>
      </c>
      <c r="E81" s="184" t="s">
        <v>3741</v>
      </c>
      <c r="F81" s="184" t="s">
        <v>3742</v>
      </c>
      <c r="G81" s="184" t="s">
        <v>3743</v>
      </c>
      <c r="H81" s="184" t="s">
        <v>3744</v>
      </c>
      <c r="I81" s="184" t="s">
        <v>3745</v>
      </c>
      <c r="J81" s="184" t="s">
        <v>3746</v>
      </c>
      <c r="K81" s="184" t="s">
        <v>3747</v>
      </c>
      <c r="L81" s="184" t="s">
        <v>3282</v>
      </c>
      <c r="M81" s="184" t="s">
        <v>3748</v>
      </c>
      <c r="N81" s="184" t="s">
        <v>3284</v>
      </c>
      <c r="O81" s="184">
        <v>20</v>
      </c>
      <c r="P81" s="184" t="s">
        <v>484</v>
      </c>
      <c r="Q81" s="184" t="s">
        <v>3749</v>
      </c>
      <c r="R81" s="184" t="s">
        <v>3750</v>
      </c>
      <c r="S81" s="184" t="s">
        <v>3751</v>
      </c>
      <c r="T81" s="184" t="s">
        <v>3752</v>
      </c>
      <c r="U81" s="184" t="s">
        <v>3753</v>
      </c>
      <c r="V81" s="184" t="s">
        <v>3754</v>
      </c>
      <c r="W81" s="184" t="s">
        <v>3755</v>
      </c>
      <c r="X81" s="184" t="s">
        <v>3756</v>
      </c>
      <c r="Y81" s="185" t="s">
        <v>3292</v>
      </c>
      <c r="Z81" s="185">
        <v>4</v>
      </c>
      <c r="AA81" s="185" t="s">
        <v>2359</v>
      </c>
      <c r="AB81" s="185" t="s">
        <v>3293</v>
      </c>
      <c r="AC81" s="185" t="s">
        <v>268</v>
      </c>
      <c r="AD81" s="185" t="s">
        <v>464</v>
      </c>
      <c r="AE81" s="185" t="s">
        <v>2772</v>
      </c>
      <c r="AF81" s="185" t="s">
        <v>273</v>
      </c>
      <c r="AG81" s="185" t="s">
        <v>3294</v>
      </c>
      <c r="AH81" s="185">
        <v>4</v>
      </c>
      <c r="AI81" s="185" t="s">
        <v>274</v>
      </c>
      <c r="AJ81" s="185" t="s">
        <v>275</v>
      </c>
      <c r="AK81" s="185" t="s">
        <v>465</v>
      </c>
      <c r="AL81" s="185" t="s">
        <v>274</v>
      </c>
      <c r="AM81" s="185" t="s">
        <v>275</v>
      </c>
      <c r="AN81" s="185" t="s">
        <v>272</v>
      </c>
      <c r="AO81" s="185" t="s">
        <v>3295</v>
      </c>
      <c r="AP81" s="185">
        <v>4</v>
      </c>
      <c r="AQ81" s="185" t="s">
        <v>2374</v>
      </c>
      <c r="AR81" s="185" t="s">
        <v>276</v>
      </c>
      <c r="AS81" s="185" t="s">
        <v>3296</v>
      </c>
      <c r="AT81" s="185" t="s">
        <v>2374</v>
      </c>
      <c r="AU81" s="185" t="s">
        <v>276</v>
      </c>
      <c r="AV81" s="185" t="s">
        <v>3296</v>
      </c>
      <c r="AW81" s="185" t="s">
        <v>3297</v>
      </c>
      <c r="AX81" s="185">
        <v>3</v>
      </c>
      <c r="AY81" s="185" t="s">
        <v>1558</v>
      </c>
      <c r="AZ81" s="185" t="s">
        <v>437</v>
      </c>
      <c r="BA81" s="185" t="s">
        <v>1035</v>
      </c>
      <c r="BB81" s="185" t="s">
        <v>1558</v>
      </c>
      <c r="BC81" s="185" t="s">
        <v>437</v>
      </c>
      <c r="BD81" s="185" t="s">
        <v>289</v>
      </c>
      <c r="BE81" s="185" t="s">
        <v>3298</v>
      </c>
      <c r="BF81" s="185">
        <v>3</v>
      </c>
      <c r="BG81" s="185" t="s">
        <v>786</v>
      </c>
      <c r="BH81" s="185" t="s">
        <v>410</v>
      </c>
      <c r="BI81" s="185" t="s">
        <v>352</v>
      </c>
      <c r="BJ81" s="185" t="s">
        <v>188</v>
      </c>
      <c r="BK81" s="185" t="s">
        <v>284</v>
      </c>
      <c r="BL81" s="185" t="s">
        <v>788</v>
      </c>
      <c r="BM81" s="185" t="s">
        <v>198</v>
      </c>
      <c r="BN81" s="185">
        <v>2</v>
      </c>
      <c r="BO81" s="185" t="s">
        <v>199</v>
      </c>
      <c r="BP81" s="185" t="s">
        <v>3299</v>
      </c>
      <c r="BQ81" s="185" t="s">
        <v>3300</v>
      </c>
      <c r="BR81" s="185" t="s">
        <v>199</v>
      </c>
      <c r="BS81" s="185" t="s">
        <v>202</v>
      </c>
      <c r="BT81" s="185" t="s">
        <v>203</v>
      </c>
    </row>
    <row r="82" spans="1:72" s="184" customFormat="1" ht="54.95" customHeight="1" x14ac:dyDescent="0.25">
      <c r="A82" s="155">
        <v>30</v>
      </c>
      <c r="B82" s="184" t="s">
        <v>3757</v>
      </c>
      <c r="C82" s="184" t="s">
        <v>247</v>
      </c>
      <c r="D82" s="184" t="s">
        <v>3758</v>
      </c>
      <c r="E82" s="184" t="s">
        <v>3759</v>
      </c>
      <c r="F82" s="184" t="s">
        <v>3760</v>
      </c>
      <c r="G82" s="184" t="s">
        <v>3761</v>
      </c>
      <c r="H82" s="184" t="s">
        <v>3762</v>
      </c>
      <c r="I82" s="184" t="s">
        <v>3763</v>
      </c>
      <c r="J82" s="184" t="s">
        <v>3764</v>
      </c>
      <c r="K82" s="184" t="s">
        <v>3765</v>
      </c>
      <c r="L82" s="184" t="s">
        <v>3282</v>
      </c>
      <c r="M82" s="184" t="s">
        <v>3766</v>
      </c>
      <c r="N82" s="184" t="s">
        <v>3284</v>
      </c>
      <c r="O82" s="184">
        <v>20</v>
      </c>
      <c r="P82" s="184" t="s">
        <v>484</v>
      </c>
      <c r="Q82" s="184" t="s">
        <v>3767</v>
      </c>
      <c r="R82" s="184" t="s">
        <v>3768</v>
      </c>
      <c r="S82" s="184" t="s">
        <v>3769</v>
      </c>
      <c r="T82" s="184" t="s">
        <v>3770</v>
      </c>
      <c r="U82" s="184" t="s">
        <v>3771</v>
      </c>
      <c r="V82" s="184" t="s">
        <v>3772</v>
      </c>
      <c r="W82" s="184" t="s">
        <v>3773</v>
      </c>
      <c r="X82" s="184" t="s">
        <v>3774</v>
      </c>
      <c r="Y82" s="185" t="s">
        <v>3292</v>
      </c>
      <c r="Z82" s="185">
        <v>4</v>
      </c>
      <c r="AA82" s="185" t="s">
        <v>2359</v>
      </c>
      <c r="AB82" s="185" t="s">
        <v>3293</v>
      </c>
      <c r="AC82" s="185" t="s">
        <v>268</v>
      </c>
      <c r="AD82" s="185" t="s">
        <v>464</v>
      </c>
      <c r="AE82" s="185" t="s">
        <v>2772</v>
      </c>
      <c r="AF82" s="185" t="s">
        <v>273</v>
      </c>
      <c r="AG82" s="185" t="s">
        <v>3294</v>
      </c>
      <c r="AH82" s="185">
        <v>4</v>
      </c>
      <c r="AI82" s="185" t="s">
        <v>274</v>
      </c>
      <c r="AJ82" s="185" t="s">
        <v>275</v>
      </c>
      <c r="AK82" s="185" t="s">
        <v>465</v>
      </c>
      <c r="AL82" s="185" t="s">
        <v>274</v>
      </c>
      <c r="AM82" s="185" t="s">
        <v>275</v>
      </c>
      <c r="AN82" s="185" t="s">
        <v>272</v>
      </c>
      <c r="AO82" s="185" t="s">
        <v>3295</v>
      </c>
      <c r="AP82" s="185">
        <v>4</v>
      </c>
      <c r="AQ82" s="185" t="s">
        <v>2374</v>
      </c>
      <c r="AR82" s="185" t="s">
        <v>276</v>
      </c>
      <c r="AS82" s="185" t="s">
        <v>3296</v>
      </c>
      <c r="AT82" s="185" t="s">
        <v>2374</v>
      </c>
      <c r="AU82" s="185" t="s">
        <v>276</v>
      </c>
      <c r="AV82" s="185" t="s">
        <v>3296</v>
      </c>
      <c r="AW82" s="185" t="s">
        <v>3297</v>
      </c>
      <c r="AX82" s="185">
        <v>3</v>
      </c>
      <c r="AY82" s="185" t="s">
        <v>1558</v>
      </c>
      <c r="AZ82" s="185" t="s">
        <v>437</v>
      </c>
      <c r="BA82" s="185" t="s">
        <v>1035</v>
      </c>
      <c r="BB82" s="185" t="s">
        <v>1558</v>
      </c>
      <c r="BC82" s="185" t="s">
        <v>437</v>
      </c>
      <c r="BD82" s="185" t="s">
        <v>289</v>
      </c>
      <c r="BE82" s="185" t="s">
        <v>3298</v>
      </c>
      <c r="BF82" s="185">
        <v>3</v>
      </c>
      <c r="BG82" s="185" t="s">
        <v>786</v>
      </c>
      <c r="BH82" s="185" t="s">
        <v>410</v>
      </c>
      <c r="BI82" s="185" t="s">
        <v>352</v>
      </c>
      <c r="BJ82" s="185" t="s">
        <v>188</v>
      </c>
      <c r="BK82" s="185" t="s">
        <v>284</v>
      </c>
      <c r="BL82" s="185" t="s">
        <v>788</v>
      </c>
      <c r="BM82" s="185" t="s">
        <v>198</v>
      </c>
      <c r="BN82" s="185">
        <v>2</v>
      </c>
      <c r="BO82" s="185" t="s">
        <v>199</v>
      </c>
      <c r="BP82" s="185" t="s">
        <v>3299</v>
      </c>
      <c r="BQ82" s="185" t="s">
        <v>3300</v>
      </c>
      <c r="BR82" s="185" t="s">
        <v>199</v>
      </c>
      <c r="BS82" s="185" t="s">
        <v>202</v>
      </c>
      <c r="BT82" s="185" t="s">
        <v>203</v>
      </c>
    </row>
  </sheetData>
  <mergeCells count="21">
    <mergeCell ref="I13:M13"/>
    <mergeCell ref="B13:F13"/>
    <mergeCell ref="A26:A36"/>
    <mergeCell ref="B9:F9"/>
    <mergeCell ref="A11:A12"/>
    <mergeCell ref="A15:A16"/>
    <mergeCell ref="H11:H12"/>
    <mergeCell ref="H15:H16"/>
    <mergeCell ref="I9:M9"/>
    <mergeCell ref="B11:F11"/>
    <mergeCell ref="I11:M11"/>
    <mergeCell ref="B12:F12"/>
    <mergeCell ref="I12:M12"/>
    <mergeCell ref="B19:F19"/>
    <mergeCell ref="I19:M19"/>
    <mergeCell ref="B15:F15"/>
    <mergeCell ref="I15:M15"/>
    <mergeCell ref="B16:F16"/>
    <mergeCell ref="I16:M16"/>
    <mergeCell ref="B17:F17"/>
    <mergeCell ref="I17:M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T82"/>
  <sheetViews>
    <sheetView workbookViewId="0">
      <selection activeCell="A52" sqref="A52:XFD82"/>
    </sheetView>
  </sheetViews>
  <sheetFormatPr baseColWidth="10" defaultColWidth="9" defaultRowHeight="15" x14ac:dyDescent="0.25"/>
  <cols>
    <col min="1" max="1" width="36" style="1" customWidth="1"/>
    <col min="2" max="2" width="52" style="1" customWidth="1"/>
    <col min="3" max="3" width="20.125" style="1" customWidth="1"/>
    <col min="4" max="4" width="31.375" style="1" customWidth="1"/>
    <col min="5" max="5" width="20.625" style="1" customWidth="1"/>
    <col min="6" max="6" width="28" style="1" customWidth="1"/>
    <col min="7" max="7" width="25.875" style="1" customWidth="1"/>
    <col min="8" max="8" width="31.625" style="1" customWidth="1"/>
    <col min="9" max="9" width="32.25" style="1" customWidth="1"/>
    <col min="10" max="10" width="31.625" style="1" customWidth="1"/>
    <col min="11" max="11" width="21.625" style="1" customWidth="1"/>
    <col min="12" max="12" width="35.5" style="1" customWidth="1"/>
    <col min="13" max="13" width="14" style="1" customWidth="1"/>
    <col min="14" max="14" width="18" style="1" customWidth="1"/>
    <col min="15" max="15" width="12" style="7" customWidth="1"/>
    <col min="16" max="16" width="60" style="1" customWidth="1"/>
    <col min="17" max="17" width="18" style="1" customWidth="1"/>
    <col min="18" max="24" width="30" style="1" customWidth="1"/>
    <col min="25" max="26" width="14" style="7" customWidth="1"/>
    <col min="27" max="27" width="27.75" style="7" customWidth="1"/>
    <col min="28" max="34" width="14" style="7" customWidth="1"/>
    <col min="35" max="35" width="15" style="7" customWidth="1"/>
    <col min="36" max="72" width="14" style="7" customWidth="1"/>
    <col min="73" max="16384" width="9" style="1"/>
  </cols>
  <sheetData>
    <row r="1" spans="1:35" ht="24" customHeight="1" x14ac:dyDescent="0.25">
      <c r="A1" s="33" t="s">
        <v>4764</v>
      </c>
      <c r="B1" s="34"/>
      <c r="C1" s="35"/>
      <c r="D1" s="35"/>
      <c r="E1" s="35"/>
      <c r="F1" s="35"/>
      <c r="G1" s="35"/>
      <c r="H1" s="35"/>
      <c r="I1" s="35"/>
      <c r="J1" s="35"/>
      <c r="K1" s="35"/>
      <c r="L1" s="35"/>
      <c r="M1" s="35"/>
      <c r="N1" s="6"/>
      <c r="O1" s="6"/>
      <c r="P1" s="6"/>
      <c r="Q1" s="6"/>
      <c r="R1" s="6"/>
      <c r="S1" s="6"/>
      <c r="T1" s="6"/>
      <c r="U1" s="6"/>
      <c r="V1" s="6"/>
      <c r="W1" s="6"/>
      <c r="X1" s="6"/>
    </row>
    <row r="2" spans="1:35" ht="21.95" customHeight="1" x14ac:dyDescent="0.25">
      <c r="A2" s="36" t="s">
        <v>2659</v>
      </c>
      <c r="B2" s="8"/>
      <c r="C2" s="9"/>
      <c r="D2" s="9"/>
      <c r="E2" s="9"/>
      <c r="F2" s="9"/>
      <c r="G2" s="9"/>
      <c r="H2" s="9"/>
      <c r="I2" s="9"/>
      <c r="J2" s="9"/>
      <c r="K2" s="9"/>
      <c r="L2" s="9"/>
      <c r="M2" s="9"/>
      <c r="O2" s="1"/>
    </row>
    <row r="3" spans="1:35" ht="18.75" x14ac:dyDescent="0.25">
      <c r="A3" s="37"/>
      <c r="B3" s="1187" t="s">
        <v>4756</v>
      </c>
      <c r="C3" s="37"/>
      <c r="D3" s="37"/>
      <c r="E3" s="37"/>
      <c r="F3" s="37"/>
      <c r="G3" s="37"/>
      <c r="H3" s="1188" t="s">
        <v>7941</v>
      </c>
      <c r="I3" s="37"/>
      <c r="J3" s="37"/>
      <c r="K3" s="37"/>
      <c r="L3" s="37"/>
      <c r="M3" s="37"/>
      <c r="O3" s="1"/>
      <c r="AA3" s="10" t="s">
        <v>2</v>
      </c>
      <c r="AI3" s="10" t="s">
        <v>3</v>
      </c>
    </row>
    <row r="4" spans="1:35" ht="27.95" customHeight="1" x14ac:dyDescent="0.25">
      <c r="A4" s="38" t="s">
        <v>4</v>
      </c>
      <c r="B4" s="40">
        <v>1</v>
      </c>
      <c r="C4" s="38" t="s">
        <v>5</v>
      </c>
      <c r="D4" s="39" t="str">
        <f>IFERROR(INDEX($B$53:$B$82,MATCH($B$4,$A$53:$A$82,0)),"")</f>
        <v>École primaire</v>
      </c>
      <c r="E4" s="38" t="s">
        <v>6</v>
      </c>
      <c r="F4" s="39" t="str">
        <f>IFERROR(INDEX($C$53:$C$82,MATCH($B$4,$A$53:$A$82,0)),"")</f>
        <v>Hiver</v>
      </c>
      <c r="G4" s="38" t="s">
        <v>7</v>
      </c>
      <c r="H4" s="138" t="s">
        <v>8</v>
      </c>
      <c r="I4" s="38" t="s">
        <v>9</v>
      </c>
      <c r="J4" s="39" t="str">
        <f>IFERROR(INDEX($Q$53:$Q$82,MATCH($B$4,$A$53:$A$82,0)),"")</f>
        <v>Couleur / sécheresse</v>
      </c>
      <c r="L4" s="38" t="s">
        <v>10</v>
      </c>
      <c r="M4" s="39" t="str">
        <f>IFERROR(INDEX($P$53:$P$82,MATCH($B$4,$A$53:$A$82,0)),"")</f>
        <v>Facile</v>
      </c>
      <c r="O4" s="1"/>
      <c r="AA4"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"&amp;$B$12),CHAR(160)," ")," "," "),CHAR(10)," "),CHAR(13)," "),CHAR(9)," "),"’","'"),"."," "),","," "),";"," "),":"," "),"-"," "),"("," "),")"," "),"?"," "),"!"," "),"/"," "),"é","e"),"è","e"),"ê","e"),"ë","e"),"à","a"),"â","a"),"ä","a"),"ù","u"),"û","u"),"ü","u"),"ô","o"),"ö","o"),"î","i"),"ï","i"),"ç","c")))</f>
        <v>le menu est trop blanc et le poisson risque d'etre sec l'entree doit apporter couleur et fraicheur par exemple carottes rapees ou betteraves</v>
      </c>
      <c r="AI4"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H$53:$H$82,MATCH($B$4,$A$53:$A$82,0)),"")),CHAR(160)," ")," "," "),CHAR(10)," "),CHAR(13)," "),CHAR(9)," "),"’","'"),"."," "),","," "),";"," "),":"," "),"-"," "),"("," "),")"," "),"?"," "),"!"," "),"/"," "),"é","e"),"è","e"),"ê","e"),"ë","e"),"à","a"),"â","a"),"ä","a"),"ù","u"),"û","u"),"ü","u"),"ô","o"),"ö","o"),"î","i"),"ï","i"),"ç","c")))</f>
        <v>le menu est trop blanc et le poisson risque d'etre sec l'entree doit apporter couleur et fraicheur par exemple carottes rapees ou betteraves le dessert doit eviter de rester blanc un fruit de saison colore corrige mieux qu'un fromage blanc il faut eviter d'ajouter encore un dessert blanc parce que cela renforce le defaut visuel</v>
      </c>
    </row>
    <row r="5" spans="1:35" ht="42" customHeight="1" x14ac:dyDescent="0.25">
      <c r="A5" s="41" t="s">
        <v>11</v>
      </c>
      <c r="B5" s="78" t="str">
        <f>IFERROR(INDEX($E$53:$E$82,MATCH($B$4,$A$53:$A$82,0)),"")</f>
        <v>Entrée et dessert renforcent un menu trop blanc et sec</v>
      </c>
      <c r="C5" s="42"/>
      <c r="D5" s="42"/>
      <c r="E5" s="43"/>
      <c r="F5" s="43"/>
      <c r="G5" s="44"/>
      <c r="H5" s="43"/>
      <c r="I5" s="43"/>
      <c r="J5" s="43"/>
      <c r="K5" s="43"/>
      <c r="L5" s="43"/>
      <c r="M5" s="43"/>
      <c r="O5" s="162" t="s">
        <v>4830</v>
      </c>
      <c r="AA5"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"&amp;$B$12&amp;" "&amp;$B$15&amp;" "&amp;$B$16),CHAR(160)," ")," "," "),CHAR(10)," "),CHAR(13)," "),CHAR(9)," "),"’","'"),"."," "),","," "),";"," "),":"," "),"-"," "),"("," "),")"," "),"?"," "),"!"," "),"/"," "),"é","e"),"è","e"),"ê","e"),"ë","e"),"à","a"),"â","a"),"ä","a"),"ù","u"),"û","u"),"ü","u"),"ô","o"),"ö","o"),"î","i"),"ï","i"),"ç","c")))</f>
        <v>le menu est trop blanc et le poisson risque d'etre sec l'entree doit apporter couleur et fraicheur par exemple carottes rapees ou betteraves le dessert doit eviter de rester blanc un fruit de saison colore corrige mieux qu'un fromage blanc il faut eviter d'ajouter encore un dessert blanc parce que cela renforce le defaut visuel</v>
      </c>
      <c r="AI5"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I$53:$I$82,MATCH($B$4,$A$53:$A$82,0)),"")),CHAR(160)," ")," "," "),CHAR(10)," "),CHAR(13)," "),CHAR(9)," "),"’","'"),"."," "),","," "),";"," "),":"," "),"-"," "),"("," "),")"," "),"?"," "),"!"," "),"/"," "),"é","e"),"è","e"),"ê","e"),"ë","e"),"à","a"),"â","a"),"ä","a"),"ù","u"),"û","u"),"ü","u"),"ô","o"),"ö","o"),"î","i"),"ï","i"),"ç","c")))</f>
        <v>le repas est trop blanc et le poisson peut etre sec je mets une entree coloree comme carottes ou betteraves et je finis par un fruit j'evite le fromage blanc car il rajoute encore du blanc</v>
      </c>
    </row>
    <row r="6" spans="1:35" ht="42" customHeight="1" x14ac:dyDescent="0.25">
      <c r="A6" s="41" t="s">
        <v>12</v>
      </c>
      <c r="B6" s="45" t="str">
        <f>IFERROR(INDEX($D$53:$D$82,MATCH($B$4,$A$53:$A$82,0)),"")</f>
        <v>Céleri rémoulade ; poisson blanc vapeur ; riz ; chou-fleur ; fromage blanc</v>
      </c>
      <c r="C6" s="46"/>
      <c r="D6" s="46"/>
      <c r="E6" s="46"/>
      <c r="F6" s="46"/>
      <c r="G6" s="44"/>
      <c r="H6" s="43"/>
      <c r="I6" s="43"/>
      <c r="J6" s="43"/>
      <c r="K6" s="43"/>
      <c r="L6" s="43"/>
      <c r="M6" s="43"/>
      <c r="O6" s="157" t="s">
        <v>4844</v>
      </c>
      <c r="AA6"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"&amp;$I$12),CHAR(160)," ")," "," "),CHAR(10)," "),CHAR(13)," "),CHAR(9)," "),"’","'"),"."," "),","," "),";"," "),":"," "),"-"," "),"("," "),")"," "),"?"," "),"!"," "),"/"," "),"é","e"),"è","e"),"ê","e"),"ë","e"),"à","a"),"â","a"),"ä","a"),"ù","u"),"û","u"),"ü","u"),"ô","o"),"ö","o"),"î","i"),"ï","i"),"ç","c")))</f>
        <v>le repas est trop blanc et le poisson peut etre sec je mets une entree coloree comme carottes ou betteraves</v>
      </c>
    </row>
    <row r="7" spans="1:35" ht="15.75" x14ac:dyDescent="0.25">
      <c r="A7" s="11"/>
      <c r="B7" s="47"/>
      <c r="C7" s="47"/>
      <c r="D7" s="47"/>
      <c r="E7" s="47"/>
      <c r="F7" s="47"/>
      <c r="G7" s="11"/>
      <c r="H7" s="11"/>
      <c r="I7" s="47"/>
      <c r="J7" s="47"/>
      <c r="K7" s="47"/>
      <c r="L7" s="47"/>
      <c r="M7" s="47"/>
      <c r="O7" s="1"/>
      <c r="AA7"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"&amp;$I$12&amp;" "&amp;$I$15&amp;" "&amp;$I$16),CHAR(160)," ")," "," "),CHAR(10)," "),CHAR(13)," "),CHAR(9)," "),"’","'"),"."," "),","," "),";"," "),":"," "),"-"," "),"("," "),")"," "),"?"," "),"!"," "),"/"," "),"é","e"),"è","e"),"ê","e"),"ë","e"),"à","a"),"â","a"),"ä","a"),"ù","u"),"û","u"),"ü","u"),"ô","o"),"ö","o"),"î","i"),"ï","i"),"ç","c")))</f>
        <v>le repas est trop blanc et le poisson peut etre sec je mets une entree coloree comme carottes ou betteraves et je finis par un fruit j'evite le fromage blanc car il rajoute encore du blanc</v>
      </c>
    </row>
    <row r="8" spans="1:35" ht="21.95" customHeight="1" x14ac:dyDescent="0.25">
      <c r="A8" s="135" t="s">
        <v>13</v>
      </c>
      <c r="B8" s="48"/>
      <c r="C8" s="48"/>
      <c r="D8" s="48"/>
      <c r="E8" s="48"/>
      <c r="F8" s="48"/>
      <c r="G8" s="12"/>
      <c r="H8" s="134" t="s">
        <v>14</v>
      </c>
      <c r="I8" s="49"/>
      <c r="J8" s="49"/>
      <c r="K8" s="49"/>
      <c r="L8" s="49"/>
      <c r="M8" s="49"/>
      <c r="O8" s="2" t="s">
        <v>15</v>
      </c>
      <c r="P8" s="3"/>
      <c r="Q8" s="3"/>
      <c r="R8" s="3"/>
      <c r="V8" s="7"/>
      <c r="W8" s="7"/>
      <c r="X8" s="7"/>
    </row>
    <row r="9" spans="1:35" ht="54" customHeight="1" x14ac:dyDescent="0.25">
      <c r="A9" s="13" t="s">
        <v>16</v>
      </c>
      <c r="B9" s="1559" t="str">
        <f>IFERROR(INDEX($F$53:$F$82,MATCH($B$4,$A$53:$A$82,0)),"")</f>
        <v>Analysez la fonction de l’entrée et du dessert dans ce menu, puis proposez des correcteurs adaptés.</v>
      </c>
      <c r="C9" s="1559"/>
      <c r="D9" s="1559"/>
      <c r="E9" s="1559"/>
      <c r="F9" s="1559"/>
      <c r="G9" s="12"/>
      <c r="H9" s="14" t="s">
        <v>17</v>
      </c>
      <c r="I9" s="1559" t="str">
        <f>IFERROR(INDEX($G$53:$G$82,MATCH($B$4,$A$53:$A$82,0)),"")</f>
        <v>Pourquoi l’entrée et le dessert ne corrigent pas assez ce repas, et que peux-tu mettre à la place ?</v>
      </c>
      <c r="J9" s="1559"/>
      <c r="K9" s="1559"/>
      <c r="L9" s="1559"/>
      <c r="M9" s="1559"/>
      <c r="O9" s="140" t="s">
        <v>18</v>
      </c>
      <c r="P9" s="139" t="s">
        <v>19</v>
      </c>
      <c r="Q9" s="5"/>
      <c r="R9" s="5"/>
      <c r="V9" s="15"/>
      <c r="W9" s="15"/>
      <c r="X9" s="15"/>
    </row>
    <row r="10" spans="1:35" ht="18.75" x14ac:dyDescent="0.25">
      <c r="A10" s="11"/>
      <c r="B10" s="47"/>
      <c r="C10" s="47"/>
      <c r="D10" s="47"/>
      <c r="E10" s="47"/>
      <c r="F10" s="47"/>
      <c r="G10" s="11"/>
      <c r="H10" s="11"/>
      <c r="I10" s="47"/>
      <c r="J10" s="47"/>
      <c r="K10" s="47"/>
      <c r="L10" s="47"/>
      <c r="M10" s="47"/>
      <c r="O10" s="140" t="s">
        <v>20</v>
      </c>
      <c r="P10" s="139" t="s">
        <v>2660</v>
      </c>
      <c r="Q10" s="5"/>
      <c r="R10" s="5"/>
      <c r="V10" s="15"/>
      <c r="W10" s="15"/>
      <c r="X10" s="15"/>
    </row>
    <row r="11" spans="1:35" ht="54" customHeight="1" x14ac:dyDescent="0.25">
      <c r="A11" s="1565" t="s">
        <v>22</v>
      </c>
      <c r="B11" s="1560" t="s">
        <v>4801</v>
      </c>
      <c r="C11" s="1560"/>
      <c r="D11" s="1560"/>
      <c r="E11" s="1560"/>
      <c r="F11" s="1560"/>
      <c r="G11" s="12"/>
      <c r="H11" s="1566" t="s">
        <v>23</v>
      </c>
      <c r="I11" s="1560" t="s">
        <v>4805</v>
      </c>
      <c r="J11" s="1560"/>
      <c r="K11" s="1560"/>
      <c r="L11" s="1560"/>
      <c r="M11" s="1560"/>
      <c r="O11" s="140" t="s">
        <v>25</v>
      </c>
      <c r="P11" s="139" t="s">
        <v>2663</v>
      </c>
      <c r="Q11" s="5"/>
      <c r="R11" s="5"/>
      <c r="V11" s="15"/>
      <c r="W11" s="15"/>
      <c r="X11" s="15"/>
    </row>
    <row r="12" spans="1:35" ht="54" customHeight="1" x14ac:dyDescent="0.25">
      <c r="A12" s="1565"/>
      <c r="B12" s="1560" t="s">
        <v>4802</v>
      </c>
      <c r="C12" s="1560"/>
      <c r="D12" s="1560"/>
      <c r="E12" s="1560"/>
      <c r="F12" s="1560"/>
      <c r="G12" s="12"/>
      <c r="H12" s="1566"/>
      <c r="I12" s="1560" t="s">
        <v>4806</v>
      </c>
      <c r="J12" s="1560"/>
      <c r="K12" s="1560"/>
      <c r="L12" s="1560"/>
      <c r="M12" s="1560"/>
      <c r="O12" s="140" t="s">
        <v>28</v>
      </c>
      <c r="P12" s="139" t="s">
        <v>794</v>
      </c>
      <c r="Q12" s="5"/>
      <c r="R12" s="5"/>
      <c r="V12" s="15"/>
      <c r="W12" s="15"/>
      <c r="X12" s="15"/>
    </row>
    <row r="13" spans="1:35" ht="60" customHeight="1" x14ac:dyDescent="0.25">
      <c r="A13" s="13" t="s">
        <v>30</v>
      </c>
      <c r="B13" s="1562" t="str">
        <f>IFERROR(INDEX($J$53:$J$82,MATCH($B$4,$A$53:$A$82,0)),"")</f>
        <v>Si la réponse propose seulement « changer le légume », demander ce que l’entrée et le dessert corrigent précisément.</v>
      </c>
      <c r="C13" s="1562"/>
      <c r="D13" s="1562"/>
      <c r="E13" s="1562"/>
      <c r="F13" s="1562"/>
      <c r="G13" s="12"/>
      <c r="H13" s="14" t="s">
        <v>31</v>
      </c>
      <c r="I13" s="1561" t="str">
        <f>IFERROR(INDEX($K$53:$K$82,MATCH($B$4,$A$53:$A$82,0)),"")</f>
        <v>Demander : « Ton entrée corrige quelle couleur ? Ton dessert rajoute-t-il encore du blanc ? »</v>
      </c>
      <c r="J13" s="1561"/>
      <c r="K13" s="1561"/>
      <c r="L13" s="1561"/>
      <c r="M13" s="1561"/>
      <c r="O13" s="140" t="s">
        <v>32</v>
      </c>
      <c r="P13" s="139" t="s">
        <v>33</v>
      </c>
      <c r="Q13" s="5"/>
      <c r="R13" s="5"/>
      <c r="V13" s="15"/>
      <c r="W13" s="15"/>
      <c r="X13" s="15"/>
    </row>
    <row r="14" spans="1:35" ht="18.75" x14ac:dyDescent="0.25">
      <c r="A14" s="11"/>
      <c r="B14" s="47"/>
      <c r="C14" s="47"/>
      <c r="D14" s="47"/>
      <c r="E14" s="47"/>
      <c r="F14" s="47"/>
      <c r="G14" s="11"/>
      <c r="H14" s="11"/>
      <c r="I14" s="47"/>
      <c r="J14" s="47"/>
      <c r="K14" s="47"/>
      <c r="L14" s="47"/>
      <c r="M14" s="47"/>
      <c r="O14" s="140" t="s">
        <v>34</v>
      </c>
      <c r="P14" s="139" t="s">
        <v>35</v>
      </c>
      <c r="Q14" s="5"/>
      <c r="R14" s="5"/>
      <c r="V14" s="15"/>
      <c r="W14" s="15"/>
      <c r="X14" s="15"/>
    </row>
    <row r="15" spans="1:35" ht="54" customHeight="1" x14ac:dyDescent="0.25">
      <c r="A15" s="1564" t="s">
        <v>36</v>
      </c>
      <c r="B15" s="1560" t="s">
        <v>4803</v>
      </c>
      <c r="C15" s="1560"/>
      <c r="D15" s="1560"/>
      <c r="E15" s="1560"/>
      <c r="F15" s="1560"/>
      <c r="G15" s="12"/>
      <c r="H15" s="1566" t="s">
        <v>38</v>
      </c>
      <c r="I15" s="1560" t="s">
        <v>4807</v>
      </c>
      <c r="J15" s="1560"/>
      <c r="K15" s="1560"/>
      <c r="L15" s="1560"/>
      <c r="M15" s="1560"/>
      <c r="O15" s="140" t="s">
        <v>39</v>
      </c>
      <c r="P15" s="139" t="s">
        <v>40</v>
      </c>
      <c r="Q15" s="5"/>
      <c r="R15" s="5"/>
      <c r="V15" s="15"/>
      <c r="W15" s="15"/>
      <c r="X15" s="15"/>
    </row>
    <row r="16" spans="1:35" ht="54" customHeight="1" x14ac:dyDescent="0.25">
      <c r="A16" s="1564"/>
      <c r="B16" s="1560" t="s">
        <v>4804</v>
      </c>
      <c r="C16" s="1560"/>
      <c r="D16" s="1560"/>
      <c r="E16" s="1560"/>
      <c r="F16" s="1560"/>
      <c r="G16" s="12"/>
      <c r="H16" s="1566"/>
      <c r="I16" s="1560" t="s">
        <v>4808</v>
      </c>
      <c r="J16" s="1560"/>
      <c r="K16" s="1560"/>
      <c r="L16" s="1560"/>
      <c r="M16" s="1560"/>
      <c r="O16" s="140" t="s">
        <v>42</v>
      </c>
      <c r="P16" s="139" t="s">
        <v>43</v>
      </c>
      <c r="Q16" s="5"/>
      <c r="R16" s="5"/>
      <c r="V16" s="15"/>
      <c r="W16" s="15"/>
      <c r="X16" s="15"/>
    </row>
    <row r="17" spans="1:34" ht="60" customHeight="1" x14ac:dyDescent="0.25">
      <c r="A17" s="13" t="s">
        <v>44</v>
      </c>
      <c r="B17" s="1562" t="str">
        <f>IF(UPPER($H$4)="X",IFERROR(INDEX($H$53:$H$82,MATCH($B$4,$A$53:$A$82,0)),""),"Réponse attendue masquée — saisir X en H4 pour afficher")</f>
        <v>Le menu est trop blanc et le poisson risque d’être sec. L’entrée doit apporter couleur et fraîcheur, par exemple carottes râpées ou betteraves. Le dessert doit éviter de rester blanc : un fruit de saison coloré corrige mieux qu’un fromage blanc. Il faut éviter d’ajouter encore un dessert blanc parce que cela renforce le défaut visuel.</v>
      </c>
      <c r="C17" s="1562"/>
      <c r="D17" s="1562"/>
      <c r="E17" s="1562"/>
      <c r="F17" s="1562"/>
      <c r="G17" s="12"/>
      <c r="H17" s="17" t="s">
        <v>45</v>
      </c>
      <c r="I17" s="1561" t="str">
        <f>IF(UPPER($H$4)="X",IFERROR(INDEX($I$53:$I$82,MATCH($B$4,$A$53:$A$82,0)),""),"Réponse attendue masquée — saisir X en H4 pour afficher")</f>
        <v>Le repas est trop blanc et le poisson peut être sec. Je mets une entrée colorée comme carottes ou betteraves et je finis par un fruit. J’évite le fromage blanc car il rajoute encore du blanc.</v>
      </c>
      <c r="J17" s="1561"/>
      <c r="K17" s="1561"/>
      <c r="L17" s="1561"/>
      <c r="M17" s="1561"/>
      <c r="O17" s="140" t="s">
        <v>46</v>
      </c>
      <c r="P17" s="139" t="s">
        <v>2664</v>
      </c>
      <c r="Q17" s="5"/>
      <c r="R17" s="5"/>
      <c r="V17" s="15"/>
      <c r="W17" s="15"/>
      <c r="X17" s="15"/>
    </row>
    <row r="18" spans="1:34" ht="18.75" x14ac:dyDescent="0.25">
      <c r="A18" s="11"/>
      <c r="B18" s="47"/>
      <c r="C18" s="47"/>
      <c r="D18" s="47"/>
      <c r="E18" s="47"/>
      <c r="F18" s="47"/>
      <c r="G18" s="11"/>
      <c r="H18" s="11"/>
      <c r="I18" s="47"/>
      <c r="J18" s="47"/>
      <c r="K18" s="47"/>
      <c r="L18" s="47"/>
      <c r="M18" s="47"/>
      <c r="O18" s="140" t="s">
        <v>48</v>
      </c>
      <c r="P18" s="139" t="s">
        <v>2665</v>
      </c>
      <c r="Q18" s="5"/>
      <c r="R18" s="5"/>
      <c r="U18" s="15"/>
      <c r="V18" s="15"/>
      <c r="W18" s="15"/>
      <c r="X18" s="15"/>
    </row>
    <row r="19" spans="1:34" ht="48" customHeight="1" x14ac:dyDescent="0.25">
      <c r="A19" s="50" t="s">
        <v>50</v>
      </c>
      <c r="B19" s="1568" t="str">
        <f>IF(ISBLANK(H4),"",IF(UPPER(TRIM($H$4))="X",IFERROR(INDEX($M$53:$M$82,MATCH($B$4,$A$53:$A$82,0)),""),"Mots-clés masqués — saisir X en H4 pour afficher"))</f>
        <v>blanc ; sec ; entrée colorée ; carottes ; betteraves ; fruit ; fromage blanc ; éviter ; correction</v>
      </c>
      <c r="C19" s="1568"/>
      <c r="D19" s="1568"/>
      <c r="E19" s="1568"/>
      <c r="F19" s="1568"/>
      <c r="G19" s="12"/>
      <c r="H19" s="51" t="s">
        <v>51</v>
      </c>
      <c r="I19" s="1567" t="str">
        <f>IFERROR(INDEX($X$53:$X$82,MATCH($B$4,$A$53:$A$82,0)),"")</f>
        <v>Trop blanc = entrée couleur + dessert fruit</v>
      </c>
      <c r="J19" s="1567"/>
      <c r="K19" s="1567"/>
      <c r="L19" s="1567"/>
      <c r="M19" s="1567"/>
      <c r="O19" s="140"/>
      <c r="P19" s="139"/>
      <c r="Q19" s="5"/>
      <c r="R19" s="5"/>
    </row>
    <row r="20" spans="1:34" ht="15.75" x14ac:dyDescent="0.25">
      <c r="A20" s="52"/>
      <c r="B20" s="47"/>
      <c r="C20" s="47"/>
      <c r="D20" s="47"/>
      <c r="E20" s="47"/>
      <c r="F20" s="47"/>
      <c r="G20" s="11"/>
      <c r="H20" s="12"/>
      <c r="I20" s="44"/>
      <c r="J20" s="44"/>
      <c r="K20" s="44"/>
      <c r="L20" s="44"/>
      <c r="M20" s="44"/>
      <c r="O20" s="1"/>
    </row>
    <row r="21" spans="1:34" ht="36" customHeight="1" x14ac:dyDescent="0.25">
      <c r="A21" s="12"/>
      <c r="B21" s="12"/>
      <c r="C21" s="12"/>
      <c r="D21" s="12"/>
      <c r="E21" s="12"/>
      <c r="F21" s="12"/>
      <c r="G21" s="12"/>
      <c r="H21" s="12"/>
      <c r="I21" s="12"/>
      <c r="J21" s="12"/>
      <c r="K21" s="12"/>
      <c r="L21" s="12"/>
      <c r="M21" s="12"/>
      <c r="O21" s="1"/>
    </row>
    <row r="22" spans="1:34" ht="24" customHeight="1" x14ac:dyDescent="0.25">
      <c r="A22" s="75" t="s">
        <v>52</v>
      </c>
      <c r="B22" s="18"/>
      <c r="C22" s="18"/>
      <c r="D22" s="18"/>
      <c r="E22" s="18"/>
      <c r="F22" s="18"/>
      <c r="G22" s="18"/>
      <c r="H22" s="18"/>
      <c r="I22" s="18"/>
      <c r="J22" s="18"/>
      <c r="K22" s="18"/>
      <c r="L22" s="18"/>
      <c r="M22" s="18"/>
      <c r="O22" s="1"/>
    </row>
    <row r="23" spans="1:34" ht="68.25" customHeight="1" x14ac:dyDescent="0.25">
      <c r="A23" s="76" t="s">
        <v>2666</v>
      </c>
      <c r="B23" s="74" t="str">
        <f>IF(UPPER($H$4)="X",IFERROR(INDEX($R$53:$R$82,MATCH($B$4,$A$53:$A$82,0)),""),"Masqué")</f>
        <v>Carottes râpées citronnées ou betteraves</v>
      </c>
      <c r="C23" s="77" t="s">
        <v>2667</v>
      </c>
      <c r="D23" s="74" t="str">
        <f>IF(UPPER($H$4)="X",IFERROR(INDEX($S$53:$S$82,MATCH($B$4,$A$53:$A$82,0)),""),"Masqué")</f>
        <v>Fruit coloré de saison : orange, clémentine, pomme rouge</v>
      </c>
      <c r="E23" s="77" t="s">
        <v>2668</v>
      </c>
      <c r="F23" s="74" t="str">
        <f>IF(UPPER($H$4)="X",IFERROR(INDEX($T$53:$T$82,MATCH($B$4,$A$53:$A$82,0)),""),"Masqué")</f>
        <v>Crudité colorée + fruit</v>
      </c>
      <c r="G23" s="77" t="s">
        <v>2669</v>
      </c>
      <c r="H23" s="74" t="str">
        <f>IF(UPPER($H$4)="X",IFERROR(INDEX($U$53:$U$82,MATCH($B$4,$A$53:$A$82,0)),""),"Masqué")</f>
        <v>Fromage blanc après un menu déjà blanc</v>
      </c>
      <c r="I23" s="77" t="s">
        <v>57</v>
      </c>
      <c r="J23" s="74" t="str">
        <f>IF(UPPER($H$4)="X",IFERROR(INDEX($V$53:$V$82,MATCH($B$4,$A$53:$A$82,0)),""),"Masqué")</f>
        <v>Rendre le repas plus attractif pour enfants</v>
      </c>
      <c r="K23" s="77" t="s">
        <v>58</v>
      </c>
      <c r="L23" s="74" t="str">
        <f>IF(UPPER($H$4)="X",IFERROR(INDEX($W$53:$W$82,MATCH($B$4,$A$53:$A$82,0)),""),"Masqué")</f>
        <v>Limiter le dessèchement du poisson et garder une sauce simple</v>
      </c>
      <c r="M23" s="12"/>
      <c r="O23" s="1"/>
    </row>
    <row r="24" spans="1:34" ht="15.75" x14ac:dyDescent="0.25">
      <c r="A24" s="12"/>
      <c r="B24" s="12"/>
      <c r="C24" s="12"/>
      <c r="D24" s="12"/>
      <c r="E24" s="12"/>
      <c r="F24" s="12"/>
      <c r="G24" s="12"/>
      <c r="H24" s="12"/>
      <c r="I24" s="12"/>
      <c r="J24" s="12"/>
      <c r="K24" s="12"/>
      <c r="L24" s="12"/>
      <c r="M24" s="12"/>
      <c r="O24" s="1"/>
    </row>
    <row r="25" spans="1:34" x14ac:dyDescent="0.25">
      <c r="O25" s="1"/>
    </row>
    <row r="26" spans="1:34" ht="27.95" customHeight="1" x14ac:dyDescent="0.25">
      <c r="A26" s="1563" t="s">
        <v>2670</v>
      </c>
      <c r="B26" s="19" t="s">
        <v>60</v>
      </c>
      <c r="C26" s="19" t="s">
        <v>61</v>
      </c>
      <c r="D26" s="19" t="s">
        <v>62</v>
      </c>
      <c r="E26" s="19" t="s">
        <v>63</v>
      </c>
      <c r="F26" s="19" t="s">
        <v>64</v>
      </c>
      <c r="G26" s="20"/>
      <c r="H26" s="17" t="s">
        <v>65</v>
      </c>
      <c r="I26" s="17" t="s">
        <v>61</v>
      </c>
      <c r="J26" s="17" t="s">
        <v>62</v>
      </c>
      <c r="K26" s="17" t="s">
        <v>63</v>
      </c>
      <c r="L26" s="17" t="s">
        <v>64</v>
      </c>
      <c r="M26" s="37"/>
    </row>
    <row r="27" spans="1:34" ht="24" customHeight="1" x14ac:dyDescent="0.25">
      <c r="A27" s="1563"/>
      <c r="B27" s="19" t="s">
        <v>66</v>
      </c>
      <c r="C27" s="19" t="s">
        <v>67</v>
      </c>
      <c r="D27" s="19" t="s">
        <v>68</v>
      </c>
      <c r="E27" s="19" t="s">
        <v>69</v>
      </c>
      <c r="F27" s="19" t="s">
        <v>64</v>
      </c>
      <c r="G27" s="20"/>
      <c r="H27" s="17" t="s">
        <v>66</v>
      </c>
      <c r="I27" s="17" t="s">
        <v>67</v>
      </c>
      <c r="J27" s="17" t="s">
        <v>68</v>
      </c>
      <c r="K27" s="17" t="s">
        <v>69</v>
      </c>
      <c r="L27" s="17" t="s">
        <v>64</v>
      </c>
      <c r="M27" s="37"/>
      <c r="AA27" s="23" t="s">
        <v>70</v>
      </c>
      <c r="AB27" s="23" t="s">
        <v>61</v>
      </c>
      <c r="AC27" s="23" t="s">
        <v>71</v>
      </c>
      <c r="AD27" s="23" t="s">
        <v>72</v>
      </c>
      <c r="AE27" s="23" t="s">
        <v>73</v>
      </c>
      <c r="AF27" s="23" t="s">
        <v>74</v>
      </c>
      <c r="AG27" s="23" t="s">
        <v>75</v>
      </c>
      <c r="AH27" s="23" t="s">
        <v>76</v>
      </c>
    </row>
    <row r="28" spans="1:34" ht="24" customHeight="1" x14ac:dyDescent="0.25">
      <c r="A28" s="1563"/>
      <c r="B28" s="13" t="str">
        <f t="shared" ref="B28:B33" si="0">$AA28</f>
        <v>Diagnostic du problème</v>
      </c>
      <c r="C28" s="24">
        <f t="shared" ref="C28:C33" si="1">$AB28</f>
        <v>4</v>
      </c>
      <c r="D28" s="24">
        <f>IF($B28="","",IF(OR(AND($AI$4&lt;&gt;"",ISNUMBER(SEARCH($AI$4,$AA$4))),AND($AC28&lt;&gt;"",ISNUMBER(SEARCH($AC28,$AA$4))),AND($AD28&lt;&gt;"",ISNUMBER(SEARCH($AD28,$AA$4))),AND($AE28&lt;&gt;"",ISNUMBER(SEARCH($AE28,$AA$4)))),$C28,0))+0*N("D28")</f>
        <v>4</v>
      </c>
      <c r="E28" s="24">
        <f>IF(COUNTA($B$15:$B$16)=0,"",IF(OR(AND($AI$4&lt;&gt;"",ISNUMBER(SEARCH($AI$4,$AA$5))),AND($AC28&lt;&gt;"",ISNUMBER(SEARCH($AC28,$AA$5))),AND($AD28&lt;&gt;"",ISNUMBER(SEARCH($AD28,$AA$5))),AND($AE28&lt;&gt;"",ISNUMBER(SEARCH($AE28,$AA$5)))),$C28,0))+0*N("E28")</f>
        <v>4</v>
      </c>
      <c r="F28" s="16" t="str">
        <f>IF(COUNTA($B$15:$B$16)=0,IF($D28&gt;0,"OK initial","Manque"),IF($E28&gt;0,IF($D28&gt;0,"OK","Corrigé"),"Manque"))&amp;T(N("F28"))</f>
        <v>OK</v>
      </c>
      <c r="G28" s="53"/>
      <c r="H28" s="14" t="str">
        <f t="shared" ref="H28:H33" si="2">$AA28</f>
        <v>Diagnostic du problème</v>
      </c>
      <c r="I28" s="24">
        <f t="shared" ref="I28:I33" si="3">$AB28</f>
        <v>4</v>
      </c>
      <c r="J28" s="24">
        <f>IF($H28="","",IF(OR(AND($AI$5&lt;&gt;"",ISNUMBER(SEARCH($AI$5,$AA$6))),AND($AF28&lt;&gt;"",ISNUMBER(SEARCH($AF28,$AA$6))),AND($AG28&lt;&gt;"",ISNUMBER(SEARCH($AG28,$AA$6))),AND($AH28&lt;&gt;"",ISNUMBER(SEARCH($AH28,$AA$6)))),$I28,0))+0*N("J28")</f>
        <v>4</v>
      </c>
      <c r="K28" s="24">
        <f>IF(COUNTA($I$15:$I$16)=0,"",IF(OR(AND($AI$5&lt;&gt;"",ISNUMBER(SEARCH($AI$5,$AA$7))),AND($AF28&lt;&gt;"",ISNUMBER(SEARCH($AF28,$AA$7))),AND($AG28&lt;&gt;"",ISNUMBER(SEARCH($AG28,$AA$7))),AND($AH28&lt;&gt;"",ISNUMBER(SEARCH($AH28,$AA$7)))),$I28,0))+0*N("K28")</f>
        <v>4</v>
      </c>
      <c r="L28" s="16" t="str">
        <f>IF(COUNTA($I$15:$I$16)=0,IF($J28&gt;0,"OK initial","Manque"),IF($K28&gt;0,IF($J28&gt;0,"OK","Corrigé"),"Manque"))&amp;T(N("L28"))</f>
        <v>OK</v>
      </c>
      <c r="M28" s="37"/>
      <c r="AA28" s="10" t="str">
        <f>IFERROR(INDEX($Y$53:$Y$82,MATCH($B$4,$A$53:$A$82,0)),"")&amp;T(N("Y28"))</f>
        <v>Diagnostic du problème</v>
      </c>
      <c r="AB28" s="26">
        <f>IFERROR(INDEX($Z$53:$Z$82,MATCH($B$4,$A$53:$A$82,0)),0)+0*N("Z28")</f>
        <v>4</v>
      </c>
      <c r="AC28" s="26" t="str">
        <f>IFERROR(INDEX($AA$53:$AA$82,MATCH($B$4,$A$53:$A$82,0)),"")&amp;T(N("AA28"))</f>
        <v>blanc</v>
      </c>
      <c r="AD28" s="26" t="str">
        <f>IFERROR(INDEX($AB$53:$AB$82,MATCH($B$4,$A$53:$A$82,0)),"")&amp;T(N("AB28"))</f>
        <v>sec</v>
      </c>
      <c r="AE28" s="26" t="str">
        <f>IFERROR(INDEX($AC$53:$AC$82,MATCH($B$4,$A$53:$A$82,0)),"")&amp;T(N("AC28"))</f>
        <v>pale</v>
      </c>
      <c r="AF28" s="26" t="str">
        <f>IFERROR(INDEX($AD$53:$AD$82,MATCH($B$4,$A$53:$A$82,0)),"")&amp;T(N("AD28"))</f>
        <v>blanc</v>
      </c>
      <c r="AG28" s="26" t="str">
        <f>IFERROR(INDEX($AE$53:$AE$82,MATCH($B$4,$A$53:$A$82,0)),"")&amp;T(N("AE28"))</f>
        <v>sec</v>
      </c>
      <c r="AH28" s="26" t="str">
        <f>IFERROR(INDEX($AF$53:$AF$82,MATCH($B$4,$A$53:$A$82,0)),"")&amp;T(N("AF28"))</f>
        <v>pas envie</v>
      </c>
    </row>
    <row r="29" spans="1:34" ht="24" customHeight="1" x14ac:dyDescent="0.25">
      <c r="A29" s="1563"/>
      <c r="B29" s="13" t="str">
        <f t="shared" si="0"/>
        <v>Fonction de l'entrée</v>
      </c>
      <c r="C29" s="24">
        <f t="shared" si="1"/>
        <v>4</v>
      </c>
      <c r="D29" s="24">
        <f>IF($B29="","",IF(OR(AND($AI$4&lt;&gt;"",ISNUMBER(SEARCH($AI$4,$AA$4))),AND($AC29&lt;&gt;"",ISNUMBER(SEARCH($AC29,$AA$4))),AND($AD29&lt;&gt;"",ISNUMBER(SEARCH($AD29,$AA$4))),AND($AE29&lt;&gt;"",ISNUMBER(SEARCH($AE29,$AA$4)))),$C29,0))+0*N("D29")</f>
        <v>4</v>
      </c>
      <c r="E29" s="24">
        <f>IF(COUNTA($B$15:$B$16)=0,"",IF(OR(AND($AI$4&lt;&gt;"",ISNUMBER(SEARCH($AI$4,$AA$5))),AND($AC29&lt;&gt;"",ISNUMBER(SEARCH($AC29,$AA$5))),AND($AD29&lt;&gt;"",ISNUMBER(SEARCH($AD29,$AA$5))),AND($AE29&lt;&gt;"",ISNUMBER(SEARCH($AE29,$AA$5)))),$C29,0))+0*N("E29")</f>
        <v>4</v>
      </c>
      <c r="F29" s="16" t="str">
        <f>IF(COUNTA($B$15:$B$16)=0,IF($D29&gt;0,"OK initial","Manque"),IF($E29&gt;0,IF($D29&gt;0,"OK","Corrigé"),"Manque"))&amp;T(N("F29"))</f>
        <v>OK</v>
      </c>
      <c r="G29" s="53"/>
      <c r="H29" s="14" t="str">
        <f t="shared" si="2"/>
        <v>Fonction de l'entrée</v>
      </c>
      <c r="I29" s="24">
        <f t="shared" si="3"/>
        <v>4</v>
      </c>
      <c r="J29" s="24">
        <f>IF($H29="","",IF(OR(AND($AI$5&lt;&gt;"",ISNUMBER(SEARCH($AI$5,$AA$6))),AND($AF29&lt;&gt;"",ISNUMBER(SEARCH($AF29,$AA$6))),AND($AG29&lt;&gt;"",ISNUMBER(SEARCH($AG29,$AA$6))),AND($AH29&lt;&gt;"",ISNUMBER(SEARCH($AH29,$AA$6)))),$I29,0))+0*N("J29")</f>
        <v>4</v>
      </c>
      <c r="K29" s="24">
        <f>IF(COUNTA($I$15:$I$16)=0,"",IF(OR(AND($AI$5&lt;&gt;"",ISNUMBER(SEARCH($AI$5,$AA$7))),AND($AF29&lt;&gt;"",ISNUMBER(SEARCH($AF29,$AA$7))),AND($AG29&lt;&gt;"",ISNUMBER(SEARCH($AG29,$AA$7))),AND($AH29&lt;&gt;"",ISNUMBER(SEARCH($AH29,$AA$7)))),$I29,0))+0*N("K29")</f>
        <v>4</v>
      </c>
      <c r="L29" s="16" t="str">
        <f>IF(COUNTA($I$15:$I$16)=0,IF($J29&gt;0,"OK initial","Manque"),IF($K29&gt;0,IF($J29&gt;0,"OK","Corrigé"),"Manque"))&amp;T(N("L29"))</f>
        <v>OK</v>
      </c>
      <c r="M29" s="37"/>
      <c r="AA29" s="10" t="str">
        <f>IFERROR(INDEX($AG$53:$AG$82,MATCH($B$4,$A$53:$A$82,0)),"")&amp;T(N("AG29"))</f>
        <v>Fonction de l'entrée</v>
      </c>
      <c r="AB29" s="26">
        <f>IFERROR(INDEX($AH$53:$AH$82,MATCH($B$4,$A$53:$A$82,0)),0)+0*N("AH29")</f>
        <v>4</v>
      </c>
      <c r="AC29" s="26" t="str">
        <f>IFERROR(INDEX($AI$53:$AI$82,MATCH($B$4,$A$53:$A$82,0)),"")&amp;T(N("AI29"))</f>
        <v>entree</v>
      </c>
      <c r="AD29" s="26" t="str">
        <f>IFERROR(INDEX($AJ$53:$AJ$82,MATCH($B$4,$A$53:$A$82,0)),"")&amp;T(N("AJ29"))</f>
        <v>carottes</v>
      </c>
      <c r="AE29" s="26" t="str">
        <f>IFERROR(INDEX($AK$53:$AK$82,MATCH($B$4,$A$53:$A$82,0)),"")&amp;T(N("AK29"))</f>
        <v>betteraves</v>
      </c>
      <c r="AF29" s="26" t="str">
        <f>IFERROR(INDEX($AL$53:$AL$82,MATCH($B$4,$A$53:$A$82,0)),"")&amp;T(N("AL29"))</f>
        <v>entree</v>
      </c>
      <c r="AG29" s="26" t="str">
        <f>IFERROR(INDEX($AM$53:$AM$82,MATCH($B$4,$A$53:$A$82,0)),"")&amp;T(N("AM29"))</f>
        <v>carottes</v>
      </c>
      <c r="AH29" s="26" t="str">
        <f>IFERROR(INDEX($AN$53:$AN$82,MATCH($B$4,$A$53:$A$82,0)),"")&amp;T(N("AN29"))</f>
        <v>betteraves</v>
      </c>
    </row>
    <row r="30" spans="1:34" ht="24" customHeight="1" x14ac:dyDescent="0.25">
      <c r="A30" s="1563"/>
      <c r="B30" s="13" t="str">
        <f t="shared" si="0"/>
        <v>Fonction du dessert</v>
      </c>
      <c r="C30" s="24">
        <f t="shared" si="1"/>
        <v>4</v>
      </c>
      <c r="D30" s="24">
        <f>IF($B30="","",IF(OR(AND($AI$4&lt;&gt;"",ISNUMBER(SEARCH($AI$4,$AA$4))),AND($AC30&lt;&gt;"",ISNUMBER(SEARCH($AC30,$AA$4))),AND($AD30&lt;&gt;"",ISNUMBER(SEARCH($AD30,$AA$4))),AND($AE30&lt;&gt;"",ISNUMBER(SEARCH($AE30,$AA$4)))),$C30,0))+0*N("D30")</f>
        <v>0</v>
      </c>
      <c r="E30" s="24">
        <f>IF(COUNTA($B$15:$B$16)=0,"",IF(OR(AND($AI$4&lt;&gt;"",ISNUMBER(SEARCH($AI$4,$AA$5))),AND($AC30&lt;&gt;"",ISNUMBER(SEARCH($AC30,$AA$5))),AND($AD30&lt;&gt;"",ISNUMBER(SEARCH($AD30,$AA$5))),AND($AE30&lt;&gt;"",ISNUMBER(SEARCH($AE30,$AA$5)))),$C30,0))+0*N("E30")</f>
        <v>4</v>
      </c>
      <c r="F30" s="16" t="str">
        <f>IF(COUNTA($B$15:$B$16)=0,IF($D30&gt;0,"OK initial","Manque"),IF($E30&gt;0,IF($D30&gt;0,"OK","Corrigé"),"Manque"))&amp;T(N("F30"))</f>
        <v>Corrigé</v>
      </c>
      <c r="G30" s="53"/>
      <c r="H30" s="14" t="str">
        <f t="shared" si="2"/>
        <v>Fonction du dessert</v>
      </c>
      <c r="I30" s="24">
        <f t="shared" si="3"/>
        <v>4</v>
      </c>
      <c r="J30" s="24">
        <f>IF($H30="","",IF(OR(AND($AI$5&lt;&gt;"",ISNUMBER(SEARCH($AI$5,$AA$6))),AND($AF30&lt;&gt;"",ISNUMBER(SEARCH($AF30,$AA$6))),AND($AG30&lt;&gt;"",ISNUMBER(SEARCH($AG30,$AA$6))),AND($AH30&lt;&gt;"",ISNUMBER(SEARCH($AH30,$AA$6)))),$I30,0))+0*N("J30")</f>
        <v>0</v>
      </c>
      <c r="K30" s="24">
        <f>IF(COUNTA($I$15:$I$16)=0,"",IF(OR(AND($AI$5&lt;&gt;"",ISNUMBER(SEARCH($AI$5,$AA$7))),AND($AF30&lt;&gt;"",ISNUMBER(SEARCH($AF30,$AA$7))),AND($AG30&lt;&gt;"",ISNUMBER(SEARCH($AG30,$AA$7))),AND($AH30&lt;&gt;"",ISNUMBER(SEARCH($AH30,$AA$7)))),$I30,0))+0*N("K30")</f>
        <v>4</v>
      </c>
      <c r="L30" s="16" t="str">
        <f>IF(COUNTA($I$15:$I$16)=0,IF($J30&gt;0,"OK initial","Manque"),IF($K30&gt;0,IF($J30&gt;0,"OK","Corrigé"),"Manque"))&amp;T(N("L30"))</f>
        <v>Corrigé</v>
      </c>
      <c r="M30" s="37"/>
      <c r="AA30" s="10" t="str">
        <f>IFERROR(INDEX($AO$53:$AO$82,MATCH($B$4,$A$53:$A$82,0)),"")&amp;T(N("AO30"))</f>
        <v>Fonction du dessert</v>
      </c>
      <c r="AB30" s="26">
        <f>IFERROR(INDEX($AP$53:$AP$82,MATCH($B$4,$A$53:$A$82,0)),0)+0*N("AP30")</f>
        <v>4</v>
      </c>
      <c r="AC30" s="26" t="str">
        <f>IFERROR(INDEX($AQ$53:$AQ$82,MATCH($B$4,$A$53:$A$82,0)),"")&amp;T(N("AQ30"))</f>
        <v>dessert</v>
      </c>
      <c r="AD30" s="26" t="str">
        <f>IFERROR(INDEX($AR$53:$AR$82,MATCH($B$4,$A$53:$A$82,0)),"")&amp;T(N("AR30"))</f>
        <v>fruit</v>
      </c>
      <c r="AE30" s="26" t="str">
        <f>IFERROR(INDEX($AS$53:$AS$82,MATCH($B$4,$A$53:$A$82,0)),"")&amp;T(N("AS30"))</f>
        <v>orange</v>
      </c>
      <c r="AF30" s="26" t="str">
        <f>IFERROR(INDEX($AT$53:$AT$82,MATCH($B$4,$A$53:$A$82,0)),"")&amp;T(N("AT30"))</f>
        <v>dessert</v>
      </c>
      <c r="AG30" s="26" t="str">
        <f>IFERROR(INDEX($AU$53:$AU$82,MATCH($B$4,$A$53:$A$82,0)),"")&amp;T(N("AU30"))</f>
        <v>fruit</v>
      </c>
      <c r="AH30" s="26" t="str">
        <f>IFERROR(INDEX($AV$53:$AV$82,MATCH($B$4,$A$53:$A$82,0)),"")&amp;T(N("AV30"))</f>
        <v>pomme</v>
      </c>
    </row>
    <row r="31" spans="1:34" ht="24" customHeight="1" x14ac:dyDescent="0.25">
      <c r="A31" s="1563"/>
      <c r="B31" s="13" t="str">
        <f t="shared" si="0"/>
        <v>Choix correcteur adapté</v>
      </c>
      <c r="C31" s="24">
        <f t="shared" si="1"/>
        <v>3</v>
      </c>
      <c r="D31" s="24">
        <f>IF($B31="","",IF(OR(AND($AI$4&lt;&gt;"",ISNUMBER(SEARCH($AI$4,$AA$4))),AND($AC31&lt;&gt;"",ISNUMBER(SEARCH($AC31,$AA$4))),AND($AD31&lt;&gt;"",ISNUMBER(SEARCH($AD31,$AA$4))),AND($AE31&lt;&gt;"",ISNUMBER(SEARCH($AE31,$AA$4)))),$C31,0))+0*N("D31")</f>
        <v>0</v>
      </c>
      <c r="E31" s="24">
        <f>IF(COUNTA($B$15:$B$16)=0,"",IF(OR(AND($AI$4&lt;&gt;"",ISNUMBER(SEARCH($AI$4,$AA$5))),AND($AC31&lt;&gt;"",ISNUMBER(SEARCH($AC31,$AA$5))),AND($AD31&lt;&gt;"",ISNUMBER(SEARCH($AD31,$AA$5))),AND($AE31&lt;&gt;"",ISNUMBER(SEARCH($AE31,$AA$5)))),$C31,0))+0*N("E31")</f>
        <v>3</v>
      </c>
      <c r="F31" s="16" t="str">
        <f>IF(COUNTA($B$15:$B$16)=0,IF($D31&gt;0,"OK initial","Manque"),IF($E31&gt;0,IF($D31&gt;0,"OK","Corrigé"),"Manque"))&amp;T(N("F31"))</f>
        <v>Corrigé</v>
      </c>
      <c r="G31" s="53"/>
      <c r="H31" s="14" t="str">
        <f t="shared" si="2"/>
        <v>Choix correcteur adapté</v>
      </c>
      <c r="I31" s="24">
        <f t="shared" si="3"/>
        <v>3</v>
      </c>
      <c r="J31" s="24">
        <f>IF($H31="","",IF(OR(AND($AI$5&lt;&gt;"",ISNUMBER(SEARCH($AI$5,$AA$6))),AND($AF31&lt;&gt;"",ISNUMBER(SEARCH($AF31,$AA$6))),AND($AG31&lt;&gt;"",ISNUMBER(SEARCH($AG31,$AA$6))),AND($AH31&lt;&gt;"",ISNUMBER(SEARCH($AH31,$AA$6)))),$I31,0))+0*N("J31")</f>
        <v>0</v>
      </c>
      <c r="K31" s="24">
        <f>IF(COUNTA($I$15:$I$16)=0,"",IF(OR(AND($AI$5&lt;&gt;"",ISNUMBER(SEARCH($AI$5,$AA$7))),AND($AF31&lt;&gt;"",ISNUMBER(SEARCH($AF31,$AA$7))),AND($AG31&lt;&gt;"",ISNUMBER(SEARCH($AG31,$AA$7))),AND($AH31&lt;&gt;"",ISNUMBER(SEARCH($AH31,$AA$7)))),$I31,0))+0*N("K31")</f>
        <v>3</v>
      </c>
      <c r="L31" s="16" t="str">
        <f>IF(COUNTA($I$15:$I$16)=0,IF($J31&gt;0,"OK initial","Manque"),IF($K31&gt;0,IF($J31&gt;0,"OK","Corrigé"),"Manque"))&amp;T(N("L31"))</f>
        <v>Corrigé</v>
      </c>
      <c r="M31" s="37"/>
      <c r="AA31" s="10" t="str">
        <f>IFERROR(INDEX($AW$53:$AW$82,MATCH($B$4,$A$53:$A$82,0)),"")&amp;T(N("AW31"))</f>
        <v>Choix correcteur adapté</v>
      </c>
      <c r="AB31" s="26">
        <f>IFERROR(INDEX($AX$53:$AX$82,MATCH($B$4,$A$53:$A$82,0)),0)+0*N("AX31")</f>
        <v>3</v>
      </c>
      <c r="AC31" s="26" t="str">
        <f>IFERROR(INDEX($AY$53:$AY$82,MATCH($B$4,$A$53:$A$82,0)),"")&amp;T(N("AY31"))</f>
        <v>crudite</v>
      </c>
      <c r="AD31" s="26" t="str">
        <f>IFERROR(INDEX($AZ$53:$AZ$82,MATCH($B$4,$A$53:$A$82,0)),"")&amp;T(N("AZ31"))</f>
        <v>coloree</v>
      </c>
      <c r="AE31" s="26" t="str">
        <f>IFERROR(INDEX($BA$53:$BA$82,MATCH($B$4,$A$53:$A$82,0)),"")&amp;T(N("BA31"))</f>
        <v>saison</v>
      </c>
      <c r="AF31" s="26" t="str">
        <f>IFERROR(INDEX($BB$53:$BB$82,MATCH($B$4,$A$53:$A$82,0)),"")&amp;T(N("BB31"))</f>
        <v>crudite</v>
      </c>
      <c r="AG31" s="26" t="str">
        <f>IFERROR(INDEX($BC$53:$BC$82,MATCH($B$4,$A$53:$A$82,0)),"")&amp;T(N("BC31"))</f>
        <v>couleur</v>
      </c>
      <c r="AH31" s="26" t="str">
        <f>IFERROR(INDEX($BD$53:$BD$82,MATCH($B$4,$A$53:$A$82,0)),"")&amp;T(N("BD31"))</f>
        <v>fruit</v>
      </c>
    </row>
    <row r="32" spans="1:34" ht="24" customHeight="1" x14ac:dyDescent="0.25">
      <c r="A32" s="1563"/>
      <c r="B32" s="13" t="str">
        <f t="shared" si="0"/>
        <v>Faux correcteur évité</v>
      </c>
      <c r="C32" s="24">
        <f t="shared" si="1"/>
        <v>3</v>
      </c>
      <c r="D32" s="24">
        <f>IF($B32="","",IF(OR(AND($AI$4&lt;&gt;"",ISNUMBER(SEARCH($AI$4,$AA$4))),AND($AC32&lt;&gt;"",ISNUMBER(SEARCH($AC32,$AA$4))),AND($AD32&lt;&gt;"",ISNUMBER(SEARCH($AD32,$AA$4))),AND($AE32&lt;&gt;"",ISNUMBER(SEARCH($AE32,$AA$4)))),$C32,0))+0*N("D32")</f>
        <v>0</v>
      </c>
      <c r="E32" s="24">
        <f>IF(COUNTA($B$15:$B$16)=0,"",IF(OR(AND($AI$4&lt;&gt;"",ISNUMBER(SEARCH($AI$4,$AA$5))),AND($AC32&lt;&gt;"",ISNUMBER(SEARCH($AC32,$AA$5))),AND($AD32&lt;&gt;"",ISNUMBER(SEARCH($AD32,$AA$5))),AND($AE32&lt;&gt;"",ISNUMBER(SEARCH($AE32,$AA$5)))),$C32,0))+0*N("E32")</f>
        <v>3</v>
      </c>
      <c r="F32" s="16" t="str">
        <f>IF(COUNTA($B$15:$B$16)=0,IF($D32&gt;0,"OK initial","Manque"),IF($E32&gt;0,IF($D32&gt;0,"OK","Corrigé"),"Manque"))&amp;T(N("F32"))</f>
        <v>Corrigé</v>
      </c>
      <c r="G32" s="53"/>
      <c r="H32" s="14" t="str">
        <f t="shared" si="2"/>
        <v>Faux correcteur évité</v>
      </c>
      <c r="I32" s="24">
        <f t="shared" si="3"/>
        <v>3</v>
      </c>
      <c r="J32" s="24">
        <f>IF($H32="","",IF(OR(AND($AI$5&lt;&gt;"",ISNUMBER(SEARCH($AI$5,$AA$6))),AND($AF32&lt;&gt;"",ISNUMBER(SEARCH($AF32,$AA$6))),AND($AG32&lt;&gt;"",ISNUMBER(SEARCH($AG32,$AA$6))),AND($AH32&lt;&gt;"",ISNUMBER(SEARCH($AH32,$AA$6)))),$I32,0))+0*N("J32")</f>
        <v>3</v>
      </c>
      <c r="K32" s="24">
        <f>IF(COUNTA($I$15:$I$16)=0,"",IF(OR(AND($AI$5&lt;&gt;"",ISNUMBER(SEARCH($AI$5,$AA$7))),AND($AF32&lt;&gt;"",ISNUMBER(SEARCH($AF32,$AA$7))),AND($AG32&lt;&gt;"",ISNUMBER(SEARCH($AG32,$AA$7))),AND($AH32&lt;&gt;"",ISNUMBER(SEARCH($AH32,$AA$7)))),$I32,0))+0*N("K32")</f>
        <v>3</v>
      </c>
      <c r="L32" s="16" t="str">
        <f>IF(COUNTA($I$15:$I$16)=0,IF($J32&gt;0,"OK initial","Manque"),IF($K32&gt;0,IF($J32&gt;0,"OK","Corrigé"),"Manque"))&amp;T(N("L32"))</f>
        <v>OK</v>
      </c>
      <c r="M32" s="37"/>
      <c r="AA32" s="10" t="str">
        <f>IFERROR(INDEX($BE$53:$BE$82,MATCH($B$4,$A$53:$A$82,0)),"")&amp;T(N("BE32"))</f>
        <v>Faux correcteur évité</v>
      </c>
      <c r="AB32" s="26">
        <f>IFERROR(INDEX($BF$53:$BF$82,MATCH($B$4,$A$53:$A$82,0)),0)+0*N("BF32")</f>
        <v>3</v>
      </c>
      <c r="AC32" s="26" t="str">
        <f>IFERROR(INDEX($BG$53:$BG$82,MATCH($B$4,$A$53:$A$82,0)),"")&amp;T(N("BG32"))</f>
        <v>eviter</v>
      </c>
      <c r="AD32" s="26" t="str">
        <f>IFERROR(INDEX($BH$53:$BH$82,MATCH($B$4,$A$53:$A$82,0)),"")&amp;T(N("BH32"))</f>
        <v>fromage blanc</v>
      </c>
      <c r="AE32" s="26" t="str">
        <f>IFERROR(INDEX($BI$53:$BI$82,MATCH($B$4,$A$53:$A$82,0)),"")&amp;T(N("BI32"))</f>
        <v>encore blanc</v>
      </c>
      <c r="AF32" s="26" t="str">
        <f>IFERROR(INDEX($BJ$53:$BJ$82,MATCH($B$4,$A$53:$A$82,0)),"")&amp;T(N("BJ32"))</f>
        <v>eviter</v>
      </c>
      <c r="AG32" s="26" t="str">
        <f>IFERROR(INDEX($BK$53:$BK$82,MATCH($B$4,$A$53:$A$82,0)),"")&amp;T(N("BK32"))</f>
        <v>fromage blanc</v>
      </c>
      <c r="AH32" s="26" t="str">
        <f>IFERROR(INDEX($BL$53:$BL$82,MATCH($B$4,$A$53:$A$82,0)),"")&amp;T(N("BL32"))</f>
        <v>trop blanc</v>
      </c>
    </row>
    <row r="33" spans="1:34" ht="24" customHeight="1" x14ac:dyDescent="0.25">
      <c r="A33" s="1563"/>
      <c r="B33" s="13" t="str">
        <f t="shared" si="0"/>
        <v>Justification claire</v>
      </c>
      <c r="C33" s="24">
        <f t="shared" si="1"/>
        <v>2</v>
      </c>
      <c r="D33" s="24">
        <f>IF($B33="","",IF(OR(AND($AI$4&lt;&gt;"",ISNUMBER(SEARCH($AI$4,$AA$4))),AND($AC33&lt;&gt;"",ISNUMBER(SEARCH($AC33,$AA$4))),AND($AD33&lt;&gt;"",ISNUMBER(SEARCH($AD33,$AA$4))),AND($AE33&lt;&gt;"",ISNUMBER(SEARCH($AE33,$AA$4)))),$C33,0))+0*N("D33")</f>
        <v>0</v>
      </c>
      <c r="E33" s="24">
        <f>IF(COUNTA($B$15:$B$16)=0,"",IF(OR(AND($AI$4&lt;&gt;"",ISNUMBER(SEARCH($AI$4,$AA$5))),AND($AC33&lt;&gt;"",ISNUMBER(SEARCH($AC33,$AA$5))),AND($AD33&lt;&gt;"",ISNUMBER(SEARCH($AD33,$AA$5))),AND($AE33&lt;&gt;"",ISNUMBER(SEARCH($AE33,$AA$5)))),$C33,0))+0*N("E33")</f>
        <v>2</v>
      </c>
      <c r="F33" s="16" t="str">
        <f>IF(COUNTA($B$15:$B$16)=0,IF($D33&gt;0,"OK initial","Manque"),IF($E33&gt;0,IF($D33&gt;0,"OK","Corrigé"),"Manque"))&amp;T(N("F33"))</f>
        <v>Corrigé</v>
      </c>
      <c r="G33" s="53"/>
      <c r="H33" s="14" t="str">
        <f t="shared" si="2"/>
        <v>Justification claire</v>
      </c>
      <c r="I33" s="24">
        <f t="shared" si="3"/>
        <v>2</v>
      </c>
      <c r="J33" s="24">
        <f>IF($H33="","",IF(OR(AND($AI$5&lt;&gt;"",ISNUMBER(SEARCH($AI$5,$AA$6))),AND($AF33&lt;&gt;"",ISNUMBER(SEARCH($AF33,$AA$6))),AND($AG33&lt;&gt;"",ISNUMBER(SEARCH($AG33,$AA$6))),AND($AH33&lt;&gt;"",ISNUMBER(SEARCH($AH33,$AA$6)))),$I33,0))+0*N("J33")</f>
        <v>0</v>
      </c>
      <c r="K33" s="24">
        <f>IF(COUNTA($I$15:$I$16)=0,"",IF(OR(AND($AI$5&lt;&gt;"",ISNUMBER(SEARCH($AI$5,$AA$7))),AND($AF33&lt;&gt;"",ISNUMBER(SEARCH($AF33,$AA$7))),AND($AG33&lt;&gt;"",ISNUMBER(SEARCH($AG33,$AA$7))),AND($AH33&lt;&gt;"",ISNUMBER(SEARCH($AH33,$AA$7)))),$I33,0))+0*N("K33")</f>
        <v>2</v>
      </c>
      <c r="L33" s="16" t="str">
        <f>IF(COUNTA($I$15:$I$16)=0,IF($J33&gt;0,"OK initial","Manque"),IF($K33&gt;0,IF($J33&gt;0,"OK","Corrigé"),"Manque"))&amp;T(N("L33"))</f>
        <v>Corrigé</v>
      </c>
      <c r="M33" s="37"/>
      <c r="AA33" s="10" t="str">
        <f>IFERROR(INDEX($BM$53:$BM$82,MATCH($B$4,$A$53:$A$82,0)),"")&amp;T(N("BM33"))</f>
        <v>Justification claire</v>
      </c>
      <c r="AB33" s="26">
        <f>IFERROR(INDEX($BN$53:$BN$82,MATCH($B$4,$A$53:$A$82,0)),0)+0*N("BN33")</f>
        <v>2</v>
      </c>
      <c r="AC33" s="26" t="str">
        <f>IFERROR(INDEX($BO$53:$BO$82,MATCH($B$4,$A$53:$A$82,0)),"")&amp;T(N("BO33"))</f>
        <v>parce</v>
      </c>
      <c r="AD33" s="26" t="str">
        <f>IFERROR(INDEX($BP$53:$BP$82,MATCH($B$4,$A$53:$A$82,0)),"")&amp;T(N("BP33"))</f>
        <v>corrige</v>
      </c>
      <c r="AE33" s="26" t="str">
        <f>IFERROR(INDEX($BQ$53:$BQ$82,MATCH($B$4,$A$53:$A$82,0)),"")&amp;T(N("BQ33"))</f>
        <v>renforce</v>
      </c>
      <c r="AF33" s="26" t="str">
        <f>IFERROR(INDEX($BR$53:$BR$82,MATCH($B$4,$A$53:$A$82,0)),"")&amp;T(N("BR33"))</f>
        <v>parce</v>
      </c>
      <c r="AG33" s="26" t="str">
        <f>IFERROR(INDEX($BS$53:$BS$82,MATCH($B$4,$A$53:$A$82,0)),"")&amp;T(N("BS33"))</f>
        <v>corrige</v>
      </c>
      <c r="AH33" s="26" t="str">
        <f>IFERROR(INDEX($BT$53:$BT$82,MATCH($B$4,$A$53:$A$82,0)),"")&amp;T(N("BT33"))</f>
        <v>rajoute</v>
      </c>
    </row>
    <row r="34" spans="1:34" ht="24" customHeight="1" x14ac:dyDescent="0.25">
      <c r="A34" s="1563"/>
      <c r="B34" s="13" t="s">
        <v>77</v>
      </c>
      <c r="C34" s="19">
        <f>SUM($D$28:$D$33)+0*N("C34")</f>
        <v>8</v>
      </c>
      <c r="D34" s="27"/>
      <c r="E34" s="27"/>
      <c r="F34" s="27"/>
      <c r="G34" s="27"/>
      <c r="H34" s="14" t="s">
        <v>78</v>
      </c>
      <c r="I34" s="17">
        <f>SUM($J$28:$J$33)+0*N("I34")</f>
        <v>11</v>
      </c>
      <c r="J34" s="27"/>
      <c r="K34" s="27"/>
      <c r="L34" s="27"/>
      <c r="M34" s="37"/>
    </row>
    <row r="35" spans="1:34" ht="24" customHeight="1" x14ac:dyDescent="0.25">
      <c r="A35" s="1563"/>
      <c r="B35" s="13" t="s">
        <v>79</v>
      </c>
      <c r="C35" s="19">
        <f>IF(COUNTA($B$15:$B$16)=0,"",SUM($E$28:$E$33)+0*N("C35"))</f>
        <v>20</v>
      </c>
      <c r="D35" s="27"/>
      <c r="E35" s="27"/>
      <c r="F35" s="27"/>
      <c r="G35" s="27"/>
      <c r="H35" s="14" t="s">
        <v>80</v>
      </c>
      <c r="I35" s="17">
        <f>IF(COUNTA($I$15:$I$16)=0,"",SUM($K$28:$K$33)+0*N("I35"))</f>
        <v>20</v>
      </c>
      <c r="J35" s="27"/>
      <c r="K35" s="27"/>
      <c r="L35" s="27"/>
      <c r="M35" s="37"/>
    </row>
    <row r="36" spans="1:34" ht="24" customHeight="1" x14ac:dyDescent="0.25">
      <c r="A36" s="1563"/>
      <c r="B36" s="136" t="s">
        <v>81</v>
      </c>
      <c r="C36" s="137">
        <f>IF($C$35="","",$C$35-$C$34+0*N("C36"))</f>
        <v>12</v>
      </c>
      <c r="D36" s="56"/>
      <c r="E36" s="56"/>
      <c r="F36" s="56"/>
      <c r="G36" s="57"/>
      <c r="H36" s="136" t="s">
        <v>82</v>
      </c>
      <c r="I36" s="137">
        <f>IF($I$35="","",$I$35-$I$34+0*N("I36"))</f>
        <v>9</v>
      </c>
      <c r="J36" s="29"/>
      <c r="K36" s="29"/>
      <c r="L36" s="29"/>
      <c r="M36" s="37"/>
    </row>
    <row r="37" spans="1:34" ht="15.75" x14ac:dyDescent="0.25">
      <c r="A37" s="9"/>
      <c r="B37" s="54"/>
      <c r="C37" s="9"/>
      <c r="D37" s="9"/>
      <c r="E37" s="9"/>
      <c r="F37" s="9"/>
      <c r="G37" s="9"/>
      <c r="H37" s="9"/>
      <c r="I37" s="9"/>
      <c r="J37" s="9"/>
      <c r="K37" s="9"/>
      <c r="L37" s="9"/>
      <c r="M37" s="9"/>
    </row>
    <row r="52" spans="1:72" ht="27.95" customHeight="1" x14ac:dyDescent="0.25">
      <c r="A52" s="55" t="s">
        <v>83</v>
      </c>
      <c r="B52" s="55" t="s">
        <v>5</v>
      </c>
      <c r="C52" s="55" t="s">
        <v>6</v>
      </c>
      <c r="D52" s="55" t="s">
        <v>84</v>
      </c>
      <c r="E52" s="55" t="s">
        <v>85</v>
      </c>
      <c r="F52" s="55" t="s">
        <v>86</v>
      </c>
      <c r="G52" s="55" t="s">
        <v>87</v>
      </c>
      <c r="H52" s="55" t="s">
        <v>88</v>
      </c>
      <c r="I52" s="55" t="s">
        <v>89</v>
      </c>
      <c r="J52" s="55" t="s">
        <v>90</v>
      </c>
      <c r="K52" s="55" t="s">
        <v>91</v>
      </c>
      <c r="L52" s="55" t="s">
        <v>92</v>
      </c>
      <c r="M52" s="55" t="s">
        <v>93</v>
      </c>
      <c r="N52" s="55" t="s">
        <v>94</v>
      </c>
      <c r="O52" s="55" t="s">
        <v>95</v>
      </c>
      <c r="P52" s="55" t="s">
        <v>96</v>
      </c>
      <c r="Q52" s="55" t="s">
        <v>97</v>
      </c>
      <c r="R52" s="55" t="s">
        <v>100</v>
      </c>
      <c r="S52" s="55" t="s">
        <v>101</v>
      </c>
      <c r="T52" s="55" t="s">
        <v>2671</v>
      </c>
      <c r="U52" s="55" t="s">
        <v>2672</v>
      </c>
      <c r="V52" s="55" t="s">
        <v>102</v>
      </c>
      <c r="W52" s="55" t="s">
        <v>103</v>
      </c>
      <c r="X52" s="55" t="s">
        <v>104</v>
      </c>
      <c r="Y52" s="32" t="s">
        <v>105</v>
      </c>
      <c r="Z52" s="32" t="s">
        <v>106</v>
      </c>
      <c r="AA52" s="32" t="s">
        <v>107</v>
      </c>
      <c r="AB52" s="32" t="s">
        <v>108</v>
      </c>
      <c r="AC52" s="32" t="s">
        <v>109</v>
      </c>
      <c r="AD52" s="32" t="s">
        <v>110</v>
      </c>
      <c r="AE52" s="32" t="s">
        <v>111</v>
      </c>
      <c r="AF52" s="32" t="s">
        <v>112</v>
      </c>
      <c r="AG52" s="32" t="s">
        <v>113</v>
      </c>
      <c r="AH52" s="32" t="s">
        <v>114</v>
      </c>
      <c r="AI52" s="32" t="s">
        <v>115</v>
      </c>
      <c r="AJ52" s="32" t="s">
        <v>116</v>
      </c>
      <c r="AK52" s="32" t="s">
        <v>117</v>
      </c>
      <c r="AL52" s="32" t="s">
        <v>118</v>
      </c>
      <c r="AM52" s="32" t="s">
        <v>119</v>
      </c>
      <c r="AN52" s="32" t="s">
        <v>120</v>
      </c>
      <c r="AO52" s="32" t="s">
        <v>121</v>
      </c>
      <c r="AP52" s="32" t="s">
        <v>122</v>
      </c>
      <c r="AQ52" s="32" t="s">
        <v>123</v>
      </c>
      <c r="AR52" s="32" t="s">
        <v>124</v>
      </c>
      <c r="AS52" s="32" t="s">
        <v>125</v>
      </c>
      <c r="AT52" s="32" t="s">
        <v>126</v>
      </c>
      <c r="AU52" s="32" t="s">
        <v>127</v>
      </c>
      <c r="AV52" s="32" t="s">
        <v>128</v>
      </c>
      <c r="AW52" s="32" t="s">
        <v>129</v>
      </c>
      <c r="AX52" s="32" t="s">
        <v>130</v>
      </c>
      <c r="AY52" s="32" t="s">
        <v>131</v>
      </c>
      <c r="AZ52" s="32" t="s">
        <v>132</v>
      </c>
      <c r="BA52" s="32" t="s">
        <v>133</v>
      </c>
      <c r="BB52" s="32" t="s">
        <v>134</v>
      </c>
      <c r="BC52" s="32" t="s">
        <v>135</v>
      </c>
      <c r="BD52" s="32" t="s">
        <v>136</v>
      </c>
      <c r="BE52" s="32" t="s">
        <v>137</v>
      </c>
      <c r="BF52" s="32" t="s">
        <v>138</v>
      </c>
      <c r="BG52" s="32" t="s">
        <v>139</v>
      </c>
      <c r="BH52" s="32" t="s">
        <v>140</v>
      </c>
      <c r="BI52" s="32" t="s">
        <v>141</v>
      </c>
      <c r="BJ52" s="32" t="s">
        <v>142</v>
      </c>
      <c r="BK52" s="32" t="s">
        <v>143</v>
      </c>
      <c r="BL52" s="32" t="s">
        <v>144</v>
      </c>
      <c r="BM52" s="32" t="s">
        <v>145</v>
      </c>
      <c r="BN52" s="32" t="s">
        <v>146</v>
      </c>
      <c r="BO52" s="32" t="s">
        <v>147</v>
      </c>
      <c r="BP52" s="32" t="s">
        <v>148</v>
      </c>
      <c r="BQ52" s="32" t="s">
        <v>149</v>
      </c>
      <c r="BR52" s="32" t="s">
        <v>150</v>
      </c>
      <c r="BS52" s="32" t="s">
        <v>151</v>
      </c>
      <c r="BT52" s="32" t="s">
        <v>152</v>
      </c>
    </row>
    <row r="53" spans="1:72" s="184" customFormat="1" ht="54.95" customHeight="1" x14ac:dyDescent="0.25">
      <c r="A53" s="155">
        <v>1</v>
      </c>
      <c r="B53" s="184" t="s">
        <v>153</v>
      </c>
      <c r="C53" s="184" t="s">
        <v>154</v>
      </c>
      <c r="D53" s="184" t="s">
        <v>155</v>
      </c>
      <c r="E53" s="184" t="s">
        <v>2673</v>
      </c>
      <c r="F53" s="184" t="s">
        <v>2674</v>
      </c>
      <c r="G53" s="184" t="s">
        <v>2675</v>
      </c>
      <c r="H53" s="184" t="s">
        <v>2661</v>
      </c>
      <c r="I53" s="184" t="s">
        <v>2662</v>
      </c>
      <c r="J53" s="184" t="s">
        <v>2676</v>
      </c>
      <c r="K53" s="184" t="s">
        <v>2677</v>
      </c>
      <c r="L53" s="184" t="s">
        <v>2678</v>
      </c>
      <c r="M53" s="184" t="s">
        <v>2679</v>
      </c>
      <c r="N53" s="184" t="s">
        <v>216</v>
      </c>
      <c r="O53" s="184">
        <v>20</v>
      </c>
      <c r="P53" s="184" t="s">
        <v>164</v>
      </c>
      <c r="Q53" s="184" t="s">
        <v>165</v>
      </c>
      <c r="R53" s="184" t="s">
        <v>2680</v>
      </c>
      <c r="S53" s="184" t="s">
        <v>2681</v>
      </c>
      <c r="T53" s="184" t="s">
        <v>2682</v>
      </c>
      <c r="U53" s="184" t="s">
        <v>2683</v>
      </c>
      <c r="V53" s="184" t="s">
        <v>2684</v>
      </c>
      <c r="W53" s="184" t="s">
        <v>2685</v>
      </c>
      <c r="X53" s="184" t="s">
        <v>2686</v>
      </c>
      <c r="Y53" s="185" t="s">
        <v>173</v>
      </c>
      <c r="Z53" s="185">
        <v>4</v>
      </c>
      <c r="AA53" s="185" t="s">
        <v>174</v>
      </c>
      <c r="AB53" s="185" t="s">
        <v>176</v>
      </c>
      <c r="AC53" s="185" t="s">
        <v>175</v>
      </c>
      <c r="AD53" s="185" t="s">
        <v>174</v>
      </c>
      <c r="AE53" s="185" t="s">
        <v>176</v>
      </c>
      <c r="AF53" s="185" t="s">
        <v>177</v>
      </c>
      <c r="AG53" s="185" t="s">
        <v>2687</v>
      </c>
      <c r="AH53" s="185">
        <v>4</v>
      </c>
      <c r="AI53" s="185" t="s">
        <v>184</v>
      </c>
      <c r="AJ53" s="185" t="s">
        <v>182</v>
      </c>
      <c r="AK53" s="185" t="s">
        <v>1706</v>
      </c>
      <c r="AL53" s="185" t="s">
        <v>184</v>
      </c>
      <c r="AM53" s="185" t="s">
        <v>182</v>
      </c>
      <c r="AN53" s="185" t="s">
        <v>1706</v>
      </c>
      <c r="AO53" s="185" t="s">
        <v>2688</v>
      </c>
      <c r="AP53" s="185">
        <v>4</v>
      </c>
      <c r="AQ53" s="185" t="s">
        <v>186</v>
      </c>
      <c r="AR53" s="185" t="s">
        <v>185</v>
      </c>
      <c r="AS53" s="185" t="s">
        <v>407</v>
      </c>
      <c r="AT53" s="185" t="s">
        <v>186</v>
      </c>
      <c r="AU53" s="185" t="s">
        <v>185</v>
      </c>
      <c r="AV53" s="185" t="s">
        <v>624</v>
      </c>
      <c r="AW53" s="185" t="s">
        <v>2689</v>
      </c>
      <c r="AX53" s="185">
        <v>3</v>
      </c>
      <c r="AY53" s="185" t="s">
        <v>234</v>
      </c>
      <c r="AZ53" s="185" t="s">
        <v>2690</v>
      </c>
      <c r="BA53" s="185" t="s">
        <v>411</v>
      </c>
      <c r="BB53" s="185" t="s">
        <v>234</v>
      </c>
      <c r="BC53" s="185" t="s">
        <v>437</v>
      </c>
      <c r="BD53" s="185" t="s">
        <v>185</v>
      </c>
      <c r="BE53" s="185" t="s">
        <v>2691</v>
      </c>
      <c r="BF53" s="185">
        <v>3</v>
      </c>
      <c r="BG53" s="185" t="s">
        <v>203</v>
      </c>
      <c r="BH53" s="185" t="s">
        <v>187</v>
      </c>
      <c r="BI53" s="185" t="s">
        <v>2692</v>
      </c>
      <c r="BJ53" s="185" t="s">
        <v>203</v>
      </c>
      <c r="BK53" s="185" t="s">
        <v>187</v>
      </c>
      <c r="BL53" s="185" t="s">
        <v>2693</v>
      </c>
      <c r="BM53" s="185" t="s">
        <v>198</v>
      </c>
      <c r="BN53" s="185">
        <v>2</v>
      </c>
      <c r="BO53" s="185" t="s">
        <v>199</v>
      </c>
      <c r="BP53" s="185" t="s">
        <v>200</v>
      </c>
      <c r="BQ53" s="185" t="s">
        <v>2694</v>
      </c>
      <c r="BR53" s="185" t="s">
        <v>199</v>
      </c>
      <c r="BS53" s="185" t="s">
        <v>200</v>
      </c>
      <c r="BT53" s="185" t="s">
        <v>2695</v>
      </c>
    </row>
    <row r="54" spans="1:72" s="184" customFormat="1" ht="54.95" customHeight="1" x14ac:dyDescent="0.25">
      <c r="A54" s="155">
        <v>2</v>
      </c>
      <c r="B54" s="184" t="s">
        <v>204</v>
      </c>
      <c r="C54" s="184" t="s">
        <v>205</v>
      </c>
      <c r="D54" s="184" t="s">
        <v>2696</v>
      </c>
      <c r="E54" s="184" t="s">
        <v>2697</v>
      </c>
      <c r="F54" s="184" t="s">
        <v>2698</v>
      </c>
      <c r="G54" s="184" t="s">
        <v>2699</v>
      </c>
      <c r="H54" s="184" t="s">
        <v>2700</v>
      </c>
      <c r="I54" s="184" t="s">
        <v>2701</v>
      </c>
      <c r="J54" s="184" t="s">
        <v>2702</v>
      </c>
      <c r="K54" s="184" t="s">
        <v>2703</v>
      </c>
      <c r="L54" s="184" t="s">
        <v>2678</v>
      </c>
      <c r="M54" s="184" t="s">
        <v>2704</v>
      </c>
      <c r="N54" s="184" t="s">
        <v>216</v>
      </c>
      <c r="O54" s="184">
        <v>20</v>
      </c>
      <c r="P54" s="184" t="s">
        <v>164</v>
      </c>
      <c r="Q54" s="184" t="s">
        <v>2705</v>
      </c>
      <c r="R54" s="184" t="s">
        <v>2706</v>
      </c>
      <c r="S54" s="184" t="s">
        <v>2707</v>
      </c>
      <c r="T54" s="184" t="s">
        <v>2708</v>
      </c>
      <c r="U54" s="184" t="s">
        <v>2709</v>
      </c>
      <c r="V54" s="184" t="s">
        <v>952</v>
      </c>
      <c r="W54" s="184" t="s">
        <v>2710</v>
      </c>
      <c r="X54" s="184" t="s">
        <v>224</v>
      </c>
      <c r="Y54" s="185" t="s">
        <v>173</v>
      </c>
      <c r="Z54" s="185">
        <v>4</v>
      </c>
      <c r="AA54" s="185" t="s">
        <v>226</v>
      </c>
      <c r="AB54" s="185" t="s">
        <v>225</v>
      </c>
      <c r="AC54" s="185" t="s">
        <v>227</v>
      </c>
      <c r="AD54" s="185" t="s">
        <v>226</v>
      </c>
      <c r="AE54" s="185" t="s">
        <v>225</v>
      </c>
      <c r="AF54" s="185" t="s">
        <v>228</v>
      </c>
      <c r="AG54" s="185" t="s">
        <v>2687</v>
      </c>
      <c r="AH54" s="185">
        <v>4</v>
      </c>
      <c r="AI54" s="185" t="s">
        <v>184</v>
      </c>
      <c r="AJ54" s="185" t="s">
        <v>234</v>
      </c>
      <c r="AK54" s="185" t="s">
        <v>279</v>
      </c>
      <c r="AL54" s="185" t="s">
        <v>184</v>
      </c>
      <c r="AM54" s="185" t="s">
        <v>234</v>
      </c>
      <c r="AN54" s="185" t="s">
        <v>528</v>
      </c>
      <c r="AO54" s="185" t="s">
        <v>2688</v>
      </c>
      <c r="AP54" s="185">
        <v>4</v>
      </c>
      <c r="AQ54" s="185" t="s">
        <v>186</v>
      </c>
      <c r="AR54" s="185" t="s">
        <v>185</v>
      </c>
      <c r="AS54" s="185" t="s">
        <v>235</v>
      </c>
      <c r="AT54" s="185" t="s">
        <v>186</v>
      </c>
      <c r="AU54" s="185" t="s">
        <v>185</v>
      </c>
      <c r="AV54" s="185" t="s">
        <v>236</v>
      </c>
      <c r="AW54" s="185" t="s">
        <v>2689</v>
      </c>
      <c r="AX54" s="185">
        <v>3</v>
      </c>
      <c r="AY54" s="185" t="s">
        <v>245</v>
      </c>
      <c r="AZ54" s="185" t="s">
        <v>528</v>
      </c>
      <c r="BA54" s="185" t="s">
        <v>860</v>
      </c>
      <c r="BB54" s="185" t="s">
        <v>245</v>
      </c>
      <c r="BC54" s="185" t="s">
        <v>860</v>
      </c>
      <c r="BD54" s="185" t="s">
        <v>185</v>
      </c>
      <c r="BE54" s="185" t="s">
        <v>2691</v>
      </c>
      <c r="BF54" s="185">
        <v>3</v>
      </c>
      <c r="BG54" s="185" t="s">
        <v>203</v>
      </c>
      <c r="BH54" s="185" t="s">
        <v>2711</v>
      </c>
      <c r="BI54" s="185" t="s">
        <v>529</v>
      </c>
      <c r="BJ54" s="185" t="s">
        <v>203</v>
      </c>
      <c r="BK54" s="185" t="s">
        <v>2712</v>
      </c>
      <c r="BL54" s="185" t="s">
        <v>529</v>
      </c>
      <c r="BM54" s="185" t="s">
        <v>198</v>
      </c>
      <c r="BN54" s="185">
        <v>2</v>
      </c>
      <c r="BO54" s="185" t="s">
        <v>199</v>
      </c>
      <c r="BP54" s="185" t="s">
        <v>200</v>
      </c>
      <c r="BQ54" s="185" t="s">
        <v>2713</v>
      </c>
      <c r="BR54" s="185" t="s">
        <v>199</v>
      </c>
      <c r="BS54" s="185" t="s">
        <v>2714</v>
      </c>
      <c r="BT54" s="185" t="s">
        <v>244</v>
      </c>
    </row>
    <row r="55" spans="1:72" s="184" customFormat="1" ht="54.95" customHeight="1" x14ac:dyDescent="0.25">
      <c r="A55" s="155">
        <v>3</v>
      </c>
      <c r="B55" s="184" t="s">
        <v>246</v>
      </c>
      <c r="C55" s="184" t="s">
        <v>247</v>
      </c>
      <c r="D55" s="184" t="s">
        <v>692</v>
      </c>
      <c r="E55" s="184" t="s">
        <v>2715</v>
      </c>
      <c r="F55" s="184" t="s">
        <v>2716</v>
      </c>
      <c r="G55" s="184" t="s">
        <v>2717</v>
      </c>
      <c r="H55" s="184" t="s">
        <v>2718</v>
      </c>
      <c r="I55" s="184" t="s">
        <v>2719</v>
      </c>
      <c r="J55" s="184" t="s">
        <v>2720</v>
      </c>
      <c r="K55" s="184" t="s">
        <v>2721</v>
      </c>
      <c r="L55" s="184" t="s">
        <v>2678</v>
      </c>
      <c r="M55" s="184" t="s">
        <v>2722</v>
      </c>
      <c r="N55" s="184" t="s">
        <v>216</v>
      </c>
      <c r="O55" s="184">
        <v>20</v>
      </c>
      <c r="P55" s="184" t="s">
        <v>164</v>
      </c>
      <c r="Q55" s="184" t="s">
        <v>2723</v>
      </c>
      <c r="R55" s="184" t="s">
        <v>2724</v>
      </c>
      <c r="S55" s="184" t="s">
        <v>1137</v>
      </c>
      <c r="T55" s="184" t="s">
        <v>2725</v>
      </c>
      <c r="U55" s="184" t="s">
        <v>2726</v>
      </c>
      <c r="V55" s="184" t="s">
        <v>2727</v>
      </c>
      <c r="W55" s="184" t="s">
        <v>2728</v>
      </c>
      <c r="X55" s="184" t="s">
        <v>2729</v>
      </c>
      <c r="Y55" s="185" t="s">
        <v>173</v>
      </c>
      <c r="Z55" s="185">
        <v>4</v>
      </c>
      <c r="AA55" s="185" t="s">
        <v>1969</v>
      </c>
      <c r="AB55" s="185" t="s">
        <v>225</v>
      </c>
      <c r="AC55" s="185" t="s">
        <v>2730</v>
      </c>
      <c r="AD55" s="185" t="s">
        <v>1969</v>
      </c>
      <c r="AE55" s="185" t="s">
        <v>710</v>
      </c>
      <c r="AF55" s="185" t="s">
        <v>228</v>
      </c>
      <c r="AG55" s="185" t="s">
        <v>2687</v>
      </c>
      <c r="AH55" s="185">
        <v>4</v>
      </c>
      <c r="AI55" s="185" t="s">
        <v>184</v>
      </c>
      <c r="AJ55" s="185" t="s">
        <v>234</v>
      </c>
      <c r="AK55" s="185" t="s">
        <v>528</v>
      </c>
      <c r="AL55" s="185" t="s">
        <v>184</v>
      </c>
      <c r="AM55" s="185" t="s">
        <v>234</v>
      </c>
      <c r="AN55" s="185" t="s">
        <v>528</v>
      </c>
      <c r="AO55" s="185" t="s">
        <v>2688</v>
      </c>
      <c r="AP55" s="185">
        <v>4</v>
      </c>
      <c r="AQ55" s="185" t="s">
        <v>186</v>
      </c>
      <c r="AR55" s="185" t="s">
        <v>185</v>
      </c>
      <c r="AS55" s="185" t="s">
        <v>411</v>
      </c>
      <c r="AT55" s="185" t="s">
        <v>186</v>
      </c>
      <c r="AU55" s="185" t="s">
        <v>185</v>
      </c>
      <c r="AV55" s="185" t="s">
        <v>2731</v>
      </c>
      <c r="AW55" s="185" t="s">
        <v>2689</v>
      </c>
      <c r="AX55" s="185">
        <v>3</v>
      </c>
      <c r="AY55" s="185" t="s">
        <v>234</v>
      </c>
      <c r="AZ55" s="185" t="s">
        <v>185</v>
      </c>
      <c r="BA55" s="185" t="s">
        <v>919</v>
      </c>
      <c r="BB55" s="185" t="s">
        <v>716</v>
      </c>
      <c r="BC55" s="185" t="s">
        <v>200</v>
      </c>
      <c r="BD55" s="185" t="s">
        <v>185</v>
      </c>
      <c r="BE55" s="185" t="s">
        <v>2691</v>
      </c>
      <c r="BF55" s="185">
        <v>3</v>
      </c>
      <c r="BG55" s="185" t="s">
        <v>203</v>
      </c>
      <c r="BH55" s="185" t="s">
        <v>2732</v>
      </c>
      <c r="BI55" s="185" t="s">
        <v>711</v>
      </c>
      <c r="BJ55" s="185" t="s">
        <v>203</v>
      </c>
      <c r="BK55" s="185" t="s">
        <v>1483</v>
      </c>
      <c r="BL55" s="185" t="s">
        <v>1969</v>
      </c>
      <c r="BM55" s="185" t="s">
        <v>198</v>
      </c>
      <c r="BN55" s="185">
        <v>2</v>
      </c>
      <c r="BO55" s="185" t="s">
        <v>199</v>
      </c>
      <c r="BP55" s="185" t="s">
        <v>200</v>
      </c>
      <c r="BQ55" s="185" t="s">
        <v>2694</v>
      </c>
      <c r="BR55" s="185" t="s">
        <v>199</v>
      </c>
      <c r="BS55" s="185" t="s">
        <v>2733</v>
      </c>
      <c r="BT55" s="185" t="s">
        <v>201</v>
      </c>
    </row>
    <row r="56" spans="1:72" s="184" customFormat="1" ht="54.95" customHeight="1" x14ac:dyDescent="0.25">
      <c r="A56" s="155">
        <v>4</v>
      </c>
      <c r="B56" s="184" t="s">
        <v>978</v>
      </c>
      <c r="C56" s="184" t="s">
        <v>154</v>
      </c>
      <c r="D56" s="184" t="s">
        <v>979</v>
      </c>
      <c r="E56" s="184" t="s">
        <v>2734</v>
      </c>
      <c r="F56" s="184" t="s">
        <v>2735</v>
      </c>
      <c r="G56" s="184" t="s">
        <v>2736</v>
      </c>
      <c r="H56" s="184" t="s">
        <v>2737</v>
      </c>
      <c r="I56" s="184" t="s">
        <v>2738</v>
      </c>
      <c r="J56" s="184" t="s">
        <v>2739</v>
      </c>
      <c r="K56" s="184" t="s">
        <v>2740</v>
      </c>
      <c r="L56" s="184" t="s">
        <v>2678</v>
      </c>
      <c r="M56" s="184" t="s">
        <v>2741</v>
      </c>
      <c r="N56" s="184" t="s">
        <v>216</v>
      </c>
      <c r="O56" s="184">
        <v>20</v>
      </c>
      <c r="P56" s="184" t="s">
        <v>259</v>
      </c>
      <c r="Q56" s="184" t="s">
        <v>2742</v>
      </c>
      <c r="R56" s="184" t="s">
        <v>2743</v>
      </c>
      <c r="S56" s="184" t="s">
        <v>2744</v>
      </c>
      <c r="T56" s="184" t="s">
        <v>2745</v>
      </c>
      <c r="U56" s="184" t="s">
        <v>2746</v>
      </c>
      <c r="V56" s="184" t="s">
        <v>2747</v>
      </c>
      <c r="W56" s="184" t="s">
        <v>2748</v>
      </c>
      <c r="X56" s="184" t="s">
        <v>2749</v>
      </c>
      <c r="Y56" s="185" t="s">
        <v>173</v>
      </c>
      <c r="Z56" s="185">
        <v>4</v>
      </c>
      <c r="AA56" s="185" t="s">
        <v>176</v>
      </c>
      <c r="AB56" s="185" t="s">
        <v>310</v>
      </c>
      <c r="AC56" s="185" t="s">
        <v>317</v>
      </c>
      <c r="AD56" s="185" t="s">
        <v>176</v>
      </c>
      <c r="AE56" s="185" t="s">
        <v>318</v>
      </c>
      <c r="AF56" s="185" t="s">
        <v>558</v>
      </c>
      <c r="AG56" s="185" t="s">
        <v>2687</v>
      </c>
      <c r="AH56" s="185">
        <v>4</v>
      </c>
      <c r="AI56" s="185" t="s">
        <v>184</v>
      </c>
      <c r="AJ56" s="185" t="s">
        <v>315</v>
      </c>
      <c r="AK56" s="185" t="s">
        <v>2750</v>
      </c>
      <c r="AL56" s="185" t="s">
        <v>184</v>
      </c>
      <c r="AM56" s="185" t="s">
        <v>315</v>
      </c>
      <c r="AN56" s="185" t="s">
        <v>323</v>
      </c>
      <c r="AO56" s="185" t="s">
        <v>2688</v>
      </c>
      <c r="AP56" s="185">
        <v>4</v>
      </c>
      <c r="AQ56" s="185" t="s">
        <v>186</v>
      </c>
      <c r="AR56" s="185" t="s">
        <v>235</v>
      </c>
      <c r="AS56" s="185" t="s">
        <v>316</v>
      </c>
      <c r="AT56" s="185" t="s">
        <v>186</v>
      </c>
      <c r="AU56" s="185" t="s">
        <v>235</v>
      </c>
      <c r="AV56" s="185" t="s">
        <v>323</v>
      </c>
      <c r="AW56" s="185" t="s">
        <v>2689</v>
      </c>
      <c r="AX56" s="185">
        <v>3</v>
      </c>
      <c r="AY56" s="185" t="s">
        <v>1038</v>
      </c>
      <c r="AZ56" s="185" t="s">
        <v>179</v>
      </c>
      <c r="BA56" s="185" t="s">
        <v>323</v>
      </c>
      <c r="BB56" s="185" t="s">
        <v>179</v>
      </c>
      <c r="BC56" s="185" t="s">
        <v>323</v>
      </c>
      <c r="BD56" s="185" t="s">
        <v>314</v>
      </c>
      <c r="BE56" s="185" t="s">
        <v>2691</v>
      </c>
      <c r="BF56" s="185">
        <v>3</v>
      </c>
      <c r="BG56" s="185" t="s">
        <v>203</v>
      </c>
      <c r="BH56" s="185" t="s">
        <v>2751</v>
      </c>
      <c r="BI56" s="185" t="s">
        <v>313</v>
      </c>
      <c r="BJ56" s="185" t="s">
        <v>203</v>
      </c>
      <c r="BK56" s="185" t="s">
        <v>624</v>
      </c>
      <c r="BL56" s="185" t="s">
        <v>558</v>
      </c>
      <c r="BM56" s="185" t="s">
        <v>198</v>
      </c>
      <c r="BN56" s="185">
        <v>2</v>
      </c>
      <c r="BO56" s="185" t="s">
        <v>199</v>
      </c>
      <c r="BP56" s="185" t="s">
        <v>311</v>
      </c>
      <c r="BQ56" s="185" t="s">
        <v>310</v>
      </c>
      <c r="BR56" s="185" t="s">
        <v>199</v>
      </c>
      <c r="BS56" s="185" t="s">
        <v>353</v>
      </c>
      <c r="BT56" s="185" t="s">
        <v>313</v>
      </c>
    </row>
    <row r="57" spans="1:72" s="184" customFormat="1" ht="54.95" customHeight="1" x14ac:dyDescent="0.25">
      <c r="A57" s="155">
        <v>5</v>
      </c>
      <c r="B57" s="184" t="s">
        <v>444</v>
      </c>
      <c r="C57" s="184" t="s">
        <v>247</v>
      </c>
      <c r="D57" s="184" t="s">
        <v>248</v>
      </c>
      <c r="E57" s="184" t="s">
        <v>2752</v>
      </c>
      <c r="F57" s="184" t="s">
        <v>2753</v>
      </c>
      <c r="G57" s="184" t="s">
        <v>2754</v>
      </c>
      <c r="H57" s="184" t="s">
        <v>2755</v>
      </c>
      <c r="I57" s="184" t="s">
        <v>2756</v>
      </c>
      <c r="J57" s="184" t="s">
        <v>2757</v>
      </c>
      <c r="K57" s="184" t="s">
        <v>2758</v>
      </c>
      <c r="L57" s="184" t="s">
        <v>2678</v>
      </c>
      <c r="M57" s="184" t="s">
        <v>2759</v>
      </c>
      <c r="N57" s="184" t="s">
        <v>216</v>
      </c>
      <c r="O57" s="184">
        <v>20</v>
      </c>
      <c r="P57" s="184" t="s">
        <v>259</v>
      </c>
      <c r="Q57" s="184" t="s">
        <v>2760</v>
      </c>
      <c r="R57" s="184" t="s">
        <v>2761</v>
      </c>
      <c r="S57" s="184" t="s">
        <v>2762</v>
      </c>
      <c r="T57" s="184" t="s">
        <v>2763</v>
      </c>
      <c r="U57" s="184" t="s">
        <v>2764</v>
      </c>
      <c r="V57" s="184" t="s">
        <v>2765</v>
      </c>
      <c r="W57" s="184" t="s">
        <v>2766</v>
      </c>
      <c r="X57" s="184" t="s">
        <v>2767</v>
      </c>
      <c r="Y57" s="185" t="s">
        <v>173</v>
      </c>
      <c r="Z57" s="185">
        <v>4</v>
      </c>
      <c r="AA57" s="185" t="s">
        <v>268</v>
      </c>
      <c r="AB57" s="185" t="s">
        <v>236</v>
      </c>
      <c r="AC57" s="185" t="s">
        <v>270</v>
      </c>
      <c r="AD57" s="185" t="s">
        <v>271</v>
      </c>
      <c r="AE57" s="185" t="s">
        <v>900</v>
      </c>
      <c r="AF57" s="185" t="s">
        <v>236</v>
      </c>
      <c r="AG57" s="185" t="s">
        <v>2687</v>
      </c>
      <c r="AH57" s="185">
        <v>4</v>
      </c>
      <c r="AI57" s="185" t="s">
        <v>184</v>
      </c>
      <c r="AJ57" s="185" t="s">
        <v>274</v>
      </c>
      <c r="AK57" s="185" t="s">
        <v>275</v>
      </c>
      <c r="AL57" s="185" t="s">
        <v>184</v>
      </c>
      <c r="AM57" s="185" t="s">
        <v>274</v>
      </c>
      <c r="AN57" s="185" t="s">
        <v>275</v>
      </c>
      <c r="AO57" s="185" t="s">
        <v>2688</v>
      </c>
      <c r="AP57" s="185">
        <v>4</v>
      </c>
      <c r="AQ57" s="185" t="s">
        <v>186</v>
      </c>
      <c r="AR57" s="185" t="s">
        <v>761</v>
      </c>
      <c r="AS57" s="185" t="s">
        <v>185</v>
      </c>
      <c r="AT57" s="185" t="s">
        <v>186</v>
      </c>
      <c r="AU57" s="185" t="s">
        <v>278</v>
      </c>
      <c r="AV57" s="185" t="s">
        <v>185</v>
      </c>
      <c r="AW57" s="185" t="s">
        <v>2689</v>
      </c>
      <c r="AX57" s="185">
        <v>3</v>
      </c>
      <c r="AY57" s="185" t="s">
        <v>2768</v>
      </c>
      <c r="AZ57" s="185" t="s">
        <v>269</v>
      </c>
      <c r="BA57" s="185" t="s">
        <v>276</v>
      </c>
      <c r="BB57" s="185" t="s">
        <v>900</v>
      </c>
      <c r="BC57" s="185" t="s">
        <v>2769</v>
      </c>
      <c r="BD57" s="185" t="s">
        <v>276</v>
      </c>
      <c r="BE57" s="185" t="s">
        <v>2691</v>
      </c>
      <c r="BF57" s="185">
        <v>3</v>
      </c>
      <c r="BG57" s="185" t="s">
        <v>203</v>
      </c>
      <c r="BH57" s="185" t="s">
        <v>2770</v>
      </c>
      <c r="BI57" s="185" t="s">
        <v>2771</v>
      </c>
      <c r="BJ57" s="185" t="s">
        <v>203</v>
      </c>
      <c r="BK57" s="185" t="s">
        <v>279</v>
      </c>
      <c r="BL57" s="185" t="s">
        <v>2772</v>
      </c>
      <c r="BM57" s="185" t="s">
        <v>198</v>
      </c>
      <c r="BN57" s="185">
        <v>2</v>
      </c>
      <c r="BO57" s="185" t="s">
        <v>199</v>
      </c>
      <c r="BP57" s="185" t="s">
        <v>200</v>
      </c>
      <c r="BQ57" s="185" t="s">
        <v>270</v>
      </c>
      <c r="BR57" s="185" t="s">
        <v>199</v>
      </c>
      <c r="BS57" s="185" t="s">
        <v>272</v>
      </c>
      <c r="BT57" s="185" t="s">
        <v>2773</v>
      </c>
    </row>
    <row r="58" spans="1:72" s="184" customFormat="1" ht="54.95" customHeight="1" x14ac:dyDescent="0.25">
      <c r="A58" s="155">
        <v>6</v>
      </c>
      <c r="B58" s="184" t="s">
        <v>385</v>
      </c>
      <c r="C58" s="184" t="s">
        <v>205</v>
      </c>
      <c r="D58" s="184" t="s">
        <v>386</v>
      </c>
      <c r="E58" s="184" t="s">
        <v>2774</v>
      </c>
      <c r="F58" s="184" t="s">
        <v>2775</v>
      </c>
      <c r="G58" s="184" t="s">
        <v>2776</v>
      </c>
      <c r="H58" s="184" t="s">
        <v>2777</v>
      </c>
      <c r="I58" s="184" t="s">
        <v>2778</v>
      </c>
      <c r="J58" s="184" t="s">
        <v>2779</v>
      </c>
      <c r="K58" s="184" t="s">
        <v>2780</v>
      </c>
      <c r="L58" s="184" t="s">
        <v>2678</v>
      </c>
      <c r="M58" s="184" t="s">
        <v>2781</v>
      </c>
      <c r="N58" s="184" t="s">
        <v>216</v>
      </c>
      <c r="O58" s="184">
        <v>20</v>
      </c>
      <c r="P58" s="184" t="s">
        <v>164</v>
      </c>
      <c r="Q58" s="184" t="s">
        <v>2782</v>
      </c>
      <c r="R58" s="184" t="s">
        <v>2783</v>
      </c>
      <c r="S58" s="184" t="s">
        <v>2784</v>
      </c>
      <c r="T58" s="184" t="s">
        <v>2785</v>
      </c>
      <c r="U58" s="184" t="s">
        <v>2786</v>
      </c>
      <c r="V58" s="184" t="s">
        <v>2787</v>
      </c>
      <c r="W58" s="184" t="s">
        <v>2788</v>
      </c>
      <c r="X58" s="184" t="s">
        <v>2789</v>
      </c>
      <c r="Y58" s="185" t="s">
        <v>173</v>
      </c>
      <c r="Z58" s="185">
        <v>4</v>
      </c>
      <c r="AA58" s="185" t="s">
        <v>404</v>
      </c>
      <c r="AB58" s="185" t="s">
        <v>405</v>
      </c>
      <c r="AC58" s="185" t="s">
        <v>226</v>
      </c>
      <c r="AD58" s="185" t="s">
        <v>405</v>
      </c>
      <c r="AE58" s="185" t="s">
        <v>226</v>
      </c>
      <c r="AF58" s="185" t="s">
        <v>228</v>
      </c>
      <c r="AG58" s="185" t="s">
        <v>2687</v>
      </c>
      <c r="AH58" s="185">
        <v>4</v>
      </c>
      <c r="AI58" s="185" t="s">
        <v>184</v>
      </c>
      <c r="AJ58" s="185" t="s">
        <v>2690</v>
      </c>
      <c r="AK58" s="185" t="s">
        <v>2790</v>
      </c>
      <c r="AL58" s="185" t="s">
        <v>184</v>
      </c>
      <c r="AM58" s="185" t="s">
        <v>437</v>
      </c>
      <c r="AN58" s="185" t="s">
        <v>528</v>
      </c>
      <c r="AO58" s="185" t="s">
        <v>2688</v>
      </c>
      <c r="AP58" s="185">
        <v>4</v>
      </c>
      <c r="AQ58" s="185" t="s">
        <v>186</v>
      </c>
      <c r="AR58" s="185" t="s">
        <v>185</v>
      </c>
      <c r="AS58" s="185" t="s">
        <v>2791</v>
      </c>
      <c r="AT58" s="185" t="s">
        <v>186</v>
      </c>
      <c r="AU58" s="185" t="s">
        <v>185</v>
      </c>
      <c r="AV58" s="185" t="s">
        <v>624</v>
      </c>
      <c r="AW58" s="185" t="s">
        <v>2689</v>
      </c>
      <c r="AX58" s="185">
        <v>3</v>
      </c>
      <c r="AY58" s="185" t="s">
        <v>407</v>
      </c>
      <c r="AZ58" s="185" t="s">
        <v>406</v>
      </c>
      <c r="BA58" s="185" t="s">
        <v>1461</v>
      </c>
      <c r="BB58" s="185" t="s">
        <v>407</v>
      </c>
      <c r="BC58" s="185" t="s">
        <v>406</v>
      </c>
      <c r="BD58" s="185" t="s">
        <v>185</v>
      </c>
      <c r="BE58" s="185" t="s">
        <v>2691</v>
      </c>
      <c r="BF58" s="185">
        <v>3</v>
      </c>
      <c r="BG58" s="185" t="s">
        <v>203</v>
      </c>
      <c r="BH58" s="185" t="s">
        <v>2792</v>
      </c>
      <c r="BI58" s="185" t="s">
        <v>404</v>
      </c>
      <c r="BJ58" s="185" t="s">
        <v>203</v>
      </c>
      <c r="BK58" s="185" t="s">
        <v>2712</v>
      </c>
      <c r="BL58" s="185" t="s">
        <v>405</v>
      </c>
      <c r="BM58" s="185" t="s">
        <v>198</v>
      </c>
      <c r="BN58" s="185">
        <v>2</v>
      </c>
      <c r="BO58" s="185" t="s">
        <v>199</v>
      </c>
      <c r="BP58" s="185" t="s">
        <v>2694</v>
      </c>
      <c r="BQ58" s="185" t="s">
        <v>244</v>
      </c>
      <c r="BR58" s="185" t="s">
        <v>199</v>
      </c>
      <c r="BS58" s="185" t="s">
        <v>414</v>
      </c>
      <c r="BT58" s="185" t="s">
        <v>201</v>
      </c>
    </row>
    <row r="59" spans="1:72" s="184" customFormat="1" ht="54.95" customHeight="1" x14ac:dyDescent="0.25">
      <c r="A59" s="155">
        <v>7</v>
      </c>
      <c r="B59" s="184" t="s">
        <v>153</v>
      </c>
      <c r="C59" s="184" t="s">
        <v>325</v>
      </c>
      <c r="D59" s="184" t="s">
        <v>326</v>
      </c>
      <c r="E59" s="184" t="s">
        <v>2793</v>
      </c>
      <c r="F59" s="184" t="s">
        <v>2794</v>
      </c>
      <c r="G59" s="184" t="s">
        <v>2795</v>
      </c>
      <c r="H59" s="184" t="s">
        <v>2796</v>
      </c>
      <c r="I59" s="184" t="s">
        <v>2797</v>
      </c>
      <c r="J59" s="184" t="s">
        <v>2798</v>
      </c>
      <c r="K59" s="184" t="s">
        <v>2799</v>
      </c>
      <c r="L59" s="184" t="s">
        <v>2678</v>
      </c>
      <c r="M59" s="184" t="s">
        <v>2800</v>
      </c>
      <c r="N59" s="184" t="s">
        <v>216</v>
      </c>
      <c r="O59" s="184">
        <v>20</v>
      </c>
      <c r="P59" s="184" t="s">
        <v>259</v>
      </c>
      <c r="Q59" s="184" t="s">
        <v>337</v>
      </c>
      <c r="R59" s="184" t="s">
        <v>2801</v>
      </c>
      <c r="S59" s="184" t="s">
        <v>2802</v>
      </c>
      <c r="T59" s="184" t="s">
        <v>2803</v>
      </c>
      <c r="U59" s="184" t="s">
        <v>2804</v>
      </c>
      <c r="V59" s="184" t="s">
        <v>2805</v>
      </c>
      <c r="W59" s="184" t="s">
        <v>2806</v>
      </c>
      <c r="X59" s="184" t="s">
        <v>2807</v>
      </c>
      <c r="Y59" s="185" t="s">
        <v>173</v>
      </c>
      <c r="Z59" s="185">
        <v>4</v>
      </c>
      <c r="AA59" s="185" t="s">
        <v>345</v>
      </c>
      <c r="AB59" s="185" t="s">
        <v>346</v>
      </c>
      <c r="AC59" s="185" t="s">
        <v>347</v>
      </c>
      <c r="AD59" s="185" t="s">
        <v>345</v>
      </c>
      <c r="AE59" s="185" t="s">
        <v>346</v>
      </c>
      <c r="AF59" s="185" t="s">
        <v>347</v>
      </c>
      <c r="AG59" s="185" t="s">
        <v>2687</v>
      </c>
      <c r="AH59" s="185">
        <v>4</v>
      </c>
      <c r="AI59" s="185" t="s">
        <v>184</v>
      </c>
      <c r="AJ59" s="185" t="s">
        <v>828</v>
      </c>
      <c r="AK59" s="185" t="s">
        <v>349</v>
      </c>
      <c r="AL59" s="185" t="s">
        <v>184</v>
      </c>
      <c r="AM59" s="185" t="s">
        <v>860</v>
      </c>
      <c r="AN59" s="185" t="s">
        <v>349</v>
      </c>
      <c r="AO59" s="185" t="s">
        <v>2688</v>
      </c>
      <c r="AP59" s="185">
        <v>4</v>
      </c>
      <c r="AQ59" s="185" t="s">
        <v>186</v>
      </c>
      <c r="AR59" s="185" t="s">
        <v>235</v>
      </c>
      <c r="AS59" s="185" t="s">
        <v>278</v>
      </c>
      <c r="AT59" s="185" t="s">
        <v>186</v>
      </c>
      <c r="AU59" s="185" t="s">
        <v>235</v>
      </c>
      <c r="AV59" s="185" t="s">
        <v>2808</v>
      </c>
      <c r="AW59" s="185" t="s">
        <v>2689</v>
      </c>
      <c r="AX59" s="185">
        <v>3</v>
      </c>
      <c r="AY59" s="185" t="s">
        <v>2809</v>
      </c>
      <c r="AZ59" s="185" t="s">
        <v>1594</v>
      </c>
      <c r="BA59" s="185" t="s">
        <v>2810</v>
      </c>
      <c r="BB59" s="185" t="s">
        <v>2809</v>
      </c>
      <c r="BC59" s="185" t="s">
        <v>1748</v>
      </c>
      <c r="BD59" s="185" t="s">
        <v>2808</v>
      </c>
      <c r="BE59" s="185" t="s">
        <v>2691</v>
      </c>
      <c r="BF59" s="185">
        <v>3</v>
      </c>
      <c r="BG59" s="185" t="s">
        <v>203</v>
      </c>
      <c r="BH59" s="185" t="s">
        <v>2811</v>
      </c>
      <c r="BI59" s="185" t="s">
        <v>313</v>
      </c>
      <c r="BJ59" s="185" t="s">
        <v>203</v>
      </c>
      <c r="BK59" s="185" t="s">
        <v>313</v>
      </c>
      <c r="BL59" s="185" t="s">
        <v>228</v>
      </c>
      <c r="BM59" s="185" t="s">
        <v>198</v>
      </c>
      <c r="BN59" s="185">
        <v>2</v>
      </c>
      <c r="BO59" s="185" t="s">
        <v>199</v>
      </c>
      <c r="BP59" s="185" t="s">
        <v>569</v>
      </c>
      <c r="BQ59" s="185" t="s">
        <v>352</v>
      </c>
      <c r="BR59" s="185" t="s">
        <v>199</v>
      </c>
      <c r="BS59" s="185" t="s">
        <v>2812</v>
      </c>
      <c r="BT59" s="185" t="s">
        <v>2813</v>
      </c>
    </row>
    <row r="60" spans="1:72" s="184" customFormat="1" ht="54.95" customHeight="1" x14ac:dyDescent="0.25">
      <c r="A60" s="155">
        <v>8</v>
      </c>
      <c r="B60" s="184" t="s">
        <v>385</v>
      </c>
      <c r="C60" s="184" t="s">
        <v>154</v>
      </c>
      <c r="D60" s="184" t="s">
        <v>355</v>
      </c>
      <c r="E60" s="184" t="s">
        <v>2814</v>
      </c>
      <c r="F60" s="184" t="s">
        <v>2815</v>
      </c>
      <c r="G60" s="184" t="s">
        <v>2816</v>
      </c>
      <c r="H60" s="184" t="s">
        <v>2817</v>
      </c>
      <c r="I60" s="184" t="s">
        <v>2818</v>
      </c>
      <c r="J60" s="184" t="s">
        <v>2819</v>
      </c>
      <c r="K60" s="184" t="s">
        <v>2820</v>
      </c>
      <c r="L60" s="184" t="s">
        <v>2678</v>
      </c>
      <c r="M60" s="184" t="s">
        <v>2821</v>
      </c>
      <c r="N60" s="184" t="s">
        <v>216</v>
      </c>
      <c r="O60" s="184">
        <v>20</v>
      </c>
      <c r="P60" s="184" t="s">
        <v>164</v>
      </c>
      <c r="Q60" s="184" t="s">
        <v>1414</v>
      </c>
      <c r="R60" s="184" t="s">
        <v>2822</v>
      </c>
      <c r="S60" s="184" t="s">
        <v>2823</v>
      </c>
      <c r="T60" s="184" t="s">
        <v>2824</v>
      </c>
      <c r="U60" s="184" t="s">
        <v>2825</v>
      </c>
      <c r="V60" s="184" t="s">
        <v>2826</v>
      </c>
      <c r="W60" s="184" t="s">
        <v>2827</v>
      </c>
      <c r="X60" s="184" t="s">
        <v>2828</v>
      </c>
      <c r="Y60" s="185" t="s">
        <v>173</v>
      </c>
      <c r="Z60" s="185">
        <v>4</v>
      </c>
      <c r="AA60" s="185" t="s">
        <v>373</v>
      </c>
      <c r="AB60" s="185" t="s">
        <v>321</v>
      </c>
      <c r="AC60" s="185" t="s">
        <v>2829</v>
      </c>
      <c r="AD60" s="185" t="s">
        <v>373</v>
      </c>
      <c r="AE60" s="185" t="s">
        <v>2830</v>
      </c>
      <c r="AF60" s="185" t="s">
        <v>321</v>
      </c>
      <c r="AG60" s="185" t="s">
        <v>2687</v>
      </c>
      <c r="AH60" s="185">
        <v>4</v>
      </c>
      <c r="AI60" s="185" t="s">
        <v>184</v>
      </c>
      <c r="AJ60" s="185" t="s">
        <v>234</v>
      </c>
      <c r="AK60" s="185" t="s">
        <v>279</v>
      </c>
      <c r="AL60" s="185" t="s">
        <v>184</v>
      </c>
      <c r="AM60" s="185" t="s">
        <v>234</v>
      </c>
      <c r="AN60" s="185" t="s">
        <v>279</v>
      </c>
      <c r="AO60" s="185" t="s">
        <v>2688</v>
      </c>
      <c r="AP60" s="185">
        <v>4</v>
      </c>
      <c r="AQ60" s="185" t="s">
        <v>186</v>
      </c>
      <c r="AR60" s="185" t="s">
        <v>378</v>
      </c>
      <c r="AS60" s="185" t="s">
        <v>321</v>
      </c>
      <c r="AT60" s="185" t="s">
        <v>186</v>
      </c>
      <c r="AU60" s="185" t="s">
        <v>185</v>
      </c>
      <c r="AV60" s="185" t="s">
        <v>1728</v>
      </c>
      <c r="AW60" s="185" t="s">
        <v>2689</v>
      </c>
      <c r="AX60" s="185">
        <v>3</v>
      </c>
      <c r="AY60" s="185" t="s">
        <v>383</v>
      </c>
      <c r="AZ60" s="185" t="s">
        <v>2831</v>
      </c>
      <c r="BA60" s="185" t="s">
        <v>377</v>
      </c>
      <c r="BB60" s="185" t="s">
        <v>383</v>
      </c>
      <c r="BC60" s="185" t="s">
        <v>531</v>
      </c>
      <c r="BD60" s="185" t="s">
        <v>312</v>
      </c>
      <c r="BE60" s="185" t="s">
        <v>2691</v>
      </c>
      <c r="BF60" s="185">
        <v>3</v>
      </c>
      <c r="BG60" s="185" t="s">
        <v>203</v>
      </c>
      <c r="BH60" s="185" t="s">
        <v>1729</v>
      </c>
      <c r="BI60" s="185" t="s">
        <v>1483</v>
      </c>
      <c r="BJ60" s="185" t="s">
        <v>203</v>
      </c>
      <c r="BK60" s="185" t="s">
        <v>1729</v>
      </c>
      <c r="BL60" s="185" t="s">
        <v>2829</v>
      </c>
      <c r="BM60" s="185" t="s">
        <v>198</v>
      </c>
      <c r="BN60" s="185">
        <v>2</v>
      </c>
      <c r="BO60" s="185" t="s">
        <v>199</v>
      </c>
      <c r="BP60" s="185" t="s">
        <v>200</v>
      </c>
      <c r="BQ60" s="185" t="s">
        <v>374</v>
      </c>
      <c r="BR60" s="185" t="s">
        <v>199</v>
      </c>
      <c r="BS60" s="185" t="s">
        <v>384</v>
      </c>
      <c r="BT60" s="185" t="s">
        <v>1501</v>
      </c>
    </row>
    <row r="61" spans="1:72" s="184" customFormat="1" ht="54.95" customHeight="1" x14ac:dyDescent="0.25">
      <c r="A61" s="155">
        <v>9</v>
      </c>
      <c r="B61" s="184" t="s">
        <v>472</v>
      </c>
      <c r="C61" s="184" t="s">
        <v>247</v>
      </c>
      <c r="D61" s="184" t="s">
        <v>999</v>
      </c>
      <c r="E61" s="184" t="s">
        <v>2832</v>
      </c>
      <c r="F61" s="184" t="s">
        <v>2833</v>
      </c>
      <c r="G61" s="184" t="s">
        <v>2834</v>
      </c>
      <c r="H61" s="184" t="s">
        <v>2835</v>
      </c>
      <c r="I61" s="184" t="s">
        <v>2836</v>
      </c>
      <c r="J61" s="184" t="s">
        <v>2837</v>
      </c>
      <c r="K61" s="184" t="s">
        <v>480</v>
      </c>
      <c r="L61" s="184" t="s">
        <v>2678</v>
      </c>
      <c r="M61" s="184" t="s">
        <v>2838</v>
      </c>
      <c r="N61" s="184" t="s">
        <v>216</v>
      </c>
      <c r="O61" s="184">
        <v>20</v>
      </c>
      <c r="P61" s="184" t="s">
        <v>259</v>
      </c>
      <c r="Q61" s="184" t="s">
        <v>1007</v>
      </c>
      <c r="R61" s="184" t="s">
        <v>2839</v>
      </c>
      <c r="S61" s="184" t="s">
        <v>2840</v>
      </c>
      <c r="T61" s="184" t="s">
        <v>2841</v>
      </c>
      <c r="U61" s="184" t="s">
        <v>2842</v>
      </c>
      <c r="V61" s="184" t="s">
        <v>2843</v>
      </c>
      <c r="W61" s="184" t="s">
        <v>2844</v>
      </c>
      <c r="X61" s="184" t="s">
        <v>2845</v>
      </c>
      <c r="Y61" s="185" t="s">
        <v>173</v>
      </c>
      <c r="Z61" s="185">
        <v>4</v>
      </c>
      <c r="AA61" s="185" t="s">
        <v>493</v>
      </c>
      <c r="AB61" s="185" t="s">
        <v>494</v>
      </c>
      <c r="AC61" s="185" t="s">
        <v>321</v>
      </c>
      <c r="AD61" s="185" t="s">
        <v>496</v>
      </c>
      <c r="AE61" s="185" t="s">
        <v>501</v>
      </c>
      <c r="AF61" s="185" t="s">
        <v>321</v>
      </c>
      <c r="AG61" s="185" t="s">
        <v>2687</v>
      </c>
      <c r="AH61" s="185">
        <v>4</v>
      </c>
      <c r="AI61" s="185" t="s">
        <v>184</v>
      </c>
      <c r="AJ61" s="185" t="s">
        <v>504</v>
      </c>
      <c r="AK61" s="185" t="s">
        <v>2846</v>
      </c>
      <c r="AL61" s="185" t="s">
        <v>184</v>
      </c>
      <c r="AM61" s="185" t="s">
        <v>2847</v>
      </c>
      <c r="AN61" s="185" t="s">
        <v>501</v>
      </c>
      <c r="AO61" s="185" t="s">
        <v>2688</v>
      </c>
      <c r="AP61" s="185">
        <v>4</v>
      </c>
      <c r="AQ61" s="185" t="s">
        <v>186</v>
      </c>
      <c r="AR61" s="185" t="s">
        <v>235</v>
      </c>
      <c r="AS61" s="185" t="s">
        <v>761</v>
      </c>
      <c r="AT61" s="185" t="s">
        <v>186</v>
      </c>
      <c r="AU61" s="185" t="s">
        <v>235</v>
      </c>
      <c r="AV61" s="185" t="s">
        <v>761</v>
      </c>
      <c r="AW61" s="185" t="s">
        <v>2689</v>
      </c>
      <c r="AX61" s="185">
        <v>3</v>
      </c>
      <c r="AY61" s="185" t="s">
        <v>1038</v>
      </c>
      <c r="AZ61" s="185" t="s">
        <v>495</v>
      </c>
      <c r="BA61" s="185" t="s">
        <v>497</v>
      </c>
      <c r="BB61" s="185" t="s">
        <v>1038</v>
      </c>
      <c r="BC61" s="185" t="s">
        <v>495</v>
      </c>
      <c r="BD61" s="185" t="s">
        <v>653</v>
      </c>
      <c r="BE61" s="185" t="s">
        <v>2691</v>
      </c>
      <c r="BF61" s="185">
        <v>3</v>
      </c>
      <c r="BG61" s="185" t="s">
        <v>203</v>
      </c>
      <c r="BH61" s="185" t="s">
        <v>2848</v>
      </c>
      <c r="BI61" s="185" t="s">
        <v>2849</v>
      </c>
      <c r="BJ61" s="185" t="s">
        <v>203</v>
      </c>
      <c r="BK61" s="185" t="s">
        <v>2850</v>
      </c>
      <c r="BL61" s="185" t="s">
        <v>2851</v>
      </c>
      <c r="BM61" s="185" t="s">
        <v>198</v>
      </c>
      <c r="BN61" s="185">
        <v>2</v>
      </c>
      <c r="BO61" s="185" t="s">
        <v>199</v>
      </c>
      <c r="BP61" s="185" t="s">
        <v>494</v>
      </c>
      <c r="BQ61" s="185" t="s">
        <v>504</v>
      </c>
      <c r="BR61" s="185" t="s">
        <v>199</v>
      </c>
      <c r="BS61" s="185" t="s">
        <v>501</v>
      </c>
      <c r="BT61" s="185" t="s">
        <v>2852</v>
      </c>
    </row>
    <row r="62" spans="1:72" s="184" customFormat="1" ht="54.95" customHeight="1" x14ac:dyDescent="0.25">
      <c r="A62" s="155">
        <v>10</v>
      </c>
      <c r="B62" s="184" t="s">
        <v>506</v>
      </c>
      <c r="C62" s="184" t="s">
        <v>247</v>
      </c>
      <c r="D62" s="184" t="s">
        <v>507</v>
      </c>
      <c r="E62" s="184" t="s">
        <v>2853</v>
      </c>
      <c r="F62" s="184" t="s">
        <v>2854</v>
      </c>
      <c r="G62" s="184" t="s">
        <v>2855</v>
      </c>
      <c r="H62" s="184" t="s">
        <v>2856</v>
      </c>
      <c r="I62" s="184" t="s">
        <v>2857</v>
      </c>
      <c r="J62" s="184" t="s">
        <v>2858</v>
      </c>
      <c r="K62" s="184" t="s">
        <v>2859</v>
      </c>
      <c r="L62" s="184" t="s">
        <v>2678</v>
      </c>
      <c r="M62" s="184" t="s">
        <v>2860</v>
      </c>
      <c r="N62" s="184" t="s">
        <v>216</v>
      </c>
      <c r="O62" s="184">
        <v>20</v>
      </c>
      <c r="P62" s="184" t="s">
        <v>164</v>
      </c>
      <c r="Q62" s="184" t="s">
        <v>2861</v>
      </c>
      <c r="R62" s="184" t="s">
        <v>2862</v>
      </c>
      <c r="S62" s="184" t="s">
        <v>1137</v>
      </c>
      <c r="T62" s="184" t="s">
        <v>2863</v>
      </c>
      <c r="U62" s="184" t="s">
        <v>2864</v>
      </c>
      <c r="V62" s="184" t="s">
        <v>2865</v>
      </c>
      <c r="W62" s="184" t="s">
        <v>2866</v>
      </c>
      <c r="X62" s="184" t="s">
        <v>2867</v>
      </c>
      <c r="Y62" s="185" t="s">
        <v>173</v>
      </c>
      <c r="Z62" s="185">
        <v>4</v>
      </c>
      <c r="AA62" s="185" t="s">
        <v>526</v>
      </c>
      <c r="AB62" s="185" t="s">
        <v>525</v>
      </c>
      <c r="AC62" s="185" t="s">
        <v>226</v>
      </c>
      <c r="AD62" s="185" t="s">
        <v>525</v>
      </c>
      <c r="AE62" s="185" t="s">
        <v>2234</v>
      </c>
      <c r="AF62" s="185" t="s">
        <v>226</v>
      </c>
      <c r="AG62" s="185" t="s">
        <v>2687</v>
      </c>
      <c r="AH62" s="185">
        <v>4</v>
      </c>
      <c r="AI62" s="185" t="s">
        <v>184</v>
      </c>
      <c r="AJ62" s="185" t="s">
        <v>234</v>
      </c>
      <c r="AK62" s="185" t="s">
        <v>279</v>
      </c>
      <c r="AL62" s="185" t="s">
        <v>184</v>
      </c>
      <c r="AM62" s="185" t="s">
        <v>528</v>
      </c>
      <c r="AN62" s="185" t="s">
        <v>234</v>
      </c>
      <c r="AO62" s="185" t="s">
        <v>2688</v>
      </c>
      <c r="AP62" s="185">
        <v>4</v>
      </c>
      <c r="AQ62" s="185" t="s">
        <v>186</v>
      </c>
      <c r="AR62" s="185" t="s">
        <v>185</v>
      </c>
      <c r="AS62" s="185" t="s">
        <v>411</v>
      </c>
      <c r="AT62" s="185" t="s">
        <v>186</v>
      </c>
      <c r="AU62" s="185" t="s">
        <v>185</v>
      </c>
      <c r="AV62" s="185" t="s">
        <v>236</v>
      </c>
      <c r="AW62" s="185" t="s">
        <v>2689</v>
      </c>
      <c r="AX62" s="185">
        <v>3</v>
      </c>
      <c r="AY62" s="185" t="s">
        <v>236</v>
      </c>
      <c r="AZ62" s="185" t="s">
        <v>528</v>
      </c>
      <c r="BA62" s="185" t="s">
        <v>244</v>
      </c>
      <c r="BB62" s="185" t="s">
        <v>528</v>
      </c>
      <c r="BC62" s="185" t="s">
        <v>185</v>
      </c>
      <c r="BD62" s="185" t="s">
        <v>236</v>
      </c>
      <c r="BE62" s="185" t="s">
        <v>2691</v>
      </c>
      <c r="BF62" s="185">
        <v>3</v>
      </c>
      <c r="BG62" s="185" t="s">
        <v>203</v>
      </c>
      <c r="BH62" s="185" t="s">
        <v>529</v>
      </c>
      <c r="BI62" s="185" t="s">
        <v>2732</v>
      </c>
      <c r="BJ62" s="185" t="s">
        <v>203</v>
      </c>
      <c r="BK62" s="185" t="s">
        <v>529</v>
      </c>
      <c r="BL62" s="185" t="s">
        <v>1483</v>
      </c>
      <c r="BM62" s="185" t="s">
        <v>198</v>
      </c>
      <c r="BN62" s="185">
        <v>2</v>
      </c>
      <c r="BO62" s="185" t="s">
        <v>199</v>
      </c>
      <c r="BP62" s="185" t="s">
        <v>2714</v>
      </c>
      <c r="BQ62" s="185" t="s">
        <v>2868</v>
      </c>
      <c r="BR62" s="185" t="s">
        <v>199</v>
      </c>
      <c r="BS62" s="185" t="s">
        <v>2869</v>
      </c>
      <c r="BT62" s="185" t="s">
        <v>2695</v>
      </c>
    </row>
    <row r="63" spans="1:72" s="184" customFormat="1" ht="54.95" customHeight="1" x14ac:dyDescent="0.25">
      <c r="A63" s="155">
        <v>11</v>
      </c>
      <c r="B63" s="184" t="s">
        <v>385</v>
      </c>
      <c r="C63" s="184" t="s">
        <v>570</v>
      </c>
      <c r="D63" s="184" t="s">
        <v>571</v>
      </c>
      <c r="E63" s="184" t="s">
        <v>2870</v>
      </c>
      <c r="F63" s="184" t="s">
        <v>2871</v>
      </c>
      <c r="G63" s="184" t="s">
        <v>2872</v>
      </c>
      <c r="H63" s="184" t="s">
        <v>2873</v>
      </c>
      <c r="I63" s="184" t="s">
        <v>2874</v>
      </c>
      <c r="J63" s="184" t="s">
        <v>2875</v>
      </c>
      <c r="K63" s="184" t="s">
        <v>2876</v>
      </c>
      <c r="L63" s="184" t="s">
        <v>2678</v>
      </c>
      <c r="M63" s="184" t="s">
        <v>2877</v>
      </c>
      <c r="N63" s="184" t="s">
        <v>216</v>
      </c>
      <c r="O63" s="184">
        <v>20</v>
      </c>
      <c r="P63" s="184" t="s">
        <v>259</v>
      </c>
      <c r="Q63" s="184" t="s">
        <v>2878</v>
      </c>
      <c r="R63" s="184" t="s">
        <v>584</v>
      </c>
      <c r="S63" s="184" t="s">
        <v>2879</v>
      </c>
      <c r="T63" s="184" t="s">
        <v>2880</v>
      </c>
      <c r="U63" s="184" t="s">
        <v>2881</v>
      </c>
      <c r="V63" s="184" t="s">
        <v>2882</v>
      </c>
      <c r="W63" s="184" t="s">
        <v>2883</v>
      </c>
      <c r="X63" s="184" t="s">
        <v>2884</v>
      </c>
      <c r="Y63" s="185" t="s">
        <v>173</v>
      </c>
      <c r="Z63" s="185">
        <v>4</v>
      </c>
      <c r="AA63" s="185" t="s">
        <v>590</v>
      </c>
      <c r="AB63" s="185" t="s">
        <v>589</v>
      </c>
      <c r="AC63" s="185" t="s">
        <v>591</v>
      </c>
      <c r="AD63" s="185" t="s">
        <v>590</v>
      </c>
      <c r="AE63" s="185" t="s">
        <v>589</v>
      </c>
      <c r="AF63" s="185" t="s">
        <v>592</v>
      </c>
      <c r="AG63" s="185" t="s">
        <v>2687</v>
      </c>
      <c r="AH63" s="185">
        <v>4</v>
      </c>
      <c r="AI63" s="185" t="s">
        <v>184</v>
      </c>
      <c r="AJ63" s="185" t="s">
        <v>349</v>
      </c>
      <c r="AK63" s="185" t="s">
        <v>593</v>
      </c>
      <c r="AL63" s="185" t="s">
        <v>184</v>
      </c>
      <c r="AM63" s="185" t="s">
        <v>349</v>
      </c>
      <c r="AN63" s="185" t="s">
        <v>593</v>
      </c>
      <c r="AO63" s="185" t="s">
        <v>2688</v>
      </c>
      <c r="AP63" s="185">
        <v>4</v>
      </c>
      <c r="AQ63" s="185" t="s">
        <v>186</v>
      </c>
      <c r="AR63" s="185" t="s">
        <v>596</v>
      </c>
      <c r="AS63" s="185" t="s">
        <v>597</v>
      </c>
      <c r="AT63" s="185" t="s">
        <v>186</v>
      </c>
      <c r="AU63" s="185" t="s">
        <v>596</v>
      </c>
      <c r="AV63" s="185" t="s">
        <v>597</v>
      </c>
      <c r="AW63" s="185" t="s">
        <v>2689</v>
      </c>
      <c r="AX63" s="185">
        <v>3</v>
      </c>
      <c r="AY63" s="185" t="s">
        <v>383</v>
      </c>
      <c r="AZ63" s="185" t="s">
        <v>406</v>
      </c>
      <c r="BA63" s="185" t="s">
        <v>1440</v>
      </c>
      <c r="BB63" s="185" t="s">
        <v>437</v>
      </c>
      <c r="BC63" s="185" t="s">
        <v>383</v>
      </c>
      <c r="BD63" s="185" t="s">
        <v>2885</v>
      </c>
      <c r="BE63" s="185" t="s">
        <v>2691</v>
      </c>
      <c r="BF63" s="185">
        <v>3</v>
      </c>
      <c r="BG63" s="185" t="s">
        <v>203</v>
      </c>
      <c r="BH63" s="185" t="s">
        <v>2886</v>
      </c>
      <c r="BI63" s="185" t="s">
        <v>2887</v>
      </c>
      <c r="BJ63" s="185" t="s">
        <v>203</v>
      </c>
      <c r="BK63" s="185" t="s">
        <v>592</v>
      </c>
      <c r="BL63" s="185" t="s">
        <v>228</v>
      </c>
      <c r="BM63" s="185" t="s">
        <v>198</v>
      </c>
      <c r="BN63" s="185">
        <v>2</v>
      </c>
      <c r="BO63" s="185" t="s">
        <v>199</v>
      </c>
      <c r="BP63" s="185" t="s">
        <v>1422</v>
      </c>
      <c r="BQ63" s="185" t="s">
        <v>599</v>
      </c>
      <c r="BR63" s="185" t="s">
        <v>199</v>
      </c>
      <c r="BS63" s="185" t="s">
        <v>2888</v>
      </c>
      <c r="BT63" s="185" t="s">
        <v>2889</v>
      </c>
    </row>
    <row r="64" spans="1:72" s="184" customFormat="1" ht="54.95" customHeight="1" x14ac:dyDescent="0.25">
      <c r="A64" s="155">
        <v>12</v>
      </c>
      <c r="B64" s="184" t="s">
        <v>600</v>
      </c>
      <c r="C64" s="184" t="s">
        <v>154</v>
      </c>
      <c r="D64" s="184" t="s">
        <v>601</v>
      </c>
      <c r="E64" s="184" t="s">
        <v>2890</v>
      </c>
      <c r="F64" s="184" t="s">
        <v>2891</v>
      </c>
      <c r="G64" s="184" t="s">
        <v>2892</v>
      </c>
      <c r="H64" s="184" t="s">
        <v>2893</v>
      </c>
      <c r="I64" s="184" t="s">
        <v>2894</v>
      </c>
      <c r="J64" s="184" t="s">
        <v>2895</v>
      </c>
      <c r="K64" s="184" t="s">
        <v>2896</v>
      </c>
      <c r="L64" s="184" t="s">
        <v>2678</v>
      </c>
      <c r="M64" s="184" t="s">
        <v>2897</v>
      </c>
      <c r="N64" s="184" t="s">
        <v>216</v>
      </c>
      <c r="O64" s="184">
        <v>20</v>
      </c>
      <c r="P64" s="184" t="s">
        <v>164</v>
      </c>
      <c r="Q64" s="184" t="s">
        <v>2898</v>
      </c>
      <c r="R64" s="184" t="s">
        <v>614</v>
      </c>
      <c r="S64" s="184" t="s">
        <v>615</v>
      </c>
      <c r="T64" s="184" t="s">
        <v>2899</v>
      </c>
      <c r="U64" s="184" t="s">
        <v>2900</v>
      </c>
      <c r="V64" s="184" t="s">
        <v>2901</v>
      </c>
      <c r="W64" s="184" t="s">
        <v>2902</v>
      </c>
      <c r="X64" s="184" t="s">
        <v>2903</v>
      </c>
      <c r="Y64" s="185" t="s">
        <v>173</v>
      </c>
      <c r="Z64" s="185">
        <v>4</v>
      </c>
      <c r="AA64" s="185" t="s">
        <v>620</v>
      </c>
      <c r="AB64" s="185" t="s">
        <v>195</v>
      </c>
      <c r="AC64" s="185" t="s">
        <v>619</v>
      </c>
      <c r="AD64" s="185" t="s">
        <v>226</v>
      </c>
      <c r="AE64" s="185" t="s">
        <v>195</v>
      </c>
      <c r="AF64" s="185" t="s">
        <v>619</v>
      </c>
      <c r="AG64" s="185" t="s">
        <v>2687</v>
      </c>
      <c r="AH64" s="185">
        <v>4</v>
      </c>
      <c r="AI64" s="185" t="s">
        <v>184</v>
      </c>
      <c r="AJ64" s="185" t="s">
        <v>234</v>
      </c>
      <c r="AK64" s="185" t="s">
        <v>622</v>
      </c>
      <c r="AL64" s="185" t="s">
        <v>184</v>
      </c>
      <c r="AM64" s="185" t="s">
        <v>234</v>
      </c>
      <c r="AN64" s="185" t="s">
        <v>528</v>
      </c>
      <c r="AO64" s="185" t="s">
        <v>2688</v>
      </c>
      <c r="AP64" s="185">
        <v>4</v>
      </c>
      <c r="AQ64" s="185" t="s">
        <v>186</v>
      </c>
      <c r="AR64" s="185" t="s">
        <v>623</v>
      </c>
      <c r="AS64" s="185" t="s">
        <v>185</v>
      </c>
      <c r="AT64" s="185" t="s">
        <v>186</v>
      </c>
      <c r="AU64" s="185" t="s">
        <v>185</v>
      </c>
      <c r="AV64" s="185" t="s">
        <v>624</v>
      </c>
      <c r="AW64" s="185" t="s">
        <v>2689</v>
      </c>
      <c r="AX64" s="185">
        <v>3</v>
      </c>
      <c r="AY64" s="185" t="s">
        <v>528</v>
      </c>
      <c r="AZ64" s="185" t="s">
        <v>408</v>
      </c>
      <c r="BA64" s="185" t="s">
        <v>185</v>
      </c>
      <c r="BB64" s="185" t="s">
        <v>528</v>
      </c>
      <c r="BC64" s="185" t="s">
        <v>185</v>
      </c>
      <c r="BD64" s="185" t="s">
        <v>234</v>
      </c>
      <c r="BE64" s="185" t="s">
        <v>2691</v>
      </c>
      <c r="BF64" s="185">
        <v>3</v>
      </c>
      <c r="BG64" s="185" t="s">
        <v>203</v>
      </c>
      <c r="BH64" s="185" t="s">
        <v>977</v>
      </c>
      <c r="BI64" s="185" t="s">
        <v>620</v>
      </c>
      <c r="BJ64" s="185" t="s">
        <v>203</v>
      </c>
      <c r="BK64" s="185" t="s">
        <v>977</v>
      </c>
      <c r="BL64" s="185" t="s">
        <v>226</v>
      </c>
      <c r="BM64" s="185" t="s">
        <v>198</v>
      </c>
      <c r="BN64" s="185">
        <v>2</v>
      </c>
      <c r="BO64" s="185" t="s">
        <v>199</v>
      </c>
      <c r="BP64" s="185" t="s">
        <v>244</v>
      </c>
      <c r="BQ64" s="185" t="s">
        <v>528</v>
      </c>
      <c r="BR64" s="185" t="s">
        <v>199</v>
      </c>
      <c r="BS64" s="185" t="s">
        <v>2773</v>
      </c>
      <c r="BT64" s="185" t="s">
        <v>528</v>
      </c>
    </row>
    <row r="65" spans="1:72" s="184" customFormat="1" ht="54.95" customHeight="1" x14ac:dyDescent="0.25">
      <c r="A65" s="155">
        <v>13</v>
      </c>
      <c r="B65" s="184" t="s">
        <v>534</v>
      </c>
      <c r="C65" s="184" t="s">
        <v>325</v>
      </c>
      <c r="D65" s="184" t="s">
        <v>535</v>
      </c>
      <c r="E65" s="184" t="s">
        <v>2904</v>
      </c>
      <c r="F65" s="184" t="s">
        <v>2905</v>
      </c>
      <c r="G65" s="184" t="s">
        <v>2906</v>
      </c>
      <c r="H65" s="184" t="s">
        <v>2907</v>
      </c>
      <c r="I65" s="184" t="s">
        <v>2908</v>
      </c>
      <c r="J65" s="184" t="s">
        <v>2909</v>
      </c>
      <c r="K65" s="184" t="s">
        <v>2910</v>
      </c>
      <c r="L65" s="184" t="s">
        <v>2678</v>
      </c>
      <c r="M65" s="184" t="s">
        <v>2911</v>
      </c>
      <c r="N65" s="184" t="s">
        <v>216</v>
      </c>
      <c r="O65" s="184">
        <v>20</v>
      </c>
      <c r="P65" s="184" t="s">
        <v>259</v>
      </c>
      <c r="Q65" s="184" t="s">
        <v>2912</v>
      </c>
      <c r="R65" s="184" t="s">
        <v>2913</v>
      </c>
      <c r="S65" s="184" t="s">
        <v>550</v>
      </c>
      <c r="T65" s="184" t="s">
        <v>2914</v>
      </c>
      <c r="U65" s="184" t="s">
        <v>2915</v>
      </c>
      <c r="V65" s="184" t="s">
        <v>2916</v>
      </c>
      <c r="W65" s="184" t="s">
        <v>2917</v>
      </c>
      <c r="X65" s="184" t="s">
        <v>2918</v>
      </c>
      <c r="Y65" s="185" t="s">
        <v>173</v>
      </c>
      <c r="Z65" s="185">
        <v>4</v>
      </c>
      <c r="AA65" s="185" t="s">
        <v>555</v>
      </c>
      <c r="AB65" s="185" t="s">
        <v>558</v>
      </c>
      <c r="AC65" s="185" t="s">
        <v>321</v>
      </c>
      <c r="AD65" s="185" t="s">
        <v>557</v>
      </c>
      <c r="AE65" s="185" t="s">
        <v>558</v>
      </c>
      <c r="AF65" s="185" t="s">
        <v>556</v>
      </c>
      <c r="AG65" s="185" t="s">
        <v>2687</v>
      </c>
      <c r="AH65" s="185">
        <v>4</v>
      </c>
      <c r="AI65" s="185" t="s">
        <v>184</v>
      </c>
      <c r="AJ65" s="185" t="s">
        <v>2847</v>
      </c>
      <c r="AK65" s="185" t="s">
        <v>315</v>
      </c>
      <c r="AL65" s="185" t="s">
        <v>184</v>
      </c>
      <c r="AM65" s="185" t="s">
        <v>323</v>
      </c>
      <c r="AN65" s="185" t="s">
        <v>1038</v>
      </c>
      <c r="AO65" s="185" t="s">
        <v>2688</v>
      </c>
      <c r="AP65" s="185">
        <v>4</v>
      </c>
      <c r="AQ65" s="185" t="s">
        <v>186</v>
      </c>
      <c r="AR65" s="185" t="s">
        <v>235</v>
      </c>
      <c r="AS65" s="185" t="s">
        <v>561</v>
      </c>
      <c r="AT65" s="185" t="s">
        <v>186</v>
      </c>
      <c r="AU65" s="185" t="s">
        <v>235</v>
      </c>
      <c r="AV65" s="185" t="s">
        <v>1038</v>
      </c>
      <c r="AW65" s="185" t="s">
        <v>2689</v>
      </c>
      <c r="AX65" s="185">
        <v>3</v>
      </c>
      <c r="AY65" s="185" t="s">
        <v>566</v>
      </c>
      <c r="AZ65" s="185" t="s">
        <v>310</v>
      </c>
      <c r="BA65" s="185" t="s">
        <v>319</v>
      </c>
      <c r="BB65" s="185" t="s">
        <v>566</v>
      </c>
      <c r="BC65" s="185" t="s">
        <v>319</v>
      </c>
      <c r="BD65" s="185" t="s">
        <v>323</v>
      </c>
      <c r="BE65" s="185" t="s">
        <v>2691</v>
      </c>
      <c r="BF65" s="185">
        <v>3</v>
      </c>
      <c r="BG65" s="185" t="s">
        <v>203</v>
      </c>
      <c r="BH65" s="185" t="s">
        <v>2919</v>
      </c>
      <c r="BI65" s="185" t="s">
        <v>563</v>
      </c>
      <c r="BJ65" s="185" t="s">
        <v>203</v>
      </c>
      <c r="BK65" s="185" t="s">
        <v>558</v>
      </c>
      <c r="BL65" s="185" t="s">
        <v>2751</v>
      </c>
      <c r="BM65" s="185" t="s">
        <v>198</v>
      </c>
      <c r="BN65" s="185">
        <v>2</v>
      </c>
      <c r="BO65" s="185" t="s">
        <v>199</v>
      </c>
      <c r="BP65" s="185" t="s">
        <v>568</v>
      </c>
      <c r="BQ65" s="185" t="s">
        <v>1038</v>
      </c>
      <c r="BR65" s="185" t="s">
        <v>199</v>
      </c>
      <c r="BS65" s="185" t="s">
        <v>568</v>
      </c>
      <c r="BT65" s="185" t="s">
        <v>557</v>
      </c>
    </row>
    <row r="66" spans="1:72" s="184" customFormat="1" ht="54.95" customHeight="1" x14ac:dyDescent="0.25">
      <c r="A66" s="155">
        <v>14</v>
      </c>
      <c r="B66" s="184" t="s">
        <v>2920</v>
      </c>
      <c r="C66" s="184" t="s">
        <v>247</v>
      </c>
      <c r="D66" s="184" t="s">
        <v>740</v>
      </c>
      <c r="E66" s="184" t="s">
        <v>2921</v>
      </c>
      <c r="F66" s="184" t="s">
        <v>2922</v>
      </c>
      <c r="G66" s="184" t="s">
        <v>2923</v>
      </c>
      <c r="H66" s="184" t="s">
        <v>2924</v>
      </c>
      <c r="I66" s="184" t="s">
        <v>2925</v>
      </c>
      <c r="J66" s="184" t="s">
        <v>2926</v>
      </c>
      <c r="K66" s="184" t="s">
        <v>2927</v>
      </c>
      <c r="L66" s="184" t="s">
        <v>2678</v>
      </c>
      <c r="M66" s="184" t="s">
        <v>2928</v>
      </c>
      <c r="N66" s="184" t="s">
        <v>216</v>
      </c>
      <c r="O66" s="184">
        <v>20</v>
      </c>
      <c r="P66" s="184" t="s">
        <v>164</v>
      </c>
      <c r="Q66" s="184" t="s">
        <v>2929</v>
      </c>
      <c r="R66" s="184" t="s">
        <v>753</v>
      </c>
      <c r="S66" s="184" t="s">
        <v>2930</v>
      </c>
      <c r="T66" s="184" t="s">
        <v>2931</v>
      </c>
      <c r="U66" s="184" t="s">
        <v>2932</v>
      </c>
      <c r="V66" s="184" t="s">
        <v>2933</v>
      </c>
      <c r="W66" s="184" t="s">
        <v>2934</v>
      </c>
      <c r="X66" s="184" t="s">
        <v>2935</v>
      </c>
      <c r="Y66" s="185" t="s">
        <v>173</v>
      </c>
      <c r="Z66" s="185">
        <v>4</v>
      </c>
      <c r="AA66" s="185" t="s">
        <v>236</v>
      </c>
      <c r="AB66" s="185" t="s">
        <v>270</v>
      </c>
      <c r="AC66" s="185" t="s">
        <v>280</v>
      </c>
      <c r="AD66" s="185" t="s">
        <v>236</v>
      </c>
      <c r="AE66" s="185" t="s">
        <v>900</v>
      </c>
      <c r="AF66" s="185" t="s">
        <v>284</v>
      </c>
      <c r="AG66" s="185" t="s">
        <v>2687</v>
      </c>
      <c r="AH66" s="185">
        <v>4</v>
      </c>
      <c r="AI66" s="185" t="s">
        <v>184</v>
      </c>
      <c r="AJ66" s="185" t="s">
        <v>2769</v>
      </c>
      <c r="AK66" s="185" t="s">
        <v>277</v>
      </c>
      <c r="AL66" s="185" t="s">
        <v>184</v>
      </c>
      <c r="AM66" s="185" t="s">
        <v>2769</v>
      </c>
      <c r="AN66" s="185" t="s">
        <v>279</v>
      </c>
      <c r="AO66" s="185" t="s">
        <v>2688</v>
      </c>
      <c r="AP66" s="185">
        <v>4</v>
      </c>
      <c r="AQ66" s="185" t="s">
        <v>186</v>
      </c>
      <c r="AR66" s="185" t="s">
        <v>761</v>
      </c>
      <c r="AS66" s="185" t="s">
        <v>278</v>
      </c>
      <c r="AT66" s="185" t="s">
        <v>186</v>
      </c>
      <c r="AU66" s="185" t="s">
        <v>278</v>
      </c>
      <c r="AV66" s="185" t="s">
        <v>761</v>
      </c>
      <c r="AW66" s="185" t="s">
        <v>2689</v>
      </c>
      <c r="AX66" s="185">
        <v>3</v>
      </c>
      <c r="AY66" s="185" t="s">
        <v>760</v>
      </c>
      <c r="AZ66" s="185" t="s">
        <v>2769</v>
      </c>
      <c r="BA66" s="185" t="s">
        <v>900</v>
      </c>
      <c r="BB66" s="185" t="s">
        <v>760</v>
      </c>
      <c r="BC66" s="185" t="s">
        <v>272</v>
      </c>
      <c r="BD66" s="185" t="s">
        <v>2769</v>
      </c>
      <c r="BE66" s="185" t="s">
        <v>2691</v>
      </c>
      <c r="BF66" s="185">
        <v>3</v>
      </c>
      <c r="BG66" s="185" t="s">
        <v>203</v>
      </c>
      <c r="BH66" s="185" t="s">
        <v>2770</v>
      </c>
      <c r="BI66" s="185" t="s">
        <v>2936</v>
      </c>
      <c r="BJ66" s="185" t="s">
        <v>203</v>
      </c>
      <c r="BK66" s="185" t="s">
        <v>2936</v>
      </c>
      <c r="BL66" s="185" t="s">
        <v>2772</v>
      </c>
      <c r="BM66" s="185" t="s">
        <v>198</v>
      </c>
      <c r="BN66" s="185">
        <v>2</v>
      </c>
      <c r="BO66" s="185" t="s">
        <v>199</v>
      </c>
      <c r="BP66" s="185" t="s">
        <v>2937</v>
      </c>
      <c r="BQ66" s="185" t="s">
        <v>200</v>
      </c>
      <c r="BR66" s="185" t="s">
        <v>199</v>
      </c>
      <c r="BS66" s="185" t="s">
        <v>900</v>
      </c>
      <c r="BT66" s="185" t="s">
        <v>2773</v>
      </c>
    </row>
    <row r="67" spans="1:72" s="184" customFormat="1" ht="54.95" customHeight="1" x14ac:dyDescent="0.25">
      <c r="A67" s="155">
        <v>15</v>
      </c>
      <c r="B67" s="184" t="s">
        <v>978</v>
      </c>
      <c r="C67" s="184" t="s">
        <v>247</v>
      </c>
      <c r="D67" s="184" t="s">
        <v>2938</v>
      </c>
      <c r="E67" s="184" t="s">
        <v>2939</v>
      </c>
      <c r="F67" s="184" t="s">
        <v>2940</v>
      </c>
      <c r="G67" s="184" t="s">
        <v>2941</v>
      </c>
      <c r="H67" s="184" t="s">
        <v>2942</v>
      </c>
      <c r="I67" s="184" t="s">
        <v>2943</v>
      </c>
      <c r="J67" s="184" t="s">
        <v>2944</v>
      </c>
      <c r="K67" s="184" t="s">
        <v>2945</v>
      </c>
      <c r="L67" s="184" t="s">
        <v>2678</v>
      </c>
      <c r="M67" s="184" t="s">
        <v>2946</v>
      </c>
      <c r="N67" s="184" t="s">
        <v>216</v>
      </c>
      <c r="O67" s="184">
        <v>20</v>
      </c>
      <c r="P67" s="184" t="s">
        <v>259</v>
      </c>
      <c r="Q67" s="184" t="s">
        <v>2947</v>
      </c>
      <c r="R67" s="184" t="s">
        <v>2948</v>
      </c>
      <c r="S67" s="184" t="s">
        <v>2949</v>
      </c>
      <c r="T67" s="184" t="s">
        <v>2950</v>
      </c>
      <c r="U67" s="184" t="s">
        <v>2951</v>
      </c>
      <c r="V67" s="184" t="s">
        <v>2952</v>
      </c>
      <c r="W67" s="184" t="s">
        <v>2953</v>
      </c>
      <c r="X67" s="184" t="s">
        <v>1538</v>
      </c>
      <c r="Y67" s="185" t="s">
        <v>173</v>
      </c>
      <c r="Z67" s="185">
        <v>4</v>
      </c>
      <c r="AA67" s="185" t="s">
        <v>174</v>
      </c>
      <c r="AB67" s="185" t="s">
        <v>321</v>
      </c>
      <c r="AC67" s="185" t="s">
        <v>658</v>
      </c>
      <c r="AD67" s="185" t="s">
        <v>174</v>
      </c>
      <c r="AE67" s="185" t="s">
        <v>1539</v>
      </c>
      <c r="AF67" s="185" t="s">
        <v>654</v>
      </c>
      <c r="AG67" s="185" t="s">
        <v>2687</v>
      </c>
      <c r="AH67" s="185">
        <v>4</v>
      </c>
      <c r="AI67" s="185" t="s">
        <v>184</v>
      </c>
      <c r="AJ67" s="185" t="s">
        <v>1615</v>
      </c>
      <c r="AK67" s="185" t="s">
        <v>621</v>
      </c>
      <c r="AL67" s="185" t="s">
        <v>184</v>
      </c>
      <c r="AM67" s="185" t="s">
        <v>2690</v>
      </c>
      <c r="AN67" s="185" t="s">
        <v>621</v>
      </c>
      <c r="AO67" s="185" t="s">
        <v>2688</v>
      </c>
      <c r="AP67" s="185">
        <v>4</v>
      </c>
      <c r="AQ67" s="185" t="s">
        <v>186</v>
      </c>
      <c r="AR67" s="185" t="s">
        <v>2426</v>
      </c>
      <c r="AS67" s="185" t="s">
        <v>2750</v>
      </c>
      <c r="AT67" s="185" t="s">
        <v>186</v>
      </c>
      <c r="AU67" s="185" t="s">
        <v>2426</v>
      </c>
      <c r="AV67" s="185" t="s">
        <v>2750</v>
      </c>
      <c r="AW67" s="185" t="s">
        <v>2689</v>
      </c>
      <c r="AX67" s="185">
        <v>3</v>
      </c>
      <c r="AY67" s="185" t="s">
        <v>437</v>
      </c>
      <c r="AZ67" s="185" t="s">
        <v>2954</v>
      </c>
      <c r="BA67" s="185" t="s">
        <v>1038</v>
      </c>
      <c r="BB67" s="185" t="s">
        <v>437</v>
      </c>
      <c r="BC67" s="185" t="s">
        <v>2773</v>
      </c>
      <c r="BD67" s="185" t="s">
        <v>1038</v>
      </c>
      <c r="BE67" s="185" t="s">
        <v>2691</v>
      </c>
      <c r="BF67" s="185">
        <v>3</v>
      </c>
      <c r="BG67" s="185" t="s">
        <v>203</v>
      </c>
      <c r="BH67" s="185" t="s">
        <v>187</v>
      </c>
      <c r="BI67" s="185" t="s">
        <v>2955</v>
      </c>
      <c r="BJ67" s="185" t="s">
        <v>203</v>
      </c>
      <c r="BK67" s="185" t="s">
        <v>187</v>
      </c>
      <c r="BL67" s="185" t="s">
        <v>2956</v>
      </c>
      <c r="BM67" s="185" t="s">
        <v>198</v>
      </c>
      <c r="BN67" s="185">
        <v>2</v>
      </c>
      <c r="BO67" s="185" t="s">
        <v>199</v>
      </c>
      <c r="BP67" s="185" t="s">
        <v>763</v>
      </c>
      <c r="BQ67" s="185" t="s">
        <v>652</v>
      </c>
      <c r="BR67" s="185" t="s">
        <v>199</v>
      </c>
      <c r="BS67" s="185" t="s">
        <v>654</v>
      </c>
      <c r="BT67" s="185" t="s">
        <v>2957</v>
      </c>
    </row>
    <row r="68" spans="1:72" s="184" customFormat="1" ht="54.95" customHeight="1" x14ac:dyDescent="0.25">
      <c r="A68" s="155">
        <v>16</v>
      </c>
      <c r="B68" s="184" t="s">
        <v>506</v>
      </c>
      <c r="C68" s="184" t="s">
        <v>247</v>
      </c>
      <c r="D68" s="184" t="s">
        <v>2958</v>
      </c>
      <c r="E68" s="184" t="s">
        <v>2959</v>
      </c>
      <c r="F68" s="184" t="s">
        <v>2960</v>
      </c>
      <c r="G68" s="184" t="s">
        <v>2961</v>
      </c>
      <c r="H68" s="184" t="s">
        <v>2962</v>
      </c>
      <c r="I68" s="184" t="s">
        <v>2963</v>
      </c>
      <c r="J68" s="184" t="s">
        <v>2964</v>
      </c>
      <c r="K68" s="184" t="s">
        <v>2965</v>
      </c>
      <c r="L68" s="184" t="s">
        <v>2678</v>
      </c>
      <c r="M68" s="184" t="s">
        <v>2966</v>
      </c>
      <c r="N68" s="184" t="s">
        <v>216</v>
      </c>
      <c r="O68" s="184">
        <v>20</v>
      </c>
      <c r="P68" s="184" t="s">
        <v>164</v>
      </c>
      <c r="Q68" s="184" t="s">
        <v>2967</v>
      </c>
      <c r="R68" s="184" t="s">
        <v>2968</v>
      </c>
      <c r="S68" s="184" t="s">
        <v>1780</v>
      </c>
      <c r="T68" s="184" t="s">
        <v>2969</v>
      </c>
      <c r="U68" s="184" t="s">
        <v>2970</v>
      </c>
      <c r="V68" s="184" t="s">
        <v>2971</v>
      </c>
      <c r="W68" s="184" t="s">
        <v>2972</v>
      </c>
      <c r="X68" s="184" t="s">
        <v>2973</v>
      </c>
      <c r="Y68" s="185" t="s">
        <v>173</v>
      </c>
      <c r="Z68" s="185">
        <v>4</v>
      </c>
      <c r="AA68" s="185" t="s">
        <v>677</v>
      </c>
      <c r="AB68" s="185" t="s">
        <v>678</v>
      </c>
      <c r="AC68" s="185" t="s">
        <v>529</v>
      </c>
      <c r="AD68" s="185" t="s">
        <v>677</v>
      </c>
      <c r="AE68" s="185" t="s">
        <v>678</v>
      </c>
      <c r="AF68" s="185" t="s">
        <v>228</v>
      </c>
      <c r="AG68" s="185" t="s">
        <v>2687</v>
      </c>
      <c r="AH68" s="185">
        <v>4</v>
      </c>
      <c r="AI68" s="185" t="s">
        <v>184</v>
      </c>
      <c r="AJ68" s="185" t="s">
        <v>234</v>
      </c>
      <c r="AK68" s="185" t="s">
        <v>232</v>
      </c>
      <c r="AL68" s="185" t="s">
        <v>184</v>
      </c>
      <c r="AM68" s="185" t="s">
        <v>234</v>
      </c>
      <c r="AN68" s="185" t="s">
        <v>232</v>
      </c>
      <c r="AO68" s="185" t="s">
        <v>2688</v>
      </c>
      <c r="AP68" s="185">
        <v>4</v>
      </c>
      <c r="AQ68" s="185" t="s">
        <v>186</v>
      </c>
      <c r="AR68" s="185" t="s">
        <v>185</v>
      </c>
      <c r="AS68" s="185" t="s">
        <v>860</v>
      </c>
      <c r="AT68" s="185" t="s">
        <v>186</v>
      </c>
      <c r="AU68" s="185" t="s">
        <v>185</v>
      </c>
      <c r="AV68" s="185" t="s">
        <v>860</v>
      </c>
      <c r="AW68" s="185" t="s">
        <v>2689</v>
      </c>
      <c r="AX68" s="185">
        <v>3</v>
      </c>
      <c r="AY68" s="185" t="s">
        <v>684</v>
      </c>
      <c r="AZ68" s="185" t="s">
        <v>2974</v>
      </c>
      <c r="BA68" s="185" t="s">
        <v>2975</v>
      </c>
      <c r="BB68" s="185" t="s">
        <v>684</v>
      </c>
      <c r="BC68" s="185" t="s">
        <v>1823</v>
      </c>
      <c r="BD68" s="185" t="s">
        <v>2975</v>
      </c>
      <c r="BE68" s="185" t="s">
        <v>2691</v>
      </c>
      <c r="BF68" s="185">
        <v>3</v>
      </c>
      <c r="BG68" s="185" t="s">
        <v>203</v>
      </c>
      <c r="BH68" s="185" t="s">
        <v>678</v>
      </c>
      <c r="BI68" s="185" t="s">
        <v>225</v>
      </c>
      <c r="BJ68" s="185" t="s">
        <v>203</v>
      </c>
      <c r="BK68" s="185" t="s">
        <v>678</v>
      </c>
      <c r="BL68" s="185" t="s">
        <v>2658</v>
      </c>
      <c r="BM68" s="185" t="s">
        <v>198</v>
      </c>
      <c r="BN68" s="185">
        <v>2</v>
      </c>
      <c r="BO68" s="185" t="s">
        <v>199</v>
      </c>
      <c r="BP68" s="185" t="s">
        <v>2976</v>
      </c>
      <c r="BQ68" s="185" t="s">
        <v>2977</v>
      </c>
      <c r="BR68" s="185" t="s">
        <v>199</v>
      </c>
      <c r="BS68" s="185" t="s">
        <v>2978</v>
      </c>
      <c r="BT68" s="185" t="s">
        <v>228</v>
      </c>
    </row>
    <row r="69" spans="1:72" s="184" customFormat="1" ht="54.95" customHeight="1" x14ac:dyDescent="0.25">
      <c r="A69" s="155">
        <v>17</v>
      </c>
      <c r="B69" s="184" t="s">
        <v>385</v>
      </c>
      <c r="C69" s="184" t="s">
        <v>325</v>
      </c>
      <c r="D69" s="184" t="s">
        <v>2979</v>
      </c>
      <c r="E69" s="184" t="s">
        <v>2980</v>
      </c>
      <c r="F69" s="184" t="s">
        <v>2981</v>
      </c>
      <c r="G69" s="184" t="s">
        <v>2982</v>
      </c>
      <c r="H69" s="184" t="s">
        <v>2983</v>
      </c>
      <c r="I69" s="184" t="s">
        <v>2984</v>
      </c>
      <c r="J69" s="184" t="s">
        <v>2985</v>
      </c>
      <c r="K69" s="184" t="s">
        <v>2986</v>
      </c>
      <c r="L69" s="184" t="s">
        <v>2678</v>
      </c>
      <c r="M69" s="184" t="s">
        <v>2987</v>
      </c>
      <c r="N69" s="184" t="s">
        <v>216</v>
      </c>
      <c r="O69" s="184">
        <v>20</v>
      </c>
      <c r="P69" s="184" t="s">
        <v>259</v>
      </c>
      <c r="Q69" s="184" t="s">
        <v>2988</v>
      </c>
      <c r="R69" s="184" t="s">
        <v>2989</v>
      </c>
      <c r="S69" s="184" t="s">
        <v>1137</v>
      </c>
      <c r="T69" s="184" t="s">
        <v>2990</v>
      </c>
      <c r="U69" s="184" t="s">
        <v>2991</v>
      </c>
      <c r="V69" s="184" t="s">
        <v>2992</v>
      </c>
      <c r="W69" s="184" t="s">
        <v>2993</v>
      </c>
      <c r="X69" s="184" t="s">
        <v>2994</v>
      </c>
      <c r="Y69" s="185" t="s">
        <v>173</v>
      </c>
      <c r="Z69" s="185">
        <v>4</v>
      </c>
      <c r="AA69" s="185" t="s">
        <v>760</v>
      </c>
      <c r="AB69" s="185" t="s">
        <v>435</v>
      </c>
      <c r="AC69" s="185" t="s">
        <v>2374</v>
      </c>
      <c r="AD69" s="185" t="s">
        <v>435</v>
      </c>
      <c r="AE69" s="185" t="s">
        <v>760</v>
      </c>
      <c r="AF69" s="185" t="s">
        <v>592</v>
      </c>
      <c r="AG69" s="185" t="s">
        <v>2687</v>
      </c>
      <c r="AH69" s="185">
        <v>4</v>
      </c>
      <c r="AI69" s="185" t="s">
        <v>184</v>
      </c>
      <c r="AJ69" s="185" t="s">
        <v>234</v>
      </c>
      <c r="AK69" s="185" t="s">
        <v>232</v>
      </c>
      <c r="AL69" s="185" t="s">
        <v>184</v>
      </c>
      <c r="AM69" s="185" t="s">
        <v>232</v>
      </c>
      <c r="AN69" s="185" t="s">
        <v>234</v>
      </c>
      <c r="AO69" s="185" t="s">
        <v>2688</v>
      </c>
      <c r="AP69" s="185">
        <v>4</v>
      </c>
      <c r="AQ69" s="185" t="s">
        <v>186</v>
      </c>
      <c r="AR69" s="185" t="s">
        <v>185</v>
      </c>
      <c r="AS69" s="185" t="s">
        <v>411</v>
      </c>
      <c r="AT69" s="185" t="s">
        <v>186</v>
      </c>
      <c r="AU69" s="185" t="s">
        <v>185</v>
      </c>
      <c r="AV69" s="185" t="s">
        <v>2995</v>
      </c>
      <c r="AW69" s="185" t="s">
        <v>2689</v>
      </c>
      <c r="AX69" s="185">
        <v>3</v>
      </c>
      <c r="AY69" s="185" t="s">
        <v>2996</v>
      </c>
      <c r="AZ69" s="185" t="s">
        <v>408</v>
      </c>
      <c r="BA69" s="185" t="s">
        <v>185</v>
      </c>
      <c r="BB69" s="185" t="s">
        <v>408</v>
      </c>
      <c r="BC69" s="185" t="s">
        <v>185</v>
      </c>
      <c r="BD69" s="185" t="s">
        <v>200</v>
      </c>
      <c r="BE69" s="185" t="s">
        <v>2691</v>
      </c>
      <c r="BF69" s="185">
        <v>3</v>
      </c>
      <c r="BG69" s="185" t="s">
        <v>203</v>
      </c>
      <c r="BH69" s="185" t="s">
        <v>2997</v>
      </c>
      <c r="BI69" s="185" t="s">
        <v>2998</v>
      </c>
      <c r="BJ69" s="185" t="s">
        <v>203</v>
      </c>
      <c r="BK69" s="185" t="s">
        <v>2712</v>
      </c>
      <c r="BL69" s="185" t="s">
        <v>435</v>
      </c>
      <c r="BM69" s="185" t="s">
        <v>198</v>
      </c>
      <c r="BN69" s="185">
        <v>2</v>
      </c>
      <c r="BO69" s="185" t="s">
        <v>199</v>
      </c>
      <c r="BP69" s="185" t="s">
        <v>2976</v>
      </c>
      <c r="BQ69" s="185" t="s">
        <v>200</v>
      </c>
      <c r="BR69" s="185" t="s">
        <v>199</v>
      </c>
      <c r="BS69" s="185" t="s">
        <v>228</v>
      </c>
      <c r="BT69" s="185" t="s">
        <v>2999</v>
      </c>
    </row>
    <row r="70" spans="1:72" s="184" customFormat="1" ht="54.95" customHeight="1" x14ac:dyDescent="0.25">
      <c r="A70" s="155">
        <v>18</v>
      </c>
      <c r="B70" s="184" t="s">
        <v>385</v>
      </c>
      <c r="C70" s="184" t="s">
        <v>247</v>
      </c>
      <c r="D70" s="184" t="s">
        <v>3000</v>
      </c>
      <c r="E70" s="184" t="s">
        <v>3001</v>
      </c>
      <c r="F70" s="184" t="s">
        <v>3002</v>
      </c>
      <c r="G70" s="184" t="s">
        <v>3003</v>
      </c>
      <c r="H70" s="184" t="s">
        <v>3004</v>
      </c>
      <c r="I70" s="184" t="s">
        <v>3005</v>
      </c>
      <c r="J70" s="184" t="s">
        <v>3006</v>
      </c>
      <c r="K70" s="184" t="s">
        <v>3007</v>
      </c>
      <c r="L70" s="184" t="s">
        <v>2678</v>
      </c>
      <c r="M70" s="184" t="s">
        <v>3008</v>
      </c>
      <c r="N70" s="184" t="s">
        <v>216</v>
      </c>
      <c r="O70" s="184">
        <v>20</v>
      </c>
      <c r="P70" s="184" t="s">
        <v>259</v>
      </c>
      <c r="Q70" s="184" t="s">
        <v>3009</v>
      </c>
      <c r="R70" s="184" t="s">
        <v>3010</v>
      </c>
      <c r="S70" s="184" t="s">
        <v>2341</v>
      </c>
      <c r="T70" s="184" t="s">
        <v>3011</v>
      </c>
      <c r="U70" s="184" t="s">
        <v>3012</v>
      </c>
      <c r="V70" s="184" t="s">
        <v>3013</v>
      </c>
      <c r="W70" s="184" t="s">
        <v>3014</v>
      </c>
      <c r="X70" s="184" t="s">
        <v>3015</v>
      </c>
      <c r="Y70" s="185" t="s">
        <v>173</v>
      </c>
      <c r="Z70" s="185">
        <v>4</v>
      </c>
      <c r="AA70" s="185" t="s">
        <v>227</v>
      </c>
      <c r="AB70" s="185" t="s">
        <v>1482</v>
      </c>
      <c r="AC70" s="185" t="s">
        <v>529</v>
      </c>
      <c r="AD70" s="185" t="s">
        <v>227</v>
      </c>
      <c r="AE70" s="185" t="s">
        <v>226</v>
      </c>
      <c r="AF70" s="185" t="s">
        <v>279</v>
      </c>
      <c r="AG70" s="185" t="s">
        <v>2687</v>
      </c>
      <c r="AH70" s="185">
        <v>4</v>
      </c>
      <c r="AI70" s="185" t="s">
        <v>184</v>
      </c>
      <c r="AJ70" s="185" t="s">
        <v>3016</v>
      </c>
      <c r="AK70" s="185" t="s">
        <v>408</v>
      </c>
      <c r="AL70" s="185" t="s">
        <v>184</v>
      </c>
      <c r="AM70" s="185" t="s">
        <v>234</v>
      </c>
      <c r="AN70" s="185" t="s">
        <v>860</v>
      </c>
      <c r="AO70" s="185" t="s">
        <v>2688</v>
      </c>
      <c r="AP70" s="185">
        <v>4</v>
      </c>
      <c r="AQ70" s="185" t="s">
        <v>186</v>
      </c>
      <c r="AR70" s="185" t="s">
        <v>185</v>
      </c>
      <c r="AS70" s="185" t="s">
        <v>528</v>
      </c>
      <c r="AT70" s="185" t="s">
        <v>186</v>
      </c>
      <c r="AU70" s="185" t="s">
        <v>185</v>
      </c>
      <c r="AV70" s="185" t="s">
        <v>3017</v>
      </c>
      <c r="AW70" s="185" t="s">
        <v>2689</v>
      </c>
      <c r="AX70" s="185">
        <v>3</v>
      </c>
      <c r="AY70" s="185" t="s">
        <v>860</v>
      </c>
      <c r="AZ70" s="185" t="s">
        <v>236</v>
      </c>
      <c r="BA70" s="185" t="s">
        <v>200</v>
      </c>
      <c r="BB70" s="185" t="s">
        <v>860</v>
      </c>
      <c r="BC70" s="185" t="s">
        <v>236</v>
      </c>
      <c r="BD70" s="185" t="s">
        <v>185</v>
      </c>
      <c r="BE70" s="185" t="s">
        <v>2691</v>
      </c>
      <c r="BF70" s="185">
        <v>3</v>
      </c>
      <c r="BG70" s="185" t="s">
        <v>203</v>
      </c>
      <c r="BH70" s="185" t="s">
        <v>2711</v>
      </c>
      <c r="BI70" s="185" t="s">
        <v>529</v>
      </c>
      <c r="BJ70" s="185" t="s">
        <v>203</v>
      </c>
      <c r="BK70" s="185" t="s">
        <v>3018</v>
      </c>
      <c r="BL70" s="185" t="s">
        <v>529</v>
      </c>
      <c r="BM70" s="185" t="s">
        <v>198</v>
      </c>
      <c r="BN70" s="185">
        <v>2</v>
      </c>
      <c r="BO70" s="185" t="s">
        <v>199</v>
      </c>
      <c r="BP70" s="185" t="s">
        <v>2713</v>
      </c>
      <c r="BQ70" s="185" t="s">
        <v>3019</v>
      </c>
      <c r="BR70" s="185" t="s">
        <v>199</v>
      </c>
      <c r="BS70" s="185" t="s">
        <v>2695</v>
      </c>
      <c r="BT70" s="185" t="s">
        <v>226</v>
      </c>
    </row>
    <row r="71" spans="1:72" s="184" customFormat="1" ht="54.95" customHeight="1" x14ac:dyDescent="0.25">
      <c r="A71" s="155">
        <v>19</v>
      </c>
      <c r="B71" s="184" t="s">
        <v>1787</v>
      </c>
      <c r="C71" s="184" t="s">
        <v>205</v>
      </c>
      <c r="D71" s="184" t="s">
        <v>3020</v>
      </c>
      <c r="E71" s="184" t="s">
        <v>3021</v>
      </c>
      <c r="F71" s="184" t="s">
        <v>3022</v>
      </c>
      <c r="G71" s="184" t="s">
        <v>3023</v>
      </c>
      <c r="H71" s="184" t="s">
        <v>3024</v>
      </c>
      <c r="I71" s="184" t="s">
        <v>3025</v>
      </c>
      <c r="J71" s="184" t="s">
        <v>3026</v>
      </c>
      <c r="K71" s="184" t="s">
        <v>3027</v>
      </c>
      <c r="L71" s="184" t="s">
        <v>2678</v>
      </c>
      <c r="M71" s="184" t="s">
        <v>3028</v>
      </c>
      <c r="N71" s="184" t="s">
        <v>216</v>
      </c>
      <c r="O71" s="184">
        <v>20</v>
      </c>
      <c r="P71" s="184" t="s">
        <v>164</v>
      </c>
      <c r="Q71" s="184" t="s">
        <v>3029</v>
      </c>
      <c r="R71" s="184" t="s">
        <v>3030</v>
      </c>
      <c r="S71" s="184" t="s">
        <v>3031</v>
      </c>
      <c r="T71" s="184" t="s">
        <v>3032</v>
      </c>
      <c r="U71" s="184" t="s">
        <v>3033</v>
      </c>
      <c r="V71" s="184" t="s">
        <v>3034</v>
      </c>
      <c r="W71" s="184" t="s">
        <v>3035</v>
      </c>
      <c r="X71" s="184" t="s">
        <v>3036</v>
      </c>
      <c r="Y71" s="185" t="s">
        <v>173</v>
      </c>
      <c r="Z71" s="185">
        <v>4</v>
      </c>
      <c r="AA71" s="185" t="s">
        <v>3037</v>
      </c>
      <c r="AB71" s="185" t="s">
        <v>310</v>
      </c>
      <c r="AC71" s="185" t="s">
        <v>1805</v>
      </c>
      <c r="AD71" s="185" t="s">
        <v>185</v>
      </c>
      <c r="AE71" s="185" t="s">
        <v>558</v>
      </c>
      <c r="AF71" s="185" t="s">
        <v>318</v>
      </c>
      <c r="AG71" s="185" t="s">
        <v>2687</v>
      </c>
      <c r="AH71" s="185">
        <v>4</v>
      </c>
      <c r="AI71" s="185" t="s">
        <v>184</v>
      </c>
      <c r="AJ71" s="185" t="s">
        <v>3038</v>
      </c>
      <c r="AK71" s="185" t="s">
        <v>315</v>
      </c>
      <c r="AL71" s="185" t="s">
        <v>184</v>
      </c>
      <c r="AM71" s="185" t="s">
        <v>315</v>
      </c>
      <c r="AN71" s="185" t="s">
        <v>1402</v>
      </c>
      <c r="AO71" s="185" t="s">
        <v>2688</v>
      </c>
      <c r="AP71" s="185">
        <v>4</v>
      </c>
      <c r="AQ71" s="185" t="s">
        <v>186</v>
      </c>
      <c r="AR71" s="185" t="s">
        <v>235</v>
      </c>
      <c r="AS71" s="185" t="s">
        <v>3039</v>
      </c>
      <c r="AT71" s="185" t="s">
        <v>186</v>
      </c>
      <c r="AU71" s="185" t="s">
        <v>235</v>
      </c>
      <c r="AV71" s="185" t="s">
        <v>323</v>
      </c>
      <c r="AW71" s="185" t="s">
        <v>2689</v>
      </c>
      <c r="AX71" s="185">
        <v>3</v>
      </c>
      <c r="AY71" s="185" t="s">
        <v>323</v>
      </c>
      <c r="AZ71" s="185" t="s">
        <v>1038</v>
      </c>
      <c r="BA71" s="185" t="s">
        <v>316</v>
      </c>
      <c r="BB71" s="185" t="s">
        <v>323</v>
      </c>
      <c r="BC71" s="185" t="s">
        <v>316</v>
      </c>
      <c r="BD71" s="185" t="s">
        <v>1038</v>
      </c>
      <c r="BE71" s="185" t="s">
        <v>2691</v>
      </c>
      <c r="BF71" s="185">
        <v>3</v>
      </c>
      <c r="BG71" s="185" t="s">
        <v>203</v>
      </c>
      <c r="BH71" s="185" t="s">
        <v>378</v>
      </c>
      <c r="BI71" s="185" t="s">
        <v>558</v>
      </c>
      <c r="BJ71" s="185" t="s">
        <v>203</v>
      </c>
      <c r="BK71" s="185" t="s">
        <v>378</v>
      </c>
      <c r="BL71" s="185" t="s">
        <v>558</v>
      </c>
      <c r="BM71" s="185" t="s">
        <v>198</v>
      </c>
      <c r="BN71" s="185">
        <v>2</v>
      </c>
      <c r="BO71" s="185" t="s">
        <v>199</v>
      </c>
      <c r="BP71" s="185" t="s">
        <v>311</v>
      </c>
      <c r="BQ71" s="185" t="s">
        <v>310</v>
      </c>
      <c r="BR71" s="185" t="s">
        <v>199</v>
      </c>
      <c r="BS71" s="185" t="s">
        <v>353</v>
      </c>
      <c r="BT71" s="185" t="s">
        <v>323</v>
      </c>
    </row>
    <row r="72" spans="1:72" s="184" customFormat="1" ht="54.95" customHeight="1" x14ac:dyDescent="0.25">
      <c r="A72" s="155">
        <v>20</v>
      </c>
      <c r="B72" s="184" t="s">
        <v>324</v>
      </c>
      <c r="C72" s="184" t="s">
        <v>154</v>
      </c>
      <c r="D72" s="184" t="s">
        <v>3040</v>
      </c>
      <c r="E72" s="184" t="s">
        <v>3041</v>
      </c>
      <c r="F72" s="184" t="s">
        <v>3042</v>
      </c>
      <c r="G72" s="184" t="s">
        <v>3043</v>
      </c>
      <c r="H72" s="184" t="s">
        <v>3044</v>
      </c>
      <c r="I72" s="184" t="s">
        <v>3045</v>
      </c>
      <c r="J72" s="184" t="s">
        <v>3046</v>
      </c>
      <c r="K72" s="184" t="s">
        <v>3047</v>
      </c>
      <c r="L72" s="184" t="s">
        <v>2678</v>
      </c>
      <c r="M72" s="184" t="s">
        <v>3048</v>
      </c>
      <c r="N72" s="184" t="s">
        <v>216</v>
      </c>
      <c r="O72" s="184">
        <v>20</v>
      </c>
      <c r="P72" s="184" t="s">
        <v>259</v>
      </c>
      <c r="Q72" s="184" t="s">
        <v>2034</v>
      </c>
      <c r="R72" s="184" t="s">
        <v>3049</v>
      </c>
      <c r="S72" s="184" t="s">
        <v>3050</v>
      </c>
      <c r="T72" s="184" t="s">
        <v>3051</v>
      </c>
      <c r="U72" s="184" t="s">
        <v>3052</v>
      </c>
      <c r="V72" s="184" t="s">
        <v>3053</v>
      </c>
      <c r="W72" s="184" t="s">
        <v>3054</v>
      </c>
      <c r="X72" s="184" t="s">
        <v>3055</v>
      </c>
      <c r="Y72" s="185" t="s">
        <v>173</v>
      </c>
      <c r="Z72" s="185">
        <v>4</v>
      </c>
      <c r="AA72" s="185" t="s">
        <v>3056</v>
      </c>
      <c r="AB72" s="185" t="s">
        <v>2309</v>
      </c>
      <c r="AC72" s="185" t="s">
        <v>352</v>
      </c>
      <c r="AD72" s="185" t="s">
        <v>2309</v>
      </c>
      <c r="AE72" s="185" t="s">
        <v>3056</v>
      </c>
      <c r="AF72" s="185" t="s">
        <v>3057</v>
      </c>
      <c r="AG72" s="185" t="s">
        <v>2687</v>
      </c>
      <c r="AH72" s="185">
        <v>4</v>
      </c>
      <c r="AI72" s="185" t="s">
        <v>184</v>
      </c>
      <c r="AJ72" s="185" t="s">
        <v>2690</v>
      </c>
      <c r="AK72" s="185" t="s">
        <v>622</v>
      </c>
      <c r="AL72" s="185" t="s">
        <v>184</v>
      </c>
      <c r="AM72" s="185" t="s">
        <v>2690</v>
      </c>
      <c r="AN72" s="185" t="s">
        <v>828</v>
      </c>
      <c r="AO72" s="185" t="s">
        <v>2688</v>
      </c>
      <c r="AP72" s="185">
        <v>4</v>
      </c>
      <c r="AQ72" s="185" t="s">
        <v>186</v>
      </c>
      <c r="AR72" s="185" t="s">
        <v>761</v>
      </c>
      <c r="AS72" s="185" t="s">
        <v>278</v>
      </c>
      <c r="AT72" s="185" t="s">
        <v>186</v>
      </c>
      <c r="AU72" s="185" t="s">
        <v>278</v>
      </c>
      <c r="AV72" s="185" t="s">
        <v>761</v>
      </c>
      <c r="AW72" s="185" t="s">
        <v>2689</v>
      </c>
      <c r="AX72" s="185">
        <v>3</v>
      </c>
      <c r="AY72" s="185" t="s">
        <v>830</v>
      </c>
      <c r="AZ72" s="185" t="s">
        <v>3058</v>
      </c>
      <c r="BA72" s="185" t="s">
        <v>3057</v>
      </c>
      <c r="BB72" s="185" t="s">
        <v>830</v>
      </c>
      <c r="BC72" s="185" t="s">
        <v>3059</v>
      </c>
      <c r="BD72" s="185" t="s">
        <v>2813</v>
      </c>
      <c r="BE72" s="185" t="s">
        <v>2691</v>
      </c>
      <c r="BF72" s="185">
        <v>3</v>
      </c>
      <c r="BG72" s="185" t="s">
        <v>203</v>
      </c>
      <c r="BH72" s="185" t="s">
        <v>1443</v>
      </c>
      <c r="BI72" s="185" t="s">
        <v>3060</v>
      </c>
      <c r="BJ72" s="185" t="s">
        <v>203</v>
      </c>
      <c r="BK72" s="185" t="s">
        <v>1443</v>
      </c>
      <c r="BL72" s="185" t="s">
        <v>228</v>
      </c>
      <c r="BM72" s="185" t="s">
        <v>198</v>
      </c>
      <c r="BN72" s="185">
        <v>2</v>
      </c>
      <c r="BO72" s="185" t="s">
        <v>199</v>
      </c>
      <c r="BP72" s="185" t="s">
        <v>3061</v>
      </c>
      <c r="BQ72" s="185" t="s">
        <v>200</v>
      </c>
      <c r="BR72" s="185" t="s">
        <v>199</v>
      </c>
      <c r="BS72" s="185" t="s">
        <v>3057</v>
      </c>
      <c r="BT72" s="185" t="s">
        <v>2813</v>
      </c>
    </row>
    <row r="73" spans="1:72" s="184" customFormat="1" ht="54.95" customHeight="1" x14ac:dyDescent="0.25">
      <c r="A73" s="155">
        <v>21</v>
      </c>
      <c r="B73" s="184" t="s">
        <v>385</v>
      </c>
      <c r="C73" s="184" t="s">
        <v>247</v>
      </c>
      <c r="D73" s="184" t="s">
        <v>3062</v>
      </c>
      <c r="E73" s="184" t="s">
        <v>3063</v>
      </c>
      <c r="F73" s="184" t="s">
        <v>3064</v>
      </c>
      <c r="G73" s="184" t="s">
        <v>3065</v>
      </c>
      <c r="H73" s="184" t="s">
        <v>3066</v>
      </c>
      <c r="I73" s="184" t="s">
        <v>3067</v>
      </c>
      <c r="J73" s="184" t="s">
        <v>3068</v>
      </c>
      <c r="K73" s="184" t="s">
        <v>3069</v>
      </c>
      <c r="L73" s="184" t="s">
        <v>2678</v>
      </c>
      <c r="M73" s="184" t="s">
        <v>3070</v>
      </c>
      <c r="N73" s="184" t="s">
        <v>216</v>
      </c>
      <c r="O73" s="184">
        <v>20</v>
      </c>
      <c r="P73" s="184" t="s">
        <v>164</v>
      </c>
      <c r="Q73" s="184" t="s">
        <v>3071</v>
      </c>
      <c r="R73" s="184" t="s">
        <v>3072</v>
      </c>
      <c r="S73" s="184" t="s">
        <v>1137</v>
      </c>
      <c r="T73" s="184" t="s">
        <v>3073</v>
      </c>
      <c r="U73" s="184" t="s">
        <v>3074</v>
      </c>
      <c r="V73" s="184" t="s">
        <v>3075</v>
      </c>
      <c r="W73" s="184" t="s">
        <v>3076</v>
      </c>
      <c r="X73" s="184" t="s">
        <v>3077</v>
      </c>
      <c r="Y73" s="185" t="s">
        <v>173</v>
      </c>
      <c r="Z73" s="185">
        <v>4</v>
      </c>
      <c r="AA73" s="185" t="s">
        <v>1483</v>
      </c>
      <c r="AB73" s="185" t="s">
        <v>3078</v>
      </c>
      <c r="AC73" s="185" t="s">
        <v>174</v>
      </c>
      <c r="AD73" s="185" t="s">
        <v>1483</v>
      </c>
      <c r="AE73" s="185" t="s">
        <v>174</v>
      </c>
      <c r="AF73" s="185" t="s">
        <v>228</v>
      </c>
      <c r="AG73" s="185" t="s">
        <v>2687</v>
      </c>
      <c r="AH73" s="185">
        <v>4</v>
      </c>
      <c r="AI73" s="185" t="s">
        <v>184</v>
      </c>
      <c r="AJ73" s="185" t="s">
        <v>182</v>
      </c>
      <c r="AK73" s="185" t="s">
        <v>437</v>
      </c>
      <c r="AL73" s="185" t="s">
        <v>184</v>
      </c>
      <c r="AM73" s="185" t="s">
        <v>621</v>
      </c>
      <c r="AN73" s="185" t="s">
        <v>437</v>
      </c>
      <c r="AO73" s="185" t="s">
        <v>2688</v>
      </c>
      <c r="AP73" s="185">
        <v>4</v>
      </c>
      <c r="AQ73" s="185" t="s">
        <v>186</v>
      </c>
      <c r="AR73" s="185" t="s">
        <v>185</v>
      </c>
      <c r="AS73" s="185" t="s">
        <v>411</v>
      </c>
      <c r="AT73" s="185" t="s">
        <v>186</v>
      </c>
      <c r="AU73" s="185" t="s">
        <v>185</v>
      </c>
      <c r="AV73" s="185" t="s">
        <v>288</v>
      </c>
      <c r="AW73" s="185" t="s">
        <v>2689</v>
      </c>
      <c r="AX73" s="185">
        <v>3</v>
      </c>
      <c r="AY73" s="185" t="s">
        <v>185</v>
      </c>
      <c r="AZ73" s="185" t="s">
        <v>244</v>
      </c>
      <c r="BA73" s="185" t="s">
        <v>200</v>
      </c>
      <c r="BB73" s="185" t="s">
        <v>185</v>
      </c>
      <c r="BC73" s="185" t="s">
        <v>244</v>
      </c>
      <c r="BD73" s="185" t="s">
        <v>200</v>
      </c>
      <c r="BE73" s="185" t="s">
        <v>2691</v>
      </c>
      <c r="BF73" s="185">
        <v>3</v>
      </c>
      <c r="BG73" s="185" t="s">
        <v>203</v>
      </c>
      <c r="BH73" s="185" t="s">
        <v>187</v>
      </c>
      <c r="BI73" s="185" t="s">
        <v>3079</v>
      </c>
      <c r="BJ73" s="185" t="s">
        <v>203</v>
      </c>
      <c r="BK73" s="185" t="s">
        <v>187</v>
      </c>
      <c r="BL73" s="185" t="s">
        <v>761</v>
      </c>
      <c r="BM73" s="185" t="s">
        <v>198</v>
      </c>
      <c r="BN73" s="185">
        <v>2</v>
      </c>
      <c r="BO73" s="185" t="s">
        <v>199</v>
      </c>
      <c r="BP73" s="185" t="s">
        <v>2976</v>
      </c>
      <c r="BQ73" s="185" t="s">
        <v>3080</v>
      </c>
      <c r="BR73" s="185" t="s">
        <v>199</v>
      </c>
      <c r="BS73" s="185" t="s">
        <v>228</v>
      </c>
      <c r="BT73" s="185" t="s">
        <v>3081</v>
      </c>
    </row>
    <row r="74" spans="1:72" s="184" customFormat="1" ht="54.95" customHeight="1" x14ac:dyDescent="0.25">
      <c r="A74" s="155">
        <v>22</v>
      </c>
      <c r="B74" s="184" t="s">
        <v>415</v>
      </c>
      <c r="C74" s="184" t="s">
        <v>247</v>
      </c>
      <c r="D74" s="184" t="s">
        <v>3082</v>
      </c>
      <c r="E74" s="184" t="s">
        <v>3083</v>
      </c>
      <c r="F74" s="184" t="s">
        <v>3084</v>
      </c>
      <c r="G74" s="184" t="s">
        <v>3085</v>
      </c>
      <c r="H74" s="184" t="s">
        <v>3086</v>
      </c>
      <c r="I74" s="184" t="s">
        <v>3087</v>
      </c>
      <c r="J74" s="184" t="s">
        <v>3088</v>
      </c>
      <c r="K74" s="184" t="s">
        <v>3089</v>
      </c>
      <c r="L74" s="184" t="s">
        <v>2678</v>
      </c>
      <c r="M74" s="184" t="s">
        <v>3090</v>
      </c>
      <c r="N74" s="184" t="s">
        <v>216</v>
      </c>
      <c r="O74" s="184">
        <v>20</v>
      </c>
      <c r="P74" s="184" t="s">
        <v>164</v>
      </c>
      <c r="Q74" s="184" t="s">
        <v>3091</v>
      </c>
      <c r="R74" s="184" t="s">
        <v>3092</v>
      </c>
      <c r="S74" s="184" t="s">
        <v>3093</v>
      </c>
      <c r="T74" s="184" t="s">
        <v>3094</v>
      </c>
      <c r="U74" s="184" t="s">
        <v>3095</v>
      </c>
      <c r="V74" s="184" t="s">
        <v>3096</v>
      </c>
      <c r="W74" s="184" t="s">
        <v>3097</v>
      </c>
      <c r="X74" s="184" t="s">
        <v>3098</v>
      </c>
      <c r="Y74" s="185" t="s">
        <v>173</v>
      </c>
      <c r="Z74" s="185">
        <v>4</v>
      </c>
      <c r="AA74" s="185" t="s">
        <v>176</v>
      </c>
      <c r="AB74" s="185" t="s">
        <v>434</v>
      </c>
      <c r="AC74" s="185" t="s">
        <v>435</v>
      </c>
      <c r="AD74" s="185" t="s">
        <v>176</v>
      </c>
      <c r="AE74" s="185" t="s">
        <v>434</v>
      </c>
      <c r="AF74" s="185" t="s">
        <v>435</v>
      </c>
      <c r="AG74" s="185" t="s">
        <v>2687</v>
      </c>
      <c r="AH74" s="185">
        <v>4</v>
      </c>
      <c r="AI74" s="185" t="s">
        <v>184</v>
      </c>
      <c r="AJ74" s="185" t="s">
        <v>234</v>
      </c>
      <c r="AK74" s="185" t="s">
        <v>2790</v>
      </c>
      <c r="AL74" s="185" t="s">
        <v>184</v>
      </c>
      <c r="AM74" s="185" t="s">
        <v>528</v>
      </c>
      <c r="AN74" s="185" t="s">
        <v>3099</v>
      </c>
      <c r="AO74" s="185" t="s">
        <v>2688</v>
      </c>
      <c r="AP74" s="185">
        <v>4</v>
      </c>
      <c r="AQ74" s="185" t="s">
        <v>186</v>
      </c>
      <c r="AR74" s="185" t="s">
        <v>3100</v>
      </c>
      <c r="AS74" s="185" t="s">
        <v>235</v>
      </c>
      <c r="AT74" s="185" t="s">
        <v>186</v>
      </c>
      <c r="AU74" s="185" t="s">
        <v>185</v>
      </c>
      <c r="AV74" s="185" t="s">
        <v>235</v>
      </c>
      <c r="AW74" s="185" t="s">
        <v>2689</v>
      </c>
      <c r="AX74" s="185">
        <v>3</v>
      </c>
      <c r="AY74" s="185" t="s">
        <v>2006</v>
      </c>
      <c r="AZ74" s="185" t="s">
        <v>528</v>
      </c>
      <c r="BA74" s="185" t="s">
        <v>3099</v>
      </c>
      <c r="BB74" s="185" t="s">
        <v>528</v>
      </c>
      <c r="BC74" s="185" t="s">
        <v>3099</v>
      </c>
      <c r="BD74" s="185" t="s">
        <v>314</v>
      </c>
      <c r="BE74" s="185" t="s">
        <v>2691</v>
      </c>
      <c r="BF74" s="185">
        <v>3</v>
      </c>
      <c r="BG74" s="185" t="s">
        <v>203</v>
      </c>
      <c r="BH74" s="185" t="s">
        <v>3101</v>
      </c>
      <c r="BI74" s="185" t="s">
        <v>3102</v>
      </c>
      <c r="BJ74" s="185" t="s">
        <v>203</v>
      </c>
      <c r="BK74" s="185" t="s">
        <v>3101</v>
      </c>
      <c r="BL74" s="185" t="s">
        <v>176</v>
      </c>
      <c r="BM74" s="185" t="s">
        <v>198</v>
      </c>
      <c r="BN74" s="185">
        <v>2</v>
      </c>
      <c r="BO74" s="185" t="s">
        <v>199</v>
      </c>
      <c r="BP74" s="185" t="s">
        <v>200</v>
      </c>
      <c r="BQ74" s="185" t="s">
        <v>2695</v>
      </c>
      <c r="BR74" s="185" t="s">
        <v>199</v>
      </c>
      <c r="BS74" s="185" t="s">
        <v>2813</v>
      </c>
      <c r="BT74" s="185" t="s">
        <v>2695</v>
      </c>
    </row>
    <row r="75" spans="1:72" s="184" customFormat="1" ht="54.95" customHeight="1" x14ac:dyDescent="0.25">
      <c r="A75" s="155">
        <v>23</v>
      </c>
      <c r="B75" s="184" t="s">
        <v>506</v>
      </c>
      <c r="C75" s="184" t="s">
        <v>325</v>
      </c>
      <c r="D75" s="184" t="s">
        <v>3103</v>
      </c>
      <c r="E75" s="184" t="s">
        <v>3104</v>
      </c>
      <c r="F75" s="184" t="s">
        <v>3105</v>
      </c>
      <c r="G75" s="184" t="s">
        <v>3106</v>
      </c>
      <c r="H75" s="184" t="s">
        <v>3107</v>
      </c>
      <c r="I75" s="184" t="s">
        <v>3108</v>
      </c>
      <c r="J75" s="184" t="s">
        <v>3109</v>
      </c>
      <c r="K75" s="184" t="s">
        <v>3110</v>
      </c>
      <c r="L75" s="184" t="s">
        <v>2678</v>
      </c>
      <c r="M75" s="184" t="s">
        <v>3111</v>
      </c>
      <c r="N75" s="184" t="s">
        <v>216</v>
      </c>
      <c r="O75" s="184">
        <v>20</v>
      </c>
      <c r="P75" s="184" t="s">
        <v>164</v>
      </c>
      <c r="Q75" s="184" t="s">
        <v>3112</v>
      </c>
      <c r="R75" s="184" t="s">
        <v>3113</v>
      </c>
      <c r="S75" s="184" t="s">
        <v>2341</v>
      </c>
      <c r="T75" s="184" t="s">
        <v>3114</v>
      </c>
      <c r="U75" s="184" t="s">
        <v>3115</v>
      </c>
      <c r="V75" s="184" t="s">
        <v>3116</v>
      </c>
      <c r="W75" s="184" t="s">
        <v>3117</v>
      </c>
      <c r="X75" s="184" t="s">
        <v>3118</v>
      </c>
      <c r="Y75" s="185" t="s">
        <v>173</v>
      </c>
      <c r="Z75" s="185">
        <v>4</v>
      </c>
      <c r="AA75" s="185" t="s">
        <v>620</v>
      </c>
      <c r="AB75" s="185" t="s">
        <v>1914</v>
      </c>
      <c r="AC75" s="185" t="s">
        <v>529</v>
      </c>
      <c r="AD75" s="185" t="s">
        <v>1914</v>
      </c>
      <c r="AE75" s="185" t="s">
        <v>228</v>
      </c>
      <c r="AF75" s="185" t="s">
        <v>529</v>
      </c>
      <c r="AG75" s="185" t="s">
        <v>2687</v>
      </c>
      <c r="AH75" s="185">
        <v>4</v>
      </c>
      <c r="AI75" s="185" t="s">
        <v>184</v>
      </c>
      <c r="AJ75" s="185" t="s">
        <v>234</v>
      </c>
      <c r="AK75" s="185" t="s">
        <v>232</v>
      </c>
      <c r="AL75" s="185" t="s">
        <v>184</v>
      </c>
      <c r="AM75" s="185" t="s">
        <v>234</v>
      </c>
      <c r="AN75" s="185" t="s">
        <v>232</v>
      </c>
      <c r="AO75" s="185" t="s">
        <v>2688</v>
      </c>
      <c r="AP75" s="185">
        <v>4</v>
      </c>
      <c r="AQ75" s="185" t="s">
        <v>186</v>
      </c>
      <c r="AR75" s="185" t="s">
        <v>185</v>
      </c>
      <c r="AS75" s="185" t="s">
        <v>528</v>
      </c>
      <c r="AT75" s="185" t="s">
        <v>186</v>
      </c>
      <c r="AU75" s="185" t="s">
        <v>185</v>
      </c>
      <c r="AV75" s="185" t="s">
        <v>3119</v>
      </c>
      <c r="AW75" s="185" t="s">
        <v>2689</v>
      </c>
      <c r="AX75" s="185">
        <v>3</v>
      </c>
      <c r="AY75" s="185" t="s">
        <v>2974</v>
      </c>
      <c r="AZ75" s="185" t="s">
        <v>528</v>
      </c>
      <c r="BA75" s="185" t="s">
        <v>244</v>
      </c>
      <c r="BB75" s="185" t="s">
        <v>528</v>
      </c>
      <c r="BC75" s="185" t="s">
        <v>185</v>
      </c>
      <c r="BD75" s="185" t="s">
        <v>244</v>
      </c>
      <c r="BE75" s="185" t="s">
        <v>2691</v>
      </c>
      <c r="BF75" s="185">
        <v>3</v>
      </c>
      <c r="BG75" s="185" t="s">
        <v>203</v>
      </c>
      <c r="BH75" s="185" t="s">
        <v>3120</v>
      </c>
      <c r="BI75" s="185" t="s">
        <v>529</v>
      </c>
      <c r="BJ75" s="185" t="s">
        <v>203</v>
      </c>
      <c r="BK75" s="185" t="s">
        <v>3120</v>
      </c>
      <c r="BL75" s="185" t="s">
        <v>529</v>
      </c>
      <c r="BM75" s="185" t="s">
        <v>198</v>
      </c>
      <c r="BN75" s="185">
        <v>2</v>
      </c>
      <c r="BO75" s="185" t="s">
        <v>199</v>
      </c>
      <c r="BP75" s="185" t="s">
        <v>2713</v>
      </c>
      <c r="BQ75" s="185" t="s">
        <v>3080</v>
      </c>
      <c r="BR75" s="185" t="s">
        <v>199</v>
      </c>
      <c r="BS75" s="185" t="s">
        <v>228</v>
      </c>
      <c r="BT75" s="185" t="s">
        <v>2695</v>
      </c>
    </row>
    <row r="76" spans="1:72" s="184" customFormat="1" ht="54.95" customHeight="1" x14ac:dyDescent="0.25">
      <c r="A76" s="155">
        <v>24</v>
      </c>
      <c r="B76" s="184" t="s">
        <v>385</v>
      </c>
      <c r="C76" s="184" t="s">
        <v>570</v>
      </c>
      <c r="D76" s="184" t="s">
        <v>3121</v>
      </c>
      <c r="E76" s="184" t="s">
        <v>3122</v>
      </c>
      <c r="F76" s="184" t="s">
        <v>3123</v>
      </c>
      <c r="G76" s="184" t="s">
        <v>3124</v>
      </c>
      <c r="H76" s="184" t="s">
        <v>3125</v>
      </c>
      <c r="I76" s="184" t="s">
        <v>3126</v>
      </c>
      <c r="J76" s="184" t="s">
        <v>3127</v>
      </c>
      <c r="K76" s="184" t="s">
        <v>3128</v>
      </c>
      <c r="L76" s="184" t="s">
        <v>2678</v>
      </c>
      <c r="M76" s="184" t="s">
        <v>3129</v>
      </c>
      <c r="N76" s="184" t="s">
        <v>216</v>
      </c>
      <c r="O76" s="184">
        <v>20</v>
      </c>
      <c r="P76" s="184" t="s">
        <v>259</v>
      </c>
      <c r="Q76" s="184" t="s">
        <v>3130</v>
      </c>
      <c r="R76" s="184" t="s">
        <v>3131</v>
      </c>
      <c r="S76" s="184" t="s">
        <v>3132</v>
      </c>
      <c r="T76" s="184" t="s">
        <v>3133</v>
      </c>
      <c r="U76" s="184" t="s">
        <v>3134</v>
      </c>
      <c r="V76" s="184" t="s">
        <v>3135</v>
      </c>
      <c r="W76" s="184" t="s">
        <v>3136</v>
      </c>
      <c r="X76" s="184" t="s">
        <v>3137</v>
      </c>
      <c r="Y76" s="185" t="s">
        <v>173</v>
      </c>
      <c r="Z76" s="185">
        <v>4</v>
      </c>
      <c r="AA76" s="185" t="s">
        <v>529</v>
      </c>
      <c r="AB76" s="185" t="s">
        <v>3138</v>
      </c>
      <c r="AC76" s="185" t="s">
        <v>527</v>
      </c>
      <c r="AD76" s="185" t="s">
        <v>529</v>
      </c>
      <c r="AE76" s="185" t="s">
        <v>3139</v>
      </c>
      <c r="AF76" s="185" t="s">
        <v>3140</v>
      </c>
      <c r="AG76" s="185" t="s">
        <v>2687</v>
      </c>
      <c r="AH76" s="185">
        <v>4</v>
      </c>
      <c r="AI76" s="185" t="s">
        <v>184</v>
      </c>
      <c r="AJ76" s="185" t="s">
        <v>593</v>
      </c>
      <c r="AK76" s="185" t="s">
        <v>2790</v>
      </c>
      <c r="AL76" s="185" t="s">
        <v>184</v>
      </c>
      <c r="AM76" s="185" t="s">
        <v>593</v>
      </c>
      <c r="AN76" s="185" t="s">
        <v>528</v>
      </c>
      <c r="AO76" s="185" t="s">
        <v>2688</v>
      </c>
      <c r="AP76" s="185">
        <v>4</v>
      </c>
      <c r="AQ76" s="185" t="s">
        <v>186</v>
      </c>
      <c r="AR76" s="185" t="s">
        <v>185</v>
      </c>
      <c r="AS76" s="185" t="s">
        <v>1016</v>
      </c>
      <c r="AT76" s="185" t="s">
        <v>186</v>
      </c>
      <c r="AU76" s="185" t="s">
        <v>185</v>
      </c>
      <c r="AV76" s="185" t="s">
        <v>3141</v>
      </c>
      <c r="AW76" s="185" t="s">
        <v>2689</v>
      </c>
      <c r="AX76" s="185">
        <v>3</v>
      </c>
      <c r="AY76" s="185" t="s">
        <v>3142</v>
      </c>
      <c r="AZ76" s="185" t="s">
        <v>2773</v>
      </c>
      <c r="BA76" s="185" t="s">
        <v>715</v>
      </c>
      <c r="BB76" s="185" t="s">
        <v>3142</v>
      </c>
      <c r="BC76" s="185" t="s">
        <v>2773</v>
      </c>
      <c r="BD76" s="185" t="s">
        <v>200</v>
      </c>
      <c r="BE76" s="185" t="s">
        <v>2691</v>
      </c>
      <c r="BF76" s="185">
        <v>3</v>
      </c>
      <c r="BG76" s="185" t="s">
        <v>203</v>
      </c>
      <c r="BH76" s="185" t="s">
        <v>3143</v>
      </c>
      <c r="BI76" s="185" t="s">
        <v>3144</v>
      </c>
      <c r="BJ76" s="185" t="s">
        <v>203</v>
      </c>
      <c r="BK76" s="185" t="s">
        <v>3143</v>
      </c>
      <c r="BL76" s="185" t="s">
        <v>3145</v>
      </c>
      <c r="BM76" s="185" t="s">
        <v>198</v>
      </c>
      <c r="BN76" s="185">
        <v>2</v>
      </c>
      <c r="BO76" s="185" t="s">
        <v>199</v>
      </c>
      <c r="BP76" s="185" t="s">
        <v>200</v>
      </c>
      <c r="BQ76" s="185" t="s">
        <v>3142</v>
      </c>
      <c r="BR76" s="185" t="s">
        <v>199</v>
      </c>
      <c r="BS76" s="185" t="s">
        <v>3139</v>
      </c>
      <c r="BT76" s="185" t="s">
        <v>3146</v>
      </c>
    </row>
    <row r="77" spans="1:72" s="184" customFormat="1" ht="54.95" customHeight="1" x14ac:dyDescent="0.25">
      <c r="A77" s="155">
        <v>25</v>
      </c>
      <c r="B77" s="184" t="s">
        <v>324</v>
      </c>
      <c r="C77" s="184" t="s">
        <v>205</v>
      </c>
      <c r="D77" s="184" t="s">
        <v>3147</v>
      </c>
      <c r="E77" s="184" t="s">
        <v>3148</v>
      </c>
      <c r="F77" s="184" t="s">
        <v>3149</v>
      </c>
      <c r="G77" s="184" t="s">
        <v>3150</v>
      </c>
      <c r="H77" s="184" t="s">
        <v>3151</v>
      </c>
      <c r="I77" s="184" t="s">
        <v>3152</v>
      </c>
      <c r="J77" s="184" t="s">
        <v>3153</v>
      </c>
      <c r="K77" s="184" t="s">
        <v>3154</v>
      </c>
      <c r="L77" s="184" t="s">
        <v>2678</v>
      </c>
      <c r="M77" s="184" t="s">
        <v>3155</v>
      </c>
      <c r="N77" s="184" t="s">
        <v>216</v>
      </c>
      <c r="O77" s="184">
        <v>20</v>
      </c>
      <c r="P77" s="184" t="s">
        <v>259</v>
      </c>
      <c r="Q77" s="184" t="s">
        <v>3156</v>
      </c>
      <c r="R77" s="184" t="s">
        <v>3157</v>
      </c>
      <c r="S77" s="184" t="s">
        <v>3158</v>
      </c>
      <c r="T77" s="184" t="s">
        <v>3159</v>
      </c>
      <c r="U77" s="184" t="s">
        <v>3160</v>
      </c>
      <c r="V77" s="184" t="s">
        <v>3161</v>
      </c>
      <c r="W77" s="184" t="s">
        <v>3162</v>
      </c>
      <c r="X77" s="184" t="s">
        <v>3163</v>
      </c>
      <c r="Y77" s="185" t="s">
        <v>173</v>
      </c>
      <c r="Z77" s="185">
        <v>4</v>
      </c>
      <c r="AA77" s="185" t="s">
        <v>2042</v>
      </c>
      <c r="AB77" s="185" t="s">
        <v>275</v>
      </c>
      <c r="AC77" s="185" t="s">
        <v>352</v>
      </c>
      <c r="AD77" s="185" t="s">
        <v>2042</v>
      </c>
      <c r="AE77" s="185" t="s">
        <v>275</v>
      </c>
      <c r="AF77" s="185" t="s">
        <v>188</v>
      </c>
      <c r="AG77" s="185" t="s">
        <v>2687</v>
      </c>
      <c r="AH77" s="185">
        <v>4</v>
      </c>
      <c r="AI77" s="185" t="s">
        <v>184</v>
      </c>
      <c r="AJ77" s="185" t="s">
        <v>860</v>
      </c>
      <c r="AK77" s="185" t="s">
        <v>2690</v>
      </c>
      <c r="AL77" s="185" t="s">
        <v>184</v>
      </c>
      <c r="AM77" s="185" t="s">
        <v>860</v>
      </c>
      <c r="AN77" s="185" t="s">
        <v>437</v>
      </c>
      <c r="AO77" s="185" t="s">
        <v>2688</v>
      </c>
      <c r="AP77" s="185">
        <v>4</v>
      </c>
      <c r="AQ77" s="185" t="s">
        <v>186</v>
      </c>
      <c r="AR77" s="185" t="s">
        <v>830</v>
      </c>
      <c r="AS77" s="185" t="s">
        <v>761</v>
      </c>
      <c r="AT77" s="185" t="s">
        <v>186</v>
      </c>
      <c r="AU77" s="185" t="s">
        <v>830</v>
      </c>
      <c r="AV77" s="185" t="s">
        <v>761</v>
      </c>
      <c r="AW77" s="185" t="s">
        <v>2689</v>
      </c>
      <c r="AX77" s="185">
        <v>3</v>
      </c>
      <c r="AY77" s="185" t="s">
        <v>3164</v>
      </c>
      <c r="AZ77" s="185" t="s">
        <v>3061</v>
      </c>
      <c r="BA77" s="185" t="s">
        <v>830</v>
      </c>
      <c r="BB77" s="185" t="s">
        <v>830</v>
      </c>
      <c r="BC77" s="185" t="s">
        <v>3164</v>
      </c>
      <c r="BD77" s="185" t="s">
        <v>3059</v>
      </c>
      <c r="BE77" s="185" t="s">
        <v>2691</v>
      </c>
      <c r="BF77" s="185">
        <v>3</v>
      </c>
      <c r="BG77" s="185" t="s">
        <v>203</v>
      </c>
      <c r="BH77" s="185" t="s">
        <v>1443</v>
      </c>
      <c r="BI77" s="185" t="s">
        <v>3060</v>
      </c>
      <c r="BJ77" s="185" t="s">
        <v>203</v>
      </c>
      <c r="BK77" s="185" t="s">
        <v>1443</v>
      </c>
      <c r="BL77" s="185" t="s">
        <v>228</v>
      </c>
      <c r="BM77" s="185" t="s">
        <v>198</v>
      </c>
      <c r="BN77" s="185">
        <v>2</v>
      </c>
      <c r="BO77" s="185" t="s">
        <v>199</v>
      </c>
      <c r="BP77" s="185" t="s">
        <v>1749</v>
      </c>
      <c r="BQ77" s="185" t="s">
        <v>3165</v>
      </c>
      <c r="BR77" s="185" t="s">
        <v>199</v>
      </c>
      <c r="BS77" s="185" t="s">
        <v>323</v>
      </c>
      <c r="BT77" s="185" t="s">
        <v>1558</v>
      </c>
    </row>
    <row r="78" spans="1:72" s="184" customFormat="1" ht="54.95" customHeight="1" x14ac:dyDescent="0.25">
      <c r="A78" s="155">
        <v>26</v>
      </c>
      <c r="B78" s="184" t="s">
        <v>385</v>
      </c>
      <c r="C78" s="184" t="s">
        <v>247</v>
      </c>
      <c r="D78" s="184" t="s">
        <v>3166</v>
      </c>
      <c r="E78" s="184" t="s">
        <v>3167</v>
      </c>
      <c r="F78" s="184" t="s">
        <v>3168</v>
      </c>
      <c r="G78" s="184" t="s">
        <v>3169</v>
      </c>
      <c r="H78" s="184" t="s">
        <v>3170</v>
      </c>
      <c r="I78" s="184" t="s">
        <v>3171</v>
      </c>
      <c r="J78" s="184" t="s">
        <v>3172</v>
      </c>
      <c r="K78" s="184" t="s">
        <v>3173</v>
      </c>
      <c r="L78" s="184" t="s">
        <v>2678</v>
      </c>
      <c r="M78" s="184" t="s">
        <v>3174</v>
      </c>
      <c r="N78" s="184" t="s">
        <v>216</v>
      </c>
      <c r="O78" s="184">
        <v>20</v>
      </c>
      <c r="P78" s="184" t="s">
        <v>164</v>
      </c>
      <c r="Q78" s="184" t="s">
        <v>3175</v>
      </c>
      <c r="R78" s="184" t="s">
        <v>3176</v>
      </c>
      <c r="S78" s="184" t="s">
        <v>3177</v>
      </c>
      <c r="T78" s="184" t="s">
        <v>3178</v>
      </c>
      <c r="U78" s="184" t="s">
        <v>3179</v>
      </c>
      <c r="V78" s="184" t="s">
        <v>3180</v>
      </c>
      <c r="W78" s="184" t="s">
        <v>3181</v>
      </c>
      <c r="X78" s="184" t="s">
        <v>3182</v>
      </c>
      <c r="Y78" s="185" t="s">
        <v>173</v>
      </c>
      <c r="Z78" s="185">
        <v>4</v>
      </c>
      <c r="AA78" s="185" t="s">
        <v>174</v>
      </c>
      <c r="AB78" s="185" t="s">
        <v>2249</v>
      </c>
      <c r="AC78" s="185" t="s">
        <v>761</v>
      </c>
      <c r="AD78" s="185" t="s">
        <v>174</v>
      </c>
      <c r="AE78" s="185" t="s">
        <v>2249</v>
      </c>
      <c r="AF78" s="185" t="s">
        <v>187</v>
      </c>
      <c r="AG78" s="185" t="s">
        <v>2687</v>
      </c>
      <c r="AH78" s="185">
        <v>4</v>
      </c>
      <c r="AI78" s="185" t="s">
        <v>184</v>
      </c>
      <c r="AJ78" s="185" t="s">
        <v>234</v>
      </c>
      <c r="AK78" s="185" t="s">
        <v>2690</v>
      </c>
      <c r="AL78" s="185" t="s">
        <v>184</v>
      </c>
      <c r="AM78" s="185" t="s">
        <v>437</v>
      </c>
      <c r="AN78" s="185" t="s">
        <v>234</v>
      </c>
      <c r="AO78" s="185" t="s">
        <v>2688</v>
      </c>
      <c r="AP78" s="185">
        <v>4</v>
      </c>
      <c r="AQ78" s="185" t="s">
        <v>186</v>
      </c>
      <c r="AR78" s="185" t="s">
        <v>185</v>
      </c>
      <c r="AS78" s="185" t="s">
        <v>2426</v>
      </c>
      <c r="AT78" s="185" t="s">
        <v>186</v>
      </c>
      <c r="AU78" s="185" t="s">
        <v>185</v>
      </c>
      <c r="AV78" s="185" t="s">
        <v>437</v>
      </c>
      <c r="AW78" s="185" t="s">
        <v>2689</v>
      </c>
      <c r="AX78" s="185">
        <v>3</v>
      </c>
      <c r="AY78" s="185" t="s">
        <v>3183</v>
      </c>
      <c r="AZ78" s="185" t="s">
        <v>437</v>
      </c>
      <c r="BA78" s="185" t="s">
        <v>200</v>
      </c>
      <c r="BB78" s="185" t="s">
        <v>437</v>
      </c>
      <c r="BC78" s="185" t="s">
        <v>185</v>
      </c>
      <c r="BD78" s="185" t="s">
        <v>200</v>
      </c>
      <c r="BE78" s="185" t="s">
        <v>2691</v>
      </c>
      <c r="BF78" s="185">
        <v>3</v>
      </c>
      <c r="BG78" s="185" t="s">
        <v>203</v>
      </c>
      <c r="BH78" s="185" t="s">
        <v>187</v>
      </c>
      <c r="BI78" s="185" t="s">
        <v>3184</v>
      </c>
      <c r="BJ78" s="185" t="s">
        <v>203</v>
      </c>
      <c r="BK78" s="185" t="s">
        <v>187</v>
      </c>
      <c r="BL78" s="185" t="s">
        <v>174</v>
      </c>
      <c r="BM78" s="185" t="s">
        <v>198</v>
      </c>
      <c r="BN78" s="185">
        <v>2</v>
      </c>
      <c r="BO78" s="185" t="s">
        <v>199</v>
      </c>
      <c r="BP78" s="185" t="s">
        <v>2694</v>
      </c>
      <c r="BQ78" s="185" t="s">
        <v>200</v>
      </c>
      <c r="BR78" s="185" t="s">
        <v>199</v>
      </c>
      <c r="BS78" s="185" t="s">
        <v>2695</v>
      </c>
      <c r="BT78" s="185" t="s">
        <v>2999</v>
      </c>
    </row>
    <row r="79" spans="1:72" s="184" customFormat="1" ht="54.95" customHeight="1" x14ac:dyDescent="0.25">
      <c r="A79" s="155">
        <v>27</v>
      </c>
      <c r="B79" s="184" t="s">
        <v>739</v>
      </c>
      <c r="C79" s="184" t="s">
        <v>325</v>
      </c>
      <c r="D79" s="184" t="s">
        <v>3185</v>
      </c>
      <c r="E79" s="184" t="s">
        <v>3186</v>
      </c>
      <c r="F79" s="184" t="s">
        <v>3187</v>
      </c>
      <c r="G79" s="184" t="s">
        <v>3188</v>
      </c>
      <c r="H79" s="184" t="s">
        <v>3189</v>
      </c>
      <c r="I79" s="184" t="s">
        <v>3190</v>
      </c>
      <c r="J79" s="184" t="s">
        <v>3191</v>
      </c>
      <c r="K79" s="184" t="s">
        <v>3192</v>
      </c>
      <c r="L79" s="184" t="s">
        <v>2678</v>
      </c>
      <c r="M79" s="184" t="s">
        <v>3193</v>
      </c>
      <c r="N79" s="184" t="s">
        <v>216</v>
      </c>
      <c r="O79" s="184">
        <v>20</v>
      </c>
      <c r="P79" s="184" t="s">
        <v>259</v>
      </c>
      <c r="Q79" s="184" t="s">
        <v>3194</v>
      </c>
      <c r="R79" s="184" t="s">
        <v>3195</v>
      </c>
      <c r="S79" s="184" t="s">
        <v>3196</v>
      </c>
      <c r="T79" s="184" t="s">
        <v>3197</v>
      </c>
      <c r="U79" s="184" t="s">
        <v>3198</v>
      </c>
      <c r="V79" s="184" t="s">
        <v>3199</v>
      </c>
      <c r="W79" s="184" t="s">
        <v>3200</v>
      </c>
      <c r="X79" s="184" t="s">
        <v>3201</v>
      </c>
      <c r="Y79" s="185" t="s">
        <v>173</v>
      </c>
      <c r="Z79" s="185">
        <v>4</v>
      </c>
      <c r="AA79" s="185" t="s">
        <v>236</v>
      </c>
      <c r="AB79" s="185" t="s">
        <v>270</v>
      </c>
      <c r="AC79" s="185" t="s">
        <v>268</v>
      </c>
      <c r="AD79" s="185" t="s">
        <v>236</v>
      </c>
      <c r="AE79" s="185" t="s">
        <v>900</v>
      </c>
      <c r="AF79" s="185" t="s">
        <v>271</v>
      </c>
      <c r="AG79" s="185" t="s">
        <v>2687</v>
      </c>
      <c r="AH79" s="185">
        <v>4</v>
      </c>
      <c r="AI79" s="185" t="s">
        <v>184</v>
      </c>
      <c r="AJ79" s="185" t="s">
        <v>2769</v>
      </c>
      <c r="AK79" s="185" t="s">
        <v>760</v>
      </c>
      <c r="AL79" s="185" t="s">
        <v>184</v>
      </c>
      <c r="AM79" s="185" t="s">
        <v>2769</v>
      </c>
      <c r="AN79" s="185" t="s">
        <v>760</v>
      </c>
      <c r="AO79" s="185" t="s">
        <v>2688</v>
      </c>
      <c r="AP79" s="185">
        <v>4</v>
      </c>
      <c r="AQ79" s="185" t="s">
        <v>186</v>
      </c>
      <c r="AR79" s="185" t="s">
        <v>761</v>
      </c>
      <c r="AS79" s="185" t="s">
        <v>2768</v>
      </c>
      <c r="AT79" s="185" t="s">
        <v>186</v>
      </c>
      <c r="AU79" s="185" t="s">
        <v>761</v>
      </c>
      <c r="AV79" s="185" t="s">
        <v>900</v>
      </c>
      <c r="AW79" s="185" t="s">
        <v>2689</v>
      </c>
      <c r="AX79" s="185">
        <v>3</v>
      </c>
      <c r="AY79" s="185" t="s">
        <v>3202</v>
      </c>
      <c r="AZ79" s="185" t="s">
        <v>900</v>
      </c>
      <c r="BA79" s="185" t="s">
        <v>2768</v>
      </c>
      <c r="BB79" s="185" t="s">
        <v>900</v>
      </c>
      <c r="BC79" s="185" t="s">
        <v>2769</v>
      </c>
      <c r="BD79" s="185" t="s">
        <v>2773</v>
      </c>
      <c r="BE79" s="185" t="s">
        <v>2691</v>
      </c>
      <c r="BF79" s="185">
        <v>3</v>
      </c>
      <c r="BG79" s="185" t="s">
        <v>203</v>
      </c>
      <c r="BH79" s="185" t="s">
        <v>3203</v>
      </c>
      <c r="BI79" s="185" t="s">
        <v>3204</v>
      </c>
      <c r="BJ79" s="185" t="s">
        <v>203</v>
      </c>
      <c r="BK79" s="185" t="s">
        <v>235</v>
      </c>
      <c r="BL79" s="185" t="s">
        <v>2936</v>
      </c>
      <c r="BM79" s="185" t="s">
        <v>198</v>
      </c>
      <c r="BN79" s="185">
        <v>2</v>
      </c>
      <c r="BO79" s="185" t="s">
        <v>199</v>
      </c>
      <c r="BP79" s="185" t="s">
        <v>270</v>
      </c>
      <c r="BQ79" s="185" t="s">
        <v>2773</v>
      </c>
      <c r="BR79" s="185" t="s">
        <v>199</v>
      </c>
      <c r="BS79" s="185" t="s">
        <v>272</v>
      </c>
      <c r="BT79" s="185" t="s">
        <v>2773</v>
      </c>
    </row>
    <row r="80" spans="1:72" s="184" customFormat="1" ht="54.95" customHeight="1" x14ac:dyDescent="0.25">
      <c r="A80" s="155">
        <v>28</v>
      </c>
      <c r="B80" s="184" t="s">
        <v>385</v>
      </c>
      <c r="C80" s="184" t="s">
        <v>154</v>
      </c>
      <c r="D80" s="184" t="s">
        <v>3205</v>
      </c>
      <c r="E80" s="184" t="s">
        <v>3206</v>
      </c>
      <c r="F80" s="184" t="s">
        <v>3207</v>
      </c>
      <c r="G80" s="184" t="s">
        <v>3208</v>
      </c>
      <c r="H80" s="184" t="s">
        <v>3209</v>
      </c>
      <c r="I80" s="184" t="s">
        <v>3210</v>
      </c>
      <c r="J80" s="184" t="s">
        <v>3211</v>
      </c>
      <c r="K80" s="184" t="s">
        <v>3212</v>
      </c>
      <c r="L80" s="184" t="s">
        <v>2678</v>
      </c>
      <c r="M80" s="184" t="s">
        <v>3213</v>
      </c>
      <c r="N80" s="184" t="s">
        <v>216</v>
      </c>
      <c r="O80" s="184">
        <v>20</v>
      </c>
      <c r="P80" s="184" t="s">
        <v>164</v>
      </c>
      <c r="Q80" s="184" t="s">
        <v>3214</v>
      </c>
      <c r="R80" s="184" t="s">
        <v>3215</v>
      </c>
      <c r="S80" s="184" t="s">
        <v>1137</v>
      </c>
      <c r="T80" s="184" t="s">
        <v>2863</v>
      </c>
      <c r="U80" s="184" t="s">
        <v>3216</v>
      </c>
      <c r="V80" s="184" t="s">
        <v>3217</v>
      </c>
      <c r="W80" s="184" t="s">
        <v>3218</v>
      </c>
      <c r="X80" s="184" t="s">
        <v>3219</v>
      </c>
      <c r="Y80" s="185" t="s">
        <v>173</v>
      </c>
      <c r="Z80" s="185">
        <v>4</v>
      </c>
      <c r="AA80" s="185" t="s">
        <v>227</v>
      </c>
      <c r="AB80" s="185" t="s">
        <v>3220</v>
      </c>
      <c r="AC80" s="185" t="s">
        <v>226</v>
      </c>
      <c r="AD80" s="185" t="s">
        <v>3220</v>
      </c>
      <c r="AE80" s="185" t="s">
        <v>227</v>
      </c>
      <c r="AF80" s="185" t="s">
        <v>226</v>
      </c>
      <c r="AG80" s="185" t="s">
        <v>2687</v>
      </c>
      <c r="AH80" s="185">
        <v>4</v>
      </c>
      <c r="AI80" s="185" t="s">
        <v>184</v>
      </c>
      <c r="AJ80" s="185" t="s">
        <v>3221</v>
      </c>
      <c r="AK80" s="185" t="s">
        <v>2790</v>
      </c>
      <c r="AL80" s="185" t="s">
        <v>184</v>
      </c>
      <c r="AM80" s="185" t="s">
        <v>528</v>
      </c>
      <c r="AN80" s="185" t="s">
        <v>3221</v>
      </c>
      <c r="AO80" s="185" t="s">
        <v>2688</v>
      </c>
      <c r="AP80" s="185">
        <v>4</v>
      </c>
      <c r="AQ80" s="185" t="s">
        <v>186</v>
      </c>
      <c r="AR80" s="185" t="s">
        <v>185</v>
      </c>
      <c r="AS80" s="185" t="s">
        <v>411</v>
      </c>
      <c r="AT80" s="185" t="s">
        <v>186</v>
      </c>
      <c r="AU80" s="185" t="s">
        <v>185</v>
      </c>
      <c r="AV80" s="185" t="s">
        <v>2995</v>
      </c>
      <c r="AW80" s="185" t="s">
        <v>2689</v>
      </c>
      <c r="AX80" s="185">
        <v>3</v>
      </c>
      <c r="AY80" s="185" t="s">
        <v>244</v>
      </c>
      <c r="AZ80" s="185" t="s">
        <v>528</v>
      </c>
      <c r="BA80" s="185" t="s">
        <v>185</v>
      </c>
      <c r="BB80" s="185" t="s">
        <v>528</v>
      </c>
      <c r="BC80" s="185" t="s">
        <v>185</v>
      </c>
      <c r="BD80" s="185" t="s">
        <v>244</v>
      </c>
      <c r="BE80" s="185" t="s">
        <v>2691</v>
      </c>
      <c r="BF80" s="185">
        <v>3</v>
      </c>
      <c r="BG80" s="185" t="s">
        <v>203</v>
      </c>
      <c r="BH80" s="185" t="s">
        <v>529</v>
      </c>
      <c r="BI80" s="185" t="s">
        <v>1402</v>
      </c>
      <c r="BJ80" s="185" t="s">
        <v>203</v>
      </c>
      <c r="BK80" s="185" t="s">
        <v>529</v>
      </c>
      <c r="BL80" s="185" t="s">
        <v>2712</v>
      </c>
      <c r="BM80" s="185" t="s">
        <v>198</v>
      </c>
      <c r="BN80" s="185">
        <v>2</v>
      </c>
      <c r="BO80" s="185" t="s">
        <v>199</v>
      </c>
      <c r="BP80" s="185" t="s">
        <v>2714</v>
      </c>
      <c r="BQ80" s="185" t="s">
        <v>2713</v>
      </c>
      <c r="BR80" s="185" t="s">
        <v>199</v>
      </c>
      <c r="BS80" s="185" t="s">
        <v>2869</v>
      </c>
      <c r="BT80" s="185" t="s">
        <v>228</v>
      </c>
    </row>
    <row r="81" spans="1:72" s="184" customFormat="1" ht="54.95" customHeight="1" x14ac:dyDescent="0.25">
      <c r="A81" s="155">
        <v>29</v>
      </c>
      <c r="B81" s="184" t="s">
        <v>324</v>
      </c>
      <c r="C81" s="184" t="s">
        <v>570</v>
      </c>
      <c r="D81" s="184" t="s">
        <v>3222</v>
      </c>
      <c r="E81" s="184" t="s">
        <v>3223</v>
      </c>
      <c r="F81" s="184" t="s">
        <v>3224</v>
      </c>
      <c r="G81" s="184" t="s">
        <v>3225</v>
      </c>
      <c r="H81" s="184" t="s">
        <v>3226</v>
      </c>
      <c r="I81" s="184" t="s">
        <v>3227</v>
      </c>
      <c r="J81" s="184" t="s">
        <v>3228</v>
      </c>
      <c r="K81" s="184" t="s">
        <v>3229</v>
      </c>
      <c r="L81" s="184" t="s">
        <v>2678</v>
      </c>
      <c r="M81" s="184" t="s">
        <v>3230</v>
      </c>
      <c r="N81" s="184" t="s">
        <v>216</v>
      </c>
      <c r="O81" s="184">
        <v>20</v>
      </c>
      <c r="P81" s="184" t="s">
        <v>259</v>
      </c>
      <c r="Q81" s="184" t="s">
        <v>3231</v>
      </c>
      <c r="R81" s="184" t="s">
        <v>3232</v>
      </c>
      <c r="S81" s="184" t="s">
        <v>3233</v>
      </c>
      <c r="T81" s="184" t="s">
        <v>3234</v>
      </c>
      <c r="U81" s="184" t="s">
        <v>3235</v>
      </c>
      <c r="V81" s="184" t="s">
        <v>3236</v>
      </c>
      <c r="W81" s="184" t="s">
        <v>3237</v>
      </c>
      <c r="X81" s="184" t="s">
        <v>3238</v>
      </c>
      <c r="Y81" s="185" t="s">
        <v>173</v>
      </c>
      <c r="Z81" s="185">
        <v>4</v>
      </c>
      <c r="AA81" s="185" t="s">
        <v>3239</v>
      </c>
      <c r="AB81" s="185" t="s">
        <v>3240</v>
      </c>
      <c r="AC81" s="185" t="s">
        <v>715</v>
      </c>
      <c r="AD81" s="185" t="s">
        <v>3239</v>
      </c>
      <c r="AE81" s="185" t="s">
        <v>3240</v>
      </c>
      <c r="AF81" s="185" t="s">
        <v>228</v>
      </c>
      <c r="AG81" s="185" t="s">
        <v>2687</v>
      </c>
      <c r="AH81" s="185">
        <v>4</v>
      </c>
      <c r="AI81" s="185" t="s">
        <v>184</v>
      </c>
      <c r="AJ81" s="185" t="s">
        <v>349</v>
      </c>
      <c r="AK81" s="185" t="s">
        <v>2790</v>
      </c>
      <c r="AL81" s="185" t="s">
        <v>184</v>
      </c>
      <c r="AM81" s="185" t="s">
        <v>349</v>
      </c>
      <c r="AN81" s="185" t="s">
        <v>528</v>
      </c>
      <c r="AO81" s="185" t="s">
        <v>2688</v>
      </c>
      <c r="AP81" s="185">
        <v>4</v>
      </c>
      <c r="AQ81" s="185" t="s">
        <v>186</v>
      </c>
      <c r="AR81" s="185" t="s">
        <v>185</v>
      </c>
      <c r="AS81" s="185" t="s">
        <v>3241</v>
      </c>
      <c r="AT81" s="185" t="s">
        <v>186</v>
      </c>
      <c r="AU81" s="185" t="s">
        <v>185</v>
      </c>
      <c r="AV81" s="185" t="s">
        <v>3242</v>
      </c>
      <c r="AW81" s="185" t="s">
        <v>2689</v>
      </c>
      <c r="AX81" s="185">
        <v>3</v>
      </c>
      <c r="AY81" s="185" t="s">
        <v>2975</v>
      </c>
      <c r="AZ81" s="185" t="s">
        <v>715</v>
      </c>
      <c r="BA81" s="185" t="s">
        <v>3183</v>
      </c>
      <c r="BB81" s="185" t="s">
        <v>2975</v>
      </c>
      <c r="BC81" s="185" t="s">
        <v>715</v>
      </c>
      <c r="BD81" s="185" t="s">
        <v>185</v>
      </c>
      <c r="BE81" s="185" t="s">
        <v>2691</v>
      </c>
      <c r="BF81" s="185">
        <v>3</v>
      </c>
      <c r="BG81" s="185" t="s">
        <v>203</v>
      </c>
      <c r="BH81" s="185" t="s">
        <v>3239</v>
      </c>
      <c r="BI81" s="185" t="s">
        <v>3240</v>
      </c>
      <c r="BJ81" s="185" t="s">
        <v>203</v>
      </c>
      <c r="BK81" s="185" t="s">
        <v>3239</v>
      </c>
      <c r="BL81" s="185" t="s">
        <v>3240</v>
      </c>
      <c r="BM81" s="185" t="s">
        <v>198</v>
      </c>
      <c r="BN81" s="185">
        <v>2</v>
      </c>
      <c r="BO81" s="185" t="s">
        <v>199</v>
      </c>
      <c r="BP81" s="185" t="s">
        <v>200</v>
      </c>
      <c r="BQ81" s="185" t="s">
        <v>3141</v>
      </c>
      <c r="BR81" s="185" t="s">
        <v>199</v>
      </c>
      <c r="BS81" s="185" t="s">
        <v>3243</v>
      </c>
      <c r="BT81" s="185" t="s">
        <v>200</v>
      </c>
    </row>
    <row r="82" spans="1:72" s="184" customFormat="1" ht="54.95" customHeight="1" x14ac:dyDescent="0.25">
      <c r="A82" s="155">
        <v>30</v>
      </c>
      <c r="B82" s="184" t="s">
        <v>765</v>
      </c>
      <c r="C82" s="184" t="s">
        <v>247</v>
      </c>
      <c r="D82" s="184" t="s">
        <v>766</v>
      </c>
      <c r="E82" s="184" t="s">
        <v>3244</v>
      </c>
      <c r="F82" s="184" t="s">
        <v>3245</v>
      </c>
      <c r="G82" s="184" t="s">
        <v>3246</v>
      </c>
      <c r="H82" s="184" t="s">
        <v>3247</v>
      </c>
      <c r="I82" s="184" t="s">
        <v>3248</v>
      </c>
      <c r="J82" s="184" t="s">
        <v>3249</v>
      </c>
      <c r="K82" s="184" t="s">
        <v>3250</v>
      </c>
      <c r="L82" s="184" t="s">
        <v>2678</v>
      </c>
      <c r="M82" s="184" t="s">
        <v>3251</v>
      </c>
      <c r="N82" s="184" t="s">
        <v>216</v>
      </c>
      <c r="O82" s="184">
        <v>20</v>
      </c>
      <c r="P82" s="184" t="s">
        <v>164</v>
      </c>
      <c r="Q82" s="184" t="s">
        <v>3252</v>
      </c>
      <c r="R82" s="184" t="s">
        <v>3253</v>
      </c>
      <c r="S82" s="184" t="s">
        <v>780</v>
      </c>
      <c r="T82" s="184" t="s">
        <v>3254</v>
      </c>
      <c r="U82" s="184" t="s">
        <v>3255</v>
      </c>
      <c r="V82" s="184" t="s">
        <v>3256</v>
      </c>
      <c r="W82" s="184" t="s">
        <v>3257</v>
      </c>
      <c r="X82" s="184" t="s">
        <v>3258</v>
      </c>
      <c r="Y82" s="185" t="s">
        <v>173</v>
      </c>
      <c r="Z82" s="185">
        <v>4</v>
      </c>
      <c r="AA82" s="185" t="s">
        <v>784</v>
      </c>
      <c r="AB82" s="185" t="s">
        <v>1824</v>
      </c>
      <c r="AC82" s="185" t="s">
        <v>176</v>
      </c>
      <c r="AD82" s="185" t="s">
        <v>784</v>
      </c>
      <c r="AE82" s="185" t="s">
        <v>177</v>
      </c>
      <c r="AF82" s="185" t="s">
        <v>1824</v>
      </c>
      <c r="AG82" s="185" t="s">
        <v>2687</v>
      </c>
      <c r="AH82" s="185">
        <v>4</v>
      </c>
      <c r="AI82" s="185" t="s">
        <v>184</v>
      </c>
      <c r="AJ82" s="185" t="s">
        <v>2690</v>
      </c>
      <c r="AK82" s="185" t="s">
        <v>182</v>
      </c>
      <c r="AL82" s="185" t="s">
        <v>184</v>
      </c>
      <c r="AM82" s="185" t="s">
        <v>437</v>
      </c>
      <c r="AN82" s="185" t="s">
        <v>182</v>
      </c>
      <c r="AO82" s="185" t="s">
        <v>2688</v>
      </c>
      <c r="AP82" s="185">
        <v>4</v>
      </c>
      <c r="AQ82" s="185" t="s">
        <v>186</v>
      </c>
      <c r="AR82" s="185" t="s">
        <v>185</v>
      </c>
      <c r="AS82" s="185" t="s">
        <v>2426</v>
      </c>
      <c r="AT82" s="185" t="s">
        <v>186</v>
      </c>
      <c r="AU82" s="185" t="s">
        <v>185</v>
      </c>
      <c r="AV82" s="185" t="s">
        <v>437</v>
      </c>
      <c r="AW82" s="185" t="s">
        <v>2689</v>
      </c>
      <c r="AX82" s="185">
        <v>3</v>
      </c>
      <c r="AY82" s="185" t="s">
        <v>658</v>
      </c>
      <c r="AZ82" s="185" t="s">
        <v>437</v>
      </c>
      <c r="BA82" s="185" t="s">
        <v>200</v>
      </c>
      <c r="BB82" s="185" t="s">
        <v>654</v>
      </c>
      <c r="BC82" s="185" t="s">
        <v>437</v>
      </c>
      <c r="BD82" s="185" t="s">
        <v>200</v>
      </c>
      <c r="BE82" s="185" t="s">
        <v>2691</v>
      </c>
      <c r="BF82" s="185">
        <v>3</v>
      </c>
      <c r="BG82" s="185" t="s">
        <v>203</v>
      </c>
      <c r="BH82" s="185" t="s">
        <v>1824</v>
      </c>
      <c r="BI82" s="185" t="s">
        <v>278</v>
      </c>
      <c r="BJ82" s="185" t="s">
        <v>203</v>
      </c>
      <c r="BK82" s="185" t="s">
        <v>1824</v>
      </c>
      <c r="BL82" s="185" t="s">
        <v>2956</v>
      </c>
      <c r="BM82" s="185" t="s">
        <v>198</v>
      </c>
      <c r="BN82" s="185">
        <v>2</v>
      </c>
      <c r="BO82" s="185" t="s">
        <v>199</v>
      </c>
      <c r="BP82" s="185" t="s">
        <v>3259</v>
      </c>
      <c r="BQ82" s="185" t="s">
        <v>200</v>
      </c>
      <c r="BR82" s="185" t="s">
        <v>199</v>
      </c>
      <c r="BS82" s="185" t="s">
        <v>654</v>
      </c>
      <c r="BT82" s="185" t="s">
        <v>437</v>
      </c>
    </row>
  </sheetData>
  <mergeCells count="21">
    <mergeCell ref="I13:M13"/>
    <mergeCell ref="B13:F13"/>
    <mergeCell ref="A26:A36"/>
    <mergeCell ref="B9:F9"/>
    <mergeCell ref="A11:A12"/>
    <mergeCell ref="A15:A16"/>
    <mergeCell ref="H11:H12"/>
    <mergeCell ref="H15:H16"/>
    <mergeCell ref="I9:M9"/>
    <mergeCell ref="B11:F11"/>
    <mergeCell ref="I11:M11"/>
    <mergeCell ref="B12:F12"/>
    <mergeCell ref="I12:M12"/>
    <mergeCell ref="B19:F19"/>
    <mergeCell ref="I19:M19"/>
    <mergeCell ref="B15:F15"/>
    <mergeCell ref="I15:M15"/>
    <mergeCell ref="B16:F16"/>
    <mergeCell ref="I16:M16"/>
    <mergeCell ref="B17:F17"/>
    <mergeCell ref="I17:M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T82"/>
  <sheetViews>
    <sheetView workbookViewId="0">
      <selection activeCell="A52" sqref="A52:XFD82"/>
    </sheetView>
  </sheetViews>
  <sheetFormatPr baseColWidth="10" defaultColWidth="9" defaultRowHeight="15" x14ac:dyDescent="0.25"/>
  <cols>
    <col min="1" max="1" width="31.75" style="1" customWidth="1"/>
    <col min="2" max="2" width="37.625" style="1" customWidth="1"/>
    <col min="3" max="3" width="18.625" style="1" customWidth="1"/>
    <col min="4" max="4" width="37.625" style="1" customWidth="1"/>
    <col min="5" max="5" width="16.625" style="1" customWidth="1"/>
    <col min="6" max="6" width="33.625" style="1" customWidth="1"/>
    <col min="7" max="7" width="18" style="1" customWidth="1"/>
    <col min="8" max="8" width="31.625" style="1" customWidth="1"/>
    <col min="9" max="9" width="38.625" style="1" customWidth="1"/>
    <col min="10" max="10" width="31.625" style="1" customWidth="1"/>
    <col min="11" max="11" width="18.625" style="1" customWidth="1"/>
    <col min="12" max="12" width="31.625" style="1" customWidth="1"/>
    <col min="13" max="13" width="16" style="1" customWidth="1"/>
    <col min="14" max="14" width="18" style="1" customWidth="1"/>
    <col min="15" max="15" width="60.75" style="1" customWidth="1"/>
    <col min="16" max="16" width="22" style="1" customWidth="1"/>
    <col min="17" max="17" width="18" style="1" customWidth="1"/>
    <col min="18" max="24" width="30" style="1" customWidth="1"/>
    <col min="25" max="26" width="14" style="7" customWidth="1"/>
    <col min="27" max="27" width="27.75" style="7" customWidth="1"/>
    <col min="28" max="34" width="14" style="7" customWidth="1"/>
    <col min="35" max="35" width="15" style="7" customWidth="1"/>
    <col min="36" max="72" width="14" style="7" customWidth="1"/>
    <col min="73" max="16384" width="9" style="1"/>
  </cols>
  <sheetData>
    <row r="1" spans="1:35" ht="24" customHeight="1" x14ac:dyDescent="0.25">
      <c r="A1" s="33" t="s">
        <v>4766</v>
      </c>
      <c r="B1" s="34"/>
      <c r="C1" s="35"/>
      <c r="D1" s="35"/>
      <c r="E1" s="35"/>
      <c r="F1" s="35"/>
      <c r="G1" s="35"/>
      <c r="H1" s="35"/>
      <c r="I1" s="35"/>
      <c r="J1" s="35"/>
      <c r="K1" s="35"/>
      <c r="L1" s="35"/>
      <c r="M1" s="35"/>
      <c r="N1" s="6"/>
      <c r="O1" s="6"/>
      <c r="P1" s="6"/>
      <c r="Q1" s="6"/>
      <c r="R1" s="6"/>
      <c r="S1" s="6"/>
      <c r="T1" s="6"/>
      <c r="U1" s="6"/>
      <c r="V1" s="6"/>
      <c r="W1" s="6"/>
      <c r="X1" s="6"/>
    </row>
    <row r="2" spans="1:35" ht="20.100000000000001" customHeight="1" x14ac:dyDescent="0.25">
      <c r="A2" s="36" t="s">
        <v>4231</v>
      </c>
      <c r="B2" s="8"/>
      <c r="C2" s="9"/>
      <c r="D2" s="9"/>
      <c r="E2" s="9"/>
      <c r="F2" s="9"/>
      <c r="G2" s="9"/>
      <c r="H2" s="9"/>
      <c r="I2" s="9"/>
      <c r="J2" s="9"/>
      <c r="K2" s="9"/>
      <c r="L2" s="9"/>
      <c r="M2" s="9"/>
    </row>
    <row r="3" spans="1:35" ht="18.75" x14ac:dyDescent="0.25">
      <c r="A3" s="37"/>
      <c r="B3" s="1187" t="s">
        <v>4756</v>
      </c>
      <c r="C3" s="37"/>
      <c r="D3" s="37"/>
      <c r="E3" s="37"/>
      <c r="F3" s="37"/>
      <c r="G3" s="37"/>
      <c r="H3" s="1188" t="s">
        <v>7941</v>
      </c>
      <c r="I3" s="37"/>
      <c r="J3" s="37"/>
      <c r="K3" s="37"/>
      <c r="L3" s="37"/>
      <c r="M3" s="37"/>
      <c r="AA3" s="10" t="s">
        <v>2</v>
      </c>
      <c r="AI3" s="10" t="s">
        <v>3</v>
      </c>
    </row>
    <row r="4" spans="1:35" ht="24" customHeight="1" x14ac:dyDescent="0.25">
      <c r="A4" s="38" t="s">
        <v>4</v>
      </c>
      <c r="B4" s="40">
        <v>1</v>
      </c>
      <c r="C4" s="38" t="s">
        <v>5</v>
      </c>
      <c r="D4" s="39" t="str">
        <f>IFERROR(INDEX($B$53:$B$82,MATCH($B$4,$A$53:$A$82,0)),"")</f>
        <v>École primaire</v>
      </c>
      <c r="E4" s="38" t="s">
        <v>6</v>
      </c>
      <c r="F4" s="39" t="str">
        <f>IFERROR(INDEX($C$53:$C$82,MATCH($B$4,$A$53:$A$82,0)),"")</f>
        <v>Semaine scolaire</v>
      </c>
      <c r="G4" s="38" t="s">
        <v>7</v>
      </c>
      <c r="H4" s="138" t="s">
        <v>8</v>
      </c>
      <c r="I4" s="38" t="s">
        <v>9</v>
      </c>
      <c r="J4" s="39" t="str">
        <f>IFERROR(INDEX($Q$53:$Q$82,MATCH($B$4,$A$53:$A$82,0)),"")</f>
        <v>Cycle scolaire / végétarien</v>
      </c>
      <c r="L4" s="38" t="s">
        <v>10</v>
      </c>
      <c r="M4" s="39" t="str">
        <f>IFERROR(INDEX($P$53:$P$82,MATCH($B$4,$A$53:$A$82,0)),"")</f>
        <v>Moyen</v>
      </c>
      <c r="AA4"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"&amp;$B$12),CHAR(160)," ")," "," "),CHAR(10)," "),CHAR(13)," "),CHAR(9)," "),"’","'"),"."," "),","," "),";"," "),":"," "),"-"," "),"("," "),")"," "),"?"," "),"!"," "),"/"," "),"é","e"),"è","e"),"ê","e"),"ë","e"),"à","a"),"â","a"),"ä","a"),"ù","u"),"û","u"),"ü","u"),"ô","o"),"ö","o"),"î","i"),"ï","i"),"ç","c")))</f>
        <v>le repas doit etre controle sur l'equilibre global et sur le cycle le point prioritaire est l'absence de menu vegetarien identifie</v>
      </c>
      <c r="AI4"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H$53:$H$82,MATCH($B$4,$A$53:$A$82,0)),"")),CHAR(160)," ")," "," "),CHAR(10)," "),CHAR(13)," "),CHAR(9)," "),"’","'"),"."," "),","," "),";"," "),":"," "),"-"," "),"("," "),")"," "),"?"," "),"!"," "),"/"," "),"é","e"),"è","e"),"ê","e"),"ë","e"),"à","a"),"â","a"),"ä","a"),"ù","u"),"û","u"),"ü","u"),"ô","o"),"ö","o"),"î","i"),"ï","i"),"ç","c")))</f>
        <v>le repas doit etre controle sur l'equilibre global et sur le cycle le point prioritaire est l'absence de menu vegetarien identifie il faut prevoir un vrai menu vegetarien construit avec legumineuses cereales œufs ou laitage selon le contexte les achats egalim la saison le pms les allergenes la production et l'acceptabilite doivent aussi etre verifies pour limiter le gaspillage</v>
      </c>
    </row>
    <row r="5" spans="1:35" ht="24" customHeight="1" x14ac:dyDescent="0.25">
      <c r="A5" s="41" t="s">
        <v>11</v>
      </c>
      <c r="B5" s="78" t="str">
        <f>IFERROR(INDEX($E$53:$E$82,MATCH($B$4,$A$53:$A$82,0)),"")</f>
        <v>Cycle sans menu végétarien hebdomadaire identifié</v>
      </c>
      <c r="C5" s="42"/>
      <c r="D5" s="42"/>
      <c r="E5" s="43"/>
      <c r="F5" s="43"/>
      <c r="G5" s="44"/>
      <c r="H5" s="43"/>
      <c r="I5" s="43"/>
      <c r="J5" s="43"/>
      <c r="K5" s="43"/>
      <c r="L5" s="43"/>
      <c r="M5" s="43"/>
      <c r="O5" s="162" t="s">
        <v>4830</v>
      </c>
      <c r="AA5"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"&amp;$B$12&amp;" "&amp;$B$15&amp;" "&amp;$B$16),CHAR(160)," ")," "," "),CHAR(10)," "),CHAR(13)," "),CHAR(9)," "),"’","'"),"."," "),","," "),";"," "),":"," "),"-"," "),"("," "),")"," "),"?"," "),"!"," "),"/"," "),"é","e"),"è","e"),"ê","e"),"ë","e"),"à","a"),"â","a"),"ä","a"),"ù","u"),"û","u"),"ü","u"),"ô","o"),"ö","o"),"î","i"),"ï","i"),"ç","c")))</f>
        <v>le repas doit etre controle sur l'equilibre global et sur le cycle le point prioritaire est l'absence de menu vegetarien identifie il faut prevoir un vrai menu vegetarien construit avec legumineuses cereales œufs ou laitage selon le contexte les achats egalim la saison le pms les allergenes la production et l'acceptabilite doivent aussi etre verifies pour limiter le gaspillage</v>
      </c>
      <c r="AI5"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I$53:$I$82,MATCH($B$4,$A$53:$A$82,0)),"")),CHAR(160)," ")," "," "),CHAR(10)," "),CHAR(13)," "),CHAR(9)," "),"’","'"),"."," "),","," "),";"," "),":"," "),"-"," "),"("," "),")"," "),"?"," "),"!"," "),"/"," "),"é","e"),"è","e"),"ê","e"),"ë","e"),"à","a"),"â","a"),"ä","a"),"ù","u"),"û","u"),"ü","u"),"ô","o"),"ö","o"),"î","i"),"ï","i"),"ç","c")))</f>
        <v>il ne suffit pas que chaque repas ait un plat il faut verifier l'equilibre du menu prevoir un vrai menu vege dans la semaine regarder egalim la saison les allergenes l'hygiene et si les eleves vont le manger</v>
      </c>
    </row>
    <row r="6" spans="1:35" ht="24" customHeight="1" x14ac:dyDescent="0.25">
      <c r="A6" s="41" t="s">
        <v>12</v>
      </c>
      <c r="B6" s="45" t="str">
        <f>IFERROR(INDEX($D$53:$D$82,MATCH($B$4,$A$53:$A$82,0)),"")</f>
        <v>Lundi poisson-riz ; mardi poulet-pâtes ; jeudi bœuf-purée ; vendredi jambon-gratin</v>
      </c>
      <c r="C6" s="46"/>
      <c r="D6" s="46"/>
      <c r="E6" s="46"/>
      <c r="F6" s="46"/>
      <c r="G6" s="44"/>
      <c r="H6" s="43"/>
      <c r="I6" s="43"/>
      <c r="J6" s="43"/>
      <c r="K6" s="43"/>
      <c r="L6" s="43"/>
      <c r="M6" s="43"/>
      <c r="O6" s="157" t="s">
        <v>4844</v>
      </c>
      <c r="AA6"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"&amp;$I$12),CHAR(160)," ")," "," "),CHAR(10)," "),CHAR(13)," "),CHAR(9)," "),"’","'"),"."," "),","," "),";"," "),":"," "),"-"," "),"("," "),")"," "),"?"," "),"!"," "),"/"," "),"é","e"),"è","e"),"ê","e"),"ë","e"),"à","a"),"â","a"),"ä","a"),"ù","u"),"û","u"),"ü","u"),"ô","o"),"ö","o"),"î","i"),"ï","i"),"ç","c")))</f>
        <v>il ne suffit pas que chaque repas ait un plat il faut verifier l'equilibre du menu prevoir un vrai menu vege dans la semaine</v>
      </c>
    </row>
    <row r="7" spans="1:35" ht="15.75" x14ac:dyDescent="0.25">
      <c r="A7" s="11"/>
      <c r="B7" s="47"/>
      <c r="C7" s="47"/>
      <c r="D7" s="47"/>
      <c r="E7" s="47"/>
      <c r="F7" s="47"/>
      <c r="G7" s="11"/>
      <c r="H7" s="11"/>
      <c r="I7" s="47"/>
      <c r="J7" s="47"/>
      <c r="K7" s="47"/>
      <c r="L7" s="47"/>
      <c r="M7" s="47"/>
      <c r="AA7"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"&amp;$I$12&amp;" "&amp;$I$15&amp;" "&amp;$I$16),CHAR(160)," ")," "," "),CHAR(10)," "),CHAR(13)," "),CHAR(9)," "),"’","'"),"."," "),","," "),";"," "),":"," "),"-"," "),"("," "),")"," "),"?"," "),"!"," "),"/"," "),"é","e"),"è","e"),"ê","e"),"ë","e"),"à","a"),"â","a"),"ä","a"),"ù","u"),"û","u"),"ü","u"),"ô","o"),"ö","o"),"î","i"),"ï","i"),"ç","c")))</f>
        <v>il ne suffit pas que chaque repas ait un plat il faut verifier l'equilibre du menu prevoir un vrai menu vege dans la semaine regarder egalim la saison les allergenes l'hygiene et si les eleves vont le manger</v>
      </c>
    </row>
    <row r="8" spans="1:35" ht="24" customHeight="1" x14ac:dyDescent="0.25">
      <c r="A8" s="135" t="s">
        <v>13</v>
      </c>
      <c r="B8" s="48"/>
      <c r="C8" s="48"/>
      <c r="D8" s="48"/>
      <c r="E8" s="48"/>
      <c r="F8" s="48"/>
      <c r="G8" s="12"/>
      <c r="H8" s="161" t="s">
        <v>14</v>
      </c>
      <c r="I8" s="49"/>
      <c r="J8" s="49"/>
      <c r="K8" s="49"/>
      <c r="L8" s="49"/>
      <c r="M8" s="49"/>
      <c r="O8" s="2" t="s">
        <v>4232</v>
      </c>
      <c r="P8" s="3"/>
      <c r="Q8" s="3"/>
      <c r="R8" s="3"/>
      <c r="S8" s="3"/>
      <c r="W8" s="7"/>
      <c r="X8" s="7"/>
    </row>
    <row r="9" spans="1:35" ht="54.95" customHeight="1" x14ac:dyDescent="0.25">
      <c r="A9" s="13" t="s">
        <v>16</v>
      </c>
      <c r="B9" s="1559" t="str">
        <f>IFERROR(INDEX($F$53:$F$82,MATCH($B$4,$A$53:$A$82,0)),"")</f>
        <v>Contrôlez ce cycle court : équilibre global, présence d’un menu végétarien, obligations EGalim, saisonnalité, PMS/allergènes/production et risque de gaspillage.</v>
      </c>
      <c r="C9" s="1559"/>
      <c r="D9" s="1559"/>
      <c r="E9" s="1559"/>
      <c r="F9" s="1559"/>
      <c r="G9" s="12"/>
      <c r="H9" s="14" t="s">
        <v>17</v>
      </c>
      <c r="I9" s="1559" t="str">
        <f>IFERROR(INDEX($G$53:$G$82,MATCH($B$4,$A$53:$A$82,0)),"")</f>
        <v>Dans cette semaine de cantine, qu’est-ce qu’il faut vérifier avant de dire que les menus sont corrects ?</v>
      </c>
      <c r="J9" s="1559"/>
      <c r="K9" s="1559"/>
      <c r="L9" s="1559"/>
      <c r="M9" s="1559"/>
      <c r="O9" s="142" t="s">
        <v>4233</v>
      </c>
      <c r="P9" s="139"/>
      <c r="Q9" s="5"/>
      <c r="R9" s="5"/>
      <c r="S9" s="5"/>
      <c r="V9" s="15"/>
      <c r="W9" s="15"/>
      <c r="X9" s="15"/>
    </row>
    <row r="10" spans="1:35" ht="18.75" x14ac:dyDescent="0.25">
      <c r="A10" s="11"/>
      <c r="B10" s="47"/>
      <c r="C10" s="47"/>
      <c r="D10" s="47"/>
      <c r="E10" s="47"/>
      <c r="F10" s="47"/>
      <c r="G10" s="11"/>
      <c r="H10" s="11"/>
      <c r="I10" s="47"/>
      <c r="J10" s="47"/>
      <c r="K10" s="47"/>
      <c r="L10" s="47"/>
      <c r="M10" s="47"/>
      <c r="O10" s="142" t="s">
        <v>4234</v>
      </c>
      <c r="P10" s="139"/>
      <c r="Q10" s="5"/>
      <c r="R10" s="5"/>
      <c r="S10" s="5"/>
      <c r="V10" s="15"/>
      <c r="W10" s="15"/>
      <c r="X10" s="15"/>
    </row>
    <row r="11" spans="1:35" ht="50.1" customHeight="1" x14ac:dyDescent="0.25">
      <c r="A11" s="1565" t="s">
        <v>22</v>
      </c>
      <c r="B11" s="1560" t="s">
        <v>4785</v>
      </c>
      <c r="C11" s="1560"/>
      <c r="D11" s="1560"/>
      <c r="E11" s="1560"/>
      <c r="F11" s="1560"/>
      <c r="G11" s="12"/>
      <c r="H11" s="1566" t="s">
        <v>23</v>
      </c>
      <c r="I11" s="1560" t="s">
        <v>4789</v>
      </c>
      <c r="J11" s="1560"/>
      <c r="K11" s="1560"/>
      <c r="L11" s="1560"/>
      <c r="M11" s="1560"/>
      <c r="O11" s="142" t="s">
        <v>4237</v>
      </c>
      <c r="P11" s="139"/>
      <c r="Q11" s="5"/>
      <c r="R11" s="5"/>
      <c r="S11" s="5"/>
      <c r="V11" s="15"/>
      <c r="W11" s="15"/>
      <c r="X11" s="15"/>
    </row>
    <row r="12" spans="1:35" ht="50.1" customHeight="1" x14ac:dyDescent="0.25">
      <c r="A12" s="1565"/>
      <c r="B12" s="1560" t="s">
        <v>4786</v>
      </c>
      <c r="C12" s="1560"/>
      <c r="D12" s="1560"/>
      <c r="E12" s="1560"/>
      <c r="F12" s="1560"/>
      <c r="G12" s="12"/>
      <c r="H12" s="1566"/>
      <c r="I12" s="1560" t="s">
        <v>4790</v>
      </c>
      <c r="J12" s="1560"/>
      <c r="K12" s="1560"/>
      <c r="L12" s="1560"/>
      <c r="M12" s="1560"/>
      <c r="O12" s="142" t="s">
        <v>4238</v>
      </c>
      <c r="P12" s="141"/>
      <c r="Q12" s="5"/>
      <c r="R12" s="5"/>
      <c r="S12" s="5"/>
      <c r="V12" s="15"/>
      <c r="W12" s="15"/>
      <c r="X12" s="15"/>
    </row>
    <row r="13" spans="1:35" ht="60" customHeight="1" x14ac:dyDescent="0.25">
      <c r="A13" s="13" t="s">
        <v>30</v>
      </c>
      <c r="B13" s="1562" t="str">
        <f>IFERROR(INDEX($J$53:$J$82,MATCH($B$4,$A$53:$A$82,0)),"")</f>
        <v>Si la réponse parle seulement d’équilibre, faire chercher l’absence du menu végétarien dans le cycle.</v>
      </c>
      <c r="C13" s="1562"/>
      <c r="D13" s="1562"/>
      <c r="E13" s="1562"/>
      <c r="F13" s="1562"/>
      <c r="G13" s="12"/>
      <c r="H13" s="14" t="s">
        <v>31</v>
      </c>
      <c r="I13" s="1561" t="str">
        <f>IFERROR(INDEX($K$53:$K$82,MATCH($B$4,$A$53:$A$82,0)),"")</f>
        <v>Demander : « Où est le menu végé de la semaine ? Est-ce qu’il est vraiment construit ? »</v>
      </c>
      <c r="J13" s="1561"/>
      <c r="K13" s="1561"/>
      <c r="L13" s="1561"/>
      <c r="M13" s="1561"/>
      <c r="O13" s="142" t="s">
        <v>4239</v>
      </c>
      <c r="P13" s="139"/>
      <c r="Q13" s="5"/>
      <c r="R13" s="5"/>
      <c r="S13" s="5"/>
      <c r="V13" s="15"/>
      <c r="W13" s="15"/>
      <c r="X13" s="15"/>
    </row>
    <row r="14" spans="1:35" ht="18.75" x14ac:dyDescent="0.25">
      <c r="A14" s="11"/>
      <c r="B14" s="47"/>
      <c r="C14" s="47"/>
      <c r="D14" s="47"/>
      <c r="E14" s="47"/>
      <c r="F14" s="47"/>
      <c r="G14" s="11"/>
      <c r="H14" s="11"/>
      <c r="I14" s="47"/>
      <c r="J14" s="47"/>
      <c r="K14" s="47"/>
      <c r="L14" s="47"/>
      <c r="M14" s="47"/>
      <c r="O14" s="142" t="s">
        <v>4240</v>
      </c>
      <c r="P14" s="139"/>
      <c r="Q14" s="5"/>
      <c r="R14" s="5"/>
      <c r="S14" s="5"/>
      <c r="V14" s="15"/>
      <c r="W14" s="15"/>
      <c r="X14" s="15"/>
    </row>
    <row r="15" spans="1:35" ht="50.1" customHeight="1" x14ac:dyDescent="0.25">
      <c r="A15" s="1564" t="s">
        <v>36</v>
      </c>
      <c r="B15" s="1560" t="s">
        <v>4787</v>
      </c>
      <c r="C15" s="1560"/>
      <c r="D15" s="1560"/>
      <c r="E15" s="1560"/>
      <c r="F15" s="1560"/>
      <c r="G15" s="12"/>
      <c r="H15" s="1566" t="s">
        <v>38</v>
      </c>
      <c r="I15" s="1560" t="s">
        <v>4791</v>
      </c>
      <c r="J15" s="1560"/>
      <c r="K15" s="1560"/>
      <c r="L15" s="1560"/>
      <c r="M15" s="1560"/>
      <c r="O15" s="142" t="s">
        <v>4241</v>
      </c>
      <c r="P15" s="139"/>
      <c r="Q15" s="5"/>
      <c r="R15" s="5"/>
      <c r="S15" s="5"/>
      <c r="V15" s="15"/>
      <c r="W15" s="15"/>
      <c r="X15" s="15"/>
    </row>
    <row r="16" spans="1:35" ht="50.1" customHeight="1" x14ac:dyDescent="0.25">
      <c r="A16" s="1564"/>
      <c r="B16" s="1560" t="s">
        <v>4788</v>
      </c>
      <c r="C16" s="1560"/>
      <c r="D16" s="1560"/>
      <c r="E16" s="1560"/>
      <c r="F16" s="1560"/>
      <c r="G16" s="12"/>
      <c r="H16" s="1566"/>
      <c r="I16" s="1560" t="s">
        <v>4792</v>
      </c>
      <c r="J16" s="1560"/>
      <c r="K16" s="1560"/>
      <c r="L16" s="1560"/>
      <c r="M16" s="1560"/>
      <c r="O16" s="142" t="s">
        <v>4242</v>
      </c>
      <c r="P16" s="139"/>
      <c r="Q16" s="5"/>
      <c r="R16" s="5"/>
      <c r="S16" s="5"/>
      <c r="V16" s="15"/>
      <c r="W16" s="15"/>
      <c r="X16" s="15"/>
    </row>
    <row r="17" spans="1:34" ht="60" customHeight="1" x14ac:dyDescent="0.25">
      <c r="A17" s="13" t="s">
        <v>44</v>
      </c>
      <c r="B17" s="1562" t="str">
        <f>IF(UPPER($H$4)="X",IFERROR(INDEX($H$53:$H$82,MATCH($B$4,$A$53:$A$82,0)),""),"Réponse attendue masquée — saisir X en H4 pour afficher")</f>
        <v>Le repas doit être contrôlé sur l’équilibre global et sur le cycle. Le point prioritaire est l’absence de menu végétarien identifié : il faut prévoir un vrai menu végétarien construit avec légumineuses, céréales, œufs ou laitage selon le contexte. Les achats EGalim, la saison, le PMS, les allergènes, la production et l’acceptabilité doivent aussi être vérifiés pour limiter le gaspillage.</v>
      </c>
      <c r="C17" s="1562"/>
      <c r="D17" s="1562"/>
      <c r="E17" s="1562"/>
      <c r="F17" s="1562"/>
      <c r="G17" s="12"/>
      <c r="H17" s="17" t="s">
        <v>45</v>
      </c>
      <c r="I17" s="1561" t="str">
        <f>IF(UPPER($H$4)="X",IFERROR(INDEX($I$53:$I$82,MATCH($B$4,$A$53:$A$82,0)),""),"Réponse attendue masquée — saisir X en H4 pour afficher")</f>
        <v>Il ne suffit pas que chaque repas ait un plat. Il faut vérifier l’équilibre du menu, prévoir un vrai menu végé dans la semaine, regarder EGalim, la saison, les allergènes, l’hygiène et si les élèves vont le manger.</v>
      </c>
      <c r="J17" s="1561"/>
      <c r="K17" s="1561"/>
      <c r="L17" s="1561"/>
      <c r="M17" s="1561"/>
      <c r="O17" s="142" t="s">
        <v>4243</v>
      </c>
      <c r="P17" s="139"/>
      <c r="Q17" s="5"/>
      <c r="R17" s="5"/>
      <c r="S17" s="5"/>
      <c r="V17" s="15"/>
      <c r="W17" s="15"/>
      <c r="X17" s="15"/>
    </row>
    <row r="18" spans="1:34" ht="18.75" x14ac:dyDescent="0.25">
      <c r="A18" s="11"/>
      <c r="B18" s="47"/>
      <c r="C18" s="47"/>
      <c r="D18" s="47"/>
      <c r="E18" s="47"/>
      <c r="F18" s="47"/>
      <c r="G18" s="11"/>
      <c r="H18" s="11"/>
      <c r="I18" s="47"/>
      <c r="J18" s="47"/>
      <c r="K18" s="47"/>
      <c r="L18" s="47"/>
      <c r="M18" s="47"/>
      <c r="O18" s="144" t="s">
        <v>4244</v>
      </c>
      <c r="P18" s="139"/>
      <c r="Q18" s="5"/>
      <c r="R18" s="5"/>
      <c r="S18" s="5"/>
      <c r="U18" s="15"/>
      <c r="V18" s="15"/>
      <c r="W18" s="15"/>
      <c r="X18" s="15"/>
    </row>
    <row r="19" spans="1:34" ht="54.95" customHeight="1" x14ac:dyDescent="0.25">
      <c r="A19" s="50" t="s">
        <v>50</v>
      </c>
      <c r="B19" s="1568" t="str">
        <f>IF(ISBLANK(H4),"",IF(UPPER(TRIM($H$4))="X",IFERROR(INDEX($M$53:$M$82,MATCH($B$4,$A$53:$A$82,0)),""),"Mots-clés masqués — saisir X en H4 pour afficher"))</f>
        <v>equilibre ; vegetarien ; diversification ; egalim ; durables ; bio ; saison ; pms ; allergenes ; production ; gaspillage ; acceptabilite</v>
      </c>
      <c r="C19" s="1568"/>
      <c r="D19" s="1568"/>
      <c r="E19" s="1568"/>
      <c r="F19" s="1568"/>
      <c r="G19" s="12"/>
      <c r="H19" s="51" t="s">
        <v>51</v>
      </c>
      <c r="I19" s="1567" t="str">
        <f>IF(ISBLANK(H4),"",IFERROR(INDEX($X$53:$X$82,MATCH($B$4,$A$53:$A$82,0)),""))</f>
        <v>Un cycle se contrôle avant validation.</v>
      </c>
      <c r="J19" s="1567"/>
      <c r="K19" s="1567"/>
      <c r="L19" s="1567"/>
      <c r="M19" s="1567"/>
      <c r="O19" s="144" t="s">
        <v>4245</v>
      </c>
      <c r="P19" s="139"/>
      <c r="Q19" s="5"/>
      <c r="R19" s="5"/>
      <c r="S19" s="5"/>
      <c r="U19" s="7"/>
      <c r="V19" s="7"/>
      <c r="W19" s="7"/>
      <c r="X19" s="7"/>
    </row>
    <row r="20" spans="1:34" ht="18.75" x14ac:dyDescent="0.25">
      <c r="A20" s="52"/>
      <c r="B20" s="47"/>
      <c r="C20" s="47"/>
      <c r="D20" s="47"/>
      <c r="E20" s="47"/>
      <c r="F20" s="47"/>
      <c r="G20" s="11"/>
      <c r="H20" s="12"/>
      <c r="I20" s="44"/>
      <c r="J20" s="44"/>
      <c r="K20" s="44"/>
      <c r="L20" s="44"/>
      <c r="M20" s="44"/>
      <c r="O20" s="144" t="s">
        <v>4246</v>
      </c>
      <c r="P20" s="4"/>
      <c r="Q20" s="5"/>
      <c r="R20" s="5"/>
      <c r="S20" s="5"/>
      <c r="U20" s="7"/>
      <c r="V20" s="7"/>
      <c r="W20" s="7"/>
      <c r="X20" s="7"/>
    </row>
    <row r="21" spans="1:34" ht="18.75" customHeight="1" x14ac:dyDescent="0.25">
      <c r="A21" s="12"/>
      <c r="B21" s="12"/>
      <c r="C21" s="12"/>
      <c r="D21" s="12"/>
      <c r="E21" s="12"/>
      <c r="F21" s="12"/>
      <c r="G21" s="12"/>
      <c r="H21" s="12"/>
      <c r="I21" s="12"/>
      <c r="J21" s="12"/>
      <c r="K21" s="12"/>
      <c r="L21" s="12"/>
      <c r="M21" s="12"/>
      <c r="O21" s="144" t="s">
        <v>4247</v>
      </c>
      <c r="P21" s="4"/>
      <c r="Q21" s="5"/>
      <c r="R21" s="5"/>
      <c r="S21" s="5"/>
      <c r="U21" s="7"/>
      <c r="V21" s="7"/>
      <c r="W21" s="7"/>
      <c r="X21" s="7"/>
    </row>
    <row r="22" spans="1:34" ht="24" customHeight="1" x14ac:dyDescent="0.25">
      <c r="A22" s="75" t="s">
        <v>52</v>
      </c>
      <c r="B22" s="18"/>
      <c r="C22" s="18"/>
      <c r="D22" s="18"/>
      <c r="E22" s="18"/>
      <c r="F22" s="18"/>
      <c r="G22" s="18"/>
      <c r="H22" s="18"/>
      <c r="I22" s="18"/>
      <c r="J22" s="18"/>
      <c r="K22" s="18"/>
      <c r="L22" s="18"/>
      <c r="M22" s="18"/>
      <c r="O22" s="144" t="s">
        <v>4248</v>
      </c>
      <c r="P22" s="4"/>
      <c r="Q22" s="5"/>
      <c r="R22" s="5"/>
      <c r="S22" s="5"/>
      <c r="U22" s="7"/>
      <c r="V22" s="7"/>
      <c r="W22" s="7"/>
      <c r="X22" s="7"/>
    </row>
    <row r="23" spans="1:34" ht="60" customHeight="1" x14ac:dyDescent="0.25">
      <c r="A23" s="76" t="s">
        <v>4249</v>
      </c>
      <c r="B23" s="74" t="str">
        <f>IF(UPPER($H$4)="X",IFERROR(INDEX($R$53:$R$82,MATCH($B$4,$A$53:$A$82,0)),""),"Masqué")</f>
        <v>Contrôler les familles de repas et les composantes.</v>
      </c>
      <c r="C23" s="77" t="s">
        <v>4250</v>
      </c>
      <c r="D23" s="74" t="str">
        <f>IF(UPPER($H$4)="X",IFERROR(INDEX($S$53:$S$82,MATCH($B$4,$A$53:$A$82,0)),""),"Masqué")</f>
        <v>Créer un menu végétarien construit dans le cycle.</v>
      </c>
      <c r="E23" s="77" t="s">
        <v>4251</v>
      </c>
      <c r="F23" s="74" t="str">
        <f>IF(UPPER($H$4)="X",IFERROR(INDEX($T$53:$T$82,MATCH($B$4,$A$53:$A$82,0)),""),"Masqué")</f>
        <v>Vérifier taux produits durables/bio sur achats.</v>
      </c>
      <c r="G23" s="77" t="s">
        <v>6</v>
      </c>
      <c r="H23" s="74" t="str">
        <f>IF(UPPER($H$4)="X",IFERROR(INDEX($U$53:$U$82,MATCH($B$4,$A$53:$A$82,0)),""),"Masqué")</f>
        <v>Adapter aux produits de saison disponibles.</v>
      </c>
      <c r="I23" s="77" t="s">
        <v>4252</v>
      </c>
      <c r="J23" s="74" t="str">
        <f>IF(UPPER($H$4)="X",IFERROR(INDEX($V$53:$V$82,MATCH($B$4,$A$53:$A$82,0)),""),"Masqué")</f>
        <v>Vérifier allergènes et faisabilité production.</v>
      </c>
      <c r="K23" s="77" t="s">
        <v>4253</v>
      </c>
      <c r="L23" s="74" t="str">
        <f>IF(UPPER($H$4)="X",IFERROR(INDEX($W$53:$W$82,MATCH($B$4,$A$53:$A$82,0)),""),"Masqué")</f>
        <v>Évaluer acceptabilité élèves pour éviter refus.</v>
      </c>
      <c r="M23" s="12"/>
      <c r="O23" s="144" t="s">
        <v>4254</v>
      </c>
      <c r="P23" s="4"/>
      <c r="Q23" s="5"/>
      <c r="R23" s="5"/>
      <c r="S23" s="5"/>
      <c r="U23" s="7"/>
      <c r="V23" s="7"/>
      <c r="W23" s="7"/>
      <c r="X23" s="7"/>
    </row>
    <row r="24" spans="1:34" ht="15.75" x14ac:dyDescent="0.25">
      <c r="A24" s="12"/>
      <c r="B24" s="12"/>
      <c r="C24" s="12"/>
      <c r="D24" s="12"/>
      <c r="E24" s="12"/>
      <c r="F24" s="12"/>
      <c r="G24" s="12"/>
      <c r="H24" s="12"/>
      <c r="I24" s="12"/>
      <c r="J24" s="12"/>
      <c r="K24" s="12"/>
      <c r="L24" s="12"/>
      <c r="M24" s="12"/>
    </row>
    <row r="25" spans="1:34" ht="15.75" x14ac:dyDescent="0.25">
      <c r="A25" s="12"/>
    </row>
    <row r="26" spans="1:34" ht="24" customHeight="1" x14ac:dyDescent="0.25">
      <c r="A26" s="1563" t="s">
        <v>59</v>
      </c>
      <c r="B26" s="19" t="s">
        <v>60</v>
      </c>
      <c r="C26" s="19" t="s">
        <v>61</v>
      </c>
      <c r="D26" s="19" t="s">
        <v>62</v>
      </c>
      <c r="E26" s="19" t="s">
        <v>63</v>
      </c>
      <c r="F26" s="19" t="s">
        <v>64</v>
      </c>
      <c r="G26" s="20"/>
      <c r="H26" s="17" t="s">
        <v>65</v>
      </c>
      <c r="I26" s="17" t="s">
        <v>61</v>
      </c>
      <c r="J26" s="17" t="s">
        <v>62</v>
      </c>
      <c r="K26" s="17" t="s">
        <v>63</v>
      </c>
      <c r="L26" s="17" t="s">
        <v>64</v>
      </c>
      <c r="M26" s="12"/>
    </row>
    <row r="27" spans="1:34" ht="24" customHeight="1" x14ac:dyDescent="0.25">
      <c r="A27" s="1563"/>
      <c r="B27" s="19" t="s">
        <v>66</v>
      </c>
      <c r="C27" s="19" t="s">
        <v>67</v>
      </c>
      <c r="D27" s="19" t="s">
        <v>68</v>
      </c>
      <c r="E27" s="19" t="s">
        <v>69</v>
      </c>
      <c r="F27" s="19" t="s">
        <v>64</v>
      </c>
      <c r="G27" s="21"/>
      <c r="H27" s="17" t="s">
        <v>66</v>
      </c>
      <c r="I27" s="22" t="s">
        <v>67</v>
      </c>
      <c r="J27" s="22" t="s">
        <v>68</v>
      </c>
      <c r="K27" s="22" t="s">
        <v>69</v>
      </c>
      <c r="L27" s="22" t="s">
        <v>64</v>
      </c>
      <c r="M27" s="12"/>
      <c r="AA27" s="23" t="s">
        <v>70</v>
      </c>
      <c r="AB27" s="23" t="s">
        <v>61</v>
      </c>
      <c r="AC27" s="23" t="s">
        <v>71</v>
      </c>
      <c r="AD27" s="23" t="s">
        <v>72</v>
      </c>
      <c r="AE27" s="23" t="s">
        <v>73</v>
      </c>
      <c r="AF27" s="23" t="s">
        <v>74</v>
      </c>
      <c r="AG27" s="23" t="s">
        <v>75</v>
      </c>
      <c r="AH27" s="23" t="s">
        <v>76</v>
      </c>
    </row>
    <row r="28" spans="1:34" ht="24" customHeight="1" x14ac:dyDescent="0.25">
      <c r="A28" s="1563"/>
      <c r="B28" s="13" t="str">
        <f t="shared" ref="B28:B33" si="0">$AA28</f>
        <v>Équilibre global</v>
      </c>
      <c r="C28" s="24">
        <f t="shared" ref="C28:C33" si="1">$AB28</f>
        <v>4</v>
      </c>
      <c r="D28" s="24">
        <f t="shared" ref="D28:D33" si="2">IF($B28="","",IF(OR(AND($AI$4&lt;&gt;"",ISNUMBER(SEARCH($AI$4,$AA$4))),AND($AC28&lt;&gt;"",ISNUMBER(SEARCH($AC28,$AA$4))),AND($AD28&lt;&gt;"",ISNUMBER(SEARCH($AD28,$AA$4))),AND($AE28&lt;&gt;"",ISNUMBER(SEARCH($AE28,$AA$4)))),$C28,0))</f>
        <v>4</v>
      </c>
      <c r="E28" s="24">
        <f t="shared" ref="E28:E33" si="3">IF(COUNTA($B$15:$B$16)=0,"",IF(OR(AND($AI$4&lt;&gt;"",ISNUMBER(SEARCH($AI$4,$AA$5))),AND($AC28&lt;&gt;"",ISNUMBER(SEARCH($AC28,$AA$5))),AND($AD28&lt;&gt;"",ISNUMBER(SEARCH($AD28,$AA$5))),AND($AE28&lt;&gt;"",ISNUMBER(SEARCH($AE28,$AA$5)))),$C28,0))</f>
        <v>4</v>
      </c>
      <c r="F28" s="16" t="str">
        <f t="shared" ref="F28:F33" si="4">IF(COUNTA($B$15:$B$16)=0,IF($D28&gt;0,"OK initial","Manque"),IF($E28&gt;0,IF($D28&gt;0,"OK","Corrigé"),"Manque"))</f>
        <v>OK</v>
      </c>
      <c r="G28" s="25"/>
      <c r="H28" s="14" t="str">
        <f t="shared" ref="H28:H33" si="5">$AA28</f>
        <v>Équilibre global</v>
      </c>
      <c r="I28" s="24">
        <f t="shared" ref="I28:I33" si="6">$AB28</f>
        <v>4</v>
      </c>
      <c r="J28" s="24">
        <f t="shared" ref="J28:J33" si="7">IF($H28="","",IF(OR(AND($AI$5&lt;&gt;"",ISNUMBER(SEARCH($AI$5,$AA$6))),AND($AF28&lt;&gt;"",ISNUMBER(SEARCH($AF28,$AA$6))),AND($AG28&lt;&gt;"",ISNUMBER(SEARCH($AG28,$AA$6))),AND($AH28&lt;&gt;"",ISNUMBER(SEARCH($AH28,$AA$6)))),$I28,0))</f>
        <v>4</v>
      </c>
      <c r="K28" s="24">
        <f t="shared" ref="K28:K33" si="8">IF(COUNTA($I$15:$I$16)=0,"",IF(OR(AND($AI$5&lt;&gt;"",ISNUMBER(SEARCH($AI$5,$AA$7))),AND($AF28&lt;&gt;"",ISNUMBER(SEARCH($AF28,$AA$7))),AND($AG28&lt;&gt;"",ISNUMBER(SEARCH($AG28,$AA$7))),AND($AH28&lt;&gt;"",ISNUMBER(SEARCH($AH28,$AA$7)))),$I28,0))</f>
        <v>4</v>
      </c>
      <c r="L28" s="16" t="str">
        <f t="shared" ref="L28:L33" si="9">IF(COUNTA($I$15:$I$16)=0,IF($J28&gt;0,"OK initial","Manque"),IF($K28&gt;0,IF($J28&gt;0,"OK","Corrigé"),"Manque"))</f>
        <v>OK</v>
      </c>
      <c r="M28" s="12"/>
      <c r="AA28" s="10" t="str">
        <f>IFERROR(INDEX($Y$53:$Y$82,MATCH($B$4,$A$53:$A$82,0)),"")</f>
        <v>Équilibre global</v>
      </c>
      <c r="AB28" s="26">
        <f>IFERROR(INDEX($Z$53:$Z$82,MATCH($B$4,$A$53:$A$82,0)),0)</f>
        <v>4</v>
      </c>
      <c r="AC28" s="26" t="str">
        <f>IFERROR(INDEX($AA$53:$AA$82,MATCH($B$4,$A$53:$A$82,0)),"")</f>
        <v>equilibre</v>
      </c>
      <c r="AD28" s="26" t="str">
        <f>IFERROR(INDEX($AB$53:$AB$82,MATCH($B$4,$A$53:$A$82,0)),"")</f>
        <v>menu</v>
      </c>
      <c r="AE28" s="26" t="str">
        <f>IFERROR(INDEX($AC$53:$AC$82,MATCH($B$4,$A$53:$A$82,0)),"")</f>
        <v>repas</v>
      </c>
      <c r="AF28" s="26" t="str">
        <f>IFERROR(INDEX($AD$53:$AD$82,MATCH($B$4,$A$53:$A$82,0)),"")</f>
        <v>equilibre</v>
      </c>
      <c r="AG28" s="26" t="str">
        <f>IFERROR(INDEX($AE$53:$AE$82,MATCH($B$4,$A$53:$A$82,0)),"")</f>
        <v>menu</v>
      </c>
      <c r="AH28" s="26" t="str">
        <f>IFERROR(INDEX($AF$53:$AF$82,MATCH($B$4,$A$53:$A$82,0)),"")</f>
        <v>repas</v>
      </c>
    </row>
    <row r="29" spans="1:34" ht="24" customHeight="1" x14ac:dyDescent="0.25">
      <c r="A29" s="1563"/>
      <c r="B29" s="13" t="str">
        <f t="shared" si="0"/>
        <v>Végétarien / diversification</v>
      </c>
      <c r="C29" s="24">
        <f t="shared" si="1"/>
        <v>4</v>
      </c>
      <c r="D29" s="24">
        <f t="shared" si="2"/>
        <v>4</v>
      </c>
      <c r="E29" s="24">
        <f t="shared" si="3"/>
        <v>4</v>
      </c>
      <c r="F29" s="16" t="str">
        <f t="shared" si="4"/>
        <v>OK</v>
      </c>
      <c r="G29" s="25"/>
      <c r="H29" s="14" t="str">
        <f t="shared" si="5"/>
        <v>Végétarien / diversification</v>
      </c>
      <c r="I29" s="24">
        <f t="shared" si="6"/>
        <v>4</v>
      </c>
      <c r="J29" s="24">
        <f t="shared" si="7"/>
        <v>4</v>
      </c>
      <c r="K29" s="24">
        <f t="shared" si="8"/>
        <v>4</v>
      </c>
      <c r="L29" s="16" t="str">
        <f t="shared" si="9"/>
        <v>OK</v>
      </c>
      <c r="M29" s="12"/>
      <c r="AA29" s="10" t="str">
        <f>IFERROR(INDEX($AG$53:$AG$82,MATCH($B$4,$A$53:$A$82,0)),"")</f>
        <v>Végétarien / diversification</v>
      </c>
      <c r="AB29" s="26">
        <f>IFERROR(INDEX($AH$53:$AH$82,MATCH($B$4,$A$53:$A$82,0)),0)</f>
        <v>4</v>
      </c>
      <c r="AC29" s="26" t="str">
        <f>IFERROR(INDEX($AI$53:$AI$82,MATCH($B$4,$A$53:$A$82,0)),"")</f>
        <v>vegetarien</v>
      </c>
      <c r="AD29" s="26" t="str">
        <f>IFERROR(INDEX($AJ$53:$AJ$82,MATCH($B$4,$A$53:$A$82,0)),"")</f>
        <v>diversification</v>
      </c>
      <c r="AE29" s="26" t="str">
        <f>IFERROR(INDEX($AK$53:$AK$82,MATCH($B$4,$A$53:$A$82,0)),"")</f>
        <v>proteines</v>
      </c>
      <c r="AF29" s="26" t="str">
        <f>IFERROR(INDEX($AL$53:$AL$82,MATCH($B$4,$A$53:$A$82,0)),"")</f>
        <v>vege</v>
      </c>
      <c r="AG29" s="26" t="str">
        <f>IFERROR(INDEX($AM$53:$AM$82,MATCH($B$4,$A$53:$A$82,0)),"")</f>
        <v>varier</v>
      </c>
      <c r="AH29" s="26" t="str">
        <f>IFERROR(INDEX($AN$53:$AN$82,MATCH($B$4,$A$53:$A$82,0)),"")</f>
        <v>proteines</v>
      </c>
    </row>
    <row r="30" spans="1:34" ht="24" customHeight="1" x14ac:dyDescent="0.25">
      <c r="A30" s="1563"/>
      <c r="B30" s="13" t="str">
        <f t="shared" si="0"/>
        <v>EGalim / achats durables</v>
      </c>
      <c r="C30" s="24">
        <f t="shared" si="1"/>
        <v>3</v>
      </c>
      <c r="D30" s="24">
        <f t="shared" si="2"/>
        <v>0</v>
      </c>
      <c r="E30" s="24">
        <f t="shared" si="3"/>
        <v>3</v>
      </c>
      <c r="F30" s="16" t="str">
        <f t="shared" si="4"/>
        <v>Corrigé</v>
      </c>
      <c r="G30" s="25"/>
      <c r="H30" s="14" t="str">
        <f t="shared" si="5"/>
        <v>EGalim / achats durables</v>
      </c>
      <c r="I30" s="24">
        <f t="shared" si="6"/>
        <v>3</v>
      </c>
      <c r="J30" s="24">
        <f t="shared" si="7"/>
        <v>0</v>
      </c>
      <c r="K30" s="24">
        <f t="shared" si="8"/>
        <v>3</v>
      </c>
      <c r="L30" s="16" t="str">
        <f t="shared" si="9"/>
        <v>Corrigé</v>
      </c>
      <c r="M30" s="12"/>
      <c r="AA30" s="10" t="str">
        <f>IFERROR(INDEX($AO$53:$AO$82,MATCH($B$4,$A$53:$A$82,0)),"")</f>
        <v>EGalim / achats durables</v>
      </c>
      <c r="AB30" s="26">
        <f>IFERROR(INDEX($AP$53:$AP$82,MATCH($B$4,$A$53:$A$82,0)),0)</f>
        <v>3</v>
      </c>
      <c r="AC30" s="26" t="str">
        <f>IFERROR(INDEX($AQ$53:$AQ$82,MATCH($B$4,$A$53:$A$82,0)),"")</f>
        <v>egalim</v>
      </c>
      <c r="AD30" s="26" t="str">
        <f>IFERROR(INDEX($AR$53:$AR$82,MATCH($B$4,$A$53:$A$82,0)),"")</f>
        <v>durables</v>
      </c>
      <c r="AE30" s="26" t="str">
        <f>IFERROR(INDEX($AS$53:$AS$82,MATCH($B$4,$A$53:$A$82,0)),"")</f>
        <v>bio</v>
      </c>
      <c r="AF30" s="26" t="str">
        <f>IFERROR(INDEX($AT$53:$AT$82,MATCH($B$4,$A$53:$A$82,0)),"")</f>
        <v>egalim</v>
      </c>
      <c r="AG30" s="26" t="str">
        <f>IFERROR(INDEX($AU$53:$AU$82,MATCH($B$4,$A$53:$A$82,0)),"")</f>
        <v>durable</v>
      </c>
      <c r="AH30" s="26" t="str">
        <f>IFERROR(INDEX($AV$53:$AV$82,MATCH($B$4,$A$53:$A$82,0)),"")</f>
        <v>bio</v>
      </c>
    </row>
    <row r="31" spans="1:34" ht="24" customHeight="1" x14ac:dyDescent="0.25">
      <c r="A31" s="1563"/>
      <c r="B31" s="13" t="str">
        <f t="shared" si="0"/>
        <v>Saisonnalité</v>
      </c>
      <c r="C31" s="24">
        <f t="shared" si="1"/>
        <v>3</v>
      </c>
      <c r="D31" s="24">
        <f t="shared" si="2"/>
        <v>0</v>
      </c>
      <c r="E31" s="24">
        <f t="shared" si="3"/>
        <v>3</v>
      </c>
      <c r="F31" s="16" t="str">
        <f t="shared" si="4"/>
        <v>Corrigé</v>
      </c>
      <c r="G31" s="25"/>
      <c r="H31" s="14" t="str">
        <f t="shared" si="5"/>
        <v>Saisonnalité</v>
      </c>
      <c r="I31" s="24">
        <f t="shared" si="6"/>
        <v>3</v>
      </c>
      <c r="J31" s="24">
        <f t="shared" si="7"/>
        <v>0</v>
      </c>
      <c r="K31" s="24">
        <f t="shared" si="8"/>
        <v>3</v>
      </c>
      <c r="L31" s="16" t="str">
        <f t="shared" si="9"/>
        <v>Corrigé</v>
      </c>
      <c r="M31" s="12"/>
      <c r="AA31" s="10" t="str">
        <f>IFERROR(INDEX($AW$53:$AW$82,MATCH($B$4,$A$53:$A$82,0)),"")</f>
        <v>Saisonnalité</v>
      </c>
      <c r="AB31" s="26">
        <f>IFERROR(INDEX($AX$53:$AX$82,MATCH($B$4,$A$53:$A$82,0)),0)</f>
        <v>3</v>
      </c>
      <c r="AC31" s="26" t="str">
        <f>IFERROR(INDEX($AY$53:$AY$82,MATCH($B$4,$A$53:$A$82,0)),"")</f>
        <v>saison</v>
      </c>
      <c r="AD31" s="26" t="str">
        <f>IFERROR(INDEX($AZ$53:$AZ$82,MATCH($B$4,$A$53:$A$82,0)),"")</f>
        <v>hiver</v>
      </c>
      <c r="AE31" s="26" t="str">
        <f>IFERROR(INDEX($BA$53:$BA$82,MATCH($B$4,$A$53:$A$82,0)),"")</f>
        <v>ete</v>
      </c>
      <c r="AF31" s="26" t="str">
        <f>IFERROR(INDEX($BB$53:$BB$82,MATCH($B$4,$A$53:$A$82,0)),"")</f>
        <v>saison</v>
      </c>
      <c r="AG31" s="26" t="str">
        <f>IFERROR(INDEX($BC$53:$BC$82,MATCH($B$4,$A$53:$A$82,0)),"")</f>
        <v>periode</v>
      </c>
      <c r="AH31" s="26" t="str">
        <f>IFERROR(INDEX($BD$53:$BD$82,MATCH($B$4,$A$53:$A$82,0)),"")</f>
        <v>produit</v>
      </c>
    </row>
    <row r="32" spans="1:34" ht="24" customHeight="1" x14ac:dyDescent="0.25">
      <c r="A32" s="1563"/>
      <c r="B32" s="13" t="str">
        <f t="shared" si="0"/>
        <v>PMS / allergènes / production</v>
      </c>
      <c r="C32" s="24">
        <f t="shared" si="1"/>
        <v>3</v>
      </c>
      <c r="D32" s="24">
        <f t="shared" si="2"/>
        <v>0</v>
      </c>
      <c r="E32" s="24">
        <f t="shared" si="3"/>
        <v>3</v>
      </c>
      <c r="F32" s="16" t="str">
        <f t="shared" si="4"/>
        <v>Corrigé</v>
      </c>
      <c r="G32" s="25"/>
      <c r="H32" s="14" t="str">
        <f t="shared" si="5"/>
        <v>PMS / allergènes / production</v>
      </c>
      <c r="I32" s="24">
        <f t="shared" si="6"/>
        <v>3</v>
      </c>
      <c r="J32" s="24">
        <f t="shared" si="7"/>
        <v>0</v>
      </c>
      <c r="K32" s="24">
        <f t="shared" si="8"/>
        <v>3</v>
      </c>
      <c r="L32" s="16" t="str">
        <f t="shared" si="9"/>
        <v>Corrigé</v>
      </c>
      <c r="M32" s="12"/>
      <c r="AA32" s="10" t="str">
        <f>IFERROR(INDEX($BE$53:$BE$82,MATCH($B$4,$A$53:$A$82,0)),"")</f>
        <v>PMS / allergènes / production</v>
      </c>
      <c r="AB32" s="26">
        <f>IFERROR(INDEX($BF$53:$BF$82,MATCH($B$4,$A$53:$A$82,0)),0)</f>
        <v>3</v>
      </c>
      <c r="AC32" s="26" t="str">
        <f>IFERROR(INDEX($BG$53:$BG$82,MATCH($B$4,$A$53:$A$82,0)),"")</f>
        <v>pms</v>
      </c>
      <c r="AD32" s="26" t="str">
        <f>IFERROR(INDEX($BH$53:$BH$82,MATCH($B$4,$A$53:$A$82,0)),"")</f>
        <v>allergenes</v>
      </c>
      <c r="AE32" s="26" t="str">
        <f>IFERROR(INDEX($BI$53:$BI$82,MATCH($B$4,$A$53:$A$82,0)),"")</f>
        <v>production</v>
      </c>
      <c r="AF32" s="26" t="str">
        <f>IFERROR(INDEX($BJ$53:$BJ$82,MATCH($B$4,$A$53:$A$82,0)),"")</f>
        <v>allergenes</v>
      </c>
      <c r="AG32" s="26" t="str">
        <f>IFERROR(INDEX($BK$53:$BK$82,MATCH($B$4,$A$53:$A$82,0)),"")</f>
        <v>hygiene</v>
      </c>
      <c r="AH32" s="26" t="str">
        <f>IFERROR(INDEX($BL$53:$BL$82,MATCH($B$4,$A$53:$A$82,0)),"")</f>
        <v>production</v>
      </c>
    </row>
    <row r="33" spans="1:34" ht="24" customHeight="1" x14ac:dyDescent="0.25">
      <c r="A33" s="1563"/>
      <c r="B33" s="13" t="str">
        <f t="shared" si="0"/>
        <v>Gaspillage / acceptabilité</v>
      </c>
      <c r="C33" s="24">
        <f t="shared" si="1"/>
        <v>3</v>
      </c>
      <c r="D33" s="24">
        <f t="shared" si="2"/>
        <v>0</v>
      </c>
      <c r="E33" s="24">
        <f t="shared" si="3"/>
        <v>3</v>
      </c>
      <c r="F33" s="16" t="str">
        <f t="shared" si="4"/>
        <v>Corrigé</v>
      </c>
      <c r="G33" s="25"/>
      <c r="H33" s="14" t="str">
        <f t="shared" si="5"/>
        <v>Gaspillage / acceptabilité</v>
      </c>
      <c r="I33" s="24">
        <f t="shared" si="6"/>
        <v>3</v>
      </c>
      <c r="J33" s="24">
        <f t="shared" si="7"/>
        <v>0</v>
      </c>
      <c r="K33" s="24">
        <f t="shared" si="8"/>
        <v>3</v>
      </c>
      <c r="L33" s="16" t="str">
        <f t="shared" si="9"/>
        <v>Corrigé</v>
      </c>
      <c r="M33" s="12"/>
      <c r="AA33" s="10" t="str">
        <f>IFERROR(INDEX($BM$53:$BM$82,MATCH($B$4,$A$53:$A$82,0)),"")</f>
        <v>Gaspillage / acceptabilité</v>
      </c>
      <c r="AB33" s="26">
        <f>IFERROR(INDEX($BN$53:$BN$82,MATCH($B$4,$A$53:$A$82,0)),0)</f>
        <v>3</v>
      </c>
      <c r="AC33" s="26" t="str">
        <f>IFERROR(INDEX($BO$53:$BO$82,MATCH($B$4,$A$53:$A$82,0)),"")</f>
        <v>gaspillage</v>
      </c>
      <c r="AD33" s="26" t="str">
        <f>IFERROR(INDEX($BP$53:$BP$82,MATCH($B$4,$A$53:$A$82,0)),"")</f>
        <v>acceptabilite</v>
      </c>
      <c r="AE33" s="26" t="str">
        <f>IFERROR(INDEX($BQ$53:$BQ$82,MATCH($B$4,$A$53:$A$82,0)),"")</f>
        <v>consommation</v>
      </c>
      <c r="AF33" s="26" t="str">
        <f>IFERROR(INDEX($BR$53:$BR$82,MATCH($B$4,$A$53:$A$82,0)),"")</f>
        <v>gaspillage</v>
      </c>
      <c r="AG33" s="26" t="str">
        <f>IFERROR(INDEX($BS$53:$BS$82,MATCH($B$4,$A$53:$A$82,0)),"")</f>
        <v>manger</v>
      </c>
      <c r="AH33" s="26" t="str">
        <f>IFERROR(INDEX($BT$53:$BT$82,MATCH($B$4,$A$53:$A$82,0)),"")</f>
        <v>accepter</v>
      </c>
    </row>
    <row r="34" spans="1:34" ht="24" customHeight="1" x14ac:dyDescent="0.25">
      <c r="A34" s="1563"/>
      <c r="B34" s="13" t="s">
        <v>77</v>
      </c>
      <c r="C34" s="19">
        <f>SUM($D$28:$D$33)</f>
        <v>8</v>
      </c>
      <c r="D34" s="27"/>
      <c r="E34" s="27"/>
      <c r="F34" s="27"/>
      <c r="G34" s="28"/>
      <c r="H34" s="14" t="s">
        <v>78</v>
      </c>
      <c r="I34" s="17">
        <f>SUM($J$28:$J$33)</f>
        <v>8</v>
      </c>
      <c r="J34" s="27"/>
      <c r="K34" s="27"/>
      <c r="L34" s="27"/>
      <c r="M34" s="12"/>
    </row>
    <row r="35" spans="1:34" ht="24" customHeight="1" x14ac:dyDescent="0.25">
      <c r="A35" s="1563"/>
      <c r="B35" s="13" t="s">
        <v>79</v>
      </c>
      <c r="C35" s="19">
        <f>IF(COUNTA($B$15:$B$16)=0,"",SUM($E$28:$E$33))</f>
        <v>20</v>
      </c>
      <c r="D35" s="27"/>
      <c r="E35" s="27"/>
      <c r="F35" s="27"/>
      <c r="G35" s="28"/>
      <c r="H35" s="14" t="s">
        <v>80</v>
      </c>
      <c r="I35" s="17">
        <f>IF(COUNTA($I$15:$I$16)=0,"",SUM($K$28:$K$33))</f>
        <v>20</v>
      </c>
      <c r="J35" s="27"/>
      <c r="K35" s="27"/>
      <c r="L35" s="27"/>
      <c r="M35" s="12"/>
    </row>
    <row r="36" spans="1:34" ht="24" customHeight="1" x14ac:dyDescent="0.25">
      <c r="A36" s="1563"/>
      <c r="B36" s="136" t="s">
        <v>81</v>
      </c>
      <c r="C36" s="137">
        <f>IF($C$35="","",$C$35-$C$34)</f>
        <v>12</v>
      </c>
      <c r="D36" s="56"/>
      <c r="E36" s="56"/>
      <c r="F36" s="56"/>
      <c r="G36" s="57"/>
      <c r="H36" s="136" t="s">
        <v>82</v>
      </c>
      <c r="I36" s="137">
        <f>IF($I$35="","",$I$35-$I$34)</f>
        <v>12</v>
      </c>
      <c r="J36" s="29"/>
      <c r="K36" s="29"/>
      <c r="L36" s="29"/>
      <c r="M36" s="12"/>
    </row>
    <row r="37" spans="1:34" ht="15.75" x14ac:dyDescent="0.25">
      <c r="A37" s="9"/>
      <c r="B37" s="8"/>
      <c r="C37" s="9"/>
      <c r="D37" s="9"/>
      <c r="E37" s="9"/>
      <c r="F37" s="9"/>
      <c r="G37" s="9"/>
      <c r="H37" s="9"/>
      <c r="I37" s="9"/>
      <c r="J37" s="30"/>
      <c r="K37" s="30"/>
      <c r="L37" s="30"/>
      <c r="M37" s="30"/>
    </row>
    <row r="52" spans="1:72" ht="27.95" customHeight="1" x14ac:dyDescent="0.25">
      <c r="A52" s="31" t="s">
        <v>83</v>
      </c>
      <c r="B52" s="31" t="s">
        <v>5</v>
      </c>
      <c r="C52" s="31" t="s">
        <v>6</v>
      </c>
      <c r="D52" s="31" t="s">
        <v>84</v>
      </c>
      <c r="E52" s="31" t="s">
        <v>85</v>
      </c>
      <c r="F52" s="31" t="s">
        <v>86</v>
      </c>
      <c r="G52" s="31" t="s">
        <v>87</v>
      </c>
      <c r="H52" s="31" t="s">
        <v>88</v>
      </c>
      <c r="I52" s="31" t="s">
        <v>89</v>
      </c>
      <c r="J52" s="31" t="s">
        <v>90</v>
      </c>
      <c r="K52" s="31" t="s">
        <v>91</v>
      </c>
      <c r="L52" s="31" t="s">
        <v>92</v>
      </c>
      <c r="M52" s="31" t="s">
        <v>93</v>
      </c>
      <c r="N52" s="31" t="s">
        <v>94</v>
      </c>
      <c r="O52" s="31" t="s">
        <v>95</v>
      </c>
      <c r="P52" s="31" t="s">
        <v>96</v>
      </c>
      <c r="Q52" s="31" t="s">
        <v>97</v>
      </c>
      <c r="R52" s="31" t="s">
        <v>98</v>
      </c>
      <c r="S52" s="31" t="s">
        <v>99</v>
      </c>
      <c r="T52" s="31" t="s">
        <v>100</v>
      </c>
      <c r="U52" s="31" t="s">
        <v>101</v>
      </c>
      <c r="V52" s="31" t="s">
        <v>102</v>
      </c>
      <c r="W52" s="31" t="s">
        <v>103</v>
      </c>
      <c r="X52" s="31" t="s">
        <v>104</v>
      </c>
      <c r="Y52" s="32" t="s">
        <v>105</v>
      </c>
      <c r="Z52" s="32" t="s">
        <v>106</v>
      </c>
      <c r="AA52" s="32" t="s">
        <v>107</v>
      </c>
      <c r="AB52" s="32" t="s">
        <v>108</v>
      </c>
      <c r="AC52" s="32" t="s">
        <v>109</v>
      </c>
      <c r="AD52" s="32" t="s">
        <v>110</v>
      </c>
      <c r="AE52" s="32" t="s">
        <v>111</v>
      </c>
      <c r="AF52" s="32" t="s">
        <v>112</v>
      </c>
      <c r="AG52" s="32" t="s">
        <v>113</v>
      </c>
      <c r="AH52" s="32" t="s">
        <v>114</v>
      </c>
      <c r="AI52" s="32" t="s">
        <v>115</v>
      </c>
      <c r="AJ52" s="32" t="s">
        <v>116</v>
      </c>
      <c r="AK52" s="32" t="s">
        <v>117</v>
      </c>
      <c r="AL52" s="32" t="s">
        <v>118</v>
      </c>
      <c r="AM52" s="32" t="s">
        <v>119</v>
      </c>
      <c r="AN52" s="32" t="s">
        <v>120</v>
      </c>
      <c r="AO52" s="32" t="s">
        <v>121</v>
      </c>
      <c r="AP52" s="32" t="s">
        <v>122</v>
      </c>
      <c r="AQ52" s="32" t="s">
        <v>123</v>
      </c>
      <c r="AR52" s="32" t="s">
        <v>124</v>
      </c>
      <c r="AS52" s="32" t="s">
        <v>125</v>
      </c>
      <c r="AT52" s="32" t="s">
        <v>126</v>
      </c>
      <c r="AU52" s="32" t="s">
        <v>127</v>
      </c>
      <c r="AV52" s="32" t="s">
        <v>128</v>
      </c>
      <c r="AW52" s="32" t="s">
        <v>129</v>
      </c>
      <c r="AX52" s="32" t="s">
        <v>130</v>
      </c>
      <c r="AY52" s="32" t="s">
        <v>131</v>
      </c>
      <c r="AZ52" s="32" t="s">
        <v>132</v>
      </c>
      <c r="BA52" s="32" t="s">
        <v>133</v>
      </c>
      <c r="BB52" s="32" t="s">
        <v>134</v>
      </c>
      <c r="BC52" s="32" t="s">
        <v>135</v>
      </c>
      <c r="BD52" s="32" t="s">
        <v>136</v>
      </c>
      <c r="BE52" s="32" t="s">
        <v>137</v>
      </c>
      <c r="BF52" s="32" t="s">
        <v>138</v>
      </c>
      <c r="BG52" s="32" t="s">
        <v>139</v>
      </c>
      <c r="BH52" s="32" t="s">
        <v>140</v>
      </c>
      <c r="BI52" s="32" t="s">
        <v>141</v>
      </c>
      <c r="BJ52" s="32" t="s">
        <v>142</v>
      </c>
      <c r="BK52" s="32" t="s">
        <v>143</v>
      </c>
      <c r="BL52" s="32" t="s">
        <v>144</v>
      </c>
      <c r="BM52" s="32" t="s">
        <v>145</v>
      </c>
      <c r="BN52" s="32" t="s">
        <v>146</v>
      </c>
      <c r="BO52" s="32" t="s">
        <v>147</v>
      </c>
      <c r="BP52" s="32" t="s">
        <v>148</v>
      </c>
      <c r="BQ52" s="32" t="s">
        <v>149</v>
      </c>
      <c r="BR52" s="32" t="s">
        <v>150</v>
      </c>
      <c r="BS52" s="32" t="s">
        <v>151</v>
      </c>
      <c r="BT52" s="32" t="s">
        <v>152</v>
      </c>
    </row>
    <row r="53" spans="1:72" s="184" customFormat="1" ht="54.95" customHeight="1" x14ac:dyDescent="0.25">
      <c r="A53" s="155">
        <v>1</v>
      </c>
      <c r="B53" s="184" t="s">
        <v>153</v>
      </c>
      <c r="C53" s="184" t="s">
        <v>4255</v>
      </c>
      <c r="D53" s="184" t="s">
        <v>4256</v>
      </c>
      <c r="E53" s="184" t="s">
        <v>4257</v>
      </c>
      <c r="F53" s="184" t="s">
        <v>4258</v>
      </c>
      <c r="G53" s="184" t="s">
        <v>4259</v>
      </c>
      <c r="H53" s="184" t="s">
        <v>4235</v>
      </c>
      <c r="I53" s="184" t="s">
        <v>4236</v>
      </c>
      <c r="J53" s="184" t="s">
        <v>4260</v>
      </c>
      <c r="K53" s="184" t="s">
        <v>4261</v>
      </c>
      <c r="L53" s="184" t="s">
        <v>4262</v>
      </c>
      <c r="M53" s="184" t="s">
        <v>4263</v>
      </c>
      <c r="N53" s="184" t="s">
        <v>4264</v>
      </c>
      <c r="O53" s="184">
        <v>20</v>
      </c>
      <c r="P53" s="184" t="s">
        <v>259</v>
      </c>
      <c r="Q53" s="184" t="s">
        <v>4265</v>
      </c>
      <c r="R53" s="184" t="s">
        <v>4266</v>
      </c>
      <c r="S53" s="184" t="s">
        <v>4267</v>
      </c>
      <c r="T53" s="184" t="s">
        <v>4268</v>
      </c>
      <c r="U53" s="184" t="s">
        <v>4269</v>
      </c>
      <c r="V53" s="184" t="s">
        <v>4270</v>
      </c>
      <c r="W53" s="184" t="s">
        <v>4271</v>
      </c>
      <c r="X53" s="184" t="s">
        <v>4272</v>
      </c>
      <c r="Y53" s="185" t="s">
        <v>4273</v>
      </c>
      <c r="Z53" s="185">
        <v>4</v>
      </c>
      <c r="AA53" s="185" t="s">
        <v>715</v>
      </c>
      <c r="AB53" s="185" t="s">
        <v>4274</v>
      </c>
      <c r="AC53" s="185" t="s">
        <v>4275</v>
      </c>
      <c r="AD53" s="185" t="s">
        <v>715</v>
      </c>
      <c r="AE53" s="185" t="s">
        <v>4274</v>
      </c>
      <c r="AF53" s="185" t="s">
        <v>4275</v>
      </c>
      <c r="AG53" s="185" t="s">
        <v>4250</v>
      </c>
      <c r="AH53" s="185">
        <v>4</v>
      </c>
      <c r="AI53" s="185" t="s">
        <v>268</v>
      </c>
      <c r="AJ53" s="185" t="s">
        <v>4276</v>
      </c>
      <c r="AK53" s="185" t="s">
        <v>1879</v>
      </c>
      <c r="AL53" s="185" t="s">
        <v>271</v>
      </c>
      <c r="AM53" s="185" t="s">
        <v>599</v>
      </c>
      <c r="AN53" s="185" t="s">
        <v>1879</v>
      </c>
      <c r="AO53" s="185" t="s">
        <v>4277</v>
      </c>
      <c r="AP53" s="185">
        <v>3</v>
      </c>
      <c r="AQ53" s="185" t="s">
        <v>3812</v>
      </c>
      <c r="AR53" s="185" t="s">
        <v>4278</v>
      </c>
      <c r="AS53" s="185" t="s">
        <v>4279</v>
      </c>
      <c r="AT53" s="185" t="s">
        <v>3812</v>
      </c>
      <c r="AU53" s="185" t="s">
        <v>4280</v>
      </c>
      <c r="AV53" s="185" t="s">
        <v>4279</v>
      </c>
      <c r="AW53" s="185" t="s">
        <v>4281</v>
      </c>
      <c r="AX53" s="185">
        <v>3</v>
      </c>
      <c r="AY53" s="185" t="s">
        <v>411</v>
      </c>
      <c r="AZ53" s="185" t="s">
        <v>619</v>
      </c>
      <c r="BA53" s="185" t="s">
        <v>598</v>
      </c>
      <c r="BB53" s="185" t="s">
        <v>411</v>
      </c>
      <c r="BC53" s="185" t="s">
        <v>1401</v>
      </c>
      <c r="BD53" s="185" t="s">
        <v>1400</v>
      </c>
      <c r="BE53" s="185" t="s">
        <v>4252</v>
      </c>
      <c r="BF53" s="185">
        <v>3</v>
      </c>
      <c r="BG53" s="185" t="s">
        <v>3813</v>
      </c>
      <c r="BH53" s="185" t="s">
        <v>567</v>
      </c>
      <c r="BI53" s="185" t="s">
        <v>242</v>
      </c>
      <c r="BJ53" s="185" t="s">
        <v>567</v>
      </c>
      <c r="BK53" s="185" t="s">
        <v>4282</v>
      </c>
      <c r="BL53" s="185" t="s">
        <v>242</v>
      </c>
      <c r="BM53" s="185" t="s">
        <v>4253</v>
      </c>
      <c r="BN53" s="185">
        <v>3</v>
      </c>
      <c r="BO53" s="185" t="s">
        <v>4283</v>
      </c>
      <c r="BP53" s="185" t="s">
        <v>352</v>
      </c>
      <c r="BQ53" s="185" t="s">
        <v>311</v>
      </c>
      <c r="BR53" s="185" t="s">
        <v>4283</v>
      </c>
      <c r="BS53" s="185" t="s">
        <v>353</v>
      </c>
      <c r="BT53" s="185" t="s">
        <v>1749</v>
      </c>
    </row>
    <row r="54" spans="1:72" s="184" customFormat="1" ht="54.95" customHeight="1" x14ac:dyDescent="0.25">
      <c r="A54" s="155">
        <v>2</v>
      </c>
      <c r="B54" s="184" t="s">
        <v>246</v>
      </c>
      <c r="C54" s="184" t="s">
        <v>247</v>
      </c>
      <c r="D54" s="184" t="s">
        <v>248</v>
      </c>
      <c r="E54" s="184" t="s">
        <v>4284</v>
      </c>
      <c r="F54" s="184" t="s">
        <v>4285</v>
      </c>
      <c r="G54" s="184" t="s">
        <v>4286</v>
      </c>
      <c r="H54" s="184" t="s">
        <v>4287</v>
      </c>
      <c r="I54" s="184" t="s">
        <v>4288</v>
      </c>
      <c r="J54" s="184" t="s">
        <v>4289</v>
      </c>
      <c r="K54" s="184" t="s">
        <v>4290</v>
      </c>
      <c r="L54" s="184" t="s">
        <v>4262</v>
      </c>
      <c r="M54" s="184" t="s">
        <v>4263</v>
      </c>
      <c r="N54" s="184" t="s">
        <v>4264</v>
      </c>
      <c r="O54" s="184">
        <v>20</v>
      </c>
      <c r="P54" s="184" t="s">
        <v>259</v>
      </c>
      <c r="Q54" s="184" t="s">
        <v>260</v>
      </c>
      <c r="R54" s="184" t="s">
        <v>4291</v>
      </c>
      <c r="S54" s="184" t="s">
        <v>4292</v>
      </c>
      <c r="T54" s="184" t="s">
        <v>4293</v>
      </c>
      <c r="U54" s="184" t="s">
        <v>4294</v>
      </c>
      <c r="V54" s="184" t="s">
        <v>4295</v>
      </c>
      <c r="W54" s="184" t="s">
        <v>4296</v>
      </c>
      <c r="X54" s="184" t="s">
        <v>4297</v>
      </c>
      <c r="Y54" s="185" t="s">
        <v>4273</v>
      </c>
      <c r="Z54" s="185">
        <v>4</v>
      </c>
      <c r="AA54" s="185" t="s">
        <v>715</v>
      </c>
      <c r="AB54" s="185" t="s">
        <v>4274</v>
      </c>
      <c r="AC54" s="185" t="s">
        <v>4275</v>
      </c>
      <c r="AD54" s="185" t="s">
        <v>715</v>
      </c>
      <c r="AE54" s="185" t="s">
        <v>4274</v>
      </c>
      <c r="AF54" s="185" t="s">
        <v>4275</v>
      </c>
      <c r="AG54" s="185" t="s">
        <v>4250</v>
      </c>
      <c r="AH54" s="185">
        <v>4</v>
      </c>
      <c r="AI54" s="185" t="s">
        <v>268</v>
      </c>
      <c r="AJ54" s="185" t="s">
        <v>4276</v>
      </c>
      <c r="AK54" s="185" t="s">
        <v>1879</v>
      </c>
      <c r="AL54" s="185" t="s">
        <v>271</v>
      </c>
      <c r="AM54" s="185" t="s">
        <v>599</v>
      </c>
      <c r="AN54" s="185" t="s">
        <v>1879</v>
      </c>
      <c r="AO54" s="185" t="s">
        <v>4277</v>
      </c>
      <c r="AP54" s="185">
        <v>3</v>
      </c>
      <c r="AQ54" s="185" t="s">
        <v>3812</v>
      </c>
      <c r="AR54" s="185" t="s">
        <v>4278</v>
      </c>
      <c r="AS54" s="185" t="s">
        <v>4279</v>
      </c>
      <c r="AT54" s="185" t="s">
        <v>3812</v>
      </c>
      <c r="AU54" s="185" t="s">
        <v>4280</v>
      </c>
      <c r="AV54" s="185" t="s">
        <v>4279</v>
      </c>
      <c r="AW54" s="185" t="s">
        <v>4281</v>
      </c>
      <c r="AX54" s="185">
        <v>3</v>
      </c>
      <c r="AY54" s="185" t="s">
        <v>411</v>
      </c>
      <c r="AZ54" s="185" t="s">
        <v>619</v>
      </c>
      <c r="BA54" s="185" t="s">
        <v>598</v>
      </c>
      <c r="BB54" s="185" t="s">
        <v>411</v>
      </c>
      <c r="BC54" s="185" t="s">
        <v>1401</v>
      </c>
      <c r="BD54" s="185" t="s">
        <v>1400</v>
      </c>
      <c r="BE54" s="185" t="s">
        <v>4252</v>
      </c>
      <c r="BF54" s="185">
        <v>3</v>
      </c>
      <c r="BG54" s="185" t="s">
        <v>3813</v>
      </c>
      <c r="BH54" s="185" t="s">
        <v>567</v>
      </c>
      <c r="BI54" s="185" t="s">
        <v>242</v>
      </c>
      <c r="BJ54" s="185" t="s">
        <v>567</v>
      </c>
      <c r="BK54" s="185" t="s">
        <v>4282</v>
      </c>
      <c r="BL54" s="185" t="s">
        <v>242</v>
      </c>
      <c r="BM54" s="185" t="s">
        <v>4253</v>
      </c>
      <c r="BN54" s="185">
        <v>3</v>
      </c>
      <c r="BO54" s="185" t="s">
        <v>4283</v>
      </c>
      <c r="BP54" s="185" t="s">
        <v>352</v>
      </c>
      <c r="BQ54" s="185" t="s">
        <v>311</v>
      </c>
      <c r="BR54" s="185" t="s">
        <v>4283</v>
      </c>
      <c r="BS54" s="185" t="s">
        <v>353</v>
      </c>
      <c r="BT54" s="185" t="s">
        <v>1749</v>
      </c>
    </row>
    <row r="55" spans="1:72" s="184" customFormat="1" ht="54.95" customHeight="1" x14ac:dyDescent="0.25">
      <c r="A55" s="155">
        <v>3</v>
      </c>
      <c r="B55" s="184" t="s">
        <v>4298</v>
      </c>
      <c r="C55" s="184" t="s">
        <v>4299</v>
      </c>
      <c r="D55" s="184" t="s">
        <v>4300</v>
      </c>
      <c r="E55" s="184" t="s">
        <v>4301</v>
      </c>
      <c r="F55" s="184" t="s">
        <v>4302</v>
      </c>
      <c r="G55" s="184" t="s">
        <v>4303</v>
      </c>
      <c r="H55" s="184" t="s">
        <v>4304</v>
      </c>
      <c r="I55" s="184" t="s">
        <v>4305</v>
      </c>
      <c r="J55" s="184" t="s">
        <v>4306</v>
      </c>
      <c r="K55" s="184" t="s">
        <v>4307</v>
      </c>
      <c r="L55" s="184" t="s">
        <v>4262</v>
      </c>
      <c r="M55" s="184" t="s">
        <v>4263</v>
      </c>
      <c r="N55" s="184" t="s">
        <v>4264</v>
      </c>
      <c r="O55" s="184">
        <v>20</v>
      </c>
      <c r="P55" s="184" t="s">
        <v>259</v>
      </c>
      <c r="Q55" s="184" t="s">
        <v>4308</v>
      </c>
      <c r="R55" s="184" t="s">
        <v>4309</v>
      </c>
      <c r="S55" s="184" t="s">
        <v>4310</v>
      </c>
      <c r="T55" s="184" t="s">
        <v>4311</v>
      </c>
      <c r="U55" s="184" t="s">
        <v>4312</v>
      </c>
      <c r="V55" s="184" t="s">
        <v>4313</v>
      </c>
      <c r="W55" s="184" t="s">
        <v>4314</v>
      </c>
      <c r="X55" s="184" t="s">
        <v>4315</v>
      </c>
      <c r="Y55" s="185" t="s">
        <v>4273</v>
      </c>
      <c r="Z55" s="185">
        <v>4</v>
      </c>
      <c r="AA55" s="185" t="s">
        <v>715</v>
      </c>
      <c r="AB55" s="185" t="s">
        <v>4274</v>
      </c>
      <c r="AC55" s="185" t="s">
        <v>4275</v>
      </c>
      <c r="AD55" s="185" t="s">
        <v>715</v>
      </c>
      <c r="AE55" s="185" t="s">
        <v>4274</v>
      </c>
      <c r="AF55" s="185" t="s">
        <v>4275</v>
      </c>
      <c r="AG55" s="185" t="s">
        <v>4250</v>
      </c>
      <c r="AH55" s="185">
        <v>4</v>
      </c>
      <c r="AI55" s="185" t="s">
        <v>268</v>
      </c>
      <c r="AJ55" s="185" t="s">
        <v>4276</v>
      </c>
      <c r="AK55" s="185" t="s">
        <v>1879</v>
      </c>
      <c r="AL55" s="185" t="s">
        <v>271</v>
      </c>
      <c r="AM55" s="185" t="s">
        <v>599</v>
      </c>
      <c r="AN55" s="185" t="s">
        <v>1879</v>
      </c>
      <c r="AO55" s="185" t="s">
        <v>4277</v>
      </c>
      <c r="AP55" s="185">
        <v>3</v>
      </c>
      <c r="AQ55" s="185" t="s">
        <v>3812</v>
      </c>
      <c r="AR55" s="185" t="s">
        <v>4278</v>
      </c>
      <c r="AS55" s="185" t="s">
        <v>4279</v>
      </c>
      <c r="AT55" s="185" t="s">
        <v>3812</v>
      </c>
      <c r="AU55" s="185" t="s">
        <v>4280</v>
      </c>
      <c r="AV55" s="185" t="s">
        <v>4279</v>
      </c>
      <c r="AW55" s="185" t="s">
        <v>4281</v>
      </c>
      <c r="AX55" s="185">
        <v>3</v>
      </c>
      <c r="AY55" s="185" t="s">
        <v>411</v>
      </c>
      <c r="AZ55" s="185" t="s">
        <v>619</v>
      </c>
      <c r="BA55" s="185" t="s">
        <v>598</v>
      </c>
      <c r="BB55" s="185" t="s">
        <v>411</v>
      </c>
      <c r="BC55" s="185" t="s">
        <v>1401</v>
      </c>
      <c r="BD55" s="185" t="s">
        <v>1400</v>
      </c>
      <c r="BE55" s="185" t="s">
        <v>4252</v>
      </c>
      <c r="BF55" s="185">
        <v>3</v>
      </c>
      <c r="BG55" s="185" t="s">
        <v>3813</v>
      </c>
      <c r="BH55" s="185" t="s">
        <v>567</v>
      </c>
      <c r="BI55" s="185" t="s">
        <v>242</v>
      </c>
      <c r="BJ55" s="185" t="s">
        <v>567</v>
      </c>
      <c r="BK55" s="185" t="s">
        <v>4282</v>
      </c>
      <c r="BL55" s="185" t="s">
        <v>242</v>
      </c>
      <c r="BM55" s="185" t="s">
        <v>4253</v>
      </c>
      <c r="BN55" s="185">
        <v>3</v>
      </c>
      <c r="BO55" s="185" t="s">
        <v>4283</v>
      </c>
      <c r="BP55" s="185" t="s">
        <v>352</v>
      </c>
      <c r="BQ55" s="185" t="s">
        <v>311</v>
      </c>
      <c r="BR55" s="185" t="s">
        <v>4283</v>
      </c>
      <c r="BS55" s="185" t="s">
        <v>353</v>
      </c>
      <c r="BT55" s="185" t="s">
        <v>1749</v>
      </c>
    </row>
    <row r="56" spans="1:72" s="184" customFormat="1" ht="54.95" customHeight="1" x14ac:dyDescent="0.25">
      <c r="A56" s="155">
        <v>4</v>
      </c>
      <c r="B56" s="184" t="s">
        <v>600</v>
      </c>
      <c r="C56" s="184" t="s">
        <v>154</v>
      </c>
      <c r="D56" s="184" t="s">
        <v>4316</v>
      </c>
      <c r="E56" s="184" t="s">
        <v>4317</v>
      </c>
      <c r="F56" s="184" t="s">
        <v>4318</v>
      </c>
      <c r="G56" s="184" t="s">
        <v>4319</v>
      </c>
      <c r="H56" s="184" t="s">
        <v>4320</v>
      </c>
      <c r="I56" s="184" t="s">
        <v>4321</v>
      </c>
      <c r="J56" s="184" t="s">
        <v>4322</v>
      </c>
      <c r="K56" s="184" t="s">
        <v>4323</v>
      </c>
      <c r="L56" s="184" t="s">
        <v>4262</v>
      </c>
      <c r="M56" s="184" t="s">
        <v>4263</v>
      </c>
      <c r="N56" s="184" t="s">
        <v>4264</v>
      </c>
      <c r="O56" s="184">
        <v>20</v>
      </c>
      <c r="P56" s="184" t="s">
        <v>259</v>
      </c>
      <c r="Q56" s="184" t="s">
        <v>4281</v>
      </c>
      <c r="R56" s="184" t="s">
        <v>4324</v>
      </c>
      <c r="S56" s="184" t="s">
        <v>4325</v>
      </c>
      <c r="T56" s="184" t="s">
        <v>4326</v>
      </c>
      <c r="U56" s="184" t="s">
        <v>4327</v>
      </c>
      <c r="V56" s="184" t="s">
        <v>4328</v>
      </c>
      <c r="W56" s="184" t="s">
        <v>4329</v>
      </c>
      <c r="X56" s="184" t="s">
        <v>4330</v>
      </c>
      <c r="Y56" s="185" t="s">
        <v>4273</v>
      </c>
      <c r="Z56" s="185">
        <v>4</v>
      </c>
      <c r="AA56" s="185" t="s">
        <v>715</v>
      </c>
      <c r="AB56" s="185" t="s">
        <v>4274</v>
      </c>
      <c r="AC56" s="185" t="s">
        <v>4275</v>
      </c>
      <c r="AD56" s="185" t="s">
        <v>715</v>
      </c>
      <c r="AE56" s="185" t="s">
        <v>4274</v>
      </c>
      <c r="AF56" s="185" t="s">
        <v>4275</v>
      </c>
      <c r="AG56" s="185" t="s">
        <v>4250</v>
      </c>
      <c r="AH56" s="185">
        <v>4</v>
      </c>
      <c r="AI56" s="185" t="s">
        <v>268</v>
      </c>
      <c r="AJ56" s="185" t="s">
        <v>4276</v>
      </c>
      <c r="AK56" s="185" t="s">
        <v>1879</v>
      </c>
      <c r="AL56" s="185" t="s">
        <v>271</v>
      </c>
      <c r="AM56" s="185" t="s">
        <v>599</v>
      </c>
      <c r="AN56" s="185" t="s">
        <v>1879</v>
      </c>
      <c r="AO56" s="185" t="s">
        <v>4277</v>
      </c>
      <c r="AP56" s="185">
        <v>3</v>
      </c>
      <c r="AQ56" s="185" t="s">
        <v>3812</v>
      </c>
      <c r="AR56" s="185" t="s">
        <v>4278</v>
      </c>
      <c r="AS56" s="185" t="s">
        <v>4279</v>
      </c>
      <c r="AT56" s="185" t="s">
        <v>3812</v>
      </c>
      <c r="AU56" s="185" t="s">
        <v>4280</v>
      </c>
      <c r="AV56" s="185" t="s">
        <v>4279</v>
      </c>
      <c r="AW56" s="185" t="s">
        <v>4281</v>
      </c>
      <c r="AX56" s="185">
        <v>3</v>
      </c>
      <c r="AY56" s="185" t="s">
        <v>411</v>
      </c>
      <c r="AZ56" s="185" t="s">
        <v>619</v>
      </c>
      <c r="BA56" s="185" t="s">
        <v>598</v>
      </c>
      <c r="BB56" s="185" t="s">
        <v>411</v>
      </c>
      <c r="BC56" s="185" t="s">
        <v>1401</v>
      </c>
      <c r="BD56" s="185" t="s">
        <v>1400</v>
      </c>
      <c r="BE56" s="185" t="s">
        <v>4252</v>
      </c>
      <c r="BF56" s="185">
        <v>3</v>
      </c>
      <c r="BG56" s="185" t="s">
        <v>3813</v>
      </c>
      <c r="BH56" s="185" t="s">
        <v>567</v>
      </c>
      <c r="BI56" s="185" t="s">
        <v>242</v>
      </c>
      <c r="BJ56" s="185" t="s">
        <v>567</v>
      </c>
      <c r="BK56" s="185" t="s">
        <v>4282</v>
      </c>
      <c r="BL56" s="185" t="s">
        <v>242</v>
      </c>
      <c r="BM56" s="185" t="s">
        <v>4253</v>
      </c>
      <c r="BN56" s="185">
        <v>3</v>
      </c>
      <c r="BO56" s="185" t="s">
        <v>4283</v>
      </c>
      <c r="BP56" s="185" t="s">
        <v>352</v>
      </c>
      <c r="BQ56" s="185" t="s">
        <v>311</v>
      </c>
      <c r="BR56" s="185" t="s">
        <v>4283</v>
      </c>
      <c r="BS56" s="185" t="s">
        <v>353</v>
      </c>
      <c r="BT56" s="185" t="s">
        <v>1749</v>
      </c>
    </row>
    <row r="57" spans="1:72" s="184" customFormat="1" ht="54.95" customHeight="1" x14ac:dyDescent="0.25">
      <c r="A57" s="155">
        <v>5</v>
      </c>
      <c r="B57" s="184" t="s">
        <v>153</v>
      </c>
      <c r="C57" s="184" t="s">
        <v>154</v>
      </c>
      <c r="D57" s="184" t="s">
        <v>4331</v>
      </c>
      <c r="E57" s="184" t="s">
        <v>4332</v>
      </c>
      <c r="F57" s="184" t="s">
        <v>4333</v>
      </c>
      <c r="G57" s="184" t="s">
        <v>4334</v>
      </c>
      <c r="H57" s="184" t="s">
        <v>4335</v>
      </c>
      <c r="I57" s="184" t="s">
        <v>4336</v>
      </c>
      <c r="J57" s="184" t="s">
        <v>4337</v>
      </c>
      <c r="K57" s="184" t="s">
        <v>4338</v>
      </c>
      <c r="L57" s="184" t="s">
        <v>4262</v>
      </c>
      <c r="M57" s="184" t="s">
        <v>4263</v>
      </c>
      <c r="N57" s="184" t="s">
        <v>4264</v>
      </c>
      <c r="O57" s="184">
        <v>20</v>
      </c>
      <c r="P57" s="184" t="s">
        <v>259</v>
      </c>
      <c r="Q57" s="184" t="s">
        <v>4339</v>
      </c>
      <c r="R57" s="184" t="s">
        <v>4340</v>
      </c>
      <c r="S57" s="184" t="s">
        <v>4341</v>
      </c>
      <c r="T57" s="184" t="s">
        <v>4342</v>
      </c>
      <c r="U57" s="184" t="s">
        <v>4343</v>
      </c>
      <c r="V57" s="184" t="s">
        <v>4344</v>
      </c>
      <c r="W57" s="184" t="s">
        <v>4345</v>
      </c>
      <c r="X57" s="184" t="s">
        <v>4346</v>
      </c>
      <c r="Y57" s="185" t="s">
        <v>4273</v>
      </c>
      <c r="Z57" s="185">
        <v>4</v>
      </c>
      <c r="AA57" s="185" t="s">
        <v>715</v>
      </c>
      <c r="AB57" s="185" t="s">
        <v>4274</v>
      </c>
      <c r="AC57" s="185" t="s">
        <v>4275</v>
      </c>
      <c r="AD57" s="185" t="s">
        <v>715</v>
      </c>
      <c r="AE57" s="185" t="s">
        <v>4274</v>
      </c>
      <c r="AF57" s="185" t="s">
        <v>4275</v>
      </c>
      <c r="AG57" s="185" t="s">
        <v>4250</v>
      </c>
      <c r="AH57" s="185">
        <v>4</v>
      </c>
      <c r="AI57" s="185" t="s">
        <v>268</v>
      </c>
      <c r="AJ57" s="185" t="s">
        <v>4276</v>
      </c>
      <c r="AK57" s="185" t="s">
        <v>1879</v>
      </c>
      <c r="AL57" s="185" t="s">
        <v>271</v>
      </c>
      <c r="AM57" s="185" t="s">
        <v>599</v>
      </c>
      <c r="AN57" s="185" t="s">
        <v>1879</v>
      </c>
      <c r="AO57" s="185" t="s">
        <v>4277</v>
      </c>
      <c r="AP57" s="185">
        <v>3</v>
      </c>
      <c r="AQ57" s="185" t="s">
        <v>3812</v>
      </c>
      <c r="AR57" s="185" t="s">
        <v>4278</v>
      </c>
      <c r="AS57" s="185" t="s">
        <v>4279</v>
      </c>
      <c r="AT57" s="185" t="s">
        <v>3812</v>
      </c>
      <c r="AU57" s="185" t="s">
        <v>4280</v>
      </c>
      <c r="AV57" s="185" t="s">
        <v>4279</v>
      </c>
      <c r="AW57" s="185" t="s">
        <v>4281</v>
      </c>
      <c r="AX57" s="185">
        <v>3</v>
      </c>
      <c r="AY57" s="185" t="s">
        <v>411</v>
      </c>
      <c r="AZ57" s="185" t="s">
        <v>619</v>
      </c>
      <c r="BA57" s="185" t="s">
        <v>598</v>
      </c>
      <c r="BB57" s="185" t="s">
        <v>411</v>
      </c>
      <c r="BC57" s="185" t="s">
        <v>1401</v>
      </c>
      <c r="BD57" s="185" t="s">
        <v>1400</v>
      </c>
      <c r="BE57" s="185" t="s">
        <v>4252</v>
      </c>
      <c r="BF57" s="185">
        <v>3</v>
      </c>
      <c r="BG57" s="185" t="s">
        <v>3813</v>
      </c>
      <c r="BH57" s="185" t="s">
        <v>567</v>
      </c>
      <c r="BI57" s="185" t="s">
        <v>242</v>
      </c>
      <c r="BJ57" s="185" t="s">
        <v>567</v>
      </c>
      <c r="BK57" s="185" t="s">
        <v>4282</v>
      </c>
      <c r="BL57" s="185" t="s">
        <v>242</v>
      </c>
      <c r="BM57" s="185" t="s">
        <v>4253</v>
      </c>
      <c r="BN57" s="185">
        <v>3</v>
      </c>
      <c r="BO57" s="185" t="s">
        <v>4283</v>
      </c>
      <c r="BP57" s="185" t="s">
        <v>352</v>
      </c>
      <c r="BQ57" s="185" t="s">
        <v>311</v>
      </c>
      <c r="BR57" s="185" t="s">
        <v>4283</v>
      </c>
      <c r="BS57" s="185" t="s">
        <v>353</v>
      </c>
      <c r="BT57" s="185" t="s">
        <v>1749</v>
      </c>
    </row>
    <row r="58" spans="1:72" s="184" customFormat="1" ht="54.95" customHeight="1" x14ac:dyDescent="0.25">
      <c r="A58" s="155">
        <v>6</v>
      </c>
      <c r="B58" s="184" t="s">
        <v>4347</v>
      </c>
      <c r="C58" s="184" t="s">
        <v>247</v>
      </c>
      <c r="D58" s="184" t="s">
        <v>4348</v>
      </c>
      <c r="E58" s="184" t="s">
        <v>4349</v>
      </c>
      <c r="F58" s="184" t="s">
        <v>4350</v>
      </c>
      <c r="G58" s="184" t="s">
        <v>4351</v>
      </c>
      <c r="H58" s="184" t="s">
        <v>4352</v>
      </c>
      <c r="I58" s="184" t="s">
        <v>4353</v>
      </c>
      <c r="J58" s="184" t="s">
        <v>4354</v>
      </c>
      <c r="K58" s="184" t="s">
        <v>4355</v>
      </c>
      <c r="L58" s="184" t="s">
        <v>4262</v>
      </c>
      <c r="M58" s="184" t="s">
        <v>4263</v>
      </c>
      <c r="N58" s="184" t="s">
        <v>4264</v>
      </c>
      <c r="O58" s="184">
        <v>20</v>
      </c>
      <c r="P58" s="184" t="s">
        <v>259</v>
      </c>
      <c r="Q58" s="184" t="s">
        <v>4356</v>
      </c>
      <c r="R58" s="184" t="s">
        <v>4357</v>
      </c>
      <c r="S58" s="184" t="s">
        <v>4358</v>
      </c>
      <c r="T58" s="184" t="s">
        <v>4359</v>
      </c>
      <c r="U58" s="184" t="s">
        <v>4360</v>
      </c>
      <c r="V58" s="184" t="s">
        <v>4361</v>
      </c>
      <c r="W58" s="184" t="s">
        <v>4362</v>
      </c>
      <c r="X58" s="184" t="s">
        <v>4363</v>
      </c>
      <c r="Y58" s="185" t="s">
        <v>4273</v>
      </c>
      <c r="Z58" s="185">
        <v>4</v>
      </c>
      <c r="AA58" s="185" t="s">
        <v>715</v>
      </c>
      <c r="AB58" s="185" t="s">
        <v>4274</v>
      </c>
      <c r="AC58" s="185" t="s">
        <v>4275</v>
      </c>
      <c r="AD58" s="185" t="s">
        <v>715</v>
      </c>
      <c r="AE58" s="185" t="s">
        <v>4274</v>
      </c>
      <c r="AF58" s="185" t="s">
        <v>4275</v>
      </c>
      <c r="AG58" s="185" t="s">
        <v>4250</v>
      </c>
      <c r="AH58" s="185">
        <v>4</v>
      </c>
      <c r="AI58" s="185" t="s">
        <v>268</v>
      </c>
      <c r="AJ58" s="185" t="s">
        <v>4276</v>
      </c>
      <c r="AK58" s="185" t="s">
        <v>1879</v>
      </c>
      <c r="AL58" s="185" t="s">
        <v>271</v>
      </c>
      <c r="AM58" s="185" t="s">
        <v>599</v>
      </c>
      <c r="AN58" s="185" t="s">
        <v>1879</v>
      </c>
      <c r="AO58" s="185" t="s">
        <v>4277</v>
      </c>
      <c r="AP58" s="185">
        <v>3</v>
      </c>
      <c r="AQ58" s="185" t="s">
        <v>3812</v>
      </c>
      <c r="AR58" s="185" t="s">
        <v>4278</v>
      </c>
      <c r="AS58" s="185" t="s">
        <v>4279</v>
      </c>
      <c r="AT58" s="185" t="s">
        <v>3812</v>
      </c>
      <c r="AU58" s="185" t="s">
        <v>4280</v>
      </c>
      <c r="AV58" s="185" t="s">
        <v>4279</v>
      </c>
      <c r="AW58" s="185" t="s">
        <v>4281</v>
      </c>
      <c r="AX58" s="185">
        <v>3</v>
      </c>
      <c r="AY58" s="185" t="s">
        <v>411</v>
      </c>
      <c r="AZ58" s="185" t="s">
        <v>619</v>
      </c>
      <c r="BA58" s="185" t="s">
        <v>598</v>
      </c>
      <c r="BB58" s="185" t="s">
        <v>411</v>
      </c>
      <c r="BC58" s="185" t="s">
        <v>1401</v>
      </c>
      <c r="BD58" s="185" t="s">
        <v>1400</v>
      </c>
      <c r="BE58" s="185" t="s">
        <v>4252</v>
      </c>
      <c r="BF58" s="185">
        <v>3</v>
      </c>
      <c r="BG58" s="185" t="s">
        <v>3813</v>
      </c>
      <c r="BH58" s="185" t="s">
        <v>567</v>
      </c>
      <c r="BI58" s="185" t="s">
        <v>242</v>
      </c>
      <c r="BJ58" s="185" t="s">
        <v>567</v>
      </c>
      <c r="BK58" s="185" t="s">
        <v>4282</v>
      </c>
      <c r="BL58" s="185" t="s">
        <v>242</v>
      </c>
      <c r="BM58" s="185" t="s">
        <v>4253</v>
      </c>
      <c r="BN58" s="185">
        <v>3</v>
      </c>
      <c r="BO58" s="185" t="s">
        <v>4283</v>
      </c>
      <c r="BP58" s="185" t="s">
        <v>352</v>
      </c>
      <c r="BQ58" s="185" t="s">
        <v>311</v>
      </c>
      <c r="BR58" s="185" t="s">
        <v>4283</v>
      </c>
      <c r="BS58" s="185" t="s">
        <v>353</v>
      </c>
      <c r="BT58" s="185" t="s">
        <v>1749</v>
      </c>
    </row>
    <row r="59" spans="1:72" s="184" customFormat="1" ht="54.95" customHeight="1" x14ac:dyDescent="0.25">
      <c r="A59" s="155">
        <v>7</v>
      </c>
      <c r="B59" s="184" t="s">
        <v>4364</v>
      </c>
      <c r="C59" s="184" t="s">
        <v>325</v>
      </c>
      <c r="D59" s="184" t="s">
        <v>4365</v>
      </c>
      <c r="E59" s="184" t="s">
        <v>4366</v>
      </c>
      <c r="F59" s="184" t="s">
        <v>4367</v>
      </c>
      <c r="G59" s="184" t="s">
        <v>4368</v>
      </c>
      <c r="H59" s="184" t="s">
        <v>4369</v>
      </c>
      <c r="I59" s="184" t="s">
        <v>4370</v>
      </c>
      <c r="J59" s="184" t="s">
        <v>4371</v>
      </c>
      <c r="K59" s="184" t="s">
        <v>4372</v>
      </c>
      <c r="L59" s="184" t="s">
        <v>4262</v>
      </c>
      <c r="M59" s="184" t="s">
        <v>4263</v>
      </c>
      <c r="N59" s="184" t="s">
        <v>4264</v>
      </c>
      <c r="O59" s="184">
        <v>20</v>
      </c>
      <c r="P59" s="184" t="s">
        <v>259</v>
      </c>
      <c r="Q59" s="184" t="s">
        <v>4373</v>
      </c>
      <c r="R59" s="184" t="s">
        <v>4374</v>
      </c>
      <c r="S59" s="184" t="s">
        <v>4375</v>
      </c>
      <c r="T59" s="184" t="s">
        <v>4376</v>
      </c>
      <c r="U59" s="184" t="s">
        <v>4377</v>
      </c>
      <c r="V59" s="184" t="s">
        <v>4378</v>
      </c>
      <c r="W59" s="184" t="s">
        <v>4379</v>
      </c>
      <c r="X59" s="184" t="s">
        <v>4380</v>
      </c>
      <c r="Y59" s="185" t="s">
        <v>4273</v>
      </c>
      <c r="Z59" s="185">
        <v>4</v>
      </c>
      <c r="AA59" s="185" t="s">
        <v>715</v>
      </c>
      <c r="AB59" s="185" t="s">
        <v>4274</v>
      </c>
      <c r="AC59" s="185" t="s">
        <v>4275</v>
      </c>
      <c r="AD59" s="185" t="s">
        <v>715</v>
      </c>
      <c r="AE59" s="185" t="s">
        <v>4274</v>
      </c>
      <c r="AF59" s="185" t="s">
        <v>4275</v>
      </c>
      <c r="AG59" s="185" t="s">
        <v>4250</v>
      </c>
      <c r="AH59" s="185">
        <v>4</v>
      </c>
      <c r="AI59" s="185" t="s">
        <v>268</v>
      </c>
      <c r="AJ59" s="185" t="s">
        <v>4276</v>
      </c>
      <c r="AK59" s="185" t="s">
        <v>1879</v>
      </c>
      <c r="AL59" s="185" t="s">
        <v>271</v>
      </c>
      <c r="AM59" s="185" t="s">
        <v>599</v>
      </c>
      <c r="AN59" s="185" t="s">
        <v>1879</v>
      </c>
      <c r="AO59" s="185" t="s">
        <v>4277</v>
      </c>
      <c r="AP59" s="185">
        <v>3</v>
      </c>
      <c r="AQ59" s="185" t="s">
        <v>3812</v>
      </c>
      <c r="AR59" s="185" t="s">
        <v>4278</v>
      </c>
      <c r="AS59" s="185" t="s">
        <v>4279</v>
      </c>
      <c r="AT59" s="185" t="s">
        <v>3812</v>
      </c>
      <c r="AU59" s="185" t="s">
        <v>4280</v>
      </c>
      <c r="AV59" s="185" t="s">
        <v>4279</v>
      </c>
      <c r="AW59" s="185" t="s">
        <v>4281</v>
      </c>
      <c r="AX59" s="185">
        <v>3</v>
      </c>
      <c r="AY59" s="185" t="s">
        <v>411</v>
      </c>
      <c r="AZ59" s="185" t="s">
        <v>619</v>
      </c>
      <c r="BA59" s="185" t="s">
        <v>598</v>
      </c>
      <c r="BB59" s="185" t="s">
        <v>411</v>
      </c>
      <c r="BC59" s="185" t="s">
        <v>1401</v>
      </c>
      <c r="BD59" s="185" t="s">
        <v>1400</v>
      </c>
      <c r="BE59" s="185" t="s">
        <v>4252</v>
      </c>
      <c r="BF59" s="185">
        <v>3</v>
      </c>
      <c r="BG59" s="185" t="s">
        <v>3813</v>
      </c>
      <c r="BH59" s="185" t="s">
        <v>567</v>
      </c>
      <c r="BI59" s="185" t="s">
        <v>242</v>
      </c>
      <c r="BJ59" s="185" t="s">
        <v>567</v>
      </c>
      <c r="BK59" s="185" t="s">
        <v>4282</v>
      </c>
      <c r="BL59" s="185" t="s">
        <v>242</v>
      </c>
      <c r="BM59" s="185" t="s">
        <v>4253</v>
      </c>
      <c r="BN59" s="185">
        <v>3</v>
      </c>
      <c r="BO59" s="185" t="s">
        <v>4283</v>
      </c>
      <c r="BP59" s="185" t="s">
        <v>352</v>
      </c>
      <c r="BQ59" s="185" t="s">
        <v>311</v>
      </c>
      <c r="BR59" s="185" t="s">
        <v>4283</v>
      </c>
      <c r="BS59" s="185" t="s">
        <v>353</v>
      </c>
      <c r="BT59" s="185" t="s">
        <v>1749</v>
      </c>
    </row>
    <row r="60" spans="1:72" s="184" customFormat="1" ht="54.95" customHeight="1" x14ac:dyDescent="0.25">
      <c r="A60" s="155">
        <v>8</v>
      </c>
      <c r="B60" s="184" t="s">
        <v>978</v>
      </c>
      <c r="C60" s="184" t="s">
        <v>154</v>
      </c>
      <c r="D60" s="184" t="s">
        <v>979</v>
      </c>
      <c r="E60" s="184" t="s">
        <v>4381</v>
      </c>
      <c r="F60" s="184" t="s">
        <v>4382</v>
      </c>
      <c r="G60" s="184" t="s">
        <v>4383</v>
      </c>
      <c r="H60" s="184" t="s">
        <v>4384</v>
      </c>
      <c r="I60" s="184" t="s">
        <v>4385</v>
      </c>
      <c r="J60" s="184" t="s">
        <v>4386</v>
      </c>
      <c r="K60" s="184" t="s">
        <v>4387</v>
      </c>
      <c r="L60" s="184" t="s">
        <v>4262</v>
      </c>
      <c r="M60" s="184" t="s">
        <v>4263</v>
      </c>
      <c r="N60" s="184" t="s">
        <v>4264</v>
      </c>
      <c r="O60" s="184">
        <v>20</v>
      </c>
      <c r="P60" s="184" t="s">
        <v>259</v>
      </c>
      <c r="Q60" s="184" t="s">
        <v>4388</v>
      </c>
      <c r="R60" s="184" t="s">
        <v>4389</v>
      </c>
      <c r="S60" s="184" t="s">
        <v>4390</v>
      </c>
      <c r="T60" s="184" t="s">
        <v>4391</v>
      </c>
      <c r="U60" s="184" t="s">
        <v>4392</v>
      </c>
      <c r="V60" s="184" t="s">
        <v>4393</v>
      </c>
      <c r="W60" s="184" t="s">
        <v>4394</v>
      </c>
      <c r="X60" s="184" t="s">
        <v>4395</v>
      </c>
      <c r="Y60" s="185" t="s">
        <v>4273</v>
      </c>
      <c r="Z60" s="185">
        <v>4</v>
      </c>
      <c r="AA60" s="185" t="s">
        <v>715</v>
      </c>
      <c r="AB60" s="185" t="s">
        <v>4274</v>
      </c>
      <c r="AC60" s="185" t="s">
        <v>4275</v>
      </c>
      <c r="AD60" s="185" t="s">
        <v>715</v>
      </c>
      <c r="AE60" s="185" t="s">
        <v>4274</v>
      </c>
      <c r="AF60" s="185" t="s">
        <v>4275</v>
      </c>
      <c r="AG60" s="185" t="s">
        <v>4250</v>
      </c>
      <c r="AH60" s="185">
        <v>4</v>
      </c>
      <c r="AI60" s="185" t="s">
        <v>268</v>
      </c>
      <c r="AJ60" s="185" t="s">
        <v>4276</v>
      </c>
      <c r="AK60" s="185" t="s">
        <v>1879</v>
      </c>
      <c r="AL60" s="185" t="s">
        <v>271</v>
      </c>
      <c r="AM60" s="185" t="s">
        <v>599</v>
      </c>
      <c r="AN60" s="185" t="s">
        <v>1879</v>
      </c>
      <c r="AO60" s="185" t="s">
        <v>4277</v>
      </c>
      <c r="AP60" s="185">
        <v>3</v>
      </c>
      <c r="AQ60" s="185" t="s">
        <v>3812</v>
      </c>
      <c r="AR60" s="185" t="s">
        <v>4278</v>
      </c>
      <c r="AS60" s="185" t="s">
        <v>4279</v>
      </c>
      <c r="AT60" s="185" t="s">
        <v>3812</v>
      </c>
      <c r="AU60" s="185" t="s">
        <v>4280</v>
      </c>
      <c r="AV60" s="185" t="s">
        <v>4279</v>
      </c>
      <c r="AW60" s="185" t="s">
        <v>4281</v>
      </c>
      <c r="AX60" s="185">
        <v>3</v>
      </c>
      <c r="AY60" s="185" t="s">
        <v>411</v>
      </c>
      <c r="AZ60" s="185" t="s">
        <v>619</v>
      </c>
      <c r="BA60" s="185" t="s">
        <v>598</v>
      </c>
      <c r="BB60" s="185" t="s">
        <v>411</v>
      </c>
      <c r="BC60" s="185" t="s">
        <v>1401</v>
      </c>
      <c r="BD60" s="185" t="s">
        <v>1400</v>
      </c>
      <c r="BE60" s="185" t="s">
        <v>4252</v>
      </c>
      <c r="BF60" s="185">
        <v>3</v>
      </c>
      <c r="BG60" s="185" t="s">
        <v>3813</v>
      </c>
      <c r="BH60" s="185" t="s">
        <v>567</v>
      </c>
      <c r="BI60" s="185" t="s">
        <v>242</v>
      </c>
      <c r="BJ60" s="185" t="s">
        <v>567</v>
      </c>
      <c r="BK60" s="185" t="s">
        <v>4282</v>
      </c>
      <c r="BL60" s="185" t="s">
        <v>242</v>
      </c>
      <c r="BM60" s="185" t="s">
        <v>4253</v>
      </c>
      <c r="BN60" s="185">
        <v>3</v>
      </c>
      <c r="BO60" s="185" t="s">
        <v>4283</v>
      </c>
      <c r="BP60" s="185" t="s">
        <v>352</v>
      </c>
      <c r="BQ60" s="185" t="s">
        <v>311</v>
      </c>
      <c r="BR60" s="185" t="s">
        <v>4283</v>
      </c>
      <c r="BS60" s="185" t="s">
        <v>353</v>
      </c>
      <c r="BT60" s="185" t="s">
        <v>1749</v>
      </c>
    </row>
    <row r="61" spans="1:72" s="184" customFormat="1" ht="54.95" customHeight="1" x14ac:dyDescent="0.25">
      <c r="A61" s="155">
        <v>9</v>
      </c>
      <c r="B61" s="184" t="s">
        <v>472</v>
      </c>
      <c r="C61" s="184" t="s">
        <v>247</v>
      </c>
      <c r="D61" s="184" t="s">
        <v>999</v>
      </c>
      <c r="E61" s="184" t="s">
        <v>4396</v>
      </c>
      <c r="F61" s="184" t="s">
        <v>4397</v>
      </c>
      <c r="G61" s="184" t="s">
        <v>4398</v>
      </c>
      <c r="H61" s="184" t="s">
        <v>4399</v>
      </c>
      <c r="I61" s="184" t="s">
        <v>4400</v>
      </c>
      <c r="J61" s="184" t="s">
        <v>4401</v>
      </c>
      <c r="K61" s="184" t="s">
        <v>4402</v>
      </c>
      <c r="L61" s="184" t="s">
        <v>4262</v>
      </c>
      <c r="M61" s="184" t="s">
        <v>4263</v>
      </c>
      <c r="N61" s="184" t="s">
        <v>4264</v>
      </c>
      <c r="O61" s="184">
        <v>20</v>
      </c>
      <c r="P61" s="184" t="s">
        <v>259</v>
      </c>
      <c r="Q61" s="184" t="s">
        <v>1007</v>
      </c>
      <c r="R61" s="184" t="s">
        <v>4403</v>
      </c>
      <c r="S61" s="184" t="s">
        <v>4404</v>
      </c>
      <c r="T61" s="184" t="s">
        <v>4405</v>
      </c>
      <c r="U61" s="184" t="s">
        <v>4406</v>
      </c>
      <c r="V61" s="184" t="s">
        <v>4407</v>
      </c>
      <c r="W61" s="184" t="s">
        <v>4408</v>
      </c>
      <c r="X61" s="184" t="s">
        <v>4409</v>
      </c>
      <c r="Y61" s="185" t="s">
        <v>4273</v>
      </c>
      <c r="Z61" s="185">
        <v>4</v>
      </c>
      <c r="AA61" s="185" t="s">
        <v>715</v>
      </c>
      <c r="AB61" s="185" t="s">
        <v>4274</v>
      </c>
      <c r="AC61" s="185" t="s">
        <v>4275</v>
      </c>
      <c r="AD61" s="185" t="s">
        <v>715</v>
      </c>
      <c r="AE61" s="185" t="s">
        <v>4274</v>
      </c>
      <c r="AF61" s="185" t="s">
        <v>4275</v>
      </c>
      <c r="AG61" s="185" t="s">
        <v>4250</v>
      </c>
      <c r="AH61" s="185">
        <v>4</v>
      </c>
      <c r="AI61" s="185" t="s">
        <v>268</v>
      </c>
      <c r="AJ61" s="185" t="s">
        <v>4276</v>
      </c>
      <c r="AK61" s="185" t="s">
        <v>1879</v>
      </c>
      <c r="AL61" s="185" t="s">
        <v>271</v>
      </c>
      <c r="AM61" s="185" t="s">
        <v>599</v>
      </c>
      <c r="AN61" s="185" t="s">
        <v>1879</v>
      </c>
      <c r="AO61" s="185" t="s">
        <v>4277</v>
      </c>
      <c r="AP61" s="185">
        <v>3</v>
      </c>
      <c r="AQ61" s="185" t="s">
        <v>3812</v>
      </c>
      <c r="AR61" s="185" t="s">
        <v>4278</v>
      </c>
      <c r="AS61" s="185" t="s">
        <v>4279</v>
      </c>
      <c r="AT61" s="185" t="s">
        <v>3812</v>
      </c>
      <c r="AU61" s="185" t="s">
        <v>4280</v>
      </c>
      <c r="AV61" s="185" t="s">
        <v>4279</v>
      </c>
      <c r="AW61" s="185" t="s">
        <v>4281</v>
      </c>
      <c r="AX61" s="185">
        <v>3</v>
      </c>
      <c r="AY61" s="185" t="s">
        <v>411</v>
      </c>
      <c r="AZ61" s="185" t="s">
        <v>619</v>
      </c>
      <c r="BA61" s="185" t="s">
        <v>598</v>
      </c>
      <c r="BB61" s="185" t="s">
        <v>411</v>
      </c>
      <c r="BC61" s="185" t="s">
        <v>1401</v>
      </c>
      <c r="BD61" s="185" t="s">
        <v>1400</v>
      </c>
      <c r="BE61" s="185" t="s">
        <v>4252</v>
      </c>
      <c r="BF61" s="185">
        <v>3</v>
      </c>
      <c r="BG61" s="185" t="s">
        <v>3813</v>
      </c>
      <c r="BH61" s="185" t="s">
        <v>567</v>
      </c>
      <c r="BI61" s="185" t="s">
        <v>242</v>
      </c>
      <c r="BJ61" s="185" t="s">
        <v>567</v>
      </c>
      <c r="BK61" s="185" t="s">
        <v>4282</v>
      </c>
      <c r="BL61" s="185" t="s">
        <v>242</v>
      </c>
      <c r="BM61" s="185" t="s">
        <v>4253</v>
      </c>
      <c r="BN61" s="185">
        <v>3</v>
      </c>
      <c r="BO61" s="185" t="s">
        <v>4283</v>
      </c>
      <c r="BP61" s="185" t="s">
        <v>352</v>
      </c>
      <c r="BQ61" s="185" t="s">
        <v>311</v>
      </c>
      <c r="BR61" s="185" t="s">
        <v>4283</v>
      </c>
      <c r="BS61" s="185" t="s">
        <v>353</v>
      </c>
      <c r="BT61" s="185" t="s">
        <v>1749</v>
      </c>
    </row>
    <row r="62" spans="1:72" s="184" customFormat="1" ht="54.95" customHeight="1" x14ac:dyDescent="0.25">
      <c r="A62" s="155">
        <v>10</v>
      </c>
      <c r="B62" s="184" t="s">
        <v>506</v>
      </c>
      <c r="C62" s="184" t="s">
        <v>247</v>
      </c>
      <c r="D62" s="184" t="s">
        <v>692</v>
      </c>
      <c r="E62" s="184" t="s">
        <v>4410</v>
      </c>
      <c r="F62" s="184" t="s">
        <v>4411</v>
      </c>
      <c r="G62" s="184" t="s">
        <v>4412</v>
      </c>
      <c r="H62" s="184" t="s">
        <v>4413</v>
      </c>
      <c r="I62" s="184" t="s">
        <v>4414</v>
      </c>
      <c r="J62" s="184" t="s">
        <v>4415</v>
      </c>
      <c r="K62" s="184" t="s">
        <v>4416</v>
      </c>
      <c r="L62" s="184" t="s">
        <v>4262</v>
      </c>
      <c r="M62" s="184" t="s">
        <v>4263</v>
      </c>
      <c r="N62" s="184" t="s">
        <v>4264</v>
      </c>
      <c r="O62" s="184">
        <v>20</v>
      </c>
      <c r="P62" s="184" t="s">
        <v>259</v>
      </c>
      <c r="Q62" s="184" t="s">
        <v>4417</v>
      </c>
      <c r="R62" s="184" t="s">
        <v>4418</v>
      </c>
      <c r="S62" s="184" t="s">
        <v>4419</v>
      </c>
      <c r="T62" s="184" t="s">
        <v>4420</v>
      </c>
      <c r="U62" s="184" t="s">
        <v>4421</v>
      </c>
      <c r="V62" s="184" t="s">
        <v>4422</v>
      </c>
      <c r="W62" s="184" t="s">
        <v>4423</v>
      </c>
      <c r="X62" s="184" t="s">
        <v>4424</v>
      </c>
      <c r="Y62" s="185" t="s">
        <v>4273</v>
      </c>
      <c r="Z62" s="185">
        <v>4</v>
      </c>
      <c r="AA62" s="185" t="s">
        <v>715</v>
      </c>
      <c r="AB62" s="185" t="s">
        <v>4274</v>
      </c>
      <c r="AC62" s="185" t="s">
        <v>4275</v>
      </c>
      <c r="AD62" s="185" t="s">
        <v>715</v>
      </c>
      <c r="AE62" s="185" t="s">
        <v>4274</v>
      </c>
      <c r="AF62" s="185" t="s">
        <v>4275</v>
      </c>
      <c r="AG62" s="185" t="s">
        <v>4250</v>
      </c>
      <c r="AH62" s="185">
        <v>4</v>
      </c>
      <c r="AI62" s="185" t="s">
        <v>268</v>
      </c>
      <c r="AJ62" s="185" t="s">
        <v>4276</v>
      </c>
      <c r="AK62" s="185" t="s">
        <v>1879</v>
      </c>
      <c r="AL62" s="185" t="s">
        <v>271</v>
      </c>
      <c r="AM62" s="185" t="s">
        <v>599</v>
      </c>
      <c r="AN62" s="185" t="s">
        <v>1879</v>
      </c>
      <c r="AO62" s="185" t="s">
        <v>4277</v>
      </c>
      <c r="AP62" s="185">
        <v>3</v>
      </c>
      <c r="AQ62" s="185" t="s">
        <v>3812</v>
      </c>
      <c r="AR62" s="185" t="s">
        <v>4278</v>
      </c>
      <c r="AS62" s="185" t="s">
        <v>4279</v>
      </c>
      <c r="AT62" s="185" t="s">
        <v>3812</v>
      </c>
      <c r="AU62" s="185" t="s">
        <v>4280</v>
      </c>
      <c r="AV62" s="185" t="s">
        <v>4279</v>
      </c>
      <c r="AW62" s="185" t="s">
        <v>4281</v>
      </c>
      <c r="AX62" s="185">
        <v>3</v>
      </c>
      <c r="AY62" s="185" t="s">
        <v>411</v>
      </c>
      <c r="AZ62" s="185" t="s">
        <v>619</v>
      </c>
      <c r="BA62" s="185" t="s">
        <v>598</v>
      </c>
      <c r="BB62" s="185" t="s">
        <v>411</v>
      </c>
      <c r="BC62" s="185" t="s">
        <v>1401</v>
      </c>
      <c r="BD62" s="185" t="s">
        <v>1400</v>
      </c>
      <c r="BE62" s="185" t="s">
        <v>4252</v>
      </c>
      <c r="BF62" s="185">
        <v>3</v>
      </c>
      <c r="BG62" s="185" t="s">
        <v>3813</v>
      </c>
      <c r="BH62" s="185" t="s">
        <v>567</v>
      </c>
      <c r="BI62" s="185" t="s">
        <v>242</v>
      </c>
      <c r="BJ62" s="185" t="s">
        <v>567</v>
      </c>
      <c r="BK62" s="185" t="s">
        <v>4282</v>
      </c>
      <c r="BL62" s="185" t="s">
        <v>242</v>
      </c>
      <c r="BM62" s="185" t="s">
        <v>4253</v>
      </c>
      <c r="BN62" s="185">
        <v>3</v>
      </c>
      <c r="BO62" s="185" t="s">
        <v>4283</v>
      </c>
      <c r="BP62" s="185" t="s">
        <v>352</v>
      </c>
      <c r="BQ62" s="185" t="s">
        <v>311</v>
      </c>
      <c r="BR62" s="185" t="s">
        <v>4283</v>
      </c>
      <c r="BS62" s="185" t="s">
        <v>353</v>
      </c>
      <c r="BT62" s="185" t="s">
        <v>1749</v>
      </c>
    </row>
    <row r="63" spans="1:72" s="184" customFormat="1" ht="54.95" customHeight="1" x14ac:dyDescent="0.25">
      <c r="A63" s="155">
        <v>11</v>
      </c>
      <c r="B63" s="184" t="s">
        <v>444</v>
      </c>
      <c r="C63" s="184" t="s">
        <v>247</v>
      </c>
      <c r="D63" s="184" t="s">
        <v>4425</v>
      </c>
      <c r="E63" s="184" t="s">
        <v>4426</v>
      </c>
      <c r="F63" s="184" t="s">
        <v>4427</v>
      </c>
      <c r="G63" s="184" t="s">
        <v>4428</v>
      </c>
      <c r="H63" s="184" t="s">
        <v>4429</v>
      </c>
      <c r="I63" s="184" t="s">
        <v>4430</v>
      </c>
      <c r="J63" s="184" t="s">
        <v>4431</v>
      </c>
      <c r="K63" s="184" t="s">
        <v>4432</v>
      </c>
      <c r="L63" s="184" t="s">
        <v>4262</v>
      </c>
      <c r="M63" s="184" t="s">
        <v>4263</v>
      </c>
      <c r="N63" s="184" t="s">
        <v>4264</v>
      </c>
      <c r="O63" s="184">
        <v>20</v>
      </c>
      <c r="P63" s="184" t="s">
        <v>259</v>
      </c>
      <c r="Q63" s="184" t="s">
        <v>4433</v>
      </c>
      <c r="R63" s="184" t="s">
        <v>4434</v>
      </c>
      <c r="S63" s="184" t="s">
        <v>4435</v>
      </c>
      <c r="T63" s="184" t="s">
        <v>4436</v>
      </c>
      <c r="U63" s="184" t="s">
        <v>4437</v>
      </c>
      <c r="V63" s="184" t="s">
        <v>4438</v>
      </c>
      <c r="W63" s="184" t="s">
        <v>4439</v>
      </c>
      <c r="X63" s="184" t="s">
        <v>4440</v>
      </c>
      <c r="Y63" s="185" t="s">
        <v>4273</v>
      </c>
      <c r="Z63" s="185">
        <v>4</v>
      </c>
      <c r="AA63" s="185" t="s">
        <v>715</v>
      </c>
      <c r="AB63" s="185" t="s">
        <v>4274</v>
      </c>
      <c r="AC63" s="185" t="s">
        <v>4275</v>
      </c>
      <c r="AD63" s="185" t="s">
        <v>715</v>
      </c>
      <c r="AE63" s="185" t="s">
        <v>4274</v>
      </c>
      <c r="AF63" s="185" t="s">
        <v>4275</v>
      </c>
      <c r="AG63" s="185" t="s">
        <v>4250</v>
      </c>
      <c r="AH63" s="185">
        <v>4</v>
      </c>
      <c r="AI63" s="185" t="s">
        <v>268</v>
      </c>
      <c r="AJ63" s="185" t="s">
        <v>4276</v>
      </c>
      <c r="AK63" s="185" t="s">
        <v>1879</v>
      </c>
      <c r="AL63" s="185" t="s">
        <v>271</v>
      </c>
      <c r="AM63" s="185" t="s">
        <v>599</v>
      </c>
      <c r="AN63" s="185" t="s">
        <v>1879</v>
      </c>
      <c r="AO63" s="185" t="s">
        <v>4277</v>
      </c>
      <c r="AP63" s="185">
        <v>3</v>
      </c>
      <c r="AQ63" s="185" t="s">
        <v>3812</v>
      </c>
      <c r="AR63" s="185" t="s">
        <v>4278</v>
      </c>
      <c r="AS63" s="185" t="s">
        <v>4279</v>
      </c>
      <c r="AT63" s="185" t="s">
        <v>3812</v>
      </c>
      <c r="AU63" s="185" t="s">
        <v>4280</v>
      </c>
      <c r="AV63" s="185" t="s">
        <v>4279</v>
      </c>
      <c r="AW63" s="185" t="s">
        <v>4281</v>
      </c>
      <c r="AX63" s="185">
        <v>3</v>
      </c>
      <c r="AY63" s="185" t="s">
        <v>411</v>
      </c>
      <c r="AZ63" s="185" t="s">
        <v>619</v>
      </c>
      <c r="BA63" s="185" t="s">
        <v>598</v>
      </c>
      <c r="BB63" s="185" t="s">
        <v>411</v>
      </c>
      <c r="BC63" s="185" t="s">
        <v>1401</v>
      </c>
      <c r="BD63" s="185" t="s">
        <v>1400</v>
      </c>
      <c r="BE63" s="185" t="s">
        <v>4252</v>
      </c>
      <c r="BF63" s="185">
        <v>3</v>
      </c>
      <c r="BG63" s="185" t="s">
        <v>3813</v>
      </c>
      <c r="BH63" s="185" t="s">
        <v>567</v>
      </c>
      <c r="BI63" s="185" t="s">
        <v>242</v>
      </c>
      <c r="BJ63" s="185" t="s">
        <v>567</v>
      </c>
      <c r="BK63" s="185" t="s">
        <v>4282</v>
      </c>
      <c r="BL63" s="185" t="s">
        <v>242</v>
      </c>
      <c r="BM63" s="185" t="s">
        <v>4253</v>
      </c>
      <c r="BN63" s="185">
        <v>3</v>
      </c>
      <c r="BO63" s="185" t="s">
        <v>4283</v>
      </c>
      <c r="BP63" s="185" t="s">
        <v>352</v>
      </c>
      <c r="BQ63" s="185" t="s">
        <v>311</v>
      </c>
      <c r="BR63" s="185" t="s">
        <v>4283</v>
      </c>
      <c r="BS63" s="185" t="s">
        <v>353</v>
      </c>
      <c r="BT63" s="185" t="s">
        <v>1749</v>
      </c>
    </row>
    <row r="64" spans="1:72" s="184" customFormat="1" ht="54.95" customHeight="1" x14ac:dyDescent="0.25">
      <c r="A64" s="155">
        <v>12</v>
      </c>
      <c r="B64" s="184" t="s">
        <v>4298</v>
      </c>
      <c r="C64" s="184" t="s">
        <v>4441</v>
      </c>
      <c r="D64" s="184" t="s">
        <v>4442</v>
      </c>
      <c r="E64" s="184" t="s">
        <v>4443</v>
      </c>
      <c r="F64" s="184" t="s">
        <v>4444</v>
      </c>
      <c r="G64" s="184" t="s">
        <v>4445</v>
      </c>
      <c r="H64" s="184" t="s">
        <v>4446</v>
      </c>
      <c r="I64" s="184" t="s">
        <v>4447</v>
      </c>
      <c r="J64" s="184" t="s">
        <v>4448</v>
      </c>
      <c r="K64" s="184" t="s">
        <v>4449</v>
      </c>
      <c r="L64" s="184" t="s">
        <v>4262</v>
      </c>
      <c r="M64" s="184" t="s">
        <v>4263</v>
      </c>
      <c r="N64" s="184" t="s">
        <v>4264</v>
      </c>
      <c r="O64" s="184">
        <v>20</v>
      </c>
      <c r="P64" s="184" t="s">
        <v>259</v>
      </c>
      <c r="Q64" s="184" t="s">
        <v>4450</v>
      </c>
      <c r="R64" s="184" t="s">
        <v>4451</v>
      </c>
      <c r="S64" s="184" t="s">
        <v>4452</v>
      </c>
      <c r="T64" s="184" t="s">
        <v>4453</v>
      </c>
      <c r="U64" s="184" t="s">
        <v>4454</v>
      </c>
      <c r="V64" s="184" t="s">
        <v>4455</v>
      </c>
      <c r="W64" s="184" t="s">
        <v>4456</v>
      </c>
      <c r="X64" s="184" t="s">
        <v>4457</v>
      </c>
      <c r="Y64" s="185" t="s">
        <v>4273</v>
      </c>
      <c r="Z64" s="185">
        <v>4</v>
      </c>
      <c r="AA64" s="185" t="s">
        <v>715</v>
      </c>
      <c r="AB64" s="185" t="s">
        <v>4274</v>
      </c>
      <c r="AC64" s="185" t="s">
        <v>4275</v>
      </c>
      <c r="AD64" s="185" t="s">
        <v>715</v>
      </c>
      <c r="AE64" s="185" t="s">
        <v>4274</v>
      </c>
      <c r="AF64" s="185" t="s">
        <v>4275</v>
      </c>
      <c r="AG64" s="185" t="s">
        <v>4250</v>
      </c>
      <c r="AH64" s="185">
        <v>4</v>
      </c>
      <c r="AI64" s="185" t="s">
        <v>268</v>
      </c>
      <c r="AJ64" s="185" t="s">
        <v>4276</v>
      </c>
      <c r="AK64" s="185" t="s">
        <v>1879</v>
      </c>
      <c r="AL64" s="185" t="s">
        <v>271</v>
      </c>
      <c r="AM64" s="185" t="s">
        <v>599</v>
      </c>
      <c r="AN64" s="185" t="s">
        <v>1879</v>
      </c>
      <c r="AO64" s="185" t="s">
        <v>4277</v>
      </c>
      <c r="AP64" s="185">
        <v>3</v>
      </c>
      <c r="AQ64" s="185" t="s">
        <v>3812</v>
      </c>
      <c r="AR64" s="185" t="s">
        <v>4278</v>
      </c>
      <c r="AS64" s="185" t="s">
        <v>4279</v>
      </c>
      <c r="AT64" s="185" t="s">
        <v>3812</v>
      </c>
      <c r="AU64" s="185" t="s">
        <v>4280</v>
      </c>
      <c r="AV64" s="185" t="s">
        <v>4279</v>
      </c>
      <c r="AW64" s="185" t="s">
        <v>4281</v>
      </c>
      <c r="AX64" s="185">
        <v>3</v>
      </c>
      <c r="AY64" s="185" t="s">
        <v>411</v>
      </c>
      <c r="AZ64" s="185" t="s">
        <v>619</v>
      </c>
      <c r="BA64" s="185" t="s">
        <v>598</v>
      </c>
      <c r="BB64" s="185" t="s">
        <v>411</v>
      </c>
      <c r="BC64" s="185" t="s">
        <v>1401</v>
      </c>
      <c r="BD64" s="185" t="s">
        <v>1400</v>
      </c>
      <c r="BE64" s="185" t="s">
        <v>4252</v>
      </c>
      <c r="BF64" s="185">
        <v>3</v>
      </c>
      <c r="BG64" s="185" t="s">
        <v>3813</v>
      </c>
      <c r="BH64" s="185" t="s">
        <v>567</v>
      </c>
      <c r="BI64" s="185" t="s">
        <v>242</v>
      </c>
      <c r="BJ64" s="185" t="s">
        <v>567</v>
      </c>
      <c r="BK64" s="185" t="s">
        <v>4282</v>
      </c>
      <c r="BL64" s="185" t="s">
        <v>242</v>
      </c>
      <c r="BM64" s="185" t="s">
        <v>4253</v>
      </c>
      <c r="BN64" s="185">
        <v>3</v>
      </c>
      <c r="BO64" s="185" t="s">
        <v>4283</v>
      </c>
      <c r="BP64" s="185" t="s">
        <v>352</v>
      </c>
      <c r="BQ64" s="185" t="s">
        <v>311</v>
      </c>
      <c r="BR64" s="185" t="s">
        <v>4283</v>
      </c>
      <c r="BS64" s="185" t="s">
        <v>353</v>
      </c>
      <c r="BT64" s="185" t="s">
        <v>1749</v>
      </c>
    </row>
    <row r="65" spans="1:72" s="184" customFormat="1" ht="54.95" customHeight="1" x14ac:dyDescent="0.25">
      <c r="A65" s="155">
        <v>13</v>
      </c>
      <c r="B65" s="184" t="s">
        <v>4298</v>
      </c>
      <c r="C65" s="184" t="s">
        <v>4441</v>
      </c>
      <c r="D65" s="184" t="s">
        <v>4458</v>
      </c>
      <c r="E65" s="184" t="s">
        <v>4459</v>
      </c>
      <c r="F65" s="184" t="s">
        <v>4460</v>
      </c>
      <c r="G65" s="184" t="s">
        <v>4461</v>
      </c>
      <c r="H65" s="184" t="s">
        <v>4462</v>
      </c>
      <c r="I65" s="184" t="s">
        <v>4463</v>
      </c>
      <c r="J65" s="184" t="s">
        <v>4464</v>
      </c>
      <c r="K65" s="184" t="s">
        <v>4465</v>
      </c>
      <c r="L65" s="184" t="s">
        <v>4262</v>
      </c>
      <c r="M65" s="184" t="s">
        <v>4263</v>
      </c>
      <c r="N65" s="184" t="s">
        <v>4264</v>
      </c>
      <c r="O65" s="184">
        <v>20</v>
      </c>
      <c r="P65" s="184" t="s">
        <v>259</v>
      </c>
      <c r="Q65" s="184" t="s">
        <v>4466</v>
      </c>
      <c r="R65" s="184" t="s">
        <v>4467</v>
      </c>
      <c r="S65" s="184" t="s">
        <v>4468</v>
      </c>
      <c r="T65" s="184" t="s">
        <v>4469</v>
      </c>
      <c r="U65" s="184" t="s">
        <v>4294</v>
      </c>
      <c r="V65" s="184" t="s">
        <v>4470</v>
      </c>
      <c r="W65" s="184" t="s">
        <v>4471</v>
      </c>
      <c r="X65" s="184" t="s">
        <v>4472</v>
      </c>
      <c r="Y65" s="185" t="s">
        <v>4273</v>
      </c>
      <c r="Z65" s="185">
        <v>4</v>
      </c>
      <c r="AA65" s="185" t="s">
        <v>715</v>
      </c>
      <c r="AB65" s="185" t="s">
        <v>4274</v>
      </c>
      <c r="AC65" s="185" t="s">
        <v>4275</v>
      </c>
      <c r="AD65" s="185" t="s">
        <v>715</v>
      </c>
      <c r="AE65" s="185" t="s">
        <v>4274</v>
      </c>
      <c r="AF65" s="185" t="s">
        <v>4275</v>
      </c>
      <c r="AG65" s="185" t="s">
        <v>4250</v>
      </c>
      <c r="AH65" s="185">
        <v>4</v>
      </c>
      <c r="AI65" s="185" t="s">
        <v>268</v>
      </c>
      <c r="AJ65" s="185" t="s">
        <v>4276</v>
      </c>
      <c r="AK65" s="185" t="s">
        <v>1879</v>
      </c>
      <c r="AL65" s="185" t="s">
        <v>271</v>
      </c>
      <c r="AM65" s="185" t="s">
        <v>599</v>
      </c>
      <c r="AN65" s="185" t="s">
        <v>1879</v>
      </c>
      <c r="AO65" s="185" t="s">
        <v>4277</v>
      </c>
      <c r="AP65" s="185">
        <v>3</v>
      </c>
      <c r="AQ65" s="185" t="s">
        <v>3812</v>
      </c>
      <c r="AR65" s="185" t="s">
        <v>4278</v>
      </c>
      <c r="AS65" s="185" t="s">
        <v>4279</v>
      </c>
      <c r="AT65" s="185" t="s">
        <v>3812</v>
      </c>
      <c r="AU65" s="185" t="s">
        <v>4280</v>
      </c>
      <c r="AV65" s="185" t="s">
        <v>4279</v>
      </c>
      <c r="AW65" s="185" t="s">
        <v>4281</v>
      </c>
      <c r="AX65" s="185">
        <v>3</v>
      </c>
      <c r="AY65" s="185" t="s">
        <v>411</v>
      </c>
      <c r="AZ65" s="185" t="s">
        <v>619</v>
      </c>
      <c r="BA65" s="185" t="s">
        <v>598</v>
      </c>
      <c r="BB65" s="185" t="s">
        <v>411</v>
      </c>
      <c r="BC65" s="185" t="s">
        <v>1401</v>
      </c>
      <c r="BD65" s="185" t="s">
        <v>1400</v>
      </c>
      <c r="BE65" s="185" t="s">
        <v>4252</v>
      </c>
      <c r="BF65" s="185">
        <v>3</v>
      </c>
      <c r="BG65" s="185" t="s">
        <v>3813</v>
      </c>
      <c r="BH65" s="185" t="s">
        <v>567</v>
      </c>
      <c r="BI65" s="185" t="s">
        <v>242</v>
      </c>
      <c r="BJ65" s="185" t="s">
        <v>567</v>
      </c>
      <c r="BK65" s="185" t="s">
        <v>4282</v>
      </c>
      <c r="BL65" s="185" t="s">
        <v>242</v>
      </c>
      <c r="BM65" s="185" t="s">
        <v>4253</v>
      </c>
      <c r="BN65" s="185">
        <v>3</v>
      </c>
      <c r="BO65" s="185" t="s">
        <v>4283</v>
      </c>
      <c r="BP65" s="185" t="s">
        <v>352</v>
      </c>
      <c r="BQ65" s="185" t="s">
        <v>311</v>
      </c>
      <c r="BR65" s="185" t="s">
        <v>4283</v>
      </c>
      <c r="BS65" s="185" t="s">
        <v>353</v>
      </c>
      <c r="BT65" s="185" t="s">
        <v>1749</v>
      </c>
    </row>
    <row r="66" spans="1:72" s="184" customFormat="1" ht="54.95" customHeight="1" x14ac:dyDescent="0.25">
      <c r="A66" s="155">
        <v>14</v>
      </c>
      <c r="B66" s="184" t="s">
        <v>153</v>
      </c>
      <c r="C66" s="184" t="s">
        <v>247</v>
      </c>
      <c r="D66" s="184" t="s">
        <v>4473</v>
      </c>
      <c r="E66" s="184" t="s">
        <v>4474</v>
      </c>
      <c r="F66" s="184" t="s">
        <v>4475</v>
      </c>
      <c r="G66" s="184" t="s">
        <v>4476</v>
      </c>
      <c r="H66" s="184" t="s">
        <v>4477</v>
      </c>
      <c r="I66" s="184" t="s">
        <v>4478</v>
      </c>
      <c r="J66" s="184" t="s">
        <v>4479</v>
      </c>
      <c r="K66" s="184" t="s">
        <v>4480</v>
      </c>
      <c r="L66" s="184" t="s">
        <v>4262</v>
      </c>
      <c r="M66" s="184" t="s">
        <v>4263</v>
      </c>
      <c r="N66" s="184" t="s">
        <v>4264</v>
      </c>
      <c r="O66" s="184">
        <v>20</v>
      </c>
      <c r="P66" s="184" t="s">
        <v>259</v>
      </c>
      <c r="Q66" s="184" t="s">
        <v>4481</v>
      </c>
      <c r="R66" s="184" t="s">
        <v>4482</v>
      </c>
      <c r="S66" s="184" t="s">
        <v>4483</v>
      </c>
      <c r="T66" s="184" t="s">
        <v>4484</v>
      </c>
      <c r="U66" s="184" t="s">
        <v>4485</v>
      </c>
      <c r="V66" s="184" t="s">
        <v>4486</v>
      </c>
      <c r="W66" s="184" t="s">
        <v>4487</v>
      </c>
      <c r="X66" s="184" t="s">
        <v>4488</v>
      </c>
      <c r="Y66" s="185" t="s">
        <v>4273</v>
      </c>
      <c r="Z66" s="185">
        <v>4</v>
      </c>
      <c r="AA66" s="185" t="s">
        <v>715</v>
      </c>
      <c r="AB66" s="185" t="s">
        <v>4274</v>
      </c>
      <c r="AC66" s="185" t="s">
        <v>4275</v>
      </c>
      <c r="AD66" s="185" t="s">
        <v>715</v>
      </c>
      <c r="AE66" s="185" t="s">
        <v>4274</v>
      </c>
      <c r="AF66" s="185" t="s">
        <v>4275</v>
      </c>
      <c r="AG66" s="185" t="s">
        <v>4250</v>
      </c>
      <c r="AH66" s="185">
        <v>4</v>
      </c>
      <c r="AI66" s="185" t="s">
        <v>268</v>
      </c>
      <c r="AJ66" s="185" t="s">
        <v>4276</v>
      </c>
      <c r="AK66" s="185" t="s">
        <v>1879</v>
      </c>
      <c r="AL66" s="185" t="s">
        <v>271</v>
      </c>
      <c r="AM66" s="185" t="s">
        <v>599</v>
      </c>
      <c r="AN66" s="185" t="s">
        <v>1879</v>
      </c>
      <c r="AO66" s="185" t="s">
        <v>4277</v>
      </c>
      <c r="AP66" s="185">
        <v>3</v>
      </c>
      <c r="AQ66" s="185" t="s">
        <v>3812</v>
      </c>
      <c r="AR66" s="185" t="s">
        <v>4278</v>
      </c>
      <c r="AS66" s="185" t="s">
        <v>4279</v>
      </c>
      <c r="AT66" s="185" t="s">
        <v>3812</v>
      </c>
      <c r="AU66" s="185" t="s">
        <v>4280</v>
      </c>
      <c r="AV66" s="185" t="s">
        <v>4279</v>
      </c>
      <c r="AW66" s="185" t="s">
        <v>4281</v>
      </c>
      <c r="AX66" s="185">
        <v>3</v>
      </c>
      <c r="AY66" s="185" t="s">
        <v>411</v>
      </c>
      <c r="AZ66" s="185" t="s">
        <v>619</v>
      </c>
      <c r="BA66" s="185" t="s">
        <v>598</v>
      </c>
      <c r="BB66" s="185" t="s">
        <v>411</v>
      </c>
      <c r="BC66" s="185" t="s">
        <v>1401</v>
      </c>
      <c r="BD66" s="185" t="s">
        <v>1400</v>
      </c>
      <c r="BE66" s="185" t="s">
        <v>4252</v>
      </c>
      <c r="BF66" s="185">
        <v>3</v>
      </c>
      <c r="BG66" s="185" t="s">
        <v>3813</v>
      </c>
      <c r="BH66" s="185" t="s">
        <v>567</v>
      </c>
      <c r="BI66" s="185" t="s">
        <v>242</v>
      </c>
      <c r="BJ66" s="185" t="s">
        <v>567</v>
      </c>
      <c r="BK66" s="185" t="s">
        <v>4282</v>
      </c>
      <c r="BL66" s="185" t="s">
        <v>242</v>
      </c>
      <c r="BM66" s="185" t="s">
        <v>4253</v>
      </c>
      <c r="BN66" s="185">
        <v>3</v>
      </c>
      <c r="BO66" s="185" t="s">
        <v>4283</v>
      </c>
      <c r="BP66" s="185" t="s">
        <v>352</v>
      </c>
      <c r="BQ66" s="185" t="s">
        <v>311</v>
      </c>
      <c r="BR66" s="185" t="s">
        <v>4283</v>
      </c>
      <c r="BS66" s="185" t="s">
        <v>353</v>
      </c>
      <c r="BT66" s="185" t="s">
        <v>1749</v>
      </c>
    </row>
    <row r="67" spans="1:72" s="184" customFormat="1" ht="54.95" customHeight="1" x14ac:dyDescent="0.25">
      <c r="A67" s="155">
        <v>15</v>
      </c>
      <c r="B67" s="184" t="s">
        <v>4347</v>
      </c>
      <c r="C67" s="184" t="s">
        <v>4299</v>
      </c>
      <c r="D67" s="184" t="s">
        <v>4489</v>
      </c>
      <c r="E67" s="184" t="s">
        <v>4490</v>
      </c>
      <c r="F67" s="184" t="s">
        <v>4491</v>
      </c>
      <c r="G67" s="184" t="s">
        <v>4492</v>
      </c>
      <c r="H67" s="184" t="s">
        <v>4493</v>
      </c>
      <c r="I67" s="184" t="s">
        <v>4494</v>
      </c>
      <c r="J67" s="184" t="s">
        <v>4495</v>
      </c>
      <c r="K67" s="184" t="s">
        <v>4496</v>
      </c>
      <c r="L67" s="184" t="s">
        <v>4262</v>
      </c>
      <c r="M67" s="184" t="s">
        <v>4263</v>
      </c>
      <c r="N67" s="184" t="s">
        <v>4264</v>
      </c>
      <c r="O67" s="184">
        <v>20</v>
      </c>
      <c r="P67" s="184" t="s">
        <v>259</v>
      </c>
      <c r="Q67" s="184" t="s">
        <v>4497</v>
      </c>
      <c r="R67" s="184" t="s">
        <v>4498</v>
      </c>
      <c r="S67" s="184" t="s">
        <v>4499</v>
      </c>
      <c r="T67" s="184" t="s">
        <v>4500</v>
      </c>
      <c r="U67" s="184" t="s">
        <v>4501</v>
      </c>
      <c r="V67" s="184" t="s">
        <v>4502</v>
      </c>
      <c r="W67" s="184" t="s">
        <v>4503</v>
      </c>
      <c r="X67" s="184" t="s">
        <v>4504</v>
      </c>
      <c r="Y67" s="185" t="s">
        <v>4273</v>
      </c>
      <c r="Z67" s="185">
        <v>4</v>
      </c>
      <c r="AA67" s="185" t="s">
        <v>715</v>
      </c>
      <c r="AB67" s="185" t="s">
        <v>4274</v>
      </c>
      <c r="AC67" s="185" t="s">
        <v>4275</v>
      </c>
      <c r="AD67" s="185" t="s">
        <v>715</v>
      </c>
      <c r="AE67" s="185" t="s">
        <v>4274</v>
      </c>
      <c r="AF67" s="185" t="s">
        <v>4275</v>
      </c>
      <c r="AG67" s="185" t="s">
        <v>4250</v>
      </c>
      <c r="AH67" s="185">
        <v>4</v>
      </c>
      <c r="AI67" s="185" t="s">
        <v>268</v>
      </c>
      <c r="AJ67" s="185" t="s">
        <v>4276</v>
      </c>
      <c r="AK67" s="185" t="s">
        <v>1879</v>
      </c>
      <c r="AL67" s="185" t="s">
        <v>271</v>
      </c>
      <c r="AM67" s="185" t="s">
        <v>599</v>
      </c>
      <c r="AN67" s="185" t="s">
        <v>1879</v>
      </c>
      <c r="AO67" s="185" t="s">
        <v>4277</v>
      </c>
      <c r="AP67" s="185">
        <v>3</v>
      </c>
      <c r="AQ67" s="185" t="s">
        <v>3812</v>
      </c>
      <c r="AR67" s="185" t="s">
        <v>4278</v>
      </c>
      <c r="AS67" s="185" t="s">
        <v>4279</v>
      </c>
      <c r="AT67" s="185" t="s">
        <v>3812</v>
      </c>
      <c r="AU67" s="185" t="s">
        <v>4280</v>
      </c>
      <c r="AV67" s="185" t="s">
        <v>4279</v>
      </c>
      <c r="AW67" s="185" t="s">
        <v>4281</v>
      </c>
      <c r="AX67" s="185">
        <v>3</v>
      </c>
      <c r="AY67" s="185" t="s">
        <v>411</v>
      </c>
      <c r="AZ67" s="185" t="s">
        <v>619</v>
      </c>
      <c r="BA67" s="185" t="s">
        <v>598</v>
      </c>
      <c r="BB67" s="185" t="s">
        <v>411</v>
      </c>
      <c r="BC67" s="185" t="s">
        <v>1401</v>
      </c>
      <c r="BD67" s="185" t="s">
        <v>1400</v>
      </c>
      <c r="BE67" s="185" t="s">
        <v>4252</v>
      </c>
      <c r="BF67" s="185">
        <v>3</v>
      </c>
      <c r="BG67" s="185" t="s">
        <v>3813</v>
      </c>
      <c r="BH67" s="185" t="s">
        <v>567</v>
      </c>
      <c r="BI67" s="185" t="s">
        <v>242</v>
      </c>
      <c r="BJ67" s="185" t="s">
        <v>567</v>
      </c>
      <c r="BK67" s="185" t="s">
        <v>4282</v>
      </c>
      <c r="BL67" s="185" t="s">
        <v>242</v>
      </c>
      <c r="BM67" s="185" t="s">
        <v>4253</v>
      </c>
      <c r="BN67" s="185">
        <v>3</v>
      </c>
      <c r="BO67" s="185" t="s">
        <v>4283</v>
      </c>
      <c r="BP67" s="185" t="s">
        <v>352</v>
      </c>
      <c r="BQ67" s="185" t="s">
        <v>311</v>
      </c>
      <c r="BR67" s="185" t="s">
        <v>4283</v>
      </c>
      <c r="BS67" s="185" t="s">
        <v>353</v>
      </c>
      <c r="BT67" s="185" t="s">
        <v>1749</v>
      </c>
    </row>
    <row r="68" spans="1:72" s="184" customFormat="1" ht="54.95" customHeight="1" x14ac:dyDescent="0.25">
      <c r="A68" s="155">
        <v>16</v>
      </c>
      <c r="B68" s="184" t="s">
        <v>4505</v>
      </c>
      <c r="C68" s="184" t="s">
        <v>247</v>
      </c>
      <c r="D68" s="184" t="s">
        <v>4506</v>
      </c>
      <c r="E68" s="184" t="s">
        <v>4507</v>
      </c>
      <c r="F68" s="184" t="s">
        <v>4508</v>
      </c>
      <c r="G68" s="184" t="s">
        <v>4509</v>
      </c>
      <c r="H68" s="184" t="s">
        <v>4510</v>
      </c>
      <c r="I68" s="184" t="s">
        <v>4511</v>
      </c>
      <c r="J68" s="184" t="s">
        <v>4512</v>
      </c>
      <c r="K68" s="184" t="s">
        <v>4513</v>
      </c>
      <c r="L68" s="184" t="s">
        <v>4262</v>
      </c>
      <c r="M68" s="184" t="s">
        <v>4263</v>
      </c>
      <c r="N68" s="184" t="s">
        <v>4264</v>
      </c>
      <c r="O68" s="184">
        <v>20</v>
      </c>
      <c r="P68" s="184" t="s">
        <v>259</v>
      </c>
      <c r="Q68" s="184" t="s">
        <v>4514</v>
      </c>
      <c r="R68" s="184" t="s">
        <v>4515</v>
      </c>
      <c r="S68" s="184" t="s">
        <v>4516</v>
      </c>
      <c r="T68" s="184" t="s">
        <v>4517</v>
      </c>
      <c r="U68" s="184" t="s">
        <v>4518</v>
      </c>
      <c r="V68" s="184" t="s">
        <v>4519</v>
      </c>
      <c r="W68" s="184" t="s">
        <v>4520</v>
      </c>
      <c r="X68" s="184" t="s">
        <v>4521</v>
      </c>
      <c r="Y68" s="185" t="s">
        <v>4273</v>
      </c>
      <c r="Z68" s="185">
        <v>4</v>
      </c>
      <c r="AA68" s="185" t="s">
        <v>715</v>
      </c>
      <c r="AB68" s="185" t="s">
        <v>4274</v>
      </c>
      <c r="AC68" s="185" t="s">
        <v>4275</v>
      </c>
      <c r="AD68" s="185" t="s">
        <v>715</v>
      </c>
      <c r="AE68" s="185" t="s">
        <v>4274</v>
      </c>
      <c r="AF68" s="185" t="s">
        <v>4275</v>
      </c>
      <c r="AG68" s="185" t="s">
        <v>4250</v>
      </c>
      <c r="AH68" s="185">
        <v>4</v>
      </c>
      <c r="AI68" s="185" t="s">
        <v>268</v>
      </c>
      <c r="AJ68" s="185" t="s">
        <v>4276</v>
      </c>
      <c r="AK68" s="185" t="s">
        <v>1879</v>
      </c>
      <c r="AL68" s="185" t="s">
        <v>271</v>
      </c>
      <c r="AM68" s="185" t="s">
        <v>599</v>
      </c>
      <c r="AN68" s="185" t="s">
        <v>1879</v>
      </c>
      <c r="AO68" s="185" t="s">
        <v>4277</v>
      </c>
      <c r="AP68" s="185">
        <v>3</v>
      </c>
      <c r="AQ68" s="185" t="s">
        <v>3812</v>
      </c>
      <c r="AR68" s="185" t="s">
        <v>4278</v>
      </c>
      <c r="AS68" s="185" t="s">
        <v>4279</v>
      </c>
      <c r="AT68" s="185" t="s">
        <v>3812</v>
      </c>
      <c r="AU68" s="185" t="s">
        <v>4280</v>
      </c>
      <c r="AV68" s="185" t="s">
        <v>4279</v>
      </c>
      <c r="AW68" s="185" t="s">
        <v>4281</v>
      </c>
      <c r="AX68" s="185">
        <v>3</v>
      </c>
      <c r="AY68" s="185" t="s">
        <v>411</v>
      </c>
      <c r="AZ68" s="185" t="s">
        <v>619</v>
      </c>
      <c r="BA68" s="185" t="s">
        <v>598</v>
      </c>
      <c r="BB68" s="185" t="s">
        <v>411</v>
      </c>
      <c r="BC68" s="185" t="s">
        <v>1401</v>
      </c>
      <c r="BD68" s="185" t="s">
        <v>1400</v>
      </c>
      <c r="BE68" s="185" t="s">
        <v>4252</v>
      </c>
      <c r="BF68" s="185">
        <v>3</v>
      </c>
      <c r="BG68" s="185" t="s">
        <v>3813</v>
      </c>
      <c r="BH68" s="185" t="s">
        <v>567</v>
      </c>
      <c r="BI68" s="185" t="s">
        <v>242</v>
      </c>
      <c r="BJ68" s="185" t="s">
        <v>567</v>
      </c>
      <c r="BK68" s="185" t="s">
        <v>4282</v>
      </c>
      <c r="BL68" s="185" t="s">
        <v>242</v>
      </c>
      <c r="BM68" s="185" t="s">
        <v>4253</v>
      </c>
      <c r="BN68" s="185">
        <v>3</v>
      </c>
      <c r="BO68" s="185" t="s">
        <v>4283</v>
      </c>
      <c r="BP68" s="185" t="s">
        <v>352</v>
      </c>
      <c r="BQ68" s="185" t="s">
        <v>311</v>
      </c>
      <c r="BR68" s="185" t="s">
        <v>4283</v>
      </c>
      <c r="BS68" s="185" t="s">
        <v>353</v>
      </c>
      <c r="BT68" s="185" t="s">
        <v>1749</v>
      </c>
    </row>
    <row r="69" spans="1:72" s="184" customFormat="1" ht="54.95" customHeight="1" x14ac:dyDescent="0.25">
      <c r="A69" s="155">
        <v>17</v>
      </c>
      <c r="B69" s="184" t="s">
        <v>4522</v>
      </c>
      <c r="C69" s="184" t="s">
        <v>247</v>
      </c>
      <c r="D69" s="184" t="s">
        <v>4523</v>
      </c>
      <c r="E69" s="184" t="s">
        <v>4524</v>
      </c>
      <c r="F69" s="184" t="s">
        <v>4525</v>
      </c>
      <c r="G69" s="184" t="s">
        <v>4526</v>
      </c>
      <c r="H69" s="184" t="s">
        <v>4527</v>
      </c>
      <c r="I69" s="184" t="s">
        <v>4528</v>
      </c>
      <c r="J69" s="184" t="s">
        <v>4529</v>
      </c>
      <c r="K69" s="184" t="s">
        <v>4530</v>
      </c>
      <c r="L69" s="184" t="s">
        <v>4262</v>
      </c>
      <c r="M69" s="184" t="s">
        <v>4263</v>
      </c>
      <c r="N69" s="184" t="s">
        <v>4264</v>
      </c>
      <c r="O69" s="184">
        <v>20</v>
      </c>
      <c r="P69" s="184" t="s">
        <v>259</v>
      </c>
      <c r="Q69" s="184" t="s">
        <v>4531</v>
      </c>
      <c r="R69" s="184" t="s">
        <v>4532</v>
      </c>
      <c r="S69" s="184" t="s">
        <v>4533</v>
      </c>
      <c r="T69" s="184" t="s">
        <v>4534</v>
      </c>
      <c r="U69" s="184" t="s">
        <v>4535</v>
      </c>
      <c r="V69" s="184" t="s">
        <v>4536</v>
      </c>
      <c r="W69" s="184" t="s">
        <v>4537</v>
      </c>
      <c r="X69" s="184" t="s">
        <v>4538</v>
      </c>
      <c r="Y69" s="185" t="s">
        <v>4273</v>
      </c>
      <c r="Z69" s="185">
        <v>4</v>
      </c>
      <c r="AA69" s="185" t="s">
        <v>715</v>
      </c>
      <c r="AB69" s="185" t="s">
        <v>4274</v>
      </c>
      <c r="AC69" s="185" t="s">
        <v>4275</v>
      </c>
      <c r="AD69" s="185" t="s">
        <v>715</v>
      </c>
      <c r="AE69" s="185" t="s">
        <v>4274</v>
      </c>
      <c r="AF69" s="185" t="s">
        <v>4275</v>
      </c>
      <c r="AG69" s="185" t="s">
        <v>4250</v>
      </c>
      <c r="AH69" s="185">
        <v>4</v>
      </c>
      <c r="AI69" s="185" t="s">
        <v>268</v>
      </c>
      <c r="AJ69" s="185" t="s">
        <v>4276</v>
      </c>
      <c r="AK69" s="185" t="s">
        <v>1879</v>
      </c>
      <c r="AL69" s="185" t="s">
        <v>271</v>
      </c>
      <c r="AM69" s="185" t="s">
        <v>599</v>
      </c>
      <c r="AN69" s="185" t="s">
        <v>1879</v>
      </c>
      <c r="AO69" s="185" t="s">
        <v>4277</v>
      </c>
      <c r="AP69" s="185">
        <v>3</v>
      </c>
      <c r="AQ69" s="185" t="s">
        <v>3812</v>
      </c>
      <c r="AR69" s="185" t="s">
        <v>4278</v>
      </c>
      <c r="AS69" s="185" t="s">
        <v>4279</v>
      </c>
      <c r="AT69" s="185" t="s">
        <v>3812</v>
      </c>
      <c r="AU69" s="185" t="s">
        <v>4280</v>
      </c>
      <c r="AV69" s="185" t="s">
        <v>4279</v>
      </c>
      <c r="AW69" s="185" t="s">
        <v>4281</v>
      </c>
      <c r="AX69" s="185">
        <v>3</v>
      </c>
      <c r="AY69" s="185" t="s">
        <v>411</v>
      </c>
      <c r="AZ69" s="185" t="s">
        <v>619</v>
      </c>
      <c r="BA69" s="185" t="s">
        <v>598</v>
      </c>
      <c r="BB69" s="185" t="s">
        <v>411</v>
      </c>
      <c r="BC69" s="185" t="s">
        <v>1401</v>
      </c>
      <c r="BD69" s="185" t="s">
        <v>1400</v>
      </c>
      <c r="BE69" s="185" t="s">
        <v>4252</v>
      </c>
      <c r="BF69" s="185">
        <v>3</v>
      </c>
      <c r="BG69" s="185" t="s">
        <v>3813</v>
      </c>
      <c r="BH69" s="185" t="s">
        <v>567</v>
      </c>
      <c r="BI69" s="185" t="s">
        <v>242</v>
      </c>
      <c r="BJ69" s="185" t="s">
        <v>567</v>
      </c>
      <c r="BK69" s="185" t="s">
        <v>4282</v>
      </c>
      <c r="BL69" s="185" t="s">
        <v>242</v>
      </c>
      <c r="BM69" s="185" t="s">
        <v>4253</v>
      </c>
      <c r="BN69" s="185">
        <v>3</v>
      </c>
      <c r="BO69" s="185" t="s">
        <v>4283</v>
      </c>
      <c r="BP69" s="185" t="s">
        <v>352</v>
      </c>
      <c r="BQ69" s="185" t="s">
        <v>311</v>
      </c>
      <c r="BR69" s="185" t="s">
        <v>4283</v>
      </c>
      <c r="BS69" s="185" t="s">
        <v>353</v>
      </c>
      <c r="BT69" s="185" t="s">
        <v>1749</v>
      </c>
    </row>
    <row r="70" spans="1:72" s="184" customFormat="1" ht="54.95" customHeight="1" x14ac:dyDescent="0.25">
      <c r="A70" s="155">
        <v>18</v>
      </c>
      <c r="B70" s="184" t="s">
        <v>765</v>
      </c>
      <c r="C70" s="184" t="s">
        <v>247</v>
      </c>
      <c r="D70" s="184" t="s">
        <v>4539</v>
      </c>
      <c r="E70" s="184" t="s">
        <v>4540</v>
      </c>
      <c r="F70" s="184" t="s">
        <v>4541</v>
      </c>
      <c r="G70" s="184" t="s">
        <v>4542</v>
      </c>
      <c r="H70" s="184" t="s">
        <v>4543</v>
      </c>
      <c r="I70" s="184" t="s">
        <v>4544</v>
      </c>
      <c r="J70" s="184" t="s">
        <v>4545</v>
      </c>
      <c r="K70" s="184" t="s">
        <v>4546</v>
      </c>
      <c r="L70" s="184" t="s">
        <v>4262</v>
      </c>
      <c r="M70" s="184" t="s">
        <v>4263</v>
      </c>
      <c r="N70" s="184" t="s">
        <v>4264</v>
      </c>
      <c r="O70" s="184">
        <v>20</v>
      </c>
      <c r="P70" s="184" t="s">
        <v>259</v>
      </c>
      <c r="Q70" s="184" t="s">
        <v>4547</v>
      </c>
      <c r="R70" s="184" t="s">
        <v>4548</v>
      </c>
      <c r="S70" s="184" t="s">
        <v>4549</v>
      </c>
      <c r="T70" s="184" t="s">
        <v>4550</v>
      </c>
      <c r="U70" s="184" t="s">
        <v>4551</v>
      </c>
      <c r="V70" s="184" t="s">
        <v>4552</v>
      </c>
      <c r="W70" s="184" t="s">
        <v>4553</v>
      </c>
      <c r="X70" s="184" t="s">
        <v>4554</v>
      </c>
      <c r="Y70" s="185" t="s">
        <v>4273</v>
      </c>
      <c r="Z70" s="185">
        <v>4</v>
      </c>
      <c r="AA70" s="185" t="s">
        <v>715</v>
      </c>
      <c r="AB70" s="185" t="s">
        <v>4274</v>
      </c>
      <c r="AC70" s="185" t="s">
        <v>4275</v>
      </c>
      <c r="AD70" s="185" t="s">
        <v>715</v>
      </c>
      <c r="AE70" s="185" t="s">
        <v>4274</v>
      </c>
      <c r="AF70" s="185" t="s">
        <v>4275</v>
      </c>
      <c r="AG70" s="185" t="s">
        <v>4250</v>
      </c>
      <c r="AH70" s="185">
        <v>4</v>
      </c>
      <c r="AI70" s="185" t="s">
        <v>268</v>
      </c>
      <c r="AJ70" s="185" t="s">
        <v>4276</v>
      </c>
      <c r="AK70" s="185" t="s">
        <v>1879</v>
      </c>
      <c r="AL70" s="185" t="s">
        <v>271</v>
      </c>
      <c r="AM70" s="185" t="s">
        <v>599</v>
      </c>
      <c r="AN70" s="185" t="s">
        <v>1879</v>
      </c>
      <c r="AO70" s="185" t="s">
        <v>4277</v>
      </c>
      <c r="AP70" s="185">
        <v>3</v>
      </c>
      <c r="AQ70" s="185" t="s">
        <v>3812</v>
      </c>
      <c r="AR70" s="185" t="s">
        <v>4278</v>
      </c>
      <c r="AS70" s="185" t="s">
        <v>4279</v>
      </c>
      <c r="AT70" s="185" t="s">
        <v>3812</v>
      </c>
      <c r="AU70" s="185" t="s">
        <v>4280</v>
      </c>
      <c r="AV70" s="185" t="s">
        <v>4279</v>
      </c>
      <c r="AW70" s="185" t="s">
        <v>4281</v>
      </c>
      <c r="AX70" s="185">
        <v>3</v>
      </c>
      <c r="AY70" s="185" t="s">
        <v>411</v>
      </c>
      <c r="AZ70" s="185" t="s">
        <v>619</v>
      </c>
      <c r="BA70" s="185" t="s">
        <v>598</v>
      </c>
      <c r="BB70" s="185" t="s">
        <v>411</v>
      </c>
      <c r="BC70" s="185" t="s">
        <v>1401</v>
      </c>
      <c r="BD70" s="185" t="s">
        <v>1400</v>
      </c>
      <c r="BE70" s="185" t="s">
        <v>4252</v>
      </c>
      <c r="BF70" s="185">
        <v>3</v>
      </c>
      <c r="BG70" s="185" t="s">
        <v>3813</v>
      </c>
      <c r="BH70" s="185" t="s">
        <v>567</v>
      </c>
      <c r="BI70" s="185" t="s">
        <v>242</v>
      </c>
      <c r="BJ70" s="185" t="s">
        <v>567</v>
      </c>
      <c r="BK70" s="185" t="s">
        <v>4282</v>
      </c>
      <c r="BL70" s="185" t="s">
        <v>242</v>
      </c>
      <c r="BM70" s="185" t="s">
        <v>4253</v>
      </c>
      <c r="BN70" s="185">
        <v>3</v>
      </c>
      <c r="BO70" s="185" t="s">
        <v>4283</v>
      </c>
      <c r="BP70" s="185" t="s">
        <v>352</v>
      </c>
      <c r="BQ70" s="185" t="s">
        <v>311</v>
      </c>
      <c r="BR70" s="185" t="s">
        <v>4283</v>
      </c>
      <c r="BS70" s="185" t="s">
        <v>353</v>
      </c>
      <c r="BT70" s="185" t="s">
        <v>1749</v>
      </c>
    </row>
    <row r="71" spans="1:72" s="184" customFormat="1" ht="54.95" customHeight="1" x14ac:dyDescent="0.25">
      <c r="A71" s="155">
        <v>19</v>
      </c>
      <c r="B71" s="184" t="s">
        <v>324</v>
      </c>
      <c r="C71" s="184" t="s">
        <v>570</v>
      </c>
      <c r="D71" s="184" t="s">
        <v>4555</v>
      </c>
      <c r="E71" s="184" t="s">
        <v>4556</v>
      </c>
      <c r="F71" s="184" t="s">
        <v>4557</v>
      </c>
      <c r="G71" s="184" t="s">
        <v>4558</v>
      </c>
      <c r="H71" s="184" t="s">
        <v>4559</v>
      </c>
      <c r="I71" s="184" t="s">
        <v>4560</v>
      </c>
      <c r="J71" s="184" t="s">
        <v>4561</v>
      </c>
      <c r="K71" s="184" t="s">
        <v>4562</v>
      </c>
      <c r="L71" s="184" t="s">
        <v>4262</v>
      </c>
      <c r="M71" s="184" t="s">
        <v>4263</v>
      </c>
      <c r="N71" s="184" t="s">
        <v>4264</v>
      </c>
      <c r="O71" s="184">
        <v>20</v>
      </c>
      <c r="P71" s="184" t="s">
        <v>259</v>
      </c>
      <c r="Q71" s="184" t="s">
        <v>4563</v>
      </c>
      <c r="R71" s="184" t="s">
        <v>4564</v>
      </c>
      <c r="S71" s="184" t="s">
        <v>4390</v>
      </c>
      <c r="T71" s="184" t="s">
        <v>4565</v>
      </c>
      <c r="U71" s="184" t="s">
        <v>4566</v>
      </c>
      <c r="V71" s="184" t="s">
        <v>4567</v>
      </c>
      <c r="W71" s="184" t="s">
        <v>4568</v>
      </c>
      <c r="X71" s="184" t="s">
        <v>4569</v>
      </c>
      <c r="Y71" s="185" t="s">
        <v>4273</v>
      </c>
      <c r="Z71" s="185">
        <v>4</v>
      </c>
      <c r="AA71" s="185" t="s">
        <v>715</v>
      </c>
      <c r="AB71" s="185" t="s">
        <v>4274</v>
      </c>
      <c r="AC71" s="185" t="s">
        <v>4275</v>
      </c>
      <c r="AD71" s="185" t="s">
        <v>715</v>
      </c>
      <c r="AE71" s="185" t="s">
        <v>4274</v>
      </c>
      <c r="AF71" s="185" t="s">
        <v>4275</v>
      </c>
      <c r="AG71" s="185" t="s">
        <v>4250</v>
      </c>
      <c r="AH71" s="185">
        <v>4</v>
      </c>
      <c r="AI71" s="185" t="s">
        <v>268</v>
      </c>
      <c r="AJ71" s="185" t="s">
        <v>4276</v>
      </c>
      <c r="AK71" s="185" t="s">
        <v>1879</v>
      </c>
      <c r="AL71" s="185" t="s">
        <v>271</v>
      </c>
      <c r="AM71" s="185" t="s">
        <v>599</v>
      </c>
      <c r="AN71" s="185" t="s">
        <v>1879</v>
      </c>
      <c r="AO71" s="185" t="s">
        <v>4277</v>
      </c>
      <c r="AP71" s="185">
        <v>3</v>
      </c>
      <c r="AQ71" s="185" t="s">
        <v>3812</v>
      </c>
      <c r="AR71" s="185" t="s">
        <v>4278</v>
      </c>
      <c r="AS71" s="185" t="s">
        <v>4279</v>
      </c>
      <c r="AT71" s="185" t="s">
        <v>3812</v>
      </c>
      <c r="AU71" s="185" t="s">
        <v>4280</v>
      </c>
      <c r="AV71" s="185" t="s">
        <v>4279</v>
      </c>
      <c r="AW71" s="185" t="s">
        <v>4281</v>
      </c>
      <c r="AX71" s="185">
        <v>3</v>
      </c>
      <c r="AY71" s="185" t="s">
        <v>411</v>
      </c>
      <c r="AZ71" s="185" t="s">
        <v>619</v>
      </c>
      <c r="BA71" s="185" t="s">
        <v>598</v>
      </c>
      <c r="BB71" s="185" t="s">
        <v>411</v>
      </c>
      <c r="BC71" s="185" t="s">
        <v>1401</v>
      </c>
      <c r="BD71" s="185" t="s">
        <v>1400</v>
      </c>
      <c r="BE71" s="185" t="s">
        <v>4252</v>
      </c>
      <c r="BF71" s="185">
        <v>3</v>
      </c>
      <c r="BG71" s="185" t="s">
        <v>3813</v>
      </c>
      <c r="BH71" s="185" t="s">
        <v>567</v>
      </c>
      <c r="BI71" s="185" t="s">
        <v>242</v>
      </c>
      <c r="BJ71" s="185" t="s">
        <v>567</v>
      </c>
      <c r="BK71" s="185" t="s">
        <v>4282</v>
      </c>
      <c r="BL71" s="185" t="s">
        <v>242</v>
      </c>
      <c r="BM71" s="185" t="s">
        <v>4253</v>
      </c>
      <c r="BN71" s="185">
        <v>3</v>
      </c>
      <c r="BO71" s="185" t="s">
        <v>4283</v>
      </c>
      <c r="BP71" s="185" t="s">
        <v>352</v>
      </c>
      <c r="BQ71" s="185" t="s">
        <v>311</v>
      </c>
      <c r="BR71" s="185" t="s">
        <v>4283</v>
      </c>
      <c r="BS71" s="185" t="s">
        <v>353</v>
      </c>
      <c r="BT71" s="185" t="s">
        <v>1749</v>
      </c>
    </row>
    <row r="72" spans="1:72" s="184" customFormat="1" ht="54.95" customHeight="1" x14ac:dyDescent="0.25">
      <c r="A72" s="155">
        <v>20</v>
      </c>
      <c r="B72" s="184" t="s">
        <v>4570</v>
      </c>
      <c r="C72" s="184" t="s">
        <v>205</v>
      </c>
      <c r="D72" s="184" t="s">
        <v>4571</v>
      </c>
      <c r="E72" s="184" t="s">
        <v>4572</v>
      </c>
      <c r="F72" s="184" t="s">
        <v>4573</v>
      </c>
      <c r="G72" s="184" t="s">
        <v>4574</v>
      </c>
      <c r="H72" s="184" t="s">
        <v>4575</v>
      </c>
      <c r="I72" s="184" t="s">
        <v>4576</v>
      </c>
      <c r="J72" s="184" t="s">
        <v>4577</v>
      </c>
      <c r="K72" s="184" t="s">
        <v>4578</v>
      </c>
      <c r="L72" s="184" t="s">
        <v>4262</v>
      </c>
      <c r="M72" s="184" t="s">
        <v>4263</v>
      </c>
      <c r="N72" s="184" t="s">
        <v>4264</v>
      </c>
      <c r="O72" s="184">
        <v>20</v>
      </c>
      <c r="P72" s="184" t="s">
        <v>259</v>
      </c>
      <c r="Q72" s="184" t="s">
        <v>4579</v>
      </c>
      <c r="R72" s="184" t="s">
        <v>4434</v>
      </c>
      <c r="S72" s="184" t="s">
        <v>4580</v>
      </c>
      <c r="T72" s="184" t="s">
        <v>4581</v>
      </c>
      <c r="U72" s="184" t="s">
        <v>4582</v>
      </c>
      <c r="V72" s="184" t="s">
        <v>4583</v>
      </c>
      <c r="W72" s="184" t="s">
        <v>4314</v>
      </c>
      <c r="X72" s="184" t="s">
        <v>4584</v>
      </c>
      <c r="Y72" s="185" t="s">
        <v>4273</v>
      </c>
      <c r="Z72" s="185">
        <v>4</v>
      </c>
      <c r="AA72" s="185" t="s">
        <v>715</v>
      </c>
      <c r="AB72" s="185" t="s">
        <v>4274</v>
      </c>
      <c r="AC72" s="185" t="s">
        <v>4275</v>
      </c>
      <c r="AD72" s="185" t="s">
        <v>715</v>
      </c>
      <c r="AE72" s="185" t="s">
        <v>4274</v>
      </c>
      <c r="AF72" s="185" t="s">
        <v>4275</v>
      </c>
      <c r="AG72" s="185" t="s">
        <v>4250</v>
      </c>
      <c r="AH72" s="185">
        <v>4</v>
      </c>
      <c r="AI72" s="185" t="s">
        <v>268</v>
      </c>
      <c r="AJ72" s="185" t="s">
        <v>4276</v>
      </c>
      <c r="AK72" s="185" t="s">
        <v>1879</v>
      </c>
      <c r="AL72" s="185" t="s">
        <v>271</v>
      </c>
      <c r="AM72" s="185" t="s">
        <v>599</v>
      </c>
      <c r="AN72" s="185" t="s">
        <v>1879</v>
      </c>
      <c r="AO72" s="185" t="s">
        <v>4277</v>
      </c>
      <c r="AP72" s="185">
        <v>3</v>
      </c>
      <c r="AQ72" s="185" t="s">
        <v>3812</v>
      </c>
      <c r="AR72" s="185" t="s">
        <v>4278</v>
      </c>
      <c r="AS72" s="185" t="s">
        <v>4279</v>
      </c>
      <c r="AT72" s="185" t="s">
        <v>3812</v>
      </c>
      <c r="AU72" s="185" t="s">
        <v>4280</v>
      </c>
      <c r="AV72" s="185" t="s">
        <v>4279</v>
      </c>
      <c r="AW72" s="185" t="s">
        <v>4281</v>
      </c>
      <c r="AX72" s="185">
        <v>3</v>
      </c>
      <c r="AY72" s="185" t="s">
        <v>411</v>
      </c>
      <c r="AZ72" s="185" t="s">
        <v>619</v>
      </c>
      <c r="BA72" s="185" t="s">
        <v>598</v>
      </c>
      <c r="BB72" s="185" t="s">
        <v>411</v>
      </c>
      <c r="BC72" s="185" t="s">
        <v>1401</v>
      </c>
      <c r="BD72" s="185" t="s">
        <v>1400</v>
      </c>
      <c r="BE72" s="185" t="s">
        <v>4252</v>
      </c>
      <c r="BF72" s="185">
        <v>3</v>
      </c>
      <c r="BG72" s="185" t="s">
        <v>3813</v>
      </c>
      <c r="BH72" s="185" t="s">
        <v>567</v>
      </c>
      <c r="BI72" s="185" t="s">
        <v>242</v>
      </c>
      <c r="BJ72" s="185" t="s">
        <v>567</v>
      </c>
      <c r="BK72" s="185" t="s">
        <v>4282</v>
      </c>
      <c r="BL72" s="185" t="s">
        <v>242</v>
      </c>
      <c r="BM72" s="185" t="s">
        <v>4253</v>
      </c>
      <c r="BN72" s="185">
        <v>3</v>
      </c>
      <c r="BO72" s="185" t="s">
        <v>4283</v>
      </c>
      <c r="BP72" s="185" t="s">
        <v>352</v>
      </c>
      <c r="BQ72" s="185" t="s">
        <v>311</v>
      </c>
      <c r="BR72" s="185" t="s">
        <v>4283</v>
      </c>
      <c r="BS72" s="185" t="s">
        <v>353</v>
      </c>
      <c r="BT72" s="185" t="s">
        <v>1749</v>
      </c>
    </row>
    <row r="73" spans="1:72" s="184" customFormat="1" ht="54.95" customHeight="1" x14ac:dyDescent="0.25">
      <c r="A73" s="155">
        <v>21</v>
      </c>
      <c r="B73" s="184" t="s">
        <v>506</v>
      </c>
      <c r="C73" s="184" t="s">
        <v>325</v>
      </c>
      <c r="D73" s="184" t="s">
        <v>4585</v>
      </c>
      <c r="E73" s="184" t="s">
        <v>4586</v>
      </c>
      <c r="F73" s="184" t="s">
        <v>4587</v>
      </c>
      <c r="G73" s="184" t="s">
        <v>4588</v>
      </c>
      <c r="H73" s="184" t="s">
        <v>4589</v>
      </c>
      <c r="I73" s="184" t="s">
        <v>4590</v>
      </c>
      <c r="J73" s="184" t="s">
        <v>4591</v>
      </c>
      <c r="K73" s="184" t="s">
        <v>4592</v>
      </c>
      <c r="L73" s="184" t="s">
        <v>4262</v>
      </c>
      <c r="M73" s="184" t="s">
        <v>4263</v>
      </c>
      <c r="N73" s="184" t="s">
        <v>4264</v>
      </c>
      <c r="O73" s="184">
        <v>20</v>
      </c>
      <c r="P73" s="184" t="s">
        <v>259</v>
      </c>
      <c r="Q73" s="184" t="s">
        <v>4593</v>
      </c>
      <c r="R73" s="184" t="s">
        <v>4594</v>
      </c>
      <c r="S73" s="184" t="s">
        <v>4595</v>
      </c>
      <c r="T73" s="184" t="s">
        <v>4484</v>
      </c>
      <c r="U73" s="184" t="s">
        <v>4596</v>
      </c>
      <c r="V73" s="184" t="s">
        <v>4597</v>
      </c>
      <c r="W73" s="184" t="s">
        <v>4598</v>
      </c>
      <c r="X73" s="184" t="s">
        <v>4599</v>
      </c>
      <c r="Y73" s="185" t="s">
        <v>4273</v>
      </c>
      <c r="Z73" s="185">
        <v>4</v>
      </c>
      <c r="AA73" s="185" t="s">
        <v>715</v>
      </c>
      <c r="AB73" s="185" t="s">
        <v>4274</v>
      </c>
      <c r="AC73" s="185" t="s">
        <v>4275</v>
      </c>
      <c r="AD73" s="185" t="s">
        <v>715</v>
      </c>
      <c r="AE73" s="185" t="s">
        <v>4274</v>
      </c>
      <c r="AF73" s="185" t="s">
        <v>4275</v>
      </c>
      <c r="AG73" s="185" t="s">
        <v>4250</v>
      </c>
      <c r="AH73" s="185">
        <v>4</v>
      </c>
      <c r="AI73" s="185" t="s">
        <v>268</v>
      </c>
      <c r="AJ73" s="185" t="s">
        <v>4276</v>
      </c>
      <c r="AK73" s="185" t="s">
        <v>1879</v>
      </c>
      <c r="AL73" s="185" t="s">
        <v>271</v>
      </c>
      <c r="AM73" s="185" t="s">
        <v>599</v>
      </c>
      <c r="AN73" s="185" t="s">
        <v>1879</v>
      </c>
      <c r="AO73" s="185" t="s">
        <v>4277</v>
      </c>
      <c r="AP73" s="185">
        <v>3</v>
      </c>
      <c r="AQ73" s="185" t="s">
        <v>3812</v>
      </c>
      <c r="AR73" s="185" t="s">
        <v>4278</v>
      </c>
      <c r="AS73" s="185" t="s">
        <v>4279</v>
      </c>
      <c r="AT73" s="185" t="s">
        <v>3812</v>
      </c>
      <c r="AU73" s="185" t="s">
        <v>4280</v>
      </c>
      <c r="AV73" s="185" t="s">
        <v>4279</v>
      </c>
      <c r="AW73" s="185" t="s">
        <v>4281</v>
      </c>
      <c r="AX73" s="185">
        <v>3</v>
      </c>
      <c r="AY73" s="185" t="s">
        <v>411</v>
      </c>
      <c r="AZ73" s="185" t="s">
        <v>619</v>
      </c>
      <c r="BA73" s="185" t="s">
        <v>598</v>
      </c>
      <c r="BB73" s="185" t="s">
        <v>411</v>
      </c>
      <c r="BC73" s="185" t="s">
        <v>1401</v>
      </c>
      <c r="BD73" s="185" t="s">
        <v>1400</v>
      </c>
      <c r="BE73" s="185" t="s">
        <v>4252</v>
      </c>
      <c r="BF73" s="185">
        <v>3</v>
      </c>
      <c r="BG73" s="185" t="s">
        <v>3813</v>
      </c>
      <c r="BH73" s="185" t="s">
        <v>567</v>
      </c>
      <c r="BI73" s="185" t="s">
        <v>242</v>
      </c>
      <c r="BJ73" s="185" t="s">
        <v>567</v>
      </c>
      <c r="BK73" s="185" t="s">
        <v>4282</v>
      </c>
      <c r="BL73" s="185" t="s">
        <v>242</v>
      </c>
      <c r="BM73" s="185" t="s">
        <v>4253</v>
      </c>
      <c r="BN73" s="185">
        <v>3</v>
      </c>
      <c r="BO73" s="185" t="s">
        <v>4283</v>
      </c>
      <c r="BP73" s="185" t="s">
        <v>352</v>
      </c>
      <c r="BQ73" s="185" t="s">
        <v>311</v>
      </c>
      <c r="BR73" s="185" t="s">
        <v>4283</v>
      </c>
      <c r="BS73" s="185" t="s">
        <v>353</v>
      </c>
      <c r="BT73" s="185" t="s">
        <v>1749</v>
      </c>
    </row>
    <row r="74" spans="1:72" s="184" customFormat="1" ht="54.95" customHeight="1" x14ac:dyDescent="0.25">
      <c r="A74" s="155">
        <v>22</v>
      </c>
      <c r="B74" s="184" t="s">
        <v>798</v>
      </c>
      <c r="C74" s="184" t="s">
        <v>247</v>
      </c>
      <c r="D74" s="184" t="s">
        <v>4600</v>
      </c>
      <c r="E74" s="184" t="s">
        <v>4601</v>
      </c>
      <c r="F74" s="184" t="s">
        <v>4602</v>
      </c>
      <c r="G74" s="184" t="s">
        <v>4603</v>
      </c>
      <c r="H74" s="184" t="s">
        <v>4604</v>
      </c>
      <c r="I74" s="184" t="s">
        <v>4605</v>
      </c>
      <c r="J74" s="184" t="s">
        <v>4606</v>
      </c>
      <c r="K74" s="184" t="s">
        <v>4607</v>
      </c>
      <c r="L74" s="184" t="s">
        <v>4262</v>
      </c>
      <c r="M74" s="184" t="s">
        <v>4263</v>
      </c>
      <c r="N74" s="184" t="s">
        <v>4264</v>
      </c>
      <c r="O74" s="184">
        <v>20</v>
      </c>
      <c r="P74" s="184" t="s">
        <v>259</v>
      </c>
      <c r="Q74" s="184" t="s">
        <v>534</v>
      </c>
      <c r="R74" s="184" t="s">
        <v>4608</v>
      </c>
      <c r="S74" s="184" t="s">
        <v>4609</v>
      </c>
      <c r="T74" s="184" t="s">
        <v>4610</v>
      </c>
      <c r="U74" s="184" t="s">
        <v>4611</v>
      </c>
      <c r="V74" s="184" t="s">
        <v>4612</v>
      </c>
      <c r="W74" s="184" t="s">
        <v>4613</v>
      </c>
      <c r="X74" s="184" t="s">
        <v>4614</v>
      </c>
      <c r="Y74" s="185" t="s">
        <v>4273</v>
      </c>
      <c r="Z74" s="185">
        <v>4</v>
      </c>
      <c r="AA74" s="185" t="s">
        <v>715</v>
      </c>
      <c r="AB74" s="185" t="s">
        <v>4274</v>
      </c>
      <c r="AC74" s="185" t="s">
        <v>4275</v>
      </c>
      <c r="AD74" s="185" t="s">
        <v>715</v>
      </c>
      <c r="AE74" s="185" t="s">
        <v>4274</v>
      </c>
      <c r="AF74" s="185" t="s">
        <v>4275</v>
      </c>
      <c r="AG74" s="185" t="s">
        <v>4250</v>
      </c>
      <c r="AH74" s="185">
        <v>4</v>
      </c>
      <c r="AI74" s="185" t="s">
        <v>268</v>
      </c>
      <c r="AJ74" s="185" t="s">
        <v>4276</v>
      </c>
      <c r="AK74" s="185" t="s">
        <v>1879</v>
      </c>
      <c r="AL74" s="185" t="s">
        <v>271</v>
      </c>
      <c r="AM74" s="185" t="s">
        <v>599</v>
      </c>
      <c r="AN74" s="185" t="s">
        <v>1879</v>
      </c>
      <c r="AO74" s="185" t="s">
        <v>4277</v>
      </c>
      <c r="AP74" s="185">
        <v>3</v>
      </c>
      <c r="AQ74" s="185" t="s">
        <v>3812</v>
      </c>
      <c r="AR74" s="185" t="s">
        <v>4278</v>
      </c>
      <c r="AS74" s="185" t="s">
        <v>4279</v>
      </c>
      <c r="AT74" s="185" t="s">
        <v>3812</v>
      </c>
      <c r="AU74" s="185" t="s">
        <v>4280</v>
      </c>
      <c r="AV74" s="185" t="s">
        <v>4279</v>
      </c>
      <c r="AW74" s="185" t="s">
        <v>4281</v>
      </c>
      <c r="AX74" s="185">
        <v>3</v>
      </c>
      <c r="AY74" s="185" t="s">
        <v>411</v>
      </c>
      <c r="AZ74" s="185" t="s">
        <v>619</v>
      </c>
      <c r="BA74" s="185" t="s">
        <v>598</v>
      </c>
      <c r="BB74" s="185" t="s">
        <v>411</v>
      </c>
      <c r="BC74" s="185" t="s">
        <v>1401</v>
      </c>
      <c r="BD74" s="185" t="s">
        <v>1400</v>
      </c>
      <c r="BE74" s="185" t="s">
        <v>4252</v>
      </c>
      <c r="BF74" s="185">
        <v>3</v>
      </c>
      <c r="BG74" s="185" t="s">
        <v>3813</v>
      </c>
      <c r="BH74" s="185" t="s">
        <v>567</v>
      </c>
      <c r="BI74" s="185" t="s">
        <v>242</v>
      </c>
      <c r="BJ74" s="185" t="s">
        <v>567</v>
      </c>
      <c r="BK74" s="185" t="s">
        <v>4282</v>
      </c>
      <c r="BL74" s="185" t="s">
        <v>242</v>
      </c>
      <c r="BM74" s="185" t="s">
        <v>4253</v>
      </c>
      <c r="BN74" s="185">
        <v>3</v>
      </c>
      <c r="BO74" s="185" t="s">
        <v>4283</v>
      </c>
      <c r="BP74" s="185" t="s">
        <v>352</v>
      </c>
      <c r="BQ74" s="185" t="s">
        <v>311</v>
      </c>
      <c r="BR74" s="185" t="s">
        <v>4283</v>
      </c>
      <c r="BS74" s="185" t="s">
        <v>353</v>
      </c>
      <c r="BT74" s="185" t="s">
        <v>1749</v>
      </c>
    </row>
    <row r="75" spans="1:72" s="184" customFormat="1" ht="54.95" customHeight="1" x14ac:dyDescent="0.25">
      <c r="A75" s="155">
        <v>23</v>
      </c>
      <c r="B75" s="184" t="s">
        <v>3988</v>
      </c>
      <c r="C75" s="184" t="s">
        <v>247</v>
      </c>
      <c r="D75" s="184" t="s">
        <v>4615</v>
      </c>
      <c r="E75" s="184" t="s">
        <v>4616</v>
      </c>
      <c r="F75" s="184" t="s">
        <v>4617</v>
      </c>
      <c r="G75" s="184" t="s">
        <v>4618</v>
      </c>
      <c r="H75" s="184" t="s">
        <v>4619</v>
      </c>
      <c r="I75" s="184" t="s">
        <v>4620</v>
      </c>
      <c r="J75" s="184" t="s">
        <v>4621</v>
      </c>
      <c r="K75" s="184" t="s">
        <v>4622</v>
      </c>
      <c r="L75" s="184" t="s">
        <v>4262</v>
      </c>
      <c r="M75" s="184" t="s">
        <v>4263</v>
      </c>
      <c r="N75" s="184" t="s">
        <v>4264</v>
      </c>
      <c r="O75" s="184">
        <v>20</v>
      </c>
      <c r="P75" s="184" t="s">
        <v>259</v>
      </c>
      <c r="Q75" s="184" t="s">
        <v>3996</v>
      </c>
      <c r="R75" s="184" t="s">
        <v>4389</v>
      </c>
      <c r="S75" s="184" t="s">
        <v>4623</v>
      </c>
      <c r="T75" s="184" t="s">
        <v>4624</v>
      </c>
      <c r="U75" s="184" t="s">
        <v>4625</v>
      </c>
      <c r="V75" s="184" t="s">
        <v>4626</v>
      </c>
      <c r="W75" s="184" t="s">
        <v>4627</v>
      </c>
      <c r="X75" s="184" t="s">
        <v>4628</v>
      </c>
      <c r="Y75" s="185" t="s">
        <v>4273</v>
      </c>
      <c r="Z75" s="185">
        <v>4</v>
      </c>
      <c r="AA75" s="185" t="s">
        <v>715</v>
      </c>
      <c r="AB75" s="185" t="s">
        <v>4274</v>
      </c>
      <c r="AC75" s="185" t="s">
        <v>4275</v>
      </c>
      <c r="AD75" s="185" t="s">
        <v>715</v>
      </c>
      <c r="AE75" s="185" t="s">
        <v>4274</v>
      </c>
      <c r="AF75" s="185" t="s">
        <v>4275</v>
      </c>
      <c r="AG75" s="185" t="s">
        <v>4250</v>
      </c>
      <c r="AH75" s="185">
        <v>4</v>
      </c>
      <c r="AI75" s="185" t="s">
        <v>268</v>
      </c>
      <c r="AJ75" s="185" t="s">
        <v>4276</v>
      </c>
      <c r="AK75" s="185" t="s">
        <v>1879</v>
      </c>
      <c r="AL75" s="185" t="s">
        <v>271</v>
      </c>
      <c r="AM75" s="185" t="s">
        <v>599</v>
      </c>
      <c r="AN75" s="185" t="s">
        <v>1879</v>
      </c>
      <c r="AO75" s="185" t="s">
        <v>4277</v>
      </c>
      <c r="AP75" s="185">
        <v>3</v>
      </c>
      <c r="AQ75" s="185" t="s">
        <v>3812</v>
      </c>
      <c r="AR75" s="185" t="s">
        <v>4278</v>
      </c>
      <c r="AS75" s="185" t="s">
        <v>4279</v>
      </c>
      <c r="AT75" s="185" t="s">
        <v>3812</v>
      </c>
      <c r="AU75" s="185" t="s">
        <v>4280</v>
      </c>
      <c r="AV75" s="185" t="s">
        <v>4279</v>
      </c>
      <c r="AW75" s="185" t="s">
        <v>4281</v>
      </c>
      <c r="AX75" s="185">
        <v>3</v>
      </c>
      <c r="AY75" s="185" t="s">
        <v>411</v>
      </c>
      <c r="AZ75" s="185" t="s">
        <v>619</v>
      </c>
      <c r="BA75" s="185" t="s">
        <v>598</v>
      </c>
      <c r="BB75" s="185" t="s">
        <v>411</v>
      </c>
      <c r="BC75" s="185" t="s">
        <v>1401</v>
      </c>
      <c r="BD75" s="185" t="s">
        <v>1400</v>
      </c>
      <c r="BE75" s="185" t="s">
        <v>4252</v>
      </c>
      <c r="BF75" s="185">
        <v>3</v>
      </c>
      <c r="BG75" s="185" t="s">
        <v>3813</v>
      </c>
      <c r="BH75" s="185" t="s">
        <v>567</v>
      </c>
      <c r="BI75" s="185" t="s">
        <v>242</v>
      </c>
      <c r="BJ75" s="185" t="s">
        <v>567</v>
      </c>
      <c r="BK75" s="185" t="s">
        <v>4282</v>
      </c>
      <c r="BL75" s="185" t="s">
        <v>242</v>
      </c>
      <c r="BM75" s="185" t="s">
        <v>4253</v>
      </c>
      <c r="BN75" s="185">
        <v>3</v>
      </c>
      <c r="BO75" s="185" t="s">
        <v>4283</v>
      </c>
      <c r="BP75" s="185" t="s">
        <v>352</v>
      </c>
      <c r="BQ75" s="185" t="s">
        <v>311</v>
      </c>
      <c r="BR75" s="185" t="s">
        <v>4283</v>
      </c>
      <c r="BS75" s="185" t="s">
        <v>353</v>
      </c>
      <c r="BT75" s="185" t="s">
        <v>1749</v>
      </c>
    </row>
    <row r="76" spans="1:72" s="184" customFormat="1" ht="54.95" customHeight="1" x14ac:dyDescent="0.25">
      <c r="A76" s="155">
        <v>24</v>
      </c>
      <c r="B76" s="184" t="s">
        <v>385</v>
      </c>
      <c r="C76" s="184" t="s">
        <v>154</v>
      </c>
      <c r="D76" s="184" t="s">
        <v>4629</v>
      </c>
      <c r="E76" s="184" t="s">
        <v>4630</v>
      </c>
      <c r="F76" s="184" t="s">
        <v>4631</v>
      </c>
      <c r="G76" s="184" t="s">
        <v>4632</v>
      </c>
      <c r="H76" s="184" t="s">
        <v>4633</v>
      </c>
      <c r="I76" s="184" t="s">
        <v>4634</v>
      </c>
      <c r="J76" s="184" t="s">
        <v>4635</v>
      </c>
      <c r="K76" s="184" t="s">
        <v>4636</v>
      </c>
      <c r="L76" s="184" t="s">
        <v>4262</v>
      </c>
      <c r="M76" s="184" t="s">
        <v>4263</v>
      </c>
      <c r="N76" s="184" t="s">
        <v>4264</v>
      </c>
      <c r="O76" s="184">
        <v>20</v>
      </c>
      <c r="P76" s="184" t="s">
        <v>259</v>
      </c>
      <c r="Q76" s="184" t="s">
        <v>4637</v>
      </c>
      <c r="R76" s="184" t="s">
        <v>4638</v>
      </c>
      <c r="S76" s="184" t="s">
        <v>4390</v>
      </c>
      <c r="T76" s="184" t="s">
        <v>4639</v>
      </c>
      <c r="U76" s="184" t="s">
        <v>4640</v>
      </c>
      <c r="V76" s="184" t="s">
        <v>4641</v>
      </c>
      <c r="W76" s="184" t="s">
        <v>4642</v>
      </c>
      <c r="X76" s="184" t="s">
        <v>4643</v>
      </c>
      <c r="Y76" s="185" t="s">
        <v>4273</v>
      </c>
      <c r="Z76" s="185">
        <v>4</v>
      </c>
      <c r="AA76" s="185" t="s">
        <v>715</v>
      </c>
      <c r="AB76" s="185" t="s">
        <v>4274</v>
      </c>
      <c r="AC76" s="185" t="s">
        <v>4275</v>
      </c>
      <c r="AD76" s="185" t="s">
        <v>715</v>
      </c>
      <c r="AE76" s="185" t="s">
        <v>4274</v>
      </c>
      <c r="AF76" s="185" t="s">
        <v>4275</v>
      </c>
      <c r="AG76" s="185" t="s">
        <v>4250</v>
      </c>
      <c r="AH76" s="185">
        <v>4</v>
      </c>
      <c r="AI76" s="185" t="s">
        <v>268</v>
      </c>
      <c r="AJ76" s="185" t="s">
        <v>4276</v>
      </c>
      <c r="AK76" s="185" t="s">
        <v>1879</v>
      </c>
      <c r="AL76" s="185" t="s">
        <v>271</v>
      </c>
      <c r="AM76" s="185" t="s">
        <v>599</v>
      </c>
      <c r="AN76" s="185" t="s">
        <v>1879</v>
      </c>
      <c r="AO76" s="185" t="s">
        <v>4277</v>
      </c>
      <c r="AP76" s="185">
        <v>3</v>
      </c>
      <c r="AQ76" s="185" t="s">
        <v>3812</v>
      </c>
      <c r="AR76" s="185" t="s">
        <v>4278</v>
      </c>
      <c r="AS76" s="185" t="s">
        <v>4279</v>
      </c>
      <c r="AT76" s="185" t="s">
        <v>3812</v>
      </c>
      <c r="AU76" s="185" t="s">
        <v>4280</v>
      </c>
      <c r="AV76" s="185" t="s">
        <v>4279</v>
      </c>
      <c r="AW76" s="185" t="s">
        <v>4281</v>
      </c>
      <c r="AX76" s="185">
        <v>3</v>
      </c>
      <c r="AY76" s="185" t="s">
        <v>411</v>
      </c>
      <c r="AZ76" s="185" t="s">
        <v>619</v>
      </c>
      <c r="BA76" s="185" t="s">
        <v>598</v>
      </c>
      <c r="BB76" s="185" t="s">
        <v>411</v>
      </c>
      <c r="BC76" s="185" t="s">
        <v>1401</v>
      </c>
      <c r="BD76" s="185" t="s">
        <v>1400</v>
      </c>
      <c r="BE76" s="185" t="s">
        <v>4252</v>
      </c>
      <c r="BF76" s="185">
        <v>3</v>
      </c>
      <c r="BG76" s="185" t="s">
        <v>3813</v>
      </c>
      <c r="BH76" s="185" t="s">
        <v>567</v>
      </c>
      <c r="BI76" s="185" t="s">
        <v>242</v>
      </c>
      <c r="BJ76" s="185" t="s">
        <v>567</v>
      </c>
      <c r="BK76" s="185" t="s">
        <v>4282</v>
      </c>
      <c r="BL76" s="185" t="s">
        <v>242</v>
      </c>
      <c r="BM76" s="185" t="s">
        <v>4253</v>
      </c>
      <c r="BN76" s="185">
        <v>3</v>
      </c>
      <c r="BO76" s="185" t="s">
        <v>4283</v>
      </c>
      <c r="BP76" s="185" t="s">
        <v>352</v>
      </c>
      <c r="BQ76" s="185" t="s">
        <v>311</v>
      </c>
      <c r="BR76" s="185" t="s">
        <v>4283</v>
      </c>
      <c r="BS76" s="185" t="s">
        <v>353</v>
      </c>
      <c r="BT76" s="185" t="s">
        <v>1749</v>
      </c>
    </row>
    <row r="77" spans="1:72" s="184" customFormat="1" ht="54.95" customHeight="1" x14ac:dyDescent="0.25">
      <c r="A77" s="155">
        <v>25</v>
      </c>
      <c r="B77" s="184" t="s">
        <v>4644</v>
      </c>
      <c r="C77" s="184" t="s">
        <v>247</v>
      </c>
      <c r="D77" s="184" t="s">
        <v>4645</v>
      </c>
      <c r="E77" s="184" t="s">
        <v>4646</v>
      </c>
      <c r="F77" s="184" t="s">
        <v>4647</v>
      </c>
      <c r="G77" s="184" t="s">
        <v>4648</v>
      </c>
      <c r="H77" s="184" t="s">
        <v>4649</v>
      </c>
      <c r="I77" s="184" t="s">
        <v>4650</v>
      </c>
      <c r="J77" s="184" t="s">
        <v>4651</v>
      </c>
      <c r="K77" s="184" t="s">
        <v>4652</v>
      </c>
      <c r="L77" s="184" t="s">
        <v>4262</v>
      </c>
      <c r="M77" s="184" t="s">
        <v>4263</v>
      </c>
      <c r="N77" s="184" t="s">
        <v>4264</v>
      </c>
      <c r="O77" s="184">
        <v>20</v>
      </c>
      <c r="P77" s="184" t="s">
        <v>259</v>
      </c>
      <c r="Q77" s="184" t="s">
        <v>4653</v>
      </c>
      <c r="R77" s="184" t="s">
        <v>4654</v>
      </c>
      <c r="S77" s="184" t="s">
        <v>4655</v>
      </c>
      <c r="T77" s="184" t="s">
        <v>4565</v>
      </c>
      <c r="U77" s="184" t="s">
        <v>4656</v>
      </c>
      <c r="V77" s="184" t="s">
        <v>4657</v>
      </c>
      <c r="W77" s="184" t="s">
        <v>4658</v>
      </c>
      <c r="X77" s="184" t="s">
        <v>4659</v>
      </c>
      <c r="Y77" s="185" t="s">
        <v>4273</v>
      </c>
      <c r="Z77" s="185">
        <v>4</v>
      </c>
      <c r="AA77" s="185" t="s">
        <v>715</v>
      </c>
      <c r="AB77" s="185" t="s">
        <v>4274</v>
      </c>
      <c r="AC77" s="185" t="s">
        <v>4275</v>
      </c>
      <c r="AD77" s="185" t="s">
        <v>715</v>
      </c>
      <c r="AE77" s="185" t="s">
        <v>4274</v>
      </c>
      <c r="AF77" s="185" t="s">
        <v>4275</v>
      </c>
      <c r="AG77" s="185" t="s">
        <v>4250</v>
      </c>
      <c r="AH77" s="185">
        <v>4</v>
      </c>
      <c r="AI77" s="185" t="s">
        <v>268</v>
      </c>
      <c r="AJ77" s="185" t="s">
        <v>4276</v>
      </c>
      <c r="AK77" s="185" t="s">
        <v>1879</v>
      </c>
      <c r="AL77" s="185" t="s">
        <v>271</v>
      </c>
      <c r="AM77" s="185" t="s">
        <v>599</v>
      </c>
      <c r="AN77" s="185" t="s">
        <v>1879</v>
      </c>
      <c r="AO77" s="185" t="s">
        <v>4277</v>
      </c>
      <c r="AP77" s="185">
        <v>3</v>
      </c>
      <c r="AQ77" s="185" t="s">
        <v>3812</v>
      </c>
      <c r="AR77" s="185" t="s">
        <v>4278</v>
      </c>
      <c r="AS77" s="185" t="s">
        <v>4279</v>
      </c>
      <c r="AT77" s="185" t="s">
        <v>3812</v>
      </c>
      <c r="AU77" s="185" t="s">
        <v>4280</v>
      </c>
      <c r="AV77" s="185" t="s">
        <v>4279</v>
      </c>
      <c r="AW77" s="185" t="s">
        <v>4281</v>
      </c>
      <c r="AX77" s="185">
        <v>3</v>
      </c>
      <c r="AY77" s="185" t="s">
        <v>411</v>
      </c>
      <c r="AZ77" s="185" t="s">
        <v>619</v>
      </c>
      <c r="BA77" s="185" t="s">
        <v>598</v>
      </c>
      <c r="BB77" s="185" t="s">
        <v>411</v>
      </c>
      <c r="BC77" s="185" t="s">
        <v>1401</v>
      </c>
      <c r="BD77" s="185" t="s">
        <v>1400</v>
      </c>
      <c r="BE77" s="185" t="s">
        <v>4252</v>
      </c>
      <c r="BF77" s="185">
        <v>3</v>
      </c>
      <c r="BG77" s="185" t="s">
        <v>3813</v>
      </c>
      <c r="BH77" s="185" t="s">
        <v>567</v>
      </c>
      <c r="BI77" s="185" t="s">
        <v>242</v>
      </c>
      <c r="BJ77" s="185" t="s">
        <v>567</v>
      </c>
      <c r="BK77" s="185" t="s">
        <v>4282</v>
      </c>
      <c r="BL77" s="185" t="s">
        <v>242</v>
      </c>
      <c r="BM77" s="185" t="s">
        <v>4253</v>
      </c>
      <c r="BN77" s="185">
        <v>3</v>
      </c>
      <c r="BO77" s="185" t="s">
        <v>4283</v>
      </c>
      <c r="BP77" s="185" t="s">
        <v>352</v>
      </c>
      <c r="BQ77" s="185" t="s">
        <v>311</v>
      </c>
      <c r="BR77" s="185" t="s">
        <v>4283</v>
      </c>
      <c r="BS77" s="185" t="s">
        <v>353</v>
      </c>
      <c r="BT77" s="185" t="s">
        <v>1749</v>
      </c>
    </row>
    <row r="78" spans="1:72" s="184" customFormat="1" ht="54.95" customHeight="1" x14ac:dyDescent="0.25">
      <c r="A78" s="155">
        <v>26</v>
      </c>
      <c r="B78" s="184" t="s">
        <v>4505</v>
      </c>
      <c r="C78" s="184" t="s">
        <v>247</v>
      </c>
      <c r="D78" s="184" t="s">
        <v>4660</v>
      </c>
      <c r="E78" s="184" t="s">
        <v>4661</v>
      </c>
      <c r="F78" s="184" t="s">
        <v>4662</v>
      </c>
      <c r="G78" s="184" t="s">
        <v>4663</v>
      </c>
      <c r="H78" s="184" t="s">
        <v>4664</v>
      </c>
      <c r="I78" s="184" t="s">
        <v>4665</v>
      </c>
      <c r="J78" s="184" t="s">
        <v>4666</v>
      </c>
      <c r="K78" s="184" t="s">
        <v>4667</v>
      </c>
      <c r="L78" s="184" t="s">
        <v>4262</v>
      </c>
      <c r="M78" s="184" t="s">
        <v>4263</v>
      </c>
      <c r="N78" s="184" t="s">
        <v>4264</v>
      </c>
      <c r="O78" s="184">
        <v>20</v>
      </c>
      <c r="P78" s="184" t="s">
        <v>259</v>
      </c>
      <c r="Q78" s="184" t="s">
        <v>4668</v>
      </c>
      <c r="R78" s="184" t="s">
        <v>4669</v>
      </c>
      <c r="S78" s="184" t="s">
        <v>4670</v>
      </c>
      <c r="T78" s="184" t="s">
        <v>4671</v>
      </c>
      <c r="U78" s="184" t="s">
        <v>4672</v>
      </c>
      <c r="V78" s="184" t="s">
        <v>4657</v>
      </c>
      <c r="W78" s="184" t="s">
        <v>4673</v>
      </c>
      <c r="X78" s="184" t="s">
        <v>4674</v>
      </c>
      <c r="Y78" s="185" t="s">
        <v>4273</v>
      </c>
      <c r="Z78" s="185">
        <v>4</v>
      </c>
      <c r="AA78" s="185" t="s">
        <v>715</v>
      </c>
      <c r="AB78" s="185" t="s">
        <v>4274</v>
      </c>
      <c r="AC78" s="185" t="s">
        <v>4275</v>
      </c>
      <c r="AD78" s="185" t="s">
        <v>715</v>
      </c>
      <c r="AE78" s="185" t="s">
        <v>4274</v>
      </c>
      <c r="AF78" s="185" t="s">
        <v>4275</v>
      </c>
      <c r="AG78" s="185" t="s">
        <v>4250</v>
      </c>
      <c r="AH78" s="185">
        <v>4</v>
      </c>
      <c r="AI78" s="185" t="s">
        <v>268</v>
      </c>
      <c r="AJ78" s="185" t="s">
        <v>4276</v>
      </c>
      <c r="AK78" s="185" t="s">
        <v>1879</v>
      </c>
      <c r="AL78" s="185" t="s">
        <v>271</v>
      </c>
      <c r="AM78" s="185" t="s">
        <v>599</v>
      </c>
      <c r="AN78" s="185" t="s">
        <v>1879</v>
      </c>
      <c r="AO78" s="185" t="s">
        <v>4277</v>
      </c>
      <c r="AP78" s="185">
        <v>3</v>
      </c>
      <c r="AQ78" s="185" t="s">
        <v>3812</v>
      </c>
      <c r="AR78" s="185" t="s">
        <v>4278</v>
      </c>
      <c r="AS78" s="185" t="s">
        <v>4279</v>
      </c>
      <c r="AT78" s="185" t="s">
        <v>3812</v>
      </c>
      <c r="AU78" s="185" t="s">
        <v>4280</v>
      </c>
      <c r="AV78" s="185" t="s">
        <v>4279</v>
      </c>
      <c r="AW78" s="185" t="s">
        <v>4281</v>
      </c>
      <c r="AX78" s="185">
        <v>3</v>
      </c>
      <c r="AY78" s="185" t="s">
        <v>411</v>
      </c>
      <c r="AZ78" s="185" t="s">
        <v>619</v>
      </c>
      <c r="BA78" s="185" t="s">
        <v>598</v>
      </c>
      <c r="BB78" s="185" t="s">
        <v>411</v>
      </c>
      <c r="BC78" s="185" t="s">
        <v>1401</v>
      </c>
      <c r="BD78" s="185" t="s">
        <v>1400</v>
      </c>
      <c r="BE78" s="185" t="s">
        <v>4252</v>
      </c>
      <c r="BF78" s="185">
        <v>3</v>
      </c>
      <c r="BG78" s="185" t="s">
        <v>3813</v>
      </c>
      <c r="BH78" s="185" t="s">
        <v>567</v>
      </c>
      <c r="BI78" s="185" t="s">
        <v>242</v>
      </c>
      <c r="BJ78" s="185" t="s">
        <v>567</v>
      </c>
      <c r="BK78" s="185" t="s">
        <v>4282</v>
      </c>
      <c r="BL78" s="185" t="s">
        <v>242</v>
      </c>
      <c r="BM78" s="185" t="s">
        <v>4253</v>
      </c>
      <c r="BN78" s="185">
        <v>3</v>
      </c>
      <c r="BO78" s="185" t="s">
        <v>4283</v>
      </c>
      <c r="BP78" s="185" t="s">
        <v>352</v>
      </c>
      <c r="BQ78" s="185" t="s">
        <v>311</v>
      </c>
      <c r="BR78" s="185" t="s">
        <v>4283</v>
      </c>
      <c r="BS78" s="185" t="s">
        <v>353</v>
      </c>
      <c r="BT78" s="185" t="s">
        <v>1749</v>
      </c>
    </row>
    <row r="79" spans="1:72" s="184" customFormat="1" ht="54.95" customHeight="1" x14ac:dyDescent="0.25">
      <c r="A79" s="155">
        <v>27</v>
      </c>
      <c r="B79" s="184" t="s">
        <v>4347</v>
      </c>
      <c r="C79" s="184" t="s">
        <v>4675</v>
      </c>
      <c r="D79" s="184" t="s">
        <v>4676</v>
      </c>
      <c r="E79" s="184" t="s">
        <v>4677</v>
      </c>
      <c r="F79" s="184" t="s">
        <v>4678</v>
      </c>
      <c r="G79" s="184" t="s">
        <v>4679</v>
      </c>
      <c r="H79" s="184" t="s">
        <v>4680</v>
      </c>
      <c r="I79" s="184" t="s">
        <v>4681</v>
      </c>
      <c r="J79" s="184" t="s">
        <v>4682</v>
      </c>
      <c r="K79" s="184" t="s">
        <v>4683</v>
      </c>
      <c r="L79" s="184" t="s">
        <v>4262</v>
      </c>
      <c r="M79" s="184" t="s">
        <v>4263</v>
      </c>
      <c r="N79" s="184" t="s">
        <v>4264</v>
      </c>
      <c r="O79" s="184">
        <v>20</v>
      </c>
      <c r="P79" s="184" t="s">
        <v>259</v>
      </c>
      <c r="Q79" s="184" t="s">
        <v>4684</v>
      </c>
      <c r="R79" s="184" t="s">
        <v>4685</v>
      </c>
      <c r="S79" s="184" t="s">
        <v>4686</v>
      </c>
      <c r="T79" s="184" t="s">
        <v>4687</v>
      </c>
      <c r="U79" s="184" t="s">
        <v>4688</v>
      </c>
      <c r="V79" s="184" t="s">
        <v>4689</v>
      </c>
      <c r="W79" s="184" t="s">
        <v>4690</v>
      </c>
      <c r="X79" s="184" t="s">
        <v>4691</v>
      </c>
      <c r="Y79" s="185" t="s">
        <v>4273</v>
      </c>
      <c r="Z79" s="185">
        <v>4</v>
      </c>
      <c r="AA79" s="185" t="s">
        <v>715</v>
      </c>
      <c r="AB79" s="185" t="s">
        <v>4274</v>
      </c>
      <c r="AC79" s="185" t="s">
        <v>4275</v>
      </c>
      <c r="AD79" s="185" t="s">
        <v>715</v>
      </c>
      <c r="AE79" s="185" t="s">
        <v>4274</v>
      </c>
      <c r="AF79" s="185" t="s">
        <v>4275</v>
      </c>
      <c r="AG79" s="185" t="s">
        <v>4250</v>
      </c>
      <c r="AH79" s="185">
        <v>4</v>
      </c>
      <c r="AI79" s="185" t="s">
        <v>268</v>
      </c>
      <c r="AJ79" s="185" t="s">
        <v>4276</v>
      </c>
      <c r="AK79" s="185" t="s">
        <v>1879</v>
      </c>
      <c r="AL79" s="185" t="s">
        <v>271</v>
      </c>
      <c r="AM79" s="185" t="s">
        <v>599</v>
      </c>
      <c r="AN79" s="185" t="s">
        <v>1879</v>
      </c>
      <c r="AO79" s="185" t="s">
        <v>4277</v>
      </c>
      <c r="AP79" s="185">
        <v>3</v>
      </c>
      <c r="AQ79" s="185" t="s">
        <v>3812</v>
      </c>
      <c r="AR79" s="185" t="s">
        <v>4278</v>
      </c>
      <c r="AS79" s="185" t="s">
        <v>4279</v>
      </c>
      <c r="AT79" s="185" t="s">
        <v>3812</v>
      </c>
      <c r="AU79" s="185" t="s">
        <v>4280</v>
      </c>
      <c r="AV79" s="185" t="s">
        <v>4279</v>
      </c>
      <c r="AW79" s="185" t="s">
        <v>4281</v>
      </c>
      <c r="AX79" s="185">
        <v>3</v>
      </c>
      <c r="AY79" s="185" t="s">
        <v>411</v>
      </c>
      <c r="AZ79" s="185" t="s">
        <v>619</v>
      </c>
      <c r="BA79" s="185" t="s">
        <v>598</v>
      </c>
      <c r="BB79" s="185" t="s">
        <v>411</v>
      </c>
      <c r="BC79" s="185" t="s">
        <v>1401</v>
      </c>
      <c r="BD79" s="185" t="s">
        <v>1400</v>
      </c>
      <c r="BE79" s="185" t="s">
        <v>4252</v>
      </c>
      <c r="BF79" s="185">
        <v>3</v>
      </c>
      <c r="BG79" s="185" t="s">
        <v>3813</v>
      </c>
      <c r="BH79" s="185" t="s">
        <v>567</v>
      </c>
      <c r="BI79" s="185" t="s">
        <v>242</v>
      </c>
      <c r="BJ79" s="185" t="s">
        <v>567</v>
      </c>
      <c r="BK79" s="185" t="s">
        <v>4282</v>
      </c>
      <c r="BL79" s="185" t="s">
        <v>242</v>
      </c>
      <c r="BM79" s="185" t="s">
        <v>4253</v>
      </c>
      <c r="BN79" s="185">
        <v>3</v>
      </c>
      <c r="BO79" s="185" t="s">
        <v>4283</v>
      </c>
      <c r="BP79" s="185" t="s">
        <v>352</v>
      </c>
      <c r="BQ79" s="185" t="s">
        <v>311</v>
      </c>
      <c r="BR79" s="185" t="s">
        <v>4283</v>
      </c>
      <c r="BS79" s="185" t="s">
        <v>353</v>
      </c>
      <c r="BT79" s="185" t="s">
        <v>1749</v>
      </c>
    </row>
    <row r="80" spans="1:72" s="184" customFormat="1" ht="54.95" customHeight="1" x14ac:dyDescent="0.25">
      <c r="A80" s="155">
        <v>28</v>
      </c>
      <c r="B80" s="184" t="s">
        <v>2096</v>
      </c>
      <c r="C80" s="184" t="s">
        <v>3674</v>
      </c>
      <c r="D80" s="184" t="s">
        <v>4692</v>
      </c>
      <c r="E80" s="184" t="s">
        <v>4693</v>
      </c>
      <c r="F80" s="184" t="s">
        <v>4694</v>
      </c>
      <c r="G80" s="184" t="s">
        <v>4695</v>
      </c>
      <c r="H80" s="184" t="s">
        <v>4696</v>
      </c>
      <c r="I80" s="184" t="s">
        <v>4697</v>
      </c>
      <c r="J80" s="184" t="s">
        <v>4698</v>
      </c>
      <c r="K80" s="184" t="s">
        <v>4699</v>
      </c>
      <c r="L80" s="184" t="s">
        <v>4262</v>
      </c>
      <c r="M80" s="184" t="s">
        <v>4263</v>
      </c>
      <c r="N80" s="184" t="s">
        <v>4264</v>
      </c>
      <c r="O80" s="184">
        <v>20</v>
      </c>
      <c r="P80" s="184" t="s">
        <v>259</v>
      </c>
      <c r="Q80" s="184" t="s">
        <v>4700</v>
      </c>
      <c r="R80" s="184" t="s">
        <v>4701</v>
      </c>
      <c r="S80" s="184" t="s">
        <v>4702</v>
      </c>
      <c r="T80" s="184" t="s">
        <v>4469</v>
      </c>
      <c r="U80" s="184" t="s">
        <v>4703</v>
      </c>
      <c r="V80" s="184" t="s">
        <v>4704</v>
      </c>
      <c r="W80" s="184" t="s">
        <v>4705</v>
      </c>
      <c r="X80" s="184" t="s">
        <v>4706</v>
      </c>
      <c r="Y80" s="185" t="s">
        <v>4273</v>
      </c>
      <c r="Z80" s="185">
        <v>4</v>
      </c>
      <c r="AA80" s="185" t="s">
        <v>715</v>
      </c>
      <c r="AB80" s="185" t="s">
        <v>4274</v>
      </c>
      <c r="AC80" s="185" t="s">
        <v>4275</v>
      </c>
      <c r="AD80" s="185" t="s">
        <v>715</v>
      </c>
      <c r="AE80" s="185" t="s">
        <v>4274</v>
      </c>
      <c r="AF80" s="185" t="s">
        <v>4275</v>
      </c>
      <c r="AG80" s="185" t="s">
        <v>4250</v>
      </c>
      <c r="AH80" s="185">
        <v>4</v>
      </c>
      <c r="AI80" s="185" t="s">
        <v>268</v>
      </c>
      <c r="AJ80" s="185" t="s">
        <v>4276</v>
      </c>
      <c r="AK80" s="185" t="s">
        <v>1879</v>
      </c>
      <c r="AL80" s="185" t="s">
        <v>271</v>
      </c>
      <c r="AM80" s="185" t="s">
        <v>599</v>
      </c>
      <c r="AN80" s="185" t="s">
        <v>1879</v>
      </c>
      <c r="AO80" s="185" t="s">
        <v>4277</v>
      </c>
      <c r="AP80" s="185">
        <v>3</v>
      </c>
      <c r="AQ80" s="185" t="s">
        <v>3812</v>
      </c>
      <c r="AR80" s="185" t="s">
        <v>4278</v>
      </c>
      <c r="AS80" s="185" t="s">
        <v>4279</v>
      </c>
      <c r="AT80" s="185" t="s">
        <v>3812</v>
      </c>
      <c r="AU80" s="185" t="s">
        <v>4280</v>
      </c>
      <c r="AV80" s="185" t="s">
        <v>4279</v>
      </c>
      <c r="AW80" s="185" t="s">
        <v>4281</v>
      </c>
      <c r="AX80" s="185">
        <v>3</v>
      </c>
      <c r="AY80" s="185" t="s">
        <v>411</v>
      </c>
      <c r="AZ80" s="185" t="s">
        <v>619</v>
      </c>
      <c r="BA80" s="185" t="s">
        <v>598</v>
      </c>
      <c r="BB80" s="185" t="s">
        <v>411</v>
      </c>
      <c r="BC80" s="185" t="s">
        <v>1401</v>
      </c>
      <c r="BD80" s="185" t="s">
        <v>1400</v>
      </c>
      <c r="BE80" s="185" t="s">
        <v>4252</v>
      </c>
      <c r="BF80" s="185">
        <v>3</v>
      </c>
      <c r="BG80" s="185" t="s">
        <v>3813</v>
      </c>
      <c r="BH80" s="185" t="s">
        <v>567</v>
      </c>
      <c r="BI80" s="185" t="s">
        <v>242</v>
      </c>
      <c r="BJ80" s="185" t="s">
        <v>567</v>
      </c>
      <c r="BK80" s="185" t="s">
        <v>4282</v>
      </c>
      <c r="BL80" s="185" t="s">
        <v>242</v>
      </c>
      <c r="BM80" s="185" t="s">
        <v>4253</v>
      </c>
      <c r="BN80" s="185">
        <v>3</v>
      </c>
      <c r="BO80" s="185" t="s">
        <v>4283</v>
      </c>
      <c r="BP80" s="185" t="s">
        <v>352</v>
      </c>
      <c r="BQ80" s="185" t="s">
        <v>311</v>
      </c>
      <c r="BR80" s="185" t="s">
        <v>4283</v>
      </c>
      <c r="BS80" s="185" t="s">
        <v>353</v>
      </c>
      <c r="BT80" s="185" t="s">
        <v>1749</v>
      </c>
    </row>
    <row r="81" spans="1:72" s="184" customFormat="1" ht="54.95" customHeight="1" x14ac:dyDescent="0.25">
      <c r="A81" s="155">
        <v>29</v>
      </c>
      <c r="B81" s="184" t="s">
        <v>324</v>
      </c>
      <c r="C81" s="184" t="s">
        <v>247</v>
      </c>
      <c r="D81" s="184" t="s">
        <v>4707</v>
      </c>
      <c r="E81" s="184" t="s">
        <v>4708</v>
      </c>
      <c r="F81" s="184" t="s">
        <v>4709</v>
      </c>
      <c r="G81" s="184" t="s">
        <v>4710</v>
      </c>
      <c r="H81" s="184" t="s">
        <v>4711</v>
      </c>
      <c r="I81" s="184" t="s">
        <v>4712</v>
      </c>
      <c r="J81" s="184" t="s">
        <v>4713</v>
      </c>
      <c r="K81" s="184" t="s">
        <v>4714</v>
      </c>
      <c r="L81" s="184" t="s">
        <v>4262</v>
      </c>
      <c r="M81" s="184" t="s">
        <v>4263</v>
      </c>
      <c r="N81" s="184" t="s">
        <v>4264</v>
      </c>
      <c r="O81" s="184">
        <v>20</v>
      </c>
      <c r="P81" s="184" t="s">
        <v>259</v>
      </c>
      <c r="Q81" s="184" t="s">
        <v>4715</v>
      </c>
      <c r="R81" s="184" t="s">
        <v>4716</v>
      </c>
      <c r="S81" s="184" t="s">
        <v>4390</v>
      </c>
      <c r="T81" s="184" t="s">
        <v>4565</v>
      </c>
      <c r="U81" s="184" t="s">
        <v>4717</v>
      </c>
      <c r="V81" s="184" t="s">
        <v>4657</v>
      </c>
      <c r="W81" s="184" t="s">
        <v>4718</v>
      </c>
      <c r="X81" s="184" t="s">
        <v>4719</v>
      </c>
      <c r="Y81" s="185" t="s">
        <v>4273</v>
      </c>
      <c r="Z81" s="185">
        <v>4</v>
      </c>
      <c r="AA81" s="185" t="s">
        <v>715</v>
      </c>
      <c r="AB81" s="185" t="s">
        <v>4274</v>
      </c>
      <c r="AC81" s="185" t="s">
        <v>4275</v>
      </c>
      <c r="AD81" s="185" t="s">
        <v>715</v>
      </c>
      <c r="AE81" s="185" t="s">
        <v>4274</v>
      </c>
      <c r="AF81" s="185" t="s">
        <v>4275</v>
      </c>
      <c r="AG81" s="185" t="s">
        <v>4250</v>
      </c>
      <c r="AH81" s="185">
        <v>4</v>
      </c>
      <c r="AI81" s="185" t="s">
        <v>268</v>
      </c>
      <c r="AJ81" s="185" t="s">
        <v>4276</v>
      </c>
      <c r="AK81" s="185" t="s">
        <v>1879</v>
      </c>
      <c r="AL81" s="185" t="s">
        <v>271</v>
      </c>
      <c r="AM81" s="185" t="s">
        <v>599</v>
      </c>
      <c r="AN81" s="185" t="s">
        <v>1879</v>
      </c>
      <c r="AO81" s="185" t="s">
        <v>4277</v>
      </c>
      <c r="AP81" s="185">
        <v>3</v>
      </c>
      <c r="AQ81" s="185" t="s">
        <v>3812</v>
      </c>
      <c r="AR81" s="185" t="s">
        <v>4278</v>
      </c>
      <c r="AS81" s="185" t="s">
        <v>4279</v>
      </c>
      <c r="AT81" s="185" t="s">
        <v>3812</v>
      </c>
      <c r="AU81" s="185" t="s">
        <v>4280</v>
      </c>
      <c r="AV81" s="185" t="s">
        <v>4279</v>
      </c>
      <c r="AW81" s="185" t="s">
        <v>4281</v>
      </c>
      <c r="AX81" s="185">
        <v>3</v>
      </c>
      <c r="AY81" s="185" t="s">
        <v>411</v>
      </c>
      <c r="AZ81" s="185" t="s">
        <v>619</v>
      </c>
      <c r="BA81" s="185" t="s">
        <v>598</v>
      </c>
      <c r="BB81" s="185" t="s">
        <v>411</v>
      </c>
      <c r="BC81" s="185" t="s">
        <v>1401</v>
      </c>
      <c r="BD81" s="185" t="s">
        <v>1400</v>
      </c>
      <c r="BE81" s="185" t="s">
        <v>4252</v>
      </c>
      <c r="BF81" s="185">
        <v>3</v>
      </c>
      <c r="BG81" s="185" t="s">
        <v>3813</v>
      </c>
      <c r="BH81" s="185" t="s">
        <v>567</v>
      </c>
      <c r="BI81" s="185" t="s">
        <v>242</v>
      </c>
      <c r="BJ81" s="185" t="s">
        <v>567</v>
      </c>
      <c r="BK81" s="185" t="s">
        <v>4282</v>
      </c>
      <c r="BL81" s="185" t="s">
        <v>242</v>
      </c>
      <c r="BM81" s="185" t="s">
        <v>4253</v>
      </c>
      <c r="BN81" s="185">
        <v>3</v>
      </c>
      <c r="BO81" s="185" t="s">
        <v>4283</v>
      </c>
      <c r="BP81" s="185" t="s">
        <v>352</v>
      </c>
      <c r="BQ81" s="185" t="s">
        <v>311</v>
      </c>
      <c r="BR81" s="185" t="s">
        <v>4283</v>
      </c>
      <c r="BS81" s="185" t="s">
        <v>353</v>
      </c>
      <c r="BT81" s="185" t="s">
        <v>1749</v>
      </c>
    </row>
    <row r="82" spans="1:72" s="184" customFormat="1" ht="54.95" customHeight="1" x14ac:dyDescent="0.25">
      <c r="A82" s="155">
        <v>30</v>
      </c>
      <c r="B82" s="184" t="s">
        <v>4720</v>
      </c>
      <c r="C82" s="184" t="s">
        <v>247</v>
      </c>
      <c r="D82" s="184" t="s">
        <v>4721</v>
      </c>
      <c r="E82" s="184" t="s">
        <v>4722</v>
      </c>
      <c r="F82" s="184" t="s">
        <v>4723</v>
      </c>
      <c r="G82" s="184" t="s">
        <v>4724</v>
      </c>
      <c r="H82" s="184" t="s">
        <v>4725</v>
      </c>
      <c r="I82" s="184" t="s">
        <v>4726</v>
      </c>
      <c r="J82" s="184" t="s">
        <v>4727</v>
      </c>
      <c r="K82" s="184" t="s">
        <v>4728</v>
      </c>
      <c r="L82" s="184" t="s">
        <v>4262</v>
      </c>
      <c r="M82" s="184" t="s">
        <v>4263</v>
      </c>
      <c r="N82" s="184" t="s">
        <v>4264</v>
      </c>
      <c r="O82" s="184">
        <v>20</v>
      </c>
      <c r="P82" s="184" t="s">
        <v>259</v>
      </c>
      <c r="Q82" s="184" t="s">
        <v>4729</v>
      </c>
      <c r="R82" s="184" t="s">
        <v>4730</v>
      </c>
      <c r="S82" s="184" t="s">
        <v>4731</v>
      </c>
      <c r="T82" s="184" t="s">
        <v>4732</v>
      </c>
      <c r="U82" s="184" t="s">
        <v>4733</v>
      </c>
      <c r="V82" s="184" t="s">
        <v>4734</v>
      </c>
      <c r="W82" s="184" t="s">
        <v>4735</v>
      </c>
      <c r="X82" s="184" t="s">
        <v>4736</v>
      </c>
      <c r="Y82" s="185" t="s">
        <v>4273</v>
      </c>
      <c r="Z82" s="185">
        <v>4</v>
      </c>
      <c r="AA82" s="185" t="s">
        <v>715</v>
      </c>
      <c r="AB82" s="185" t="s">
        <v>4274</v>
      </c>
      <c r="AC82" s="185" t="s">
        <v>4275</v>
      </c>
      <c r="AD82" s="185" t="s">
        <v>715</v>
      </c>
      <c r="AE82" s="185" t="s">
        <v>4274</v>
      </c>
      <c r="AF82" s="185" t="s">
        <v>4275</v>
      </c>
      <c r="AG82" s="185" t="s">
        <v>4250</v>
      </c>
      <c r="AH82" s="185">
        <v>4</v>
      </c>
      <c r="AI82" s="185" t="s">
        <v>268</v>
      </c>
      <c r="AJ82" s="185" t="s">
        <v>4276</v>
      </c>
      <c r="AK82" s="185" t="s">
        <v>1879</v>
      </c>
      <c r="AL82" s="185" t="s">
        <v>271</v>
      </c>
      <c r="AM82" s="185" t="s">
        <v>599</v>
      </c>
      <c r="AN82" s="185" t="s">
        <v>1879</v>
      </c>
      <c r="AO82" s="185" t="s">
        <v>4277</v>
      </c>
      <c r="AP82" s="185">
        <v>3</v>
      </c>
      <c r="AQ82" s="185" t="s">
        <v>3812</v>
      </c>
      <c r="AR82" s="185" t="s">
        <v>4278</v>
      </c>
      <c r="AS82" s="185" t="s">
        <v>4279</v>
      </c>
      <c r="AT82" s="185" t="s">
        <v>3812</v>
      </c>
      <c r="AU82" s="185" t="s">
        <v>4280</v>
      </c>
      <c r="AV82" s="185" t="s">
        <v>4279</v>
      </c>
      <c r="AW82" s="185" t="s">
        <v>4281</v>
      </c>
      <c r="AX82" s="185">
        <v>3</v>
      </c>
      <c r="AY82" s="185" t="s">
        <v>411</v>
      </c>
      <c r="AZ82" s="185" t="s">
        <v>619</v>
      </c>
      <c r="BA82" s="185" t="s">
        <v>598</v>
      </c>
      <c r="BB82" s="185" t="s">
        <v>411</v>
      </c>
      <c r="BC82" s="185" t="s">
        <v>1401</v>
      </c>
      <c r="BD82" s="185" t="s">
        <v>1400</v>
      </c>
      <c r="BE82" s="185" t="s">
        <v>4252</v>
      </c>
      <c r="BF82" s="185">
        <v>3</v>
      </c>
      <c r="BG82" s="185" t="s">
        <v>3813</v>
      </c>
      <c r="BH82" s="185" t="s">
        <v>567</v>
      </c>
      <c r="BI82" s="185" t="s">
        <v>242</v>
      </c>
      <c r="BJ82" s="185" t="s">
        <v>567</v>
      </c>
      <c r="BK82" s="185" t="s">
        <v>4282</v>
      </c>
      <c r="BL82" s="185" t="s">
        <v>242</v>
      </c>
      <c r="BM82" s="185" t="s">
        <v>4253</v>
      </c>
      <c r="BN82" s="185">
        <v>3</v>
      </c>
      <c r="BO82" s="185" t="s">
        <v>4283</v>
      </c>
      <c r="BP82" s="185" t="s">
        <v>352</v>
      </c>
      <c r="BQ82" s="185" t="s">
        <v>311</v>
      </c>
      <c r="BR82" s="185" t="s">
        <v>4283</v>
      </c>
      <c r="BS82" s="185" t="s">
        <v>353</v>
      </c>
      <c r="BT82" s="185" t="s">
        <v>1749</v>
      </c>
    </row>
  </sheetData>
  <mergeCells count="21">
    <mergeCell ref="I13:M13"/>
    <mergeCell ref="B13:F13"/>
    <mergeCell ref="A26:A36"/>
    <mergeCell ref="B9:F9"/>
    <mergeCell ref="A11:A12"/>
    <mergeCell ref="H11:H12"/>
    <mergeCell ref="H15:H16"/>
    <mergeCell ref="A15:A16"/>
    <mergeCell ref="I9:M9"/>
    <mergeCell ref="B11:F11"/>
    <mergeCell ref="I11:M11"/>
    <mergeCell ref="B12:F12"/>
    <mergeCell ref="I12:M12"/>
    <mergeCell ref="B19:F19"/>
    <mergeCell ref="I19:M19"/>
    <mergeCell ref="B15:F15"/>
    <mergeCell ref="I15:M15"/>
    <mergeCell ref="B16:F16"/>
    <mergeCell ref="I16:M16"/>
    <mergeCell ref="B17:F17"/>
    <mergeCell ref="I17:M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T95"/>
  <sheetViews>
    <sheetView workbookViewId="0">
      <selection activeCell="A52" sqref="A52:XFD82"/>
    </sheetView>
  </sheetViews>
  <sheetFormatPr baseColWidth="10" defaultColWidth="9" defaultRowHeight="15" x14ac:dyDescent="0.25"/>
  <cols>
    <col min="1" max="1" width="31.75" style="1" customWidth="1"/>
    <col min="2" max="2" width="37.625" style="1" customWidth="1"/>
    <col min="3" max="3" width="14.625" style="1" customWidth="1"/>
    <col min="4" max="4" width="37.625" style="1" customWidth="1"/>
    <col min="5" max="5" width="16.625" style="1" customWidth="1"/>
    <col min="6" max="6" width="33.625" style="1" customWidth="1"/>
    <col min="7" max="7" width="18" style="1" customWidth="1"/>
    <col min="8" max="8" width="31.625" style="1" customWidth="1"/>
    <col min="9" max="9" width="38.625" style="1" customWidth="1"/>
    <col min="10" max="10" width="31.625" style="1" customWidth="1"/>
    <col min="11" max="11" width="18.625" style="1" customWidth="1"/>
    <col min="12" max="12" width="31.625" style="1" customWidth="1"/>
    <col min="13" max="13" width="16" style="1" customWidth="1"/>
    <col min="14" max="15" width="18" style="1" customWidth="1"/>
    <col min="16" max="16" width="22" style="1" customWidth="1"/>
    <col min="17" max="17" width="18" style="1" customWidth="1"/>
    <col min="18" max="24" width="30" style="1" customWidth="1"/>
    <col min="25" max="26" width="14" style="7" customWidth="1"/>
    <col min="27" max="27" width="27.75" style="7" customWidth="1"/>
    <col min="28" max="34" width="14" style="7" customWidth="1"/>
    <col min="35" max="35" width="15" style="7" customWidth="1"/>
    <col min="36" max="72" width="14" style="7" customWidth="1"/>
    <col min="73" max="16384" width="9" style="1"/>
  </cols>
  <sheetData>
    <row r="1" spans="1:35" ht="24" customHeight="1" x14ac:dyDescent="0.25">
      <c r="A1" s="33" t="s">
        <v>4767</v>
      </c>
      <c r="B1" s="34"/>
      <c r="C1" s="35"/>
      <c r="D1" s="35"/>
      <c r="E1" s="35"/>
      <c r="F1" s="35"/>
      <c r="G1" s="35"/>
      <c r="H1" s="35"/>
      <c r="I1" s="35"/>
      <c r="J1" s="35"/>
      <c r="K1" s="35"/>
      <c r="L1" s="35"/>
      <c r="M1" s="35"/>
      <c r="N1" s="6"/>
      <c r="O1" s="6"/>
      <c r="P1" s="6"/>
      <c r="Q1" s="6"/>
      <c r="R1" s="6"/>
      <c r="S1" s="6"/>
      <c r="T1" s="6"/>
      <c r="U1" s="6"/>
      <c r="V1" s="6"/>
      <c r="W1" s="6"/>
      <c r="X1" s="6"/>
    </row>
    <row r="2" spans="1:35" ht="20.100000000000001" customHeight="1" x14ac:dyDescent="0.25">
      <c r="A2" s="36" t="s">
        <v>3775</v>
      </c>
      <c r="B2" s="8"/>
      <c r="C2" s="9"/>
      <c r="D2" s="9"/>
      <c r="E2" s="9"/>
      <c r="F2" s="9"/>
      <c r="G2" s="9"/>
      <c r="H2" s="9"/>
      <c r="I2" s="9"/>
      <c r="J2" s="9"/>
      <c r="K2" s="9"/>
      <c r="L2" s="9"/>
      <c r="M2" s="9"/>
    </row>
    <row r="3" spans="1:35" ht="18.75" x14ac:dyDescent="0.25">
      <c r="A3" s="37"/>
      <c r="B3" s="1187" t="s">
        <v>4756</v>
      </c>
      <c r="C3" s="37"/>
      <c r="D3" s="37"/>
      <c r="E3" s="37"/>
      <c r="F3" s="37"/>
      <c r="G3" s="37"/>
      <c r="H3" s="1188" t="s">
        <v>7941</v>
      </c>
      <c r="I3" s="37"/>
      <c r="J3" s="37"/>
      <c r="K3" s="37"/>
      <c r="L3" s="37"/>
      <c r="M3" s="37"/>
      <c r="AA3" s="10" t="s">
        <v>2</v>
      </c>
      <c r="AI3" s="10" t="s">
        <v>3</v>
      </c>
    </row>
    <row r="4" spans="1:35" ht="24" customHeight="1" x14ac:dyDescent="0.25">
      <c r="A4" s="38" t="s">
        <v>4</v>
      </c>
      <c r="B4" s="40">
        <v>1</v>
      </c>
      <c r="C4" s="38" t="s">
        <v>5</v>
      </c>
      <c r="D4" s="39" t="str">
        <f>IFERROR(INDEX($B$53:$B$82,MATCH($B$4,$A$53:$A$82,0)),"")</f>
        <v>École primaire</v>
      </c>
      <c r="E4" s="38" t="s">
        <v>6</v>
      </c>
      <c r="F4" s="39" t="str">
        <f>IFERROR(INDEX($C$53:$C$82,MATCH($B$4,$A$53:$A$82,0)),"")</f>
        <v>Hiver</v>
      </c>
      <c r="G4" s="38" t="s">
        <v>7</v>
      </c>
      <c r="H4" s="138" t="s">
        <v>8</v>
      </c>
      <c r="I4" s="38" t="s">
        <v>9</v>
      </c>
      <c r="J4" s="39" t="str">
        <f>IFERROR(INDEX($Q$53:$Q$82,MATCH($B$4,$A$53:$A$82,0)),"")</f>
        <v>Couleur / sécheresse</v>
      </c>
      <c r="L4" s="38" t="s">
        <v>10</v>
      </c>
      <c r="M4" s="39" t="str">
        <f>IFERROR(INDEX($P$53:$P$82,MATCH($B$4,$A$53:$A$82,0)),"")</f>
        <v>Facile</v>
      </c>
      <c r="AA4"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"&amp;$B$12),CHAR(160)," ")," "," "),CHAR(10)," "),CHAR(13)," "),CHAR(9)," "),"’","'"),"."," "),","," "),";"," "),":"," "),"-"," "),"("," "),")"," "),"?"," "),"!"," "),"/"," "),"é","e"),"è","e"),"ê","e"),"ë","e"),"à","a"),"â","a"),"ä","a"),"ù","u"),"û","u"),"ü","u"),"ô","o"),"ö","o"),"î","i"),"ï","i"),"ç","c")))</f>
        <v>diagnostic le menu est trop blanc et le poisson peut etre sec correction poisson sauce citron herbes riz pilaf brocolis ou carottes entree coloree et fruit de saison a</v>
      </c>
      <c r="AI4"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H$53:$H$82,MATCH($B$4,$A$53:$A$82,0)),"")),CHAR(160)," ")," "," "),CHAR(10)," "),CHAR(13)," "),CHAR(9)," "),"’","'"),"."," "),","," "),";"," "),":"," "),"-"," "),"("," "),")"," "),"?"," "),"!"," "),"/"," "),"é","e"),"è","e"),"ê","e"),"ë","e"),"à","a"),"â","a"),"ä","a"),"ù","u"),"û","u"),"ü","u"),"ô","o"),"ö","o"),"î","i"),"ï","i"),"ç","c")))</f>
        <v>diagnostic le menu est trop blanc et le poisson peut etre sec correction poisson sauce citron herbes riz pilaf brocolis ou carottes entree coloree et fruit de saison adapter au public scolaire en rendant l'assiette plus lisible et plus appetente controle final equilibre allergenes poisson lait tenue chaude et gaspillage</v>
      </c>
    </row>
    <row r="5" spans="1:35" ht="24" customHeight="1" x14ac:dyDescent="0.25">
      <c r="A5" s="41" t="s">
        <v>11</v>
      </c>
      <c r="B5" s="78" t="str">
        <f>IFERROR(INDEX($E$53:$E$82,MATCH($B$4,$A$53:$A$82,0)),"")</f>
        <v>Menu trop blanc, sec, faible attractivité</v>
      </c>
      <c r="C5" s="42"/>
      <c r="D5" s="42"/>
      <c r="E5" s="43"/>
      <c r="F5" s="43"/>
      <c r="G5" s="44"/>
      <c r="H5" s="43"/>
      <c r="I5" s="43"/>
      <c r="J5" s="43"/>
      <c r="K5" s="43"/>
      <c r="L5" s="43"/>
      <c r="M5" s="43"/>
      <c r="O5" s="162" t="s">
        <v>4830</v>
      </c>
      <c r="AA5"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"&amp;$B$12&amp;" "&amp;$B$15&amp;" "&amp;$B$16),CHAR(160)," ")," "," "),CHAR(10)," "),CHAR(13)," "),CHAR(9)," "),"’","'"),"."," "),","," "),";"," "),":"," "),"-"," "),"("," "),")"," "),"?"," "),"!"," "),"/"," "),"é","e"),"è","e"),"ê","e"),"ë","e"),"à","a"),"â","a"),"ä","a"),"ù","u"),"û","u"),"ü","u"),"ô","o"),"ö","o"),"î","i"),"ï","i"),"ç","c")))</f>
        <v>diagnostic le menu est trop blanc et le poisson peut etre sec correction poisson sauce citron herbes riz pilaf brocolis ou carottes entree coloree et fruit de saison a dapter au public scolaire en rendant l'assiette plus lisible et plus appetente controle final equilibre allergenes poisson lait tenue chaude et gaspillage</v>
      </c>
      <c r="AI5"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I$53:$I$82,MATCH($B$4,$A$53:$A$82,0)),"")),CHAR(160)," ")," "," "),CHAR(10)," "),CHAR(13)," "),CHAR(9)," "),"’","'"),"."," "),","," "),";"," "),":"," "),"-"," "),"("," "),")"," "),"?"," "),"!"," "),"/"," "),"é","e"),"è","e"),"ê","e"),"ë","e"),"à","a"),"â","a"),"ä","a"),"ù","u"),"û","u"),"ü","u"),"ô","o"),"ö","o"),"î","i"),"ï","i"),"ç","c")))</f>
        <v>le menu est trop blanc et le poisson risque d'etre sec je mets une sauce un legume colore une entree qui donne de la couleur et un fruit je verifie les allergenes la tenue au chaud et si les enfants vont vraiment manger</v>
      </c>
    </row>
    <row r="6" spans="1:35" ht="24" customHeight="1" x14ac:dyDescent="0.25">
      <c r="A6" s="41" t="s">
        <v>12</v>
      </c>
      <c r="B6" s="45" t="str">
        <f>IFERROR(INDEX($D$53:$D$82,MATCH($B$4,$A$53:$A$82,0)),"")</f>
        <v>Céleri rémoulade ; poisson blanc vapeur ; riz ; chou-fleur ; fromage blanc</v>
      </c>
      <c r="C6" s="46"/>
      <c r="D6" s="46"/>
      <c r="E6" s="46"/>
      <c r="F6" s="46"/>
      <c r="G6" s="44"/>
      <c r="H6" s="43"/>
      <c r="I6" s="43"/>
      <c r="J6" s="43"/>
      <c r="K6" s="43"/>
      <c r="L6" s="43"/>
      <c r="M6" s="43"/>
      <c r="O6" s="157" t="s">
        <v>4844</v>
      </c>
      <c r="AA6"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"&amp;$I$12),CHAR(160)," ")," "," "),CHAR(10)," "),CHAR(13)," "),CHAR(9)," "),"’","'"),"."," "),","," "),";"," "),":"," "),"-"," "),"("," "),")"," "),"?"," "),"!"," "),"/"," "),"é","e"),"è","e"),"ê","e"),"ë","e"),"à","a"),"â","a"),"ä","a"),"ù","u"),"û","u"),"ü","u"),"ô","o"),"ö","o"),"î","i"),"ï","i"),"ç","c")))</f>
        <v>le menu est trop blanc et le poisson risque d'etre sec je mets une sauce un legume colore une entree qui donne de la couleur</v>
      </c>
    </row>
    <row r="7" spans="1:35" ht="15.75" x14ac:dyDescent="0.25">
      <c r="A7" s="11"/>
      <c r="B7" s="47"/>
      <c r="C7" s="47"/>
      <c r="D7" s="47"/>
      <c r="E7" s="47"/>
      <c r="F7" s="47"/>
      <c r="G7" s="11"/>
      <c r="H7" s="11"/>
      <c r="I7" s="47"/>
      <c r="J7" s="47"/>
      <c r="K7" s="47"/>
      <c r="L7" s="47"/>
      <c r="M7" s="47"/>
      <c r="AA7" s="1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"&amp;$I$12&amp;" "&amp;$I$15&amp;" "&amp;$I$16),CHAR(160)," ")," "," "),CHAR(10)," "),CHAR(13)," "),CHAR(9)," "),"’","'"),"."," "),","," "),";"," "),":"," "),"-"," "),"("," "),")"," "),"?"," "),"!"," "),"/"," "),"é","e"),"è","e"),"ê","e"),"ë","e"),"à","a"),"â","a"),"ä","a"),"ù","u"),"û","u"),"ü","u"),"ô","o"),"ö","o"),"î","i"),"ï","i"),"ç","c")))</f>
        <v>le menu est trop blanc et le poisson risque d'etre sec je mets une sauce un legume colore une entree qui donne de la couleur et un fruit je verifie les allergenes la tenue au chaud et si les enfants vont vraiment manger</v>
      </c>
    </row>
    <row r="8" spans="1:35" ht="24" customHeight="1" x14ac:dyDescent="0.25">
      <c r="A8" s="160" t="s">
        <v>3776</v>
      </c>
      <c r="B8" s="48"/>
      <c r="C8" s="48"/>
      <c r="D8" s="48"/>
      <c r="E8" s="48"/>
      <c r="F8" s="48"/>
      <c r="G8" s="12"/>
      <c r="H8" s="134" t="s">
        <v>3777</v>
      </c>
      <c r="I8" s="49"/>
      <c r="J8" s="49"/>
      <c r="K8" s="49"/>
      <c r="L8" s="49"/>
      <c r="M8" s="49"/>
      <c r="O8" s="2" t="s">
        <v>15</v>
      </c>
      <c r="P8" s="3"/>
      <c r="Q8" s="3"/>
      <c r="R8" s="3"/>
      <c r="S8" s="3"/>
      <c r="T8" s="3"/>
      <c r="U8" s="6"/>
      <c r="V8" s="15"/>
      <c r="W8" s="15"/>
      <c r="X8" s="15"/>
    </row>
    <row r="9" spans="1:35" ht="54.95" customHeight="1" x14ac:dyDescent="0.25">
      <c r="A9" s="13" t="s">
        <v>16</v>
      </c>
      <c r="B9" s="1559" t="str">
        <f>IFERROR(INDEX($F$53:$F$82,MATCH($B$4,$A$53:$A$82,0)),"")</f>
        <v>Analysez ce menu faible et produisez une correction complète : diagnostic, plat/garniture/sauce, entrée-dessert, adaptation scolaire et contrôle final.</v>
      </c>
      <c r="C9" s="1559"/>
      <c r="D9" s="1559"/>
      <c r="E9" s="1559"/>
      <c r="F9" s="1559"/>
      <c r="G9" s="12"/>
      <c r="H9" s="14" t="s">
        <v>17</v>
      </c>
      <c r="I9" s="1559" t="str">
        <f>IFERROR(INDEX($G$53:$G$82,MATCH($B$4,$A$53:$A$82,0)),"")</f>
        <v>Pourquoi ce menu risque de ne pas être mangé par des enfants, et comment tu le corriges complètement ?</v>
      </c>
      <c r="J9" s="1559"/>
      <c r="K9" s="1559"/>
      <c r="L9" s="1559"/>
      <c r="M9" s="1559"/>
      <c r="O9" s="142" t="s">
        <v>3778</v>
      </c>
      <c r="P9" s="139"/>
      <c r="Q9" s="5"/>
      <c r="R9" s="5"/>
      <c r="S9" s="5"/>
      <c r="T9" s="5"/>
      <c r="U9" s="6"/>
      <c r="V9" s="15"/>
      <c r="W9" s="15"/>
      <c r="X9" s="15"/>
    </row>
    <row r="10" spans="1:35" ht="18.75" x14ac:dyDescent="0.25">
      <c r="A10" s="11"/>
      <c r="B10" s="47"/>
      <c r="C10" s="47"/>
      <c r="D10" s="47"/>
      <c r="E10" s="47"/>
      <c r="F10" s="47"/>
      <c r="G10" s="11"/>
      <c r="H10" s="11"/>
      <c r="I10" s="47"/>
      <c r="J10" s="47"/>
      <c r="K10" s="47"/>
      <c r="L10" s="47"/>
      <c r="M10" s="47"/>
      <c r="O10" s="142" t="s">
        <v>3779</v>
      </c>
      <c r="P10" s="139"/>
      <c r="Q10" s="5"/>
      <c r="R10" s="5"/>
      <c r="S10" s="5"/>
      <c r="T10" s="5"/>
      <c r="U10" s="6"/>
      <c r="V10" s="15"/>
      <c r="W10" s="15"/>
      <c r="X10" s="15"/>
    </row>
    <row r="11" spans="1:35" ht="50.1" customHeight="1" x14ac:dyDescent="0.25">
      <c r="A11" s="1565" t="s">
        <v>22</v>
      </c>
      <c r="B11" s="1560" t="s">
        <v>4777</v>
      </c>
      <c r="C11" s="1560"/>
      <c r="D11" s="1560"/>
      <c r="E11" s="1560"/>
      <c r="F11" s="1560"/>
      <c r="G11" s="12"/>
      <c r="H11" s="1566" t="s">
        <v>23</v>
      </c>
      <c r="I11" s="1560" t="s">
        <v>4781</v>
      </c>
      <c r="J11" s="1560"/>
      <c r="K11" s="1560"/>
      <c r="L11" s="1560"/>
      <c r="M11" s="1560"/>
      <c r="O11" s="142" t="s">
        <v>3782</v>
      </c>
      <c r="P11" s="139"/>
      <c r="Q11" s="5"/>
      <c r="R11" s="5"/>
      <c r="S11" s="5"/>
      <c r="T11" s="5"/>
      <c r="U11" s="6"/>
      <c r="V11" s="15"/>
      <c r="W11" s="15"/>
      <c r="X11" s="15"/>
    </row>
    <row r="12" spans="1:35" ht="50.1" customHeight="1" x14ac:dyDescent="0.25">
      <c r="A12" s="1565"/>
      <c r="B12" s="1560" t="s">
        <v>4778</v>
      </c>
      <c r="C12" s="1560"/>
      <c r="D12" s="1560"/>
      <c r="E12" s="1560"/>
      <c r="F12" s="1560"/>
      <c r="G12" s="12"/>
      <c r="H12" s="1566"/>
      <c r="I12" s="1560" t="s">
        <v>4782</v>
      </c>
      <c r="J12" s="1560"/>
      <c r="K12" s="1560"/>
      <c r="L12" s="1560"/>
      <c r="M12" s="1560"/>
      <c r="O12" s="142" t="s">
        <v>3783</v>
      </c>
      <c r="P12" s="141"/>
      <c r="Q12" s="5"/>
      <c r="R12" s="5"/>
      <c r="S12" s="5"/>
      <c r="T12" s="5"/>
      <c r="U12" s="6"/>
      <c r="V12" s="15"/>
      <c r="W12" s="15"/>
      <c r="X12" s="15"/>
    </row>
    <row r="13" spans="1:35" ht="60" customHeight="1" x14ac:dyDescent="0.25">
      <c r="A13" s="13" t="s">
        <v>30</v>
      </c>
      <c r="B13" s="1562" t="str">
        <f>IFERROR(INDEX($J$53:$J$82,MATCH($B$4,$A$53:$A$82,0)),"")</f>
        <v>Si l’apprenant change tout le menu, le ramener à la consigne : corriger sans supprimer le plat principal.</v>
      </c>
      <c r="C13" s="1562"/>
      <c r="D13" s="1562"/>
      <c r="E13" s="1562"/>
      <c r="F13" s="1562"/>
      <c r="G13" s="12"/>
      <c r="H13" s="14" t="s">
        <v>31</v>
      </c>
      <c r="I13" s="1561" t="str">
        <f>IFERROR(INDEX($K$53:$K$82,MATCH($B$4,$A$53:$A$82,0)),"")</f>
        <v>Demander : « Où est la couleur ? Comment tu évites que le poisson soit sec ? Qu’est-ce que tu contrôles avant service ? »</v>
      </c>
      <c r="J13" s="1561"/>
      <c r="K13" s="1561"/>
      <c r="L13" s="1561"/>
      <c r="M13" s="1561"/>
      <c r="O13" s="142" t="s">
        <v>3784</v>
      </c>
      <c r="P13" s="139"/>
      <c r="Q13" s="5"/>
      <c r="R13" s="5"/>
      <c r="S13" s="5"/>
      <c r="T13" s="5"/>
      <c r="U13" s="6"/>
      <c r="V13" s="15"/>
      <c r="W13" s="15"/>
      <c r="X13" s="15"/>
    </row>
    <row r="14" spans="1:35" ht="18.75" x14ac:dyDescent="0.25">
      <c r="A14" s="11"/>
      <c r="B14" s="47"/>
      <c r="C14" s="47"/>
      <c r="D14" s="47"/>
      <c r="E14" s="47"/>
      <c r="F14" s="47"/>
      <c r="G14" s="11"/>
      <c r="H14" s="11"/>
      <c r="I14" s="47"/>
      <c r="J14" s="47"/>
      <c r="K14" s="47"/>
      <c r="L14" s="47"/>
      <c r="M14" s="47"/>
      <c r="O14" s="142" t="s">
        <v>3785</v>
      </c>
      <c r="P14" s="139"/>
      <c r="Q14" s="5"/>
      <c r="R14" s="5"/>
      <c r="S14" s="5"/>
      <c r="T14" s="5"/>
      <c r="U14" s="6"/>
      <c r="V14" s="15"/>
      <c r="W14" s="15"/>
      <c r="X14" s="15"/>
    </row>
    <row r="15" spans="1:35" ht="50.1" customHeight="1" x14ac:dyDescent="0.25">
      <c r="A15" s="1564" t="s">
        <v>3786</v>
      </c>
      <c r="B15" s="1560" t="s">
        <v>4779</v>
      </c>
      <c r="C15" s="1560"/>
      <c r="D15" s="1560"/>
      <c r="E15" s="1560"/>
      <c r="F15" s="1560"/>
      <c r="G15" s="12"/>
      <c r="H15" s="1566" t="s">
        <v>3787</v>
      </c>
      <c r="I15" s="1560" t="s">
        <v>4783</v>
      </c>
      <c r="J15" s="1560"/>
      <c r="K15" s="1560"/>
      <c r="L15" s="1560"/>
      <c r="M15" s="1560"/>
      <c r="O15" s="142" t="s">
        <v>3788</v>
      </c>
      <c r="P15" s="139"/>
      <c r="Q15" s="5"/>
      <c r="R15" s="5"/>
      <c r="S15" s="5"/>
      <c r="T15" s="5"/>
      <c r="U15" s="6"/>
      <c r="V15" s="15"/>
      <c r="W15" s="15"/>
      <c r="X15" s="15"/>
    </row>
    <row r="16" spans="1:35" ht="50.1" customHeight="1" x14ac:dyDescent="0.25">
      <c r="A16" s="1564"/>
      <c r="B16" s="1560" t="s">
        <v>4780</v>
      </c>
      <c r="C16" s="1560"/>
      <c r="D16" s="1560"/>
      <c r="E16" s="1560"/>
      <c r="F16" s="1560"/>
      <c r="G16" s="12"/>
      <c r="H16" s="1566"/>
      <c r="I16" s="1560" t="s">
        <v>4784</v>
      </c>
      <c r="J16" s="1560"/>
      <c r="K16" s="1560"/>
      <c r="L16" s="1560"/>
      <c r="M16" s="1560"/>
      <c r="O16" s="142" t="s">
        <v>3789</v>
      </c>
      <c r="P16" s="139"/>
      <c r="Q16" s="5"/>
      <c r="R16" s="5"/>
      <c r="S16" s="5"/>
      <c r="T16" s="5"/>
      <c r="U16" s="6"/>
      <c r="V16" s="15"/>
      <c r="W16" s="15"/>
      <c r="X16" s="15"/>
    </row>
    <row r="17" spans="1:34" ht="60" customHeight="1" x14ac:dyDescent="0.25">
      <c r="A17" s="13" t="s">
        <v>44</v>
      </c>
      <c r="B17" s="1562" t="str">
        <f>IF(UPPER($H$4)="X",IFERROR(INDEX($H$53:$H$82,MATCH($B$4,$A$53:$A$82,0)),""),"Réponse attendue masquée — saisir X en H4 pour afficher")</f>
        <v>Diagnostic : le menu est trop blanc et le poisson peut être sec. Correction : poisson sauce citron-herbes, riz pilaf, brocolis ou carottes, entrée colorée et fruit de saison. Adapter au public scolaire en rendant l’assiette plus lisible et plus appétente. Contrôle final : équilibre, allergènes poisson/lait, tenue chaude et gaspillage.</v>
      </c>
      <c r="C17" s="1562"/>
      <c r="D17" s="1562"/>
      <c r="E17" s="1562"/>
      <c r="F17" s="1562"/>
      <c r="G17" s="12"/>
      <c r="H17" s="17" t="s">
        <v>45</v>
      </c>
      <c r="I17" s="1561" t="str">
        <f>IF(UPPER($H$4)="X",IFERROR(INDEX($I$53:$I$82,MATCH($B$4,$A$53:$A$82,0)),""),"Réponse attendue masquée — saisir X en H4 pour afficher")</f>
        <v>Le menu est trop blanc et le poisson risque d’être sec. Je mets une sauce, un légume coloré, une entrée qui donne de la couleur et un fruit. Je vérifie les allergènes, la tenue au chaud et si les enfants vont vraiment manger.</v>
      </c>
      <c r="J17" s="1561"/>
      <c r="K17" s="1561"/>
      <c r="L17" s="1561"/>
      <c r="M17" s="1561"/>
      <c r="O17" s="142" t="s">
        <v>3790</v>
      </c>
      <c r="P17" s="139"/>
      <c r="Q17" s="5"/>
      <c r="R17" s="5"/>
      <c r="S17" s="5"/>
      <c r="T17" s="5"/>
      <c r="U17" s="6"/>
      <c r="V17" s="15"/>
      <c r="W17" s="15"/>
      <c r="X17" s="15"/>
    </row>
    <row r="18" spans="1:34" ht="15.75" x14ac:dyDescent="0.25">
      <c r="A18" s="11"/>
      <c r="B18" s="47"/>
      <c r="C18" s="47"/>
      <c r="D18" s="47"/>
      <c r="E18" s="47"/>
      <c r="F18" s="47"/>
      <c r="G18" s="11"/>
      <c r="H18" s="11"/>
      <c r="I18" s="47"/>
      <c r="J18" s="47"/>
      <c r="K18" s="47"/>
      <c r="L18" s="47"/>
      <c r="M18" s="47"/>
      <c r="U18" s="15"/>
      <c r="V18" s="15"/>
      <c r="W18" s="15"/>
      <c r="X18" s="15"/>
    </row>
    <row r="19" spans="1:34" ht="54.95" customHeight="1" x14ac:dyDescent="0.25">
      <c r="A19" s="50" t="s">
        <v>50</v>
      </c>
      <c r="B19" s="1568" t="str">
        <f>IF(ISBLANK(H4),"",IF(UPPER(TRIM($H$4))="X",IFERROR(INDEX($M$53:$M$82,MATCH($B$4,$A$53:$A$82,0)),""),"Mots-clés masqués — saisir X en H4 pour afficher"))</f>
        <v>diagnostic ; blanc ; sec ; sauce ; garniture ; entrée ; dessert ; enfant ; contrôle ; allergènes ; gaspillage</v>
      </c>
      <c r="C19" s="1568"/>
      <c r="D19" s="1568"/>
      <c r="E19" s="1568"/>
      <c r="F19" s="1568"/>
      <c r="G19" s="12"/>
      <c r="H19" s="51" t="s">
        <v>51</v>
      </c>
      <c r="I19" s="1567" t="str">
        <f>IF(ISBLANK(H4),"",IFERROR(INDEX($X$53:$X$82,MATCH($B$4,$A$53:$A$82,0)),""))</f>
        <v>Évaluation finale = voir + corriger + contrôler</v>
      </c>
      <c r="J19" s="1567"/>
      <c r="K19" s="1567"/>
      <c r="L19" s="1567"/>
      <c r="M19" s="1567"/>
    </row>
    <row r="20" spans="1:34" ht="15.75" x14ac:dyDescent="0.25">
      <c r="A20" s="52"/>
      <c r="B20" s="47"/>
      <c r="C20" s="47"/>
      <c r="D20" s="47"/>
      <c r="E20" s="47"/>
      <c r="F20" s="47"/>
      <c r="G20" s="11"/>
      <c r="H20" s="12"/>
      <c r="I20" s="44"/>
      <c r="J20" s="44"/>
      <c r="K20" s="44"/>
      <c r="L20" s="44"/>
      <c r="M20" s="44"/>
    </row>
    <row r="21" spans="1:34" ht="18.75" customHeight="1" x14ac:dyDescent="0.25">
      <c r="A21" s="12"/>
      <c r="B21" s="12"/>
      <c r="C21" s="12"/>
      <c r="D21" s="12"/>
      <c r="E21" s="12"/>
      <c r="F21" s="12"/>
      <c r="G21" s="12"/>
      <c r="H21" s="12"/>
      <c r="I21" s="12"/>
      <c r="J21" s="12"/>
      <c r="K21" s="12"/>
      <c r="L21" s="12"/>
      <c r="M21" s="12"/>
    </row>
    <row r="22" spans="1:34" ht="24" customHeight="1" x14ac:dyDescent="0.25">
      <c r="A22" s="75" t="s">
        <v>3791</v>
      </c>
      <c r="B22" s="18"/>
      <c r="C22" s="18"/>
      <c r="D22" s="18"/>
      <c r="E22" s="18"/>
      <c r="F22" s="18"/>
      <c r="G22" s="18"/>
      <c r="H22" s="18"/>
      <c r="I22" s="18"/>
      <c r="J22" s="18"/>
      <c r="K22" s="18"/>
      <c r="L22" s="18"/>
      <c r="M22" s="18"/>
    </row>
    <row r="23" spans="1:34" ht="60" customHeight="1" x14ac:dyDescent="0.25">
      <c r="A23" s="76" t="s">
        <v>53</v>
      </c>
      <c r="B23" s="74" t="str">
        <f>IF(UPPER($H$4)="X",IFERROR(INDEX($R$53:$R$82,MATCH($B$4,$A$53:$A$82,0)),""),"Masqué")</f>
        <v>Brocolis, carottes ou autre légume vert/orange ; riz pilaf possible</v>
      </c>
      <c r="C23" s="77" t="s">
        <v>54</v>
      </c>
      <c r="D23" s="74" t="str">
        <f>IF(UPPER($H$4)="X",IFERROR(INDEX($S$53:$S$82,MATCH($B$4,$A$53:$A$82,0)),""),"Masqué")</f>
        <v>Sauce citron-herbes ou jus court</v>
      </c>
      <c r="E23" s="77" t="s">
        <v>55</v>
      </c>
      <c r="F23" s="74" t="str">
        <f>IF(UPPER($H$4)="X",IFERROR(INDEX($T$53:$T$82,MATCH($B$4,$A$53:$A$82,0)),""),"Masqué")</f>
        <v>Carottes râpées ou betteraves</v>
      </c>
      <c r="G23" s="77" t="s">
        <v>56</v>
      </c>
      <c r="H23" s="74" t="str">
        <f>IF(UPPER($H$4)="X",IFERROR(INDEX($U$53:$U$82,MATCH($B$4,$A$53:$A$82,0)),""),"Masqué")</f>
        <v>Fruit de saison coloré</v>
      </c>
      <c r="I23" s="77" t="s">
        <v>57</v>
      </c>
      <c r="J23" s="74" t="str">
        <f>IF(UPPER($H$4)="X",IFERROR(INDEX($V$53:$V$82,MATCH($B$4,$A$53:$A$82,0)),""),"Masqué")</f>
        <v>Adapter à l’école primaire : lisible, coloré, simple</v>
      </c>
      <c r="K23" s="77" t="s">
        <v>3792</v>
      </c>
      <c r="L23" s="74" t="str">
        <f>IF(UPPER($H$4)="X",IFERROR(INDEX($W$53:$W$82,MATCH($B$4,$A$53:$A$82,0)),""),"Masqué")</f>
        <v>Contrôler allergènes poisson/lait, maintien chaud, gaspillage</v>
      </c>
      <c r="M23" s="12"/>
    </row>
    <row r="24" spans="1:34" ht="15.75" x14ac:dyDescent="0.25">
      <c r="A24" s="12"/>
      <c r="B24" s="12"/>
      <c r="C24" s="12"/>
      <c r="D24" s="12"/>
      <c r="E24" s="12"/>
      <c r="F24" s="12"/>
      <c r="G24" s="12"/>
      <c r="H24" s="12"/>
      <c r="I24" s="12"/>
      <c r="J24" s="12"/>
      <c r="K24" s="12"/>
      <c r="L24" s="12"/>
      <c r="M24" s="12"/>
    </row>
    <row r="25" spans="1:34" ht="15.75" x14ac:dyDescent="0.25">
      <c r="A25" s="12"/>
      <c r="B25" s="12"/>
      <c r="C25" s="12"/>
      <c r="D25" s="12"/>
      <c r="E25" s="12"/>
      <c r="F25" s="12"/>
      <c r="G25" s="12"/>
      <c r="H25" s="12"/>
      <c r="I25" s="12"/>
      <c r="J25" s="12"/>
      <c r="K25" s="12"/>
      <c r="L25" s="12"/>
      <c r="M25" s="12"/>
      <c r="N25" s="12"/>
      <c r="O25" s="12"/>
      <c r="P25" s="12"/>
      <c r="Q25" s="12"/>
      <c r="R25" s="12"/>
      <c r="S25" s="12"/>
      <c r="T25" s="12"/>
      <c r="U25" s="12"/>
      <c r="V25" s="12"/>
      <c r="W25" s="12"/>
      <c r="X25" s="12"/>
    </row>
    <row r="26" spans="1:34" ht="24" customHeight="1" x14ac:dyDescent="0.25">
      <c r="A26" s="1569" t="s">
        <v>3793</v>
      </c>
      <c r="B26" s="19" t="s">
        <v>60</v>
      </c>
      <c r="C26" s="19" t="s">
        <v>61</v>
      </c>
      <c r="D26" s="19" t="s">
        <v>62</v>
      </c>
      <c r="E26" s="19" t="s">
        <v>63</v>
      </c>
      <c r="F26" s="19" t="s">
        <v>64</v>
      </c>
      <c r="G26" s="20"/>
      <c r="H26" s="17" t="s">
        <v>65</v>
      </c>
      <c r="I26" s="17" t="s">
        <v>61</v>
      </c>
      <c r="J26" s="17" t="s">
        <v>62</v>
      </c>
      <c r="K26" s="17" t="s">
        <v>63</v>
      </c>
      <c r="L26" s="17" t="s">
        <v>64</v>
      </c>
      <c r="M26" s="12"/>
    </row>
    <row r="27" spans="1:34" ht="24" customHeight="1" x14ac:dyDescent="0.25">
      <c r="A27" s="1569"/>
      <c r="B27" s="19" t="s">
        <v>66</v>
      </c>
      <c r="C27" s="19" t="s">
        <v>67</v>
      </c>
      <c r="D27" s="19" t="s">
        <v>68</v>
      </c>
      <c r="E27" s="19" t="s">
        <v>69</v>
      </c>
      <c r="F27" s="19" t="s">
        <v>64</v>
      </c>
      <c r="G27" s="21"/>
      <c r="H27" s="17" t="s">
        <v>66</v>
      </c>
      <c r="I27" s="22" t="s">
        <v>67</v>
      </c>
      <c r="J27" s="22" t="s">
        <v>68</v>
      </c>
      <c r="K27" s="22" t="s">
        <v>69</v>
      </c>
      <c r="L27" s="22" t="s">
        <v>64</v>
      </c>
      <c r="M27" s="12"/>
      <c r="AA27" s="23" t="s">
        <v>70</v>
      </c>
      <c r="AB27" s="23" t="s">
        <v>61</v>
      </c>
      <c r="AC27" s="23" t="s">
        <v>71</v>
      </c>
      <c r="AD27" s="23" t="s">
        <v>72</v>
      </c>
      <c r="AE27" s="23" t="s">
        <v>73</v>
      </c>
      <c r="AF27" s="23" t="s">
        <v>74</v>
      </c>
      <c r="AG27" s="23" t="s">
        <v>75</v>
      </c>
      <c r="AH27" s="23" t="s">
        <v>76</v>
      </c>
    </row>
    <row r="28" spans="1:34" ht="24" customHeight="1" x14ac:dyDescent="0.25">
      <c r="A28" s="1569"/>
      <c r="B28" s="13" t="str">
        <f>$AA28&amp;LEFT("B28",0)</f>
        <v>Diagnostic global</v>
      </c>
      <c r="C28" s="24">
        <f>$AB28+N("C28")</f>
        <v>4</v>
      </c>
      <c r="D28" s="24">
        <f>IF($B28="","",IF(OR(AND($AI$4&lt;&gt;"",ISNUMBER(SEARCH($AI$4,$AA$4))),AND($AC28&lt;&gt;"",ISNUMBER(SEARCH($AC28,$AA$4))),AND($AD28&lt;&gt;"",ISNUMBER(SEARCH($AD28,$AA$4))),AND($AE28&lt;&gt;"",ISNUMBER(SEARCH($AE28,$AA$4)))),$C28,0))+N("D28")</f>
        <v>4</v>
      </c>
      <c r="E28" s="24">
        <f>IF(COUNTA($B$15:$B$16)=0,"",IF(OR(AND($AI$4&lt;&gt;"",ISNUMBER(SEARCH($AI$4,$AA$5))),AND($AC28&lt;&gt;"",ISNUMBER(SEARCH($AC28,$AA$5))),AND($AD28&lt;&gt;"",ISNUMBER(SEARCH($AD28,$AA$5))),AND($AE28&lt;&gt;"",ISNUMBER(SEARCH($AE28,$AA$5)))),$C28,0))+N("E28")</f>
        <v>4</v>
      </c>
      <c r="F28" s="16" t="str">
        <f>IF(COUNTA($B$15:$B$16)=0,IF($D28&gt;0,"OK initial","Manque"),IF($E28&gt;0,IF($D28&gt;0,"OK","Corrigé"),"Manque"))&amp;LEFT("F28",0)</f>
        <v>OK</v>
      </c>
      <c r="G28" s="25"/>
      <c r="H28" s="14" t="str">
        <f>$AA28&amp;LEFT("H28",0)</f>
        <v>Diagnostic global</v>
      </c>
      <c r="I28" s="24">
        <f>$AB28+N("I28")</f>
        <v>4</v>
      </c>
      <c r="J28" s="24">
        <f>IF($H28="","",IF(OR(AND($AI$5&lt;&gt;"",ISNUMBER(SEARCH($AI$5,$AA$6))),AND($AF28&lt;&gt;"",ISNUMBER(SEARCH($AF28,$AA$6))),AND($AG28&lt;&gt;"",ISNUMBER(SEARCH($AG28,$AA$6))),AND($AH28&lt;&gt;"",ISNUMBER(SEARCH($AH28,$AA$6)))),$I28,0))+N("J28")</f>
        <v>4</v>
      </c>
      <c r="K28" s="24">
        <f>IF(COUNTA($I$15:$I$16)=0,"",IF(OR(AND($AI$5&lt;&gt;"",ISNUMBER(SEARCH($AI$5,$AA$7))),AND($AF28&lt;&gt;"",ISNUMBER(SEARCH($AF28,$AA$7))),AND($AG28&lt;&gt;"",ISNUMBER(SEARCH($AG28,$AA$7))),AND($AH28&lt;&gt;"",ISNUMBER(SEARCH($AH28,$AA$7)))),$I28,0))+N("K28")</f>
        <v>4</v>
      </c>
      <c r="L28" s="16" t="str">
        <f>IF(COUNTA($I$15:$I$16)=0,IF($J28&gt;0,"OK initial","Manque"),IF($K28&gt;0,IF($J28&gt;0,"OK","Corrigé"),"Manque"))&amp;LEFT("L28",0)</f>
        <v>OK</v>
      </c>
      <c r="M28" s="12"/>
      <c r="AA28" s="10" t="str">
        <f>IFERROR(INDEX($Y$53:$Y$82,MATCH($B$4,$A$53:$A$82,0)),"")</f>
        <v>Diagnostic global</v>
      </c>
      <c r="AB28" s="26">
        <f>IFERROR(INDEX($Z$53:$Z$82,MATCH($B$4,$A$53:$A$82,0)),0)</f>
        <v>4</v>
      </c>
      <c r="AC28" s="26" t="str">
        <f>IFERROR(INDEX($AA$53:$AA$82,MATCH($B$4,$A$53:$A$82,0)),"")</f>
        <v>diagnostic</v>
      </c>
      <c r="AD28" s="26" t="str">
        <f>IFERROR(INDEX($AB$53:$AB$82,MATCH($B$4,$A$53:$A$82,0)),"")</f>
        <v>probleme</v>
      </c>
      <c r="AE28" s="26" t="str">
        <f>IFERROR(INDEX($AC$53:$AC$82,MATCH($B$4,$A$53:$A$82,0)),"")</f>
        <v>risque</v>
      </c>
      <c r="AF28" s="26" t="str">
        <f>IFERROR(INDEX($AD$53:$AD$82,MATCH($B$4,$A$53:$A$82,0)),"")</f>
        <v>probleme</v>
      </c>
      <c r="AG28" s="26" t="str">
        <f>IFERROR(INDEX($AE$53:$AE$82,MATCH($B$4,$A$53:$A$82,0)),"")</f>
        <v>risque</v>
      </c>
      <c r="AH28" s="26" t="str">
        <f>IFERROR(INDEX($AF$53:$AF$82,MATCH($B$4,$A$53:$A$82,0)),"")</f>
        <v>manque</v>
      </c>
    </row>
    <row r="29" spans="1:34" ht="24" customHeight="1" x14ac:dyDescent="0.25">
      <c r="A29" s="1569"/>
      <c r="B29" s="13" t="str">
        <f>$AA29&amp;LEFT("B29",0)</f>
        <v>Correction plat/garniture/sauce</v>
      </c>
      <c r="C29" s="24">
        <f>$AB29+N("C29")</f>
        <v>4</v>
      </c>
      <c r="D29" s="24">
        <f>IF($B29="","",IF(OR(AND($AI$4&lt;&gt;"",ISNUMBER(SEARCH($AI$4,$AA$4))),AND($AC29&lt;&gt;"",ISNUMBER(SEARCH($AC29,$AA$4))),AND($AD29&lt;&gt;"",ISNUMBER(SEARCH($AD29,$AA$4))),AND($AE29&lt;&gt;"",ISNUMBER(SEARCH($AE29,$AA$4)))),$C29,0))+N("D29")</f>
        <v>4</v>
      </c>
      <c r="E29" s="24">
        <f>IF(COUNTA($B$15:$B$16)=0,"",IF(OR(AND($AI$4&lt;&gt;"",ISNUMBER(SEARCH($AI$4,$AA$5))),AND($AC29&lt;&gt;"",ISNUMBER(SEARCH($AC29,$AA$5))),AND($AD29&lt;&gt;"",ISNUMBER(SEARCH($AD29,$AA$5))),AND($AE29&lt;&gt;"",ISNUMBER(SEARCH($AE29,$AA$5)))),$C29,0))+N("E29")</f>
        <v>4</v>
      </c>
      <c r="F29" s="16" t="str">
        <f>IF(COUNTA($B$15:$B$16)=0,IF($D29&gt;0,"OK initial","Manque"),IF($E29&gt;0,IF($D29&gt;0,"OK","Corrigé"),"Manque"))&amp;LEFT("F29",0)</f>
        <v>OK</v>
      </c>
      <c r="G29" s="25"/>
      <c r="H29" s="14" t="str">
        <f>$AA29&amp;LEFT("H29",0)</f>
        <v>Correction plat/garniture/sauce</v>
      </c>
      <c r="I29" s="24">
        <f>$AB29+N("I29")</f>
        <v>4</v>
      </c>
      <c r="J29" s="24">
        <f>IF($H29="","",IF(OR(AND($AI$5&lt;&gt;"",ISNUMBER(SEARCH($AI$5,$AA$6))),AND($AF29&lt;&gt;"",ISNUMBER(SEARCH($AF29,$AA$6))),AND($AG29&lt;&gt;"",ISNUMBER(SEARCH($AG29,$AA$6))),AND($AH29&lt;&gt;"",ISNUMBER(SEARCH($AH29,$AA$6)))),$I29,0))+N("J29")</f>
        <v>4</v>
      </c>
      <c r="K29" s="24">
        <f>IF(COUNTA($I$15:$I$16)=0,"",IF(OR(AND($AI$5&lt;&gt;"",ISNUMBER(SEARCH($AI$5,$AA$7))),AND($AF29&lt;&gt;"",ISNUMBER(SEARCH($AF29,$AA$7))),AND($AG29&lt;&gt;"",ISNUMBER(SEARCH($AG29,$AA$7))),AND($AH29&lt;&gt;"",ISNUMBER(SEARCH($AH29,$AA$7)))),$I29,0))+N("K29")</f>
        <v>4</v>
      </c>
      <c r="L29" s="16" t="str">
        <f>IF(COUNTA($I$15:$I$16)=0,IF($J29&gt;0,"OK initial","Manque"),IF($K29&gt;0,IF($J29&gt;0,"OK","Corrigé"),"Manque"))&amp;LEFT("L29",0)</f>
        <v>OK</v>
      </c>
      <c r="M29" s="12"/>
      <c r="AA29" s="10" t="str">
        <f>IFERROR(INDEX($AG$53:$AG$82,MATCH($B$4,$A$53:$A$82,0)),"")</f>
        <v>Correction plat/garniture/sauce</v>
      </c>
      <c r="AB29" s="26">
        <f>IFERROR(INDEX($AH$53:$AH$82,MATCH($B$4,$A$53:$A$82,0)),0)</f>
        <v>4</v>
      </c>
      <c r="AC29" s="26" t="str">
        <f>IFERROR(INDEX($AI$53:$AI$82,MATCH($B$4,$A$53:$A$82,0)),"")</f>
        <v>garniture</v>
      </c>
      <c r="AD29" s="26" t="str">
        <f>IFERROR(INDEX($AJ$53:$AJ$72,MATCH($B$4,$A$53:$A$72,0)),"")</f>
        <v>sauce</v>
      </c>
      <c r="AE29" s="26" t="str">
        <f>IFERROR(INDEX($AK$53:$AK$72,MATCH($B$4,$A$53:$A$72,0)),"")</f>
        <v>corriger</v>
      </c>
      <c r="AF29" s="26" t="str">
        <f>IFERROR(INDEX($AL$53:$AL$72,MATCH($B$4,$A$53:$A$72,0)),"")</f>
        <v>sauce</v>
      </c>
      <c r="AG29" s="26" t="str">
        <f>IFERROR(INDEX($AM$53:$AM$72,MATCH($B$4,$A$53:$A$72,0)),"")</f>
        <v>legume</v>
      </c>
      <c r="AH29" s="26" t="str">
        <f>IFERROR(INDEX($AN$53:$AN$72,MATCH($B$4,$A$53:$A$72,0)),"")</f>
        <v>changer</v>
      </c>
    </row>
    <row r="30" spans="1:34" ht="24" customHeight="1" x14ac:dyDescent="0.25">
      <c r="A30" s="1569"/>
      <c r="B30" s="13" t="str">
        <f>$AA30&amp;LEFT("B30",0)</f>
        <v>Correction entrée-dessert</v>
      </c>
      <c r="C30" s="24">
        <f>$AB30+N("C30")</f>
        <v>4</v>
      </c>
      <c r="D30" s="24">
        <f>IF($B30="","",IF(OR(AND($AI$4&lt;&gt;"",ISNUMBER(SEARCH($AI$4,$AA$4))),AND($AC30&lt;&gt;"",ISNUMBER(SEARCH($AC30,$AA$4))),AND($AD30&lt;&gt;"",ISNUMBER(SEARCH($AD30,$AA$4))),AND($AE30&lt;&gt;"",ISNUMBER(SEARCH($AE30,$AA$4)))),$C30,0))+N("D30")</f>
        <v>4</v>
      </c>
      <c r="E30" s="24">
        <f>IF(COUNTA($B$15:$B$16)=0,"",IF(OR(AND($AI$4&lt;&gt;"",ISNUMBER(SEARCH($AI$4,$AA$5))),AND($AC30&lt;&gt;"",ISNUMBER(SEARCH($AC30,$AA$5))),AND($AD30&lt;&gt;"",ISNUMBER(SEARCH($AD30,$AA$5))),AND($AE30&lt;&gt;"",ISNUMBER(SEARCH($AE30,$AA$5)))),$C30,0))+N("E30")</f>
        <v>4</v>
      </c>
      <c r="F30" s="16" t="str">
        <f>IF(COUNTA($B$15:$B$16)=0,IF($D30&gt;0,"OK initial","Manque"),IF($E30&gt;0,IF($D30&gt;0,"OK","Corrigé"),"Manque"))&amp;LEFT("F30",0)</f>
        <v>OK</v>
      </c>
      <c r="G30" s="25"/>
      <c r="H30" s="14" t="str">
        <f>$AA30&amp;LEFT("H30",0)</f>
        <v>Correction entrée-dessert</v>
      </c>
      <c r="I30" s="24">
        <f>$AB30+N("I30")</f>
        <v>4</v>
      </c>
      <c r="J30" s="24">
        <f>IF($H30="","",IF(OR(AND($AI$5&lt;&gt;"",ISNUMBER(SEARCH($AI$5,$AA$6))),AND($AF30&lt;&gt;"",ISNUMBER(SEARCH($AF30,$AA$6))),AND($AG30&lt;&gt;"",ISNUMBER(SEARCH($AG30,$AA$6))),AND($AH30&lt;&gt;"",ISNUMBER(SEARCH($AH30,$AA$6)))),$I30,0))+N("J30")</f>
        <v>4</v>
      </c>
      <c r="K30" s="24">
        <f>IF(COUNTA($I$15:$I$16)=0,"",IF(OR(AND($AI$5&lt;&gt;"",ISNUMBER(SEARCH($AI$5,$AA$7))),AND($AF30&lt;&gt;"",ISNUMBER(SEARCH($AF30,$AA$7))),AND($AG30&lt;&gt;"",ISNUMBER(SEARCH($AG30,$AA$7))),AND($AH30&lt;&gt;"",ISNUMBER(SEARCH($AH30,$AA$7)))),$I30,0))+N("K30")</f>
        <v>4</v>
      </c>
      <c r="L30" s="16" t="str">
        <f>IF(COUNTA($I$15:$I$16)=0,IF($J30&gt;0,"OK initial","Manque"),IF($K30&gt;0,IF($J30&gt;0,"OK","Corrigé"),"Manque"))&amp;LEFT("L30",0)</f>
        <v>OK</v>
      </c>
      <c r="M30" s="12"/>
      <c r="AA30" s="10" t="str">
        <f>IFERROR(INDEX($AO$53:$AO$72,MATCH($B$4,$A$53:$A$72,0)),"")</f>
        <v>Correction entrée-dessert</v>
      </c>
      <c r="AB30" s="26">
        <f>IFERROR(INDEX($AP$53:$AP$72,MATCH($B$4,$A$53:$A$72,0)),0)</f>
        <v>4</v>
      </c>
      <c r="AC30" s="26" t="str">
        <f>IFERROR(INDEX($AQ$53:$AQ$72,MATCH($B$4,$A$53:$A$72,0)),"")</f>
        <v>entree</v>
      </c>
      <c r="AD30" s="26" t="str">
        <f>IFERROR(INDEX($AR$53:$AR$72,MATCH($B$4,$A$53:$A$72,0)),"")</f>
        <v>dessert</v>
      </c>
      <c r="AE30" s="26" t="str">
        <f>IFERROR(INDEX($AS$53:$AS$72,MATCH($B$4,$A$53:$A$72,0)),"")</f>
        <v>fruit</v>
      </c>
      <c r="AF30" s="26" t="str">
        <f>IFERROR(INDEX($AT$53:$AT$72,MATCH($B$4,$A$53:$A$72,0)),"")</f>
        <v>entree</v>
      </c>
      <c r="AG30" s="26" t="str">
        <f>IFERROR(INDEX($AU$53:$AU$72,MATCH($B$4,$A$53:$A$72,0)),"")</f>
        <v>dessert</v>
      </c>
      <c r="AH30" s="26" t="str">
        <f>IFERROR(INDEX($AV$53:$AV$72,MATCH($B$4,$A$53:$A$72,0)),"")</f>
        <v>fruit</v>
      </c>
    </row>
    <row r="31" spans="1:34" ht="24" customHeight="1" x14ac:dyDescent="0.25">
      <c r="A31" s="1569"/>
      <c r="B31" s="13" t="str">
        <f>$AA31&amp;LEFT("B31",0)</f>
        <v>Adaptation convive</v>
      </c>
      <c r="C31" s="24">
        <f>$AB31+N("C31")</f>
        <v>3</v>
      </c>
      <c r="D31" s="24">
        <f>IF($B31="","",IF(OR(AND($AI$4&lt;&gt;"",ISNUMBER(SEARCH($AI$4,$AA$4))),AND($AC31&lt;&gt;"",ISNUMBER(SEARCH($AC31,$AA$4))),AND($AD31&lt;&gt;"",ISNUMBER(SEARCH($AD31,$AA$4))),AND($AE31&lt;&gt;"",ISNUMBER(SEARCH($AE31,$AA$4)))),$C31,0))+N("D31")</f>
        <v>0</v>
      </c>
      <c r="E31" s="24">
        <f>IF(COUNTA($B$15:$B$16)=0,"",IF(OR(AND($AI$4&lt;&gt;"",ISNUMBER(SEARCH($AI$4,$AA$5))),AND($AC31&lt;&gt;"",ISNUMBER(SEARCH($AC31,$AA$5))),AND($AD31&lt;&gt;"",ISNUMBER(SEARCH($AD31,$AA$5))),AND($AE31&lt;&gt;"",ISNUMBER(SEARCH($AE31,$AA$5)))),$C31,0))+N("E31")</f>
        <v>3</v>
      </c>
      <c r="F31" s="16" t="str">
        <f>IF(COUNTA($B$15:$B$16)=0,IF($D31&gt;0,"OK initial","Manque"),IF($E31&gt;0,IF($D31&gt;0,"OK","Corrigé"),"Manque"))&amp;LEFT("F31",0)</f>
        <v>Corrigé</v>
      </c>
      <c r="G31" s="25"/>
      <c r="H31" s="14" t="str">
        <f>$AA31&amp;LEFT("H31",0)</f>
        <v>Adaptation convive</v>
      </c>
      <c r="I31" s="24">
        <f>$AB31+N("I31")</f>
        <v>3</v>
      </c>
      <c r="J31" s="24">
        <f>IF($H31="","",IF(OR(AND($AI$5&lt;&gt;"",ISNUMBER(SEARCH($AI$5,$AA$6))),AND($AF31&lt;&gt;"",ISNUMBER(SEARCH($AF31,$AA$6))),AND($AG31&lt;&gt;"",ISNUMBER(SEARCH($AG31,$AA$6))),AND($AH31&lt;&gt;"",ISNUMBER(SEARCH($AH31,$AA$6)))),$I31,0))+N("J31")</f>
        <v>0</v>
      </c>
      <c r="K31" s="24">
        <f>IF(COUNTA($I$15:$I$16)=0,"",IF(OR(AND($AI$5&lt;&gt;"",ISNUMBER(SEARCH($AI$5,$AA$7))),AND($AF31&lt;&gt;"",ISNUMBER(SEARCH($AF31,$AA$7))),AND($AG31&lt;&gt;"",ISNUMBER(SEARCH($AG31,$AA$7))),AND($AH31&lt;&gt;"",ISNUMBER(SEARCH($AH31,$AA$7)))),$I31,0))+N("K31")</f>
        <v>3</v>
      </c>
      <c r="L31" s="16" t="str">
        <f>IF(COUNTA($I$15:$I$16)=0,IF($J31&gt;0,"OK initial","Manque"),IF($K31&gt;0,IF($J31&gt;0,"OK","Corrigé"),"Manque"))&amp;LEFT("L31",0)</f>
        <v>Corrigé</v>
      </c>
      <c r="M31" s="12"/>
      <c r="AA31" s="10" t="str">
        <f>IFERROR(INDEX($AW$53:$AW$72,MATCH($B$4,$A$53:$A$72,0)),"")</f>
        <v>Adaptation convive</v>
      </c>
      <c r="AB31" s="26">
        <f>IFERROR(INDEX($AX$53:$AX$72,MATCH($B$4,$A$53:$A$72,0)),0)</f>
        <v>3</v>
      </c>
      <c r="AC31" s="26" t="str">
        <f>IFERROR(INDEX($AY$53:$AY$72,MATCH($B$4,$A$53:$A$72,0)),"")</f>
        <v>convive</v>
      </c>
      <c r="AD31" s="26" t="str">
        <f>IFERROR(INDEX($AZ$53:$AZ$72,MATCH($B$4,$A$53:$A$72,0)),"")</f>
        <v>public</v>
      </c>
      <c r="AE31" s="26" t="str">
        <f>IFERROR(INDEX($BA$53:$BA$72,MATCH($B$4,$A$53:$A$72,0)),"")</f>
        <v>adapter</v>
      </c>
      <c r="AF31" s="26" t="str">
        <f>IFERROR(INDEX($BB$53:$BB$72,MATCH($B$4,$A$53:$A$72,0)),"")</f>
        <v>public</v>
      </c>
      <c r="AG31" s="26" t="str">
        <f>IFERROR(INDEX($BC$53:$BC$72,MATCH($B$4,$A$53:$A$72,0)),"")</f>
        <v>personne</v>
      </c>
      <c r="AH31" s="26" t="str">
        <f>IFERROR(INDEX($BD$53:$BD$72,MATCH($B$4,$A$53:$A$72,0)),"")</f>
        <v>adapter</v>
      </c>
    </row>
    <row r="32" spans="1:34" ht="24" customHeight="1" x14ac:dyDescent="0.25">
      <c r="A32" s="1569"/>
      <c r="B32" s="13" t="str">
        <f>$AA32&amp;LEFT("B32",0)</f>
        <v>Contrôle final</v>
      </c>
      <c r="C32" s="24">
        <f>$AB32+N("C32")</f>
        <v>3</v>
      </c>
      <c r="D32" s="24">
        <f>IF($B32="","",IF(OR(AND($AI$4&lt;&gt;"",ISNUMBER(SEARCH($AI$4,$AA$4))),AND($AC32&lt;&gt;"",ISNUMBER(SEARCH($AC32,$AA$4))),AND($AD32&lt;&gt;"",ISNUMBER(SEARCH($AD32,$AA$4))),AND($AE32&lt;&gt;"",ISNUMBER(SEARCH($AE32,$AA$4)))),$C32,0))+N("D32")</f>
        <v>0</v>
      </c>
      <c r="E32" s="24">
        <f>IF(COUNTA($B$15:$B$16)=0,"",IF(OR(AND($AI$4&lt;&gt;"",ISNUMBER(SEARCH($AI$4,$AA$5))),AND($AC32&lt;&gt;"",ISNUMBER(SEARCH($AC32,$AA$5))),AND($AD32&lt;&gt;"",ISNUMBER(SEARCH($AD32,$AA$5))),AND($AE32&lt;&gt;"",ISNUMBER(SEARCH($AE32,$AA$5)))),$C32,0))+N("E32")</f>
        <v>3</v>
      </c>
      <c r="F32" s="16" t="str">
        <f>IF(COUNTA($B$15:$B$16)=0,IF($D32&gt;0,"OK initial","Manque"),IF($E32&gt;0,IF($D32&gt;0,"OK","Corrigé"),"Manque"))&amp;LEFT("F32",0)</f>
        <v>Corrigé</v>
      </c>
      <c r="G32" s="25"/>
      <c r="H32" s="14" t="str">
        <f>$AA32&amp;LEFT("H32",0)</f>
        <v>Contrôle final</v>
      </c>
      <c r="I32" s="24">
        <f>$AB32+N("I32")</f>
        <v>3</v>
      </c>
      <c r="J32" s="24">
        <f>IF($H32="","",IF(OR(AND($AI$5&lt;&gt;"",ISNUMBER(SEARCH($AI$5,$AA$6))),AND($AF32&lt;&gt;"",ISNUMBER(SEARCH($AF32,$AA$6))),AND($AG32&lt;&gt;"",ISNUMBER(SEARCH($AG32,$AA$6))),AND($AH32&lt;&gt;"",ISNUMBER(SEARCH($AH32,$AA$6)))),$I32,0))+N("J32")</f>
        <v>0</v>
      </c>
      <c r="K32" s="24">
        <f>IF(COUNTA($I$15:$I$16)=0,"",IF(OR(AND($AI$5&lt;&gt;"",ISNUMBER(SEARCH($AI$5,$AA$7))),AND($AF32&lt;&gt;"",ISNUMBER(SEARCH($AF32,$AA$7))),AND($AG32&lt;&gt;"",ISNUMBER(SEARCH($AG32,$AA$7))),AND($AH32&lt;&gt;"",ISNUMBER(SEARCH($AH32,$AA$7)))),$I32,0))+N("K32")</f>
        <v>3</v>
      </c>
      <c r="L32" s="16" t="str">
        <f>IF(COUNTA($I$15:$I$16)=0,IF($J32&gt;0,"OK initial","Manque"),IF($K32&gt;0,IF($J32&gt;0,"OK","Corrigé"),"Manque"))&amp;LEFT("L32",0)</f>
        <v>Corrigé</v>
      </c>
      <c r="M32" s="12"/>
      <c r="AA32" s="10" t="str">
        <f>IFERROR(INDEX($BE$53:$BE$72,MATCH($B$4,$A$53:$A$72,0)),"")</f>
        <v>Contrôle final</v>
      </c>
      <c r="AB32" s="26">
        <f>IFERROR(INDEX($BF$53:$BF$72,MATCH($B$4,$A$53:$A$72,0)),0)</f>
        <v>3</v>
      </c>
      <c r="AC32" s="26" t="str">
        <f>IFERROR(INDEX($BG$53:$BG$72,MATCH($B$4,$A$53:$A$72,0)),"")</f>
        <v>controle</v>
      </c>
      <c r="AD32" s="26" t="str">
        <f>IFERROR(INDEX($BH$53:$BH$72,MATCH($B$4,$A$53:$A$72,0)),"")</f>
        <v>egalim</v>
      </c>
      <c r="AE32" s="26" t="str">
        <f>IFERROR(INDEX($BI$53:$BI$72,MATCH($B$4,$A$53:$A$72,0)),"")</f>
        <v>pms</v>
      </c>
      <c r="AF32" s="26" t="str">
        <f>IFERROR(INDEX($BJ$53:$BJ$72,MATCH($B$4,$A$53:$A$72,0)),"")</f>
        <v>controler</v>
      </c>
      <c r="AG32" s="26" t="str">
        <f>IFERROR(INDEX($BK$53:$BK$72,MATCH($B$4,$A$53:$A$72,0)),"")</f>
        <v>verifier</v>
      </c>
      <c r="AH32" s="26" t="str">
        <f>IFERROR(INDEX($BL$53:$BL$72,MATCH($B$4,$A$53:$A$72,0)),"")</f>
        <v>allergenes</v>
      </c>
    </row>
    <row r="33" spans="1:34" ht="24" customHeight="1" x14ac:dyDescent="0.25">
      <c r="A33" s="1569"/>
      <c r="B33" s="13" t="str">
        <f>$AA33&amp;LEFT("B33",0)</f>
        <v>Justification PRO/CFA</v>
      </c>
      <c r="C33" s="24">
        <f>$AB33+N("C33")</f>
        <v>2</v>
      </c>
      <c r="D33" s="24">
        <f>IF($B33="","",IF(OR(AND($AI$4&lt;&gt;"",ISNUMBER(SEARCH($AI$4,$AA$4))),AND($AC33&lt;&gt;"",ISNUMBER(SEARCH($AC33,$AA$4))),AND($AD33&lt;&gt;"",ISNUMBER(SEARCH($AD33,$AA$4))),AND($AE33&lt;&gt;"",ISNUMBER(SEARCH($AE33,$AA$4)))),$C33,0))+N("D33")</f>
        <v>0</v>
      </c>
      <c r="E33" s="24">
        <f>IF(COUNTA($B$15:$B$16)=0,"",IF(OR(AND($AI$4&lt;&gt;"",ISNUMBER(SEARCH($AI$4,$AA$5))),AND($AC33&lt;&gt;"",ISNUMBER(SEARCH($AC33,$AA$5))),AND($AD33&lt;&gt;"",ISNUMBER(SEARCH($AD33,$AA$5))),AND($AE33&lt;&gt;"",ISNUMBER(SEARCH($AE33,$AA$5)))),$C33,0))+N("E33")</f>
        <v>0</v>
      </c>
      <c r="F33" s="16" t="str">
        <f>IF(COUNTA($B$15:$B$16)=0,IF($D33&gt;0,"OK initial","Manque"),IF($E33&gt;0,IF($D33&gt;0,"OK","Corrigé"),"Manque"))&amp;LEFT("F33",0)</f>
        <v>Manque</v>
      </c>
      <c r="G33" s="25"/>
      <c r="H33" s="14" t="str">
        <f>$AA33&amp;LEFT("H33",0)</f>
        <v>Justification PRO/CFA</v>
      </c>
      <c r="I33" s="24">
        <f>$AB33+N("I33")</f>
        <v>2</v>
      </c>
      <c r="J33" s="24">
        <f>IF($H33="","",IF(OR(AND($AI$5&lt;&gt;"",ISNUMBER(SEARCH($AI$5,$AA$6))),AND($AF33&lt;&gt;"",ISNUMBER(SEARCH($AF33,$AA$6))),AND($AG33&lt;&gt;"",ISNUMBER(SEARCH($AG33,$AA$6))),AND($AH33&lt;&gt;"",ISNUMBER(SEARCH($AH33,$AA$6)))),$I33,0))+N("J33")</f>
        <v>0</v>
      </c>
      <c r="K33" s="24">
        <f>IF(COUNTA($I$15:$I$16)=0,"",IF(OR(AND($AI$5&lt;&gt;"",ISNUMBER(SEARCH($AI$5,$AA$7))),AND($AF33&lt;&gt;"",ISNUMBER(SEARCH($AF33,$AA$7))),AND($AG33&lt;&gt;"",ISNUMBER(SEARCH($AG33,$AA$7))),AND($AH33&lt;&gt;"",ISNUMBER(SEARCH($AH33,$AA$7)))),$I33,0))+N("K33")</f>
        <v>2</v>
      </c>
      <c r="L33" s="16" t="str">
        <f>IF(COUNTA($I$15:$I$16)=0,IF($J33&gt;0,"OK initial","Manque"),IF($K33&gt;0,IF($J33&gt;0,"OK","Corrigé"),"Manque"))&amp;LEFT("L33",0)</f>
        <v>Corrigé</v>
      </c>
      <c r="M33" s="12"/>
      <c r="AA33" s="10" t="str">
        <f>IFERROR(INDEX($BM$53:$BM$72,MATCH($B$4,$A$53:$A$72,0)),"")</f>
        <v>Justification PRO/CFA</v>
      </c>
      <c r="AB33" s="26">
        <f>IFERROR(INDEX($BN$53:$BN$72,MATCH($B$4,$A$53:$A$72,0)),0)</f>
        <v>2</v>
      </c>
      <c r="AC33" s="26" t="str">
        <f>IFERROR(INDEX($BO$53:$BO$72,MATCH($B$4,$A$53:$A$72,0)),"")</f>
        <v>justifie</v>
      </c>
      <c r="AD33" s="26" t="str">
        <f>IFERROR(INDEX($BP$53:$BP$72,MATCH($B$4,$A$53:$A$72,0)),"")</f>
        <v>parce</v>
      </c>
      <c r="AE33" s="26" t="str">
        <f>IFERROR(INDEX($BQ$53:$BQ$72,MATCH($B$4,$A$53:$A$72,0)),"")</f>
        <v>coherent</v>
      </c>
      <c r="AF33" s="26" t="str">
        <f>IFERROR(INDEX($BR$53:$BR$72,MATCH($B$4,$A$53:$A$72,0)),"")</f>
        <v>parce</v>
      </c>
      <c r="AG33" s="26" t="str">
        <f>IFERROR(INDEX($BS$53:$BS$72,MATCH($B$4,$A$53:$A$72,0)),"")</f>
        <v>pour</v>
      </c>
      <c r="AH33" s="26" t="str">
        <f>IFERROR(INDEX($BT$53:$BT$72,MATCH($B$4,$A$53:$A$72,0)),"")</f>
        <v>explique</v>
      </c>
    </row>
    <row r="34" spans="1:34" ht="24" customHeight="1" x14ac:dyDescent="0.25">
      <c r="A34" s="1569"/>
      <c r="B34" s="13" t="s">
        <v>77</v>
      </c>
      <c r="C34" s="19">
        <f>SUM($D$28:$D$33)</f>
        <v>12</v>
      </c>
      <c r="D34" s="27"/>
      <c r="E34" s="27"/>
      <c r="F34" s="27"/>
      <c r="G34" s="28"/>
      <c r="H34" s="14" t="s">
        <v>78</v>
      </c>
      <c r="I34" s="17">
        <f>SUM($J$28:$J$33)</f>
        <v>12</v>
      </c>
      <c r="J34" s="27"/>
      <c r="K34" s="27"/>
      <c r="L34" s="27"/>
      <c r="M34" s="12"/>
    </row>
    <row r="35" spans="1:34" ht="24" customHeight="1" x14ac:dyDescent="0.25">
      <c r="A35" s="1569"/>
      <c r="B35" s="13" t="s">
        <v>79</v>
      </c>
      <c r="C35" s="19">
        <f>IF(COUNTA($B$15:$B$16)=0,"",SUM($E$28:$E$33))</f>
        <v>18</v>
      </c>
      <c r="D35" s="27"/>
      <c r="E35" s="27"/>
      <c r="F35" s="27"/>
      <c r="G35" s="28"/>
      <c r="H35" s="14" t="s">
        <v>80</v>
      </c>
      <c r="I35" s="17">
        <f>IF(COUNTA($I$15:$I$16)=0,"",SUM($K$28:$K$33))</f>
        <v>20</v>
      </c>
      <c r="J35" s="27"/>
      <c r="K35" s="27"/>
      <c r="L35" s="27"/>
      <c r="M35" s="12"/>
    </row>
    <row r="36" spans="1:34" ht="24" customHeight="1" x14ac:dyDescent="0.25">
      <c r="A36" s="1569"/>
      <c r="B36" s="136" t="s">
        <v>81</v>
      </c>
      <c r="C36" s="137">
        <f>IF($C$35="","",$C$35-$C$34)</f>
        <v>6</v>
      </c>
      <c r="D36" s="56"/>
      <c r="E36" s="56"/>
      <c r="F36" s="56"/>
      <c r="G36" s="57"/>
      <c r="H36" s="136" t="s">
        <v>82</v>
      </c>
      <c r="I36" s="137">
        <f>IF($I$35="","",$I$35-$I$34)</f>
        <v>8</v>
      </c>
      <c r="J36" s="29"/>
      <c r="K36" s="29"/>
      <c r="L36" s="29"/>
      <c r="M36" s="12"/>
    </row>
    <row r="37" spans="1:34" ht="15.75" x14ac:dyDescent="0.25">
      <c r="A37" s="9"/>
      <c r="B37" s="8"/>
      <c r="C37" s="9"/>
      <c r="D37" s="9"/>
      <c r="E37" s="9"/>
      <c r="F37" s="9"/>
      <c r="G37" s="9"/>
      <c r="H37" s="9"/>
      <c r="I37" s="9"/>
      <c r="J37" s="30"/>
      <c r="K37" s="30"/>
      <c r="L37" s="30"/>
      <c r="M37" s="30"/>
    </row>
    <row r="52" spans="1:72" ht="27.95" customHeight="1" x14ac:dyDescent="0.25">
      <c r="A52" s="55" t="s">
        <v>83</v>
      </c>
      <c r="B52" s="55" t="s">
        <v>5</v>
      </c>
      <c r="C52" s="55" t="s">
        <v>6</v>
      </c>
      <c r="D52" s="55" t="s">
        <v>84</v>
      </c>
      <c r="E52" s="55" t="s">
        <v>85</v>
      </c>
      <c r="F52" s="55" t="s">
        <v>86</v>
      </c>
      <c r="G52" s="55" t="s">
        <v>87</v>
      </c>
      <c r="H52" s="55" t="s">
        <v>88</v>
      </c>
      <c r="I52" s="55" t="s">
        <v>89</v>
      </c>
      <c r="J52" s="55" t="s">
        <v>90</v>
      </c>
      <c r="K52" s="55" t="s">
        <v>91</v>
      </c>
      <c r="L52" s="55" t="s">
        <v>92</v>
      </c>
      <c r="M52" s="55" t="s">
        <v>93</v>
      </c>
      <c r="N52" s="55" t="s">
        <v>94</v>
      </c>
      <c r="O52" s="55" t="s">
        <v>95</v>
      </c>
      <c r="P52" s="55" t="s">
        <v>96</v>
      </c>
      <c r="Q52" s="55" t="s">
        <v>97</v>
      </c>
      <c r="R52" s="55" t="s">
        <v>98</v>
      </c>
      <c r="S52" s="55" t="s">
        <v>99</v>
      </c>
      <c r="T52" s="55" t="s">
        <v>100</v>
      </c>
      <c r="U52" s="55" t="s">
        <v>101</v>
      </c>
      <c r="V52" s="55" t="s">
        <v>102</v>
      </c>
      <c r="W52" s="55" t="s">
        <v>103</v>
      </c>
      <c r="X52" s="55" t="s">
        <v>104</v>
      </c>
      <c r="Y52" s="32" t="s">
        <v>105</v>
      </c>
      <c r="Z52" s="32" t="s">
        <v>106</v>
      </c>
      <c r="AA52" s="32" t="s">
        <v>107</v>
      </c>
      <c r="AB52" s="32" t="s">
        <v>108</v>
      </c>
      <c r="AC52" s="32" t="s">
        <v>109</v>
      </c>
      <c r="AD52" s="32" t="s">
        <v>110</v>
      </c>
      <c r="AE52" s="32" t="s">
        <v>111</v>
      </c>
      <c r="AF52" s="32" t="s">
        <v>112</v>
      </c>
      <c r="AG52" s="32" t="s">
        <v>113</v>
      </c>
      <c r="AH52" s="32" t="s">
        <v>114</v>
      </c>
      <c r="AI52" s="32" t="s">
        <v>115</v>
      </c>
      <c r="AJ52" s="32" t="s">
        <v>116</v>
      </c>
      <c r="AK52" s="32" t="s">
        <v>117</v>
      </c>
      <c r="AL52" s="32" t="s">
        <v>118</v>
      </c>
      <c r="AM52" s="32" t="s">
        <v>119</v>
      </c>
      <c r="AN52" s="32" t="s">
        <v>120</v>
      </c>
      <c r="AO52" s="32" t="s">
        <v>121</v>
      </c>
      <c r="AP52" s="32" t="s">
        <v>122</v>
      </c>
      <c r="AQ52" s="32" t="s">
        <v>123</v>
      </c>
      <c r="AR52" s="32" t="s">
        <v>124</v>
      </c>
      <c r="AS52" s="32" t="s">
        <v>125</v>
      </c>
      <c r="AT52" s="32" t="s">
        <v>126</v>
      </c>
      <c r="AU52" s="32" t="s">
        <v>127</v>
      </c>
      <c r="AV52" s="32" t="s">
        <v>128</v>
      </c>
      <c r="AW52" s="32" t="s">
        <v>129</v>
      </c>
      <c r="AX52" s="32" t="s">
        <v>130</v>
      </c>
      <c r="AY52" s="32" t="s">
        <v>131</v>
      </c>
      <c r="AZ52" s="32" t="s">
        <v>132</v>
      </c>
      <c r="BA52" s="32" t="s">
        <v>133</v>
      </c>
      <c r="BB52" s="32" t="s">
        <v>134</v>
      </c>
      <c r="BC52" s="32" t="s">
        <v>135</v>
      </c>
      <c r="BD52" s="32" t="s">
        <v>136</v>
      </c>
      <c r="BE52" s="32" t="s">
        <v>137</v>
      </c>
      <c r="BF52" s="32" t="s">
        <v>138</v>
      </c>
      <c r="BG52" s="32" t="s">
        <v>139</v>
      </c>
      <c r="BH52" s="32" t="s">
        <v>140</v>
      </c>
      <c r="BI52" s="32" t="s">
        <v>141</v>
      </c>
      <c r="BJ52" s="32" t="s">
        <v>142</v>
      </c>
      <c r="BK52" s="32" t="s">
        <v>143</v>
      </c>
      <c r="BL52" s="32" t="s">
        <v>144</v>
      </c>
      <c r="BM52" s="32" t="s">
        <v>145</v>
      </c>
      <c r="BN52" s="32" t="s">
        <v>146</v>
      </c>
      <c r="BO52" s="32" t="s">
        <v>147</v>
      </c>
      <c r="BP52" s="32" t="s">
        <v>148</v>
      </c>
      <c r="BQ52" s="32" t="s">
        <v>149</v>
      </c>
      <c r="BR52" s="32" t="s">
        <v>150</v>
      </c>
      <c r="BS52" s="32" t="s">
        <v>151</v>
      </c>
      <c r="BT52" s="32" t="s">
        <v>152</v>
      </c>
    </row>
    <row r="53" spans="1:72" s="184" customFormat="1" ht="54.95" customHeight="1" x14ac:dyDescent="0.25">
      <c r="A53" s="155">
        <v>1</v>
      </c>
      <c r="B53" s="184" t="s">
        <v>153</v>
      </c>
      <c r="C53" s="184" t="s">
        <v>154</v>
      </c>
      <c r="D53" s="184" t="s">
        <v>155</v>
      </c>
      <c r="E53" s="184" t="s">
        <v>3794</v>
      </c>
      <c r="F53" s="184" t="s">
        <v>3795</v>
      </c>
      <c r="G53" s="184" t="s">
        <v>3796</v>
      </c>
      <c r="H53" s="184" t="s">
        <v>3780</v>
      </c>
      <c r="I53" s="184" t="s">
        <v>3781</v>
      </c>
      <c r="J53" s="184" t="s">
        <v>3797</v>
      </c>
      <c r="K53" s="184" t="s">
        <v>3798</v>
      </c>
      <c r="L53" s="184" t="s">
        <v>3799</v>
      </c>
      <c r="M53" s="184" t="s">
        <v>3800</v>
      </c>
      <c r="N53" s="184" t="s">
        <v>3801</v>
      </c>
      <c r="O53" s="184">
        <v>20</v>
      </c>
      <c r="P53" s="184" t="s">
        <v>164</v>
      </c>
      <c r="Q53" s="184" t="s">
        <v>165</v>
      </c>
      <c r="R53" s="184" t="s">
        <v>166</v>
      </c>
      <c r="S53" s="184" t="s">
        <v>3802</v>
      </c>
      <c r="T53" s="184" t="s">
        <v>168</v>
      </c>
      <c r="U53" s="184" t="s">
        <v>1944</v>
      </c>
      <c r="V53" s="184" t="s">
        <v>3803</v>
      </c>
      <c r="W53" s="184" t="s">
        <v>3804</v>
      </c>
      <c r="X53" s="184" t="s">
        <v>3805</v>
      </c>
      <c r="Y53" s="185" t="s">
        <v>3806</v>
      </c>
      <c r="Z53" s="185">
        <v>4</v>
      </c>
      <c r="AA53" s="185" t="s">
        <v>3807</v>
      </c>
      <c r="AB53" s="185" t="s">
        <v>3808</v>
      </c>
      <c r="AC53" s="185" t="s">
        <v>568</v>
      </c>
      <c r="AD53" s="185" t="s">
        <v>3808</v>
      </c>
      <c r="AE53" s="185" t="s">
        <v>568</v>
      </c>
      <c r="AF53" s="185" t="s">
        <v>464</v>
      </c>
      <c r="AG53" s="185" t="s">
        <v>3809</v>
      </c>
      <c r="AH53" s="185">
        <v>4</v>
      </c>
      <c r="AI53" s="185" t="s">
        <v>498</v>
      </c>
      <c r="AJ53" s="185" t="s">
        <v>179</v>
      </c>
      <c r="AK53" s="185" t="s">
        <v>919</v>
      </c>
      <c r="AL53" s="185" t="s">
        <v>179</v>
      </c>
      <c r="AM53" s="185" t="s">
        <v>408</v>
      </c>
      <c r="AN53" s="185" t="s">
        <v>384</v>
      </c>
      <c r="AO53" s="185" t="s">
        <v>3810</v>
      </c>
      <c r="AP53" s="185">
        <v>4</v>
      </c>
      <c r="AQ53" s="185" t="s">
        <v>184</v>
      </c>
      <c r="AR53" s="185" t="s">
        <v>186</v>
      </c>
      <c r="AS53" s="185" t="s">
        <v>185</v>
      </c>
      <c r="AT53" s="185" t="s">
        <v>184</v>
      </c>
      <c r="AU53" s="185" t="s">
        <v>186</v>
      </c>
      <c r="AV53" s="185" t="s">
        <v>185</v>
      </c>
      <c r="AW53" s="185" t="s">
        <v>57</v>
      </c>
      <c r="AX53" s="185">
        <v>3</v>
      </c>
      <c r="AY53" s="185" t="s">
        <v>410</v>
      </c>
      <c r="AZ53" s="185" t="s">
        <v>786</v>
      </c>
      <c r="BA53" s="185" t="s">
        <v>503</v>
      </c>
      <c r="BB53" s="185" t="s">
        <v>786</v>
      </c>
      <c r="BC53" s="185" t="s">
        <v>653</v>
      </c>
      <c r="BD53" s="185" t="s">
        <v>503</v>
      </c>
      <c r="BE53" s="185" t="s">
        <v>3792</v>
      </c>
      <c r="BF53" s="185">
        <v>3</v>
      </c>
      <c r="BG53" s="185" t="s">
        <v>3811</v>
      </c>
      <c r="BH53" s="185" t="s">
        <v>3812</v>
      </c>
      <c r="BI53" s="185" t="s">
        <v>3813</v>
      </c>
      <c r="BJ53" s="185" t="s">
        <v>3814</v>
      </c>
      <c r="BK53" s="185" t="s">
        <v>505</v>
      </c>
      <c r="BL53" s="185" t="s">
        <v>567</v>
      </c>
      <c r="BM53" s="185" t="s">
        <v>3815</v>
      </c>
      <c r="BN53" s="185">
        <v>2</v>
      </c>
      <c r="BO53" s="185" t="s">
        <v>3299</v>
      </c>
      <c r="BP53" s="185" t="s">
        <v>199</v>
      </c>
      <c r="BQ53" s="185" t="s">
        <v>3300</v>
      </c>
      <c r="BR53" s="185" t="s">
        <v>199</v>
      </c>
      <c r="BS53" s="185" t="s">
        <v>202</v>
      </c>
      <c r="BT53" s="185" t="s">
        <v>3816</v>
      </c>
    </row>
    <row r="54" spans="1:72" s="184" customFormat="1" ht="54.95" customHeight="1" x14ac:dyDescent="0.25">
      <c r="A54" s="155">
        <v>2</v>
      </c>
      <c r="B54" s="184" t="s">
        <v>204</v>
      </c>
      <c r="C54" s="184" t="s">
        <v>205</v>
      </c>
      <c r="D54" s="184" t="s">
        <v>206</v>
      </c>
      <c r="E54" s="184" t="s">
        <v>3817</v>
      </c>
      <c r="F54" s="184" t="s">
        <v>3818</v>
      </c>
      <c r="G54" s="184" t="s">
        <v>3819</v>
      </c>
      <c r="H54" s="184" t="s">
        <v>3820</v>
      </c>
      <c r="I54" s="184" t="s">
        <v>3821</v>
      </c>
      <c r="J54" s="184" t="s">
        <v>3822</v>
      </c>
      <c r="K54" s="184" t="s">
        <v>3823</v>
      </c>
      <c r="L54" s="184" t="s">
        <v>3799</v>
      </c>
      <c r="M54" s="184" t="s">
        <v>3824</v>
      </c>
      <c r="N54" s="184" t="s">
        <v>3825</v>
      </c>
      <c r="O54" s="184">
        <v>20</v>
      </c>
      <c r="P54" s="184" t="s">
        <v>164</v>
      </c>
      <c r="Q54" s="184" t="s">
        <v>3826</v>
      </c>
      <c r="R54" s="184" t="s">
        <v>950</v>
      </c>
      <c r="S54" s="184" t="s">
        <v>951</v>
      </c>
      <c r="T54" s="184" t="s">
        <v>220</v>
      </c>
      <c r="U54" s="184" t="s">
        <v>221</v>
      </c>
      <c r="V54" s="184" t="s">
        <v>3827</v>
      </c>
      <c r="W54" s="184" t="s">
        <v>3828</v>
      </c>
      <c r="X54" s="184" t="s">
        <v>3829</v>
      </c>
      <c r="Y54" s="185" t="s">
        <v>3806</v>
      </c>
      <c r="Z54" s="185">
        <v>4</v>
      </c>
      <c r="AA54" s="185" t="s">
        <v>3807</v>
      </c>
      <c r="AB54" s="185" t="s">
        <v>3808</v>
      </c>
      <c r="AC54" s="185" t="s">
        <v>568</v>
      </c>
      <c r="AD54" s="185" t="s">
        <v>3808</v>
      </c>
      <c r="AE54" s="185" t="s">
        <v>568</v>
      </c>
      <c r="AF54" s="185" t="s">
        <v>464</v>
      </c>
      <c r="AG54" s="185" t="s">
        <v>3809</v>
      </c>
      <c r="AH54" s="185">
        <v>4</v>
      </c>
      <c r="AI54" s="185" t="s">
        <v>498</v>
      </c>
      <c r="AJ54" s="185" t="s">
        <v>179</v>
      </c>
      <c r="AK54" s="185" t="s">
        <v>919</v>
      </c>
      <c r="AL54" s="185" t="s">
        <v>179</v>
      </c>
      <c r="AM54" s="185" t="s">
        <v>408</v>
      </c>
      <c r="AN54" s="185" t="s">
        <v>384</v>
      </c>
      <c r="AO54" s="185" t="s">
        <v>3810</v>
      </c>
      <c r="AP54" s="185">
        <v>4</v>
      </c>
      <c r="AQ54" s="185" t="s">
        <v>184</v>
      </c>
      <c r="AR54" s="185" t="s">
        <v>186</v>
      </c>
      <c r="AS54" s="185" t="s">
        <v>185</v>
      </c>
      <c r="AT54" s="185" t="s">
        <v>184</v>
      </c>
      <c r="AU54" s="185" t="s">
        <v>186</v>
      </c>
      <c r="AV54" s="185" t="s">
        <v>185</v>
      </c>
      <c r="AW54" s="185" t="s">
        <v>57</v>
      </c>
      <c r="AX54" s="185">
        <v>3</v>
      </c>
      <c r="AY54" s="185" t="s">
        <v>410</v>
      </c>
      <c r="AZ54" s="185" t="s">
        <v>786</v>
      </c>
      <c r="BA54" s="185" t="s">
        <v>503</v>
      </c>
      <c r="BB54" s="185" t="s">
        <v>786</v>
      </c>
      <c r="BC54" s="185" t="s">
        <v>653</v>
      </c>
      <c r="BD54" s="185" t="s">
        <v>503</v>
      </c>
      <c r="BE54" s="185" t="s">
        <v>3792</v>
      </c>
      <c r="BF54" s="185">
        <v>3</v>
      </c>
      <c r="BG54" s="185" t="s">
        <v>3811</v>
      </c>
      <c r="BH54" s="185" t="s">
        <v>3812</v>
      </c>
      <c r="BI54" s="185" t="s">
        <v>3813</v>
      </c>
      <c r="BJ54" s="185" t="s">
        <v>3814</v>
      </c>
      <c r="BK54" s="185" t="s">
        <v>505</v>
      </c>
      <c r="BL54" s="185" t="s">
        <v>567</v>
      </c>
      <c r="BM54" s="185" t="s">
        <v>3815</v>
      </c>
      <c r="BN54" s="185">
        <v>2</v>
      </c>
      <c r="BO54" s="185" t="s">
        <v>3299</v>
      </c>
      <c r="BP54" s="185" t="s">
        <v>199</v>
      </c>
      <c r="BQ54" s="185" t="s">
        <v>3300</v>
      </c>
      <c r="BR54" s="185" t="s">
        <v>199</v>
      </c>
      <c r="BS54" s="185" t="s">
        <v>202</v>
      </c>
      <c r="BT54" s="185" t="s">
        <v>3816</v>
      </c>
    </row>
    <row r="55" spans="1:72" s="184" customFormat="1" ht="54.95" customHeight="1" x14ac:dyDescent="0.25">
      <c r="A55" s="155">
        <v>3</v>
      </c>
      <c r="B55" s="184" t="s">
        <v>246</v>
      </c>
      <c r="C55" s="184" t="s">
        <v>247</v>
      </c>
      <c r="D55" s="184" t="s">
        <v>248</v>
      </c>
      <c r="E55" s="184" t="s">
        <v>3830</v>
      </c>
      <c r="F55" s="184" t="s">
        <v>3831</v>
      </c>
      <c r="G55" s="184" t="s">
        <v>3832</v>
      </c>
      <c r="H55" s="184" t="s">
        <v>3833</v>
      </c>
      <c r="I55" s="184" t="s">
        <v>3834</v>
      </c>
      <c r="J55" s="184" t="s">
        <v>3835</v>
      </c>
      <c r="K55" s="184" t="s">
        <v>3836</v>
      </c>
      <c r="L55" s="184" t="s">
        <v>3799</v>
      </c>
      <c r="M55" s="184" t="s">
        <v>3837</v>
      </c>
      <c r="N55" s="184" t="s">
        <v>3838</v>
      </c>
      <c r="O55" s="184">
        <v>20</v>
      </c>
      <c r="P55" s="184" t="s">
        <v>259</v>
      </c>
      <c r="Q55" s="184" t="s">
        <v>260</v>
      </c>
      <c r="R55" s="184" t="s">
        <v>3839</v>
      </c>
      <c r="S55" s="184" t="s">
        <v>3840</v>
      </c>
      <c r="T55" s="184" t="s">
        <v>429</v>
      </c>
      <c r="U55" s="184" t="s">
        <v>893</v>
      </c>
      <c r="V55" s="184" t="s">
        <v>3841</v>
      </c>
      <c r="W55" s="184" t="s">
        <v>3842</v>
      </c>
      <c r="X55" s="184" t="s">
        <v>3843</v>
      </c>
      <c r="Y55" s="185" t="s">
        <v>3806</v>
      </c>
      <c r="Z55" s="185">
        <v>4</v>
      </c>
      <c r="AA55" s="185" t="s">
        <v>3807</v>
      </c>
      <c r="AB55" s="185" t="s">
        <v>3808</v>
      </c>
      <c r="AC55" s="185" t="s">
        <v>568</v>
      </c>
      <c r="AD55" s="185" t="s">
        <v>3808</v>
      </c>
      <c r="AE55" s="185" t="s">
        <v>568</v>
      </c>
      <c r="AF55" s="185" t="s">
        <v>464</v>
      </c>
      <c r="AG55" s="185" t="s">
        <v>3809</v>
      </c>
      <c r="AH55" s="185">
        <v>4</v>
      </c>
      <c r="AI55" s="185" t="s">
        <v>498</v>
      </c>
      <c r="AJ55" s="185" t="s">
        <v>179</v>
      </c>
      <c r="AK55" s="185" t="s">
        <v>919</v>
      </c>
      <c r="AL55" s="185" t="s">
        <v>179</v>
      </c>
      <c r="AM55" s="185" t="s">
        <v>408</v>
      </c>
      <c r="AN55" s="185" t="s">
        <v>384</v>
      </c>
      <c r="AO55" s="185" t="s">
        <v>3810</v>
      </c>
      <c r="AP55" s="185">
        <v>4</v>
      </c>
      <c r="AQ55" s="185" t="s">
        <v>184</v>
      </c>
      <c r="AR55" s="185" t="s">
        <v>186</v>
      </c>
      <c r="AS55" s="185" t="s">
        <v>185</v>
      </c>
      <c r="AT55" s="185" t="s">
        <v>184</v>
      </c>
      <c r="AU55" s="185" t="s">
        <v>186</v>
      </c>
      <c r="AV55" s="185" t="s">
        <v>185</v>
      </c>
      <c r="AW55" s="185" t="s">
        <v>57</v>
      </c>
      <c r="AX55" s="185">
        <v>3</v>
      </c>
      <c r="AY55" s="185" t="s">
        <v>410</v>
      </c>
      <c r="AZ55" s="185" t="s">
        <v>786</v>
      </c>
      <c r="BA55" s="185" t="s">
        <v>503</v>
      </c>
      <c r="BB55" s="185" t="s">
        <v>786</v>
      </c>
      <c r="BC55" s="185" t="s">
        <v>653</v>
      </c>
      <c r="BD55" s="185" t="s">
        <v>503</v>
      </c>
      <c r="BE55" s="185" t="s">
        <v>3792</v>
      </c>
      <c r="BF55" s="185">
        <v>3</v>
      </c>
      <c r="BG55" s="185" t="s">
        <v>3811</v>
      </c>
      <c r="BH55" s="185" t="s">
        <v>3812</v>
      </c>
      <c r="BI55" s="185" t="s">
        <v>3813</v>
      </c>
      <c r="BJ55" s="185" t="s">
        <v>3814</v>
      </c>
      <c r="BK55" s="185" t="s">
        <v>505</v>
      </c>
      <c r="BL55" s="185" t="s">
        <v>567</v>
      </c>
      <c r="BM55" s="185" t="s">
        <v>3815</v>
      </c>
      <c r="BN55" s="185">
        <v>2</v>
      </c>
      <c r="BO55" s="185" t="s">
        <v>3299</v>
      </c>
      <c r="BP55" s="185" t="s">
        <v>199</v>
      </c>
      <c r="BQ55" s="185" t="s">
        <v>3300</v>
      </c>
      <c r="BR55" s="185" t="s">
        <v>199</v>
      </c>
      <c r="BS55" s="185" t="s">
        <v>202</v>
      </c>
      <c r="BT55" s="185" t="s">
        <v>3816</v>
      </c>
    </row>
    <row r="56" spans="1:72" s="184" customFormat="1" ht="54.95" customHeight="1" x14ac:dyDescent="0.25">
      <c r="A56" s="155">
        <v>4</v>
      </c>
      <c r="B56" s="184" t="s">
        <v>978</v>
      </c>
      <c r="C56" s="184" t="s">
        <v>154</v>
      </c>
      <c r="D56" s="184" t="s">
        <v>291</v>
      </c>
      <c r="E56" s="184" t="s">
        <v>3844</v>
      </c>
      <c r="F56" s="184" t="s">
        <v>3845</v>
      </c>
      <c r="G56" s="184" t="s">
        <v>3846</v>
      </c>
      <c r="H56" s="184" t="s">
        <v>3847</v>
      </c>
      <c r="I56" s="184" t="s">
        <v>3848</v>
      </c>
      <c r="J56" s="184" t="s">
        <v>3849</v>
      </c>
      <c r="K56" s="184" t="s">
        <v>3850</v>
      </c>
      <c r="L56" s="184" t="s">
        <v>3799</v>
      </c>
      <c r="M56" s="184" t="s">
        <v>3851</v>
      </c>
      <c r="N56" s="184" t="s">
        <v>3852</v>
      </c>
      <c r="O56" s="184">
        <v>20</v>
      </c>
      <c r="P56" s="184" t="s">
        <v>259</v>
      </c>
      <c r="Q56" s="184" t="s">
        <v>3853</v>
      </c>
      <c r="R56" s="184" t="s">
        <v>3854</v>
      </c>
      <c r="S56" s="184" t="s">
        <v>304</v>
      </c>
      <c r="T56" s="184" t="s">
        <v>991</v>
      </c>
      <c r="U56" s="184" t="s">
        <v>306</v>
      </c>
      <c r="V56" s="184" t="s">
        <v>3855</v>
      </c>
      <c r="W56" s="184" t="s">
        <v>3856</v>
      </c>
      <c r="X56" s="184" t="s">
        <v>3857</v>
      </c>
      <c r="Y56" s="185" t="s">
        <v>3806</v>
      </c>
      <c r="Z56" s="185">
        <v>4</v>
      </c>
      <c r="AA56" s="185" t="s">
        <v>3807</v>
      </c>
      <c r="AB56" s="185" t="s">
        <v>3808</v>
      </c>
      <c r="AC56" s="185" t="s">
        <v>568</v>
      </c>
      <c r="AD56" s="185" t="s">
        <v>3808</v>
      </c>
      <c r="AE56" s="185" t="s">
        <v>568</v>
      </c>
      <c r="AF56" s="185" t="s">
        <v>464</v>
      </c>
      <c r="AG56" s="185" t="s">
        <v>3809</v>
      </c>
      <c r="AH56" s="185">
        <v>4</v>
      </c>
      <c r="AI56" s="185" t="s">
        <v>498</v>
      </c>
      <c r="AJ56" s="185" t="s">
        <v>179</v>
      </c>
      <c r="AK56" s="185" t="s">
        <v>919</v>
      </c>
      <c r="AL56" s="185" t="s">
        <v>179</v>
      </c>
      <c r="AM56" s="185" t="s">
        <v>408</v>
      </c>
      <c r="AN56" s="185" t="s">
        <v>384</v>
      </c>
      <c r="AO56" s="185" t="s">
        <v>3810</v>
      </c>
      <c r="AP56" s="185">
        <v>4</v>
      </c>
      <c r="AQ56" s="185" t="s">
        <v>184</v>
      </c>
      <c r="AR56" s="185" t="s">
        <v>186</v>
      </c>
      <c r="AS56" s="185" t="s">
        <v>185</v>
      </c>
      <c r="AT56" s="185" t="s">
        <v>184</v>
      </c>
      <c r="AU56" s="185" t="s">
        <v>186</v>
      </c>
      <c r="AV56" s="185" t="s">
        <v>185</v>
      </c>
      <c r="AW56" s="185" t="s">
        <v>57</v>
      </c>
      <c r="AX56" s="185">
        <v>3</v>
      </c>
      <c r="AY56" s="185" t="s">
        <v>410</v>
      </c>
      <c r="AZ56" s="185" t="s">
        <v>786</v>
      </c>
      <c r="BA56" s="185" t="s">
        <v>503</v>
      </c>
      <c r="BB56" s="185" t="s">
        <v>786</v>
      </c>
      <c r="BC56" s="185" t="s">
        <v>653</v>
      </c>
      <c r="BD56" s="185" t="s">
        <v>503</v>
      </c>
      <c r="BE56" s="185" t="s">
        <v>3792</v>
      </c>
      <c r="BF56" s="185">
        <v>3</v>
      </c>
      <c r="BG56" s="185" t="s">
        <v>3811</v>
      </c>
      <c r="BH56" s="185" t="s">
        <v>3812</v>
      </c>
      <c r="BI56" s="185" t="s">
        <v>3813</v>
      </c>
      <c r="BJ56" s="185" t="s">
        <v>3814</v>
      </c>
      <c r="BK56" s="185" t="s">
        <v>505</v>
      </c>
      <c r="BL56" s="185" t="s">
        <v>567</v>
      </c>
      <c r="BM56" s="185" t="s">
        <v>3815</v>
      </c>
      <c r="BN56" s="185">
        <v>2</v>
      </c>
      <c r="BO56" s="185" t="s">
        <v>3299</v>
      </c>
      <c r="BP56" s="185" t="s">
        <v>199</v>
      </c>
      <c r="BQ56" s="185" t="s">
        <v>3300</v>
      </c>
      <c r="BR56" s="185" t="s">
        <v>199</v>
      </c>
      <c r="BS56" s="185" t="s">
        <v>202</v>
      </c>
      <c r="BT56" s="185" t="s">
        <v>3816</v>
      </c>
    </row>
    <row r="57" spans="1:72" s="184" customFormat="1" ht="54.95" customHeight="1" x14ac:dyDescent="0.25">
      <c r="A57" s="155">
        <v>5</v>
      </c>
      <c r="B57" s="184" t="s">
        <v>324</v>
      </c>
      <c r="C57" s="184" t="s">
        <v>325</v>
      </c>
      <c r="D57" s="184" t="s">
        <v>326</v>
      </c>
      <c r="E57" s="184" t="s">
        <v>3858</v>
      </c>
      <c r="F57" s="184" t="s">
        <v>3859</v>
      </c>
      <c r="G57" s="184" t="s">
        <v>3860</v>
      </c>
      <c r="H57" s="184" t="s">
        <v>3861</v>
      </c>
      <c r="I57" s="184" t="s">
        <v>3862</v>
      </c>
      <c r="J57" s="184" t="s">
        <v>3863</v>
      </c>
      <c r="K57" s="184" t="s">
        <v>868</v>
      </c>
      <c r="L57" s="184" t="s">
        <v>3799</v>
      </c>
      <c r="M57" s="184" t="s">
        <v>3864</v>
      </c>
      <c r="N57" s="184" t="s">
        <v>3865</v>
      </c>
      <c r="O57" s="184">
        <v>20</v>
      </c>
      <c r="P57" s="184" t="s">
        <v>259</v>
      </c>
      <c r="Q57" s="184" t="s">
        <v>337</v>
      </c>
      <c r="R57" s="184" t="s">
        <v>3866</v>
      </c>
      <c r="S57" s="184" t="s">
        <v>3867</v>
      </c>
      <c r="T57" s="184" t="s">
        <v>3868</v>
      </c>
      <c r="U57" s="184" t="s">
        <v>3869</v>
      </c>
      <c r="V57" s="184" t="s">
        <v>3870</v>
      </c>
      <c r="W57" s="184" t="s">
        <v>3871</v>
      </c>
      <c r="X57" s="184" t="s">
        <v>3872</v>
      </c>
      <c r="Y57" s="185" t="s">
        <v>3806</v>
      </c>
      <c r="Z57" s="185">
        <v>4</v>
      </c>
      <c r="AA57" s="185" t="s">
        <v>3807</v>
      </c>
      <c r="AB57" s="185" t="s">
        <v>3808</v>
      </c>
      <c r="AC57" s="185" t="s">
        <v>568</v>
      </c>
      <c r="AD57" s="185" t="s">
        <v>3808</v>
      </c>
      <c r="AE57" s="185" t="s">
        <v>568</v>
      </c>
      <c r="AF57" s="185" t="s">
        <v>464</v>
      </c>
      <c r="AG57" s="185" t="s">
        <v>3809</v>
      </c>
      <c r="AH57" s="185">
        <v>4</v>
      </c>
      <c r="AI57" s="185" t="s">
        <v>498</v>
      </c>
      <c r="AJ57" s="185" t="s">
        <v>179</v>
      </c>
      <c r="AK57" s="185" t="s">
        <v>919</v>
      </c>
      <c r="AL57" s="185" t="s">
        <v>179</v>
      </c>
      <c r="AM57" s="185" t="s">
        <v>408</v>
      </c>
      <c r="AN57" s="185" t="s">
        <v>384</v>
      </c>
      <c r="AO57" s="185" t="s">
        <v>3810</v>
      </c>
      <c r="AP57" s="185">
        <v>4</v>
      </c>
      <c r="AQ57" s="185" t="s">
        <v>184</v>
      </c>
      <c r="AR57" s="185" t="s">
        <v>186</v>
      </c>
      <c r="AS57" s="185" t="s">
        <v>185</v>
      </c>
      <c r="AT57" s="185" t="s">
        <v>184</v>
      </c>
      <c r="AU57" s="185" t="s">
        <v>186</v>
      </c>
      <c r="AV57" s="185" t="s">
        <v>185</v>
      </c>
      <c r="AW57" s="185" t="s">
        <v>57</v>
      </c>
      <c r="AX57" s="185">
        <v>3</v>
      </c>
      <c r="AY57" s="185" t="s">
        <v>410</v>
      </c>
      <c r="AZ57" s="185" t="s">
        <v>786</v>
      </c>
      <c r="BA57" s="185" t="s">
        <v>503</v>
      </c>
      <c r="BB57" s="185" t="s">
        <v>786</v>
      </c>
      <c r="BC57" s="185" t="s">
        <v>653</v>
      </c>
      <c r="BD57" s="185" t="s">
        <v>503</v>
      </c>
      <c r="BE57" s="185" t="s">
        <v>3792</v>
      </c>
      <c r="BF57" s="185">
        <v>3</v>
      </c>
      <c r="BG57" s="185" t="s">
        <v>3811</v>
      </c>
      <c r="BH57" s="185" t="s">
        <v>3812</v>
      </c>
      <c r="BI57" s="185" t="s">
        <v>3813</v>
      </c>
      <c r="BJ57" s="185" t="s">
        <v>3814</v>
      </c>
      <c r="BK57" s="185" t="s">
        <v>505</v>
      </c>
      <c r="BL57" s="185" t="s">
        <v>567</v>
      </c>
      <c r="BM57" s="185" t="s">
        <v>3815</v>
      </c>
      <c r="BN57" s="185">
        <v>2</v>
      </c>
      <c r="BO57" s="185" t="s">
        <v>3299</v>
      </c>
      <c r="BP57" s="185" t="s">
        <v>199</v>
      </c>
      <c r="BQ57" s="185" t="s">
        <v>3300</v>
      </c>
      <c r="BR57" s="185" t="s">
        <v>199</v>
      </c>
      <c r="BS57" s="185" t="s">
        <v>202</v>
      </c>
      <c r="BT57" s="185" t="s">
        <v>3816</v>
      </c>
    </row>
    <row r="58" spans="1:72" s="184" customFormat="1" ht="54.95" customHeight="1" x14ac:dyDescent="0.25">
      <c r="A58" s="155">
        <v>6</v>
      </c>
      <c r="B58" s="184" t="s">
        <v>385</v>
      </c>
      <c r="C58" s="184" t="s">
        <v>154</v>
      </c>
      <c r="D58" s="184" t="s">
        <v>355</v>
      </c>
      <c r="E58" s="184" t="s">
        <v>3873</v>
      </c>
      <c r="F58" s="184" t="s">
        <v>3874</v>
      </c>
      <c r="G58" s="184" t="s">
        <v>3875</v>
      </c>
      <c r="H58" s="184" t="s">
        <v>3876</v>
      </c>
      <c r="I58" s="184" t="s">
        <v>3877</v>
      </c>
      <c r="J58" s="184" t="s">
        <v>3878</v>
      </c>
      <c r="K58" s="184" t="s">
        <v>725</v>
      </c>
      <c r="L58" s="184" t="s">
        <v>3799</v>
      </c>
      <c r="M58" s="184" t="s">
        <v>3879</v>
      </c>
      <c r="N58" s="184" t="s">
        <v>3825</v>
      </c>
      <c r="O58" s="184">
        <v>20</v>
      </c>
      <c r="P58" s="184" t="s">
        <v>164</v>
      </c>
      <c r="Q58" s="184" t="s">
        <v>3880</v>
      </c>
      <c r="R58" s="184" t="s">
        <v>3881</v>
      </c>
      <c r="S58" s="184" t="s">
        <v>3882</v>
      </c>
      <c r="T58" s="184" t="s">
        <v>3883</v>
      </c>
      <c r="U58" s="184" t="s">
        <v>1497</v>
      </c>
      <c r="V58" s="184" t="s">
        <v>3884</v>
      </c>
      <c r="W58" s="184" t="s">
        <v>3885</v>
      </c>
      <c r="X58" s="184" t="s">
        <v>3886</v>
      </c>
      <c r="Y58" s="185" t="s">
        <v>3806</v>
      </c>
      <c r="Z58" s="185">
        <v>4</v>
      </c>
      <c r="AA58" s="185" t="s">
        <v>3807</v>
      </c>
      <c r="AB58" s="185" t="s">
        <v>3808</v>
      </c>
      <c r="AC58" s="185" t="s">
        <v>568</v>
      </c>
      <c r="AD58" s="185" t="s">
        <v>3808</v>
      </c>
      <c r="AE58" s="185" t="s">
        <v>568</v>
      </c>
      <c r="AF58" s="185" t="s">
        <v>464</v>
      </c>
      <c r="AG58" s="185" t="s">
        <v>3809</v>
      </c>
      <c r="AH58" s="185">
        <v>4</v>
      </c>
      <c r="AI58" s="185" t="s">
        <v>498</v>
      </c>
      <c r="AJ58" s="185" t="s">
        <v>179</v>
      </c>
      <c r="AK58" s="185" t="s">
        <v>919</v>
      </c>
      <c r="AL58" s="185" t="s">
        <v>179</v>
      </c>
      <c r="AM58" s="185" t="s">
        <v>408</v>
      </c>
      <c r="AN58" s="185" t="s">
        <v>384</v>
      </c>
      <c r="AO58" s="185" t="s">
        <v>3810</v>
      </c>
      <c r="AP58" s="185">
        <v>4</v>
      </c>
      <c r="AQ58" s="185" t="s">
        <v>184</v>
      </c>
      <c r="AR58" s="185" t="s">
        <v>186</v>
      </c>
      <c r="AS58" s="185" t="s">
        <v>185</v>
      </c>
      <c r="AT58" s="185" t="s">
        <v>184</v>
      </c>
      <c r="AU58" s="185" t="s">
        <v>186</v>
      </c>
      <c r="AV58" s="185" t="s">
        <v>185</v>
      </c>
      <c r="AW58" s="185" t="s">
        <v>57</v>
      </c>
      <c r="AX58" s="185">
        <v>3</v>
      </c>
      <c r="AY58" s="185" t="s">
        <v>410</v>
      </c>
      <c r="AZ58" s="185" t="s">
        <v>786</v>
      </c>
      <c r="BA58" s="185" t="s">
        <v>503</v>
      </c>
      <c r="BB58" s="185" t="s">
        <v>786</v>
      </c>
      <c r="BC58" s="185" t="s">
        <v>653</v>
      </c>
      <c r="BD58" s="185" t="s">
        <v>503</v>
      </c>
      <c r="BE58" s="185" t="s">
        <v>3792</v>
      </c>
      <c r="BF58" s="185">
        <v>3</v>
      </c>
      <c r="BG58" s="185" t="s">
        <v>3811</v>
      </c>
      <c r="BH58" s="185" t="s">
        <v>3812</v>
      </c>
      <c r="BI58" s="185" t="s">
        <v>3813</v>
      </c>
      <c r="BJ58" s="185" t="s">
        <v>3814</v>
      </c>
      <c r="BK58" s="185" t="s">
        <v>505</v>
      </c>
      <c r="BL58" s="185" t="s">
        <v>567</v>
      </c>
      <c r="BM58" s="185" t="s">
        <v>3815</v>
      </c>
      <c r="BN58" s="185">
        <v>2</v>
      </c>
      <c r="BO58" s="185" t="s">
        <v>3299</v>
      </c>
      <c r="BP58" s="185" t="s">
        <v>199</v>
      </c>
      <c r="BQ58" s="185" t="s">
        <v>3300</v>
      </c>
      <c r="BR58" s="185" t="s">
        <v>199</v>
      </c>
      <c r="BS58" s="185" t="s">
        <v>202</v>
      </c>
      <c r="BT58" s="185" t="s">
        <v>3816</v>
      </c>
    </row>
    <row r="59" spans="1:72" s="184" customFormat="1" ht="54.95" customHeight="1" x14ac:dyDescent="0.25">
      <c r="A59" s="155">
        <v>7</v>
      </c>
      <c r="B59" s="184" t="s">
        <v>385</v>
      </c>
      <c r="C59" s="184" t="s">
        <v>205</v>
      </c>
      <c r="D59" s="184" t="s">
        <v>386</v>
      </c>
      <c r="E59" s="184" t="s">
        <v>3887</v>
      </c>
      <c r="F59" s="184" t="s">
        <v>3888</v>
      </c>
      <c r="G59" s="184" t="s">
        <v>389</v>
      </c>
      <c r="H59" s="184" t="s">
        <v>3889</v>
      </c>
      <c r="I59" s="184" t="s">
        <v>3890</v>
      </c>
      <c r="J59" s="184" t="s">
        <v>3891</v>
      </c>
      <c r="K59" s="184" t="s">
        <v>3892</v>
      </c>
      <c r="L59" s="184" t="s">
        <v>3799</v>
      </c>
      <c r="M59" s="184" t="s">
        <v>3893</v>
      </c>
      <c r="N59" s="184" t="s">
        <v>3825</v>
      </c>
      <c r="O59" s="184">
        <v>20</v>
      </c>
      <c r="P59" s="184" t="s">
        <v>164</v>
      </c>
      <c r="Q59" s="184" t="s">
        <v>3894</v>
      </c>
      <c r="R59" s="184" t="s">
        <v>1474</v>
      </c>
      <c r="S59" s="184" t="s">
        <v>3895</v>
      </c>
      <c r="T59" s="184" t="s">
        <v>3896</v>
      </c>
      <c r="U59" s="184" t="s">
        <v>400</v>
      </c>
      <c r="V59" s="184" t="s">
        <v>3897</v>
      </c>
      <c r="W59" s="184" t="s">
        <v>3898</v>
      </c>
      <c r="X59" s="184" t="s">
        <v>3899</v>
      </c>
      <c r="Y59" s="185" t="s">
        <v>3806</v>
      </c>
      <c r="Z59" s="185">
        <v>4</v>
      </c>
      <c r="AA59" s="185" t="s">
        <v>3807</v>
      </c>
      <c r="AB59" s="185" t="s">
        <v>3808</v>
      </c>
      <c r="AC59" s="185" t="s">
        <v>568</v>
      </c>
      <c r="AD59" s="185" t="s">
        <v>3808</v>
      </c>
      <c r="AE59" s="185" t="s">
        <v>568</v>
      </c>
      <c r="AF59" s="185" t="s">
        <v>464</v>
      </c>
      <c r="AG59" s="185" t="s">
        <v>3809</v>
      </c>
      <c r="AH59" s="185">
        <v>4</v>
      </c>
      <c r="AI59" s="185" t="s">
        <v>498</v>
      </c>
      <c r="AJ59" s="185" t="s">
        <v>179</v>
      </c>
      <c r="AK59" s="185" t="s">
        <v>919</v>
      </c>
      <c r="AL59" s="185" t="s">
        <v>179</v>
      </c>
      <c r="AM59" s="185" t="s">
        <v>408</v>
      </c>
      <c r="AN59" s="185" t="s">
        <v>384</v>
      </c>
      <c r="AO59" s="185" t="s">
        <v>3810</v>
      </c>
      <c r="AP59" s="185">
        <v>4</v>
      </c>
      <c r="AQ59" s="185" t="s">
        <v>184</v>
      </c>
      <c r="AR59" s="185" t="s">
        <v>186</v>
      </c>
      <c r="AS59" s="185" t="s">
        <v>185</v>
      </c>
      <c r="AT59" s="185" t="s">
        <v>184</v>
      </c>
      <c r="AU59" s="185" t="s">
        <v>186</v>
      </c>
      <c r="AV59" s="185" t="s">
        <v>185</v>
      </c>
      <c r="AW59" s="185" t="s">
        <v>57</v>
      </c>
      <c r="AX59" s="185">
        <v>3</v>
      </c>
      <c r="AY59" s="185" t="s">
        <v>410</v>
      </c>
      <c r="AZ59" s="185" t="s">
        <v>786</v>
      </c>
      <c r="BA59" s="185" t="s">
        <v>503</v>
      </c>
      <c r="BB59" s="185" t="s">
        <v>786</v>
      </c>
      <c r="BC59" s="185" t="s">
        <v>653</v>
      </c>
      <c r="BD59" s="185" t="s">
        <v>503</v>
      </c>
      <c r="BE59" s="185" t="s">
        <v>3792</v>
      </c>
      <c r="BF59" s="185">
        <v>3</v>
      </c>
      <c r="BG59" s="185" t="s">
        <v>3811</v>
      </c>
      <c r="BH59" s="185" t="s">
        <v>3812</v>
      </c>
      <c r="BI59" s="185" t="s">
        <v>3813</v>
      </c>
      <c r="BJ59" s="185" t="s">
        <v>3814</v>
      </c>
      <c r="BK59" s="185" t="s">
        <v>505</v>
      </c>
      <c r="BL59" s="185" t="s">
        <v>567</v>
      </c>
      <c r="BM59" s="185" t="s">
        <v>3815</v>
      </c>
      <c r="BN59" s="185">
        <v>2</v>
      </c>
      <c r="BO59" s="185" t="s">
        <v>3299</v>
      </c>
      <c r="BP59" s="185" t="s">
        <v>199</v>
      </c>
      <c r="BQ59" s="185" t="s">
        <v>3300</v>
      </c>
      <c r="BR59" s="185" t="s">
        <v>199</v>
      </c>
      <c r="BS59" s="185" t="s">
        <v>202</v>
      </c>
      <c r="BT59" s="185" t="s">
        <v>3816</v>
      </c>
    </row>
    <row r="60" spans="1:72" s="184" customFormat="1" ht="54.95" customHeight="1" x14ac:dyDescent="0.25">
      <c r="A60" s="155">
        <v>8</v>
      </c>
      <c r="B60" s="184" t="s">
        <v>415</v>
      </c>
      <c r="C60" s="184" t="s">
        <v>247</v>
      </c>
      <c r="D60" s="184" t="s">
        <v>416</v>
      </c>
      <c r="E60" s="184" t="s">
        <v>417</v>
      </c>
      <c r="F60" s="184" t="s">
        <v>3900</v>
      </c>
      <c r="G60" s="184" t="s">
        <v>3901</v>
      </c>
      <c r="H60" s="184" t="s">
        <v>3902</v>
      </c>
      <c r="I60" s="184" t="s">
        <v>3903</v>
      </c>
      <c r="J60" s="184" t="s">
        <v>3904</v>
      </c>
      <c r="K60" s="184" t="s">
        <v>3905</v>
      </c>
      <c r="L60" s="184" t="s">
        <v>3799</v>
      </c>
      <c r="M60" s="184" t="s">
        <v>3906</v>
      </c>
      <c r="N60" s="184" t="s">
        <v>3801</v>
      </c>
      <c r="O60" s="184">
        <v>20</v>
      </c>
      <c r="P60" s="184" t="s">
        <v>164</v>
      </c>
      <c r="Q60" s="184" t="s">
        <v>426</v>
      </c>
      <c r="R60" s="184" t="s">
        <v>427</v>
      </c>
      <c r="S60" s="184" t="s">
        <v>428</v>
      </c>
      <c r="T60" s="184" t="s">
        <v>429</v>
      </c>
      <c r="U60" s="184" t="s">
        <v>3907</v>
      </c>
      <c r="V60" s="184" t="s">
        <v>3908</v>
      </c>
      <c r="W60" s="184" t="s">
        <v>3909</v>
      </c>
      <c r="X60" s="184" t="s">
        <v>433</v>
      </c>
      <c r="Y60" s="185" t="s">
        <v>3806</v>
      </c>
      <c r="Z60" s="185">
        <v>4</v>
      </c>
      <c r="AA60" s="185" t="s">
        <v>3807</v>
      </c>
      <c r="AB60" s="185" t="s">
        <v>3808</v>
      </c>
      <c r="AC60" s="185" t="s">
        <v>568</v>
      </c>
      <c r="AD60" s="185" t="s">
        <v>3808</v>
      </c>
      <c r="AE60" s="185" t="s">
        <v>568</v>
      </c>
      <c r="AF60" s="185" t="s">
        <v>464</v>
      </c>
      <c r="AG60" s="185" t="s">
        <v>3809</v>
      </c>
      <c r="AH60" s="185">
        <v>4</v>
      </c>
      <c r="AI60" s="185" t="s">
        <v>498</v>
      </c>
      <c r="AJ60" s="185" t="s">
        <v>179</v>
      </c>
      <c r="AK60" s="185" t="s">
        <v>919</v>
      </c>
      <c r="AL60" s="185" t="s">
        <v>179</v>
      </c>
      <c r="AM60" s="185" t="s">
        <v>408</v>
      </c>
      <c r="AN60" s="185" t="s">
        <v>384</v>
      </c>
      <c r="AO60" s="185" t="s">
        <v>3810</v>
      </c>
      <c r="AP60" s="185">
        <v>4</v>
      </c>
      <c r="AQ60" s="185" t="s">
        <v>184</v>
      </c>
      <c r="AR60" s="185" t="s">
        <v>186</v>
      </c>
      <c r="AS60" s="185" t="s">
        <v>185</v>
      </c>
      <c r="AT60" s="185" t="s">
        <v>184</v>
      </c>
      <c r="AU60" s="185" t="s">
        <v>186</v>
      </c>
      <c r="AV60" s="185" t="s">
        <v>185</v>
      </c>
      <c r="AW60" s="185" t="s">
        <v>57</v>
      </c>
      <c r="AX60" s="185">
        <v>3</v>
      </c>
      <c r="AY60" s="185" t="s">
        <v>410</v>
      </c>
      <c r="AZ60" s="185" t="s">
        <v>786</v>
      </c>
      <c r="BA60" s="185" t="s">
        <v>503</v>
      </c>
      <c r="BB60" s="185" t="s">
        <v>786</v>
      </c>
      <c r="BC60" s="185" t="s">
        <v>653</v>
      </c>
      <c r="BD60" s="185" t="s">
        <v>503</v>
      </c>
      <c r="BE60" s="185" t="s">
        <v>3792</v>
      </c>
      <c r="BF60" s="185">
        <v>3</v>
      </c>
      <c r="BG60" s="185" t="s">
        <v>3811</v>
      </c>
      <c r="BH60" s="185" t="s">
        <v>3812</v>
      </c>
      <c r="BI60" s="185" t="s">
        <v>3813</v>
      </c>
      <c r="BJ60" s="185" t="s">
        <v>3814</v>
      </c>
      <c r="BK60" s="185" t="s">
        <v>505</v>
      </c>
      <c r="BL60" s="185" t="s">
        <v>567</v>
      </c>
      <c r="BM60" s="185" t="s">
        <v>3815</v>
      </c>
      <c r="BN60" s="185">
        <v>2</v>
      </c>
      <c r="BO60" s="185" t="s">
        <v>3299</v>
      </c>
      <c r="BP60" s="185" t="s">
        <v>199</v>
      </c>
      <c r="BQ60" s="185" t="s">
        <v>3300</v>
      </c>
      <c r="BR60" s="185" t="s">
        <v>199</v>
      </c>
      <c r="BS60" s="185" t="s">
        <v>202</v>
      </c>
      <c r="BT60" s="185" t="s">
        <v>3816</v>
      </c>
    </row>
    <row r="61" spans="1:72" s="184" customFormat="1" ht="54.95" customHeight="1" x14ac:dyDescent="0.25">
      <c r="A61" s="155">
        <v>9</v>
      </c>
      <c r="B61" s="184" t="s">
        <v>444</v>
      </c>
      <c r="C61" s="184" t="s">
        <v>154</v>
      </c>
      <c r="D61" s="184" t="s">
        <v>445</v>
      </c>
      <c r="E61" s="184" t="s">
        <v>3910</v>
      </c>
      <c r="F61" s="184" t="s">
        <v>3911</v>
      </c>
      <c r="G61" s="184" t="s">
        <v>3912</v>
      </c>
      <c r="H61" s="184" t="s">
        <v>3913</v>
      </c>
      <c r="I61" s="184" t="s">
        <v>3914</v>
      </c>
      <c r="J61" s="184" t="s">
        <v>3915</v>
      </c>
      <c r="K61" s="184" t="s">
        <v>3916</v>
      </c>
      <c r="L61" s="184" t="s">
        <v>3799</v>
      </c>
      <c r="M61" s="184" t="s">
        <v>3917</v>
      </c>
      <c r="N61" s="184" t="s">
        <v>3838</v>
      </c>
      <c r="O61" s="184">
        <v>20</v>
      </c>
      <c r="P61" s="184" t="s">
        <v>259</v>
      </c>
      <c r="Q61" s="184" t="s">
        <v>455</v>
      </c>
      <c r="R61" s="184" t="s">
        <v>3918</v>
      </c>
      <c r="S61" s="184" t="s">
        <v>457</v>
      </c>
      <c r="T61" s="184" t="s">
        <v>3919</v>
      </c>
      <c r="U61" s="184" t="s">
        <v>893</v>
      </c>
      <c r="V61" s="184" t="s">
        <v>3920</v>
      </c>
      <c r="W61" s="184" t="s">
        <v>3921</v>
      </c>
      <c r="X61" s="184" t="s">
        <v>3922</v>
      </c>
      <c r="Y61" s="185" t="s">
        <v>3806</v>
      </c>
      <c r="Z61" s="185">
        <v>4</v>
      </c>
      <c r="AA61" s="185" t="s">
        <v>3807</v>
      </c>
      <c r="AB61" s="185" t="s">
        <v>3808</v>
      </c>
      <c r="AC61" s="185" t="s">
        <v>568</v>
      </c>
      <c r="AD61" s="185" t="s">
        <v>3808</v>
      </c>
      <c r="AE61" s="185" t="s">
        <v>568</v>
      </c>
      <c r="AF61" s="185" t="s">
        <v>464</v>
      </c>
      <c r="AG61" s="185" t="s">
        <v>3809</v>
      </c>
      <c r="AH61" s="185">
        <v>4</v>
      </c>
      <c r="AI61" s="185" t="s">
        <v>498</v>
      </c>
      <c r="AJ61" s="185" t="s">
        <v>179</v>
      </c>
      <c r="AK61" s="185" t="s">
        <v>919</v>
      </c>
      <c r="AL61" s="185" t="s">
        <v>179</v>
      </c>
      <c r="AM61" s="185" t="s">
        <v>408</v>
      </c>
      <c r="AN61" s="185" t="s">
        <v>384</v>
      </c>
      <c r="AO61" s="185" t="s">
        <v>3810</v>
      </c>
      <c r="AP61" s="185">
        <v>4</v>
      </c>
      <c r="AQ61" s="185" t="s">
        <v>184</v>
      </c>
      <c r="AR61" s="185" t="s">
        <v>186</v>
      </c>
      <c r="AS61" s="185" t="s">
        <v>185</v>
      </c>
      <c r="AT61" s="185" t="s">
        <v>184</v>
      </c>
      <c r="AU61" s="185" t="s">
        <v>186</v>
      </c>
      <c r="AV61" s="185" t="s">
        <v>185</v>
      </c>
      <c r="AW61" s="185" t="s">
        <v>57</v>
      </c>
      <c r="AX61" s="185">
        <v>3</v>
      </c>
      <c r="AY61" s="185" t="s">
        <v>410</v>
      </c>
      <c r="AZ61" s="185" t="s">
        <v>786</v>
      </c>
      <c r="BA61" s="185" t="s">
        <v>503</v>
      </c>
      <c r="BB61" s="185" t="s">
        <v>786</v>
      </c>
      <c r="BC61" s="185" t="s">
        <v>653</v>
      </c>
      <c r="BD61" s="185" t="s">
        <v>503</v>
      </c>
      <c r="BE61" s="185" t="s">
        <v>3792</v>
      </c>
      <c r="BF61" s="185">
        <v>3</v>
      </c>
      <c r="BG61" s="185" t="s">
        <v>3811</v>
      </c>
      <c r="BH61" s="185" t="s">
        <v>3812</v>
      </c>
      <c r="BI61" s="185" t="s">
        <v>3813</v>
      </c>
      <c r="BJ61" s="185" t="s">
        <v>3814</v>
      </c>
      <c r="BK61" s="185" t="s">
        <v>505</v>
      </c>
      <c r="BL61" s="185" t="s">
        <v>567</v>
      </c>
      <c r="BM61" s="185" t="s">
        <v>3815</v>
      </c>
      <c r="BN61" s="185">
        <v>2</v>
      </c>
      <c r="BO61" s="185" t="s">
        <v>3299</v>
      </c>
      <c r="BP61" s="185" t="s">
        <v>199</v>
      </c>
      <c r="BQ61" s="185" t="s">
        <v>3300</v>
      </c>
      <c r="BR61" s="185" t="s">
        <v>199</v>
      </c>
      <c r="BS61" s="185" t="s">
        <v>202</v>
      </c>
      <c r="BT61" s="185" t="s">
        <v>3816</v>
      </c>
    </row>
    <row r="62" spans="1:72" s="184" customFormat="1" ht="54.95" customHeight="1" x14ac:dyDescent="0.25">
      <c r="A62" s="155">
        <v>10</v>
      </c>
      <c r="B62" s="184" t="s">
        <v>472</v>
      </c>
      <c r="C62" s="184" t="s">
        <v>247</v>
      </c>
      <c r="D62" s="184" t="s">
        <v>999</v>
      </c>
      <c r="E62" s="184" t="s">
        <v>3923</v>
      </c>
      <c r="F62" s="184" t="s">
        <v>3924</v>
      </c>
      <c r="G62" s="184" t="s">
        <v>3925</v>
      </c>
      <c r="H62" s="184" t="s">
        <v>3926</v>
      </c>
      <c r="I62" s="184" t="s">
        <v>3927</v>
      </c>
      <c r="J62" s="184" t="s">
        <v>3928</v>
      </c>
      <c r="K62" s="184" t="s">
        <v>3929</v>
      </c>
      <c r="L62" s="184" t="s">
        <v>3799</v>
      </c>
      <c r="M62" s="184" t="s">
        <v>3930</v>
      </c>
      <c r="N62" s="184" t="s">
        <v>3931</v>
      </c>
      <c r="O62" s="184">
        <v>20</v>
      </c>
      <c r="P62" s="184" t="s">
        <v>484</v>
      </c>
      <c r="Q62" s="184" t="s">
        <v>472</v>
      </c>
      <c r="R62" s="184" t="s">
        <v>3932</v>
      </c>
      <c r="S62" s="184" t="s">
        <v>487</v>
      </c>
      <c r="T62" s="184" t="s">
        <v>488</v>
      </c>
      <c r="U62" s="184" t="s">
        <v>3933</v>
      </c>
      <c r="V62" s="184" t="s">
        <v>3934</v>
      </c>
      <c r="W62" s="184" t="s">
        <v>3935</v>
      </c>
      <c r="X62" s="184" t="s">
        <v>3936</v>
      </c>
      <c r="Y62" s="185" t="s">
        <v>3806</v>
      </c>
      <c r="Z62" s="185">
        <v>4</v>
      </c>
      <c r="AA62" s="185" t="s">
        <v>3807</v>
      </c>
      <c r="AB62" s="185" t="s">
        <v>3808</v>
      </c>
      <c r="AC62" s="185" t="s">
        <v>568</v>
      </c>
      <c r="AD62" s="185" t="s">
        <v>3808</v>
      </c>
      <c r="AE62" s="185" t="s">
        <v>568</v>
      </c>
      <c r="AF62" s="185" t="s">
        <v>464</v>
      </c>
      <c r="AG62" s="185" t="s">
        <v>3809</v>
      </c>
      <c r="AH62" s="185">
        <v>4</v>
      </c>
      <c r="AI62" s="185" t="s">
        <v>498</v>
      </c>
      <c r="AJ62" s="185" t="s">
        <v>179</v>
      </c>
      <c r="AK62" s="185" t="s">
        <v>919</v>
      </c>
      <c r="AL62" s="185" t="s">
        <v>179</v>
      </c>
      <c r="AM62" s="185" t="s">
        <v>408</v>
      </c>
      <c r="AN62" s="185" t="s">
        <v>384</v>
      </c>
      <c r="AO62" s="185" t="s">
        <v>3810</v>
      </c>
      <c r="AP62" s="185">
        <v>4</v>
      </c>
      <c r="AQ62" s="185" t="s">
        <v>184</v>
      </c>
      <c r="AR62" s="185" t="s">
        <v>186</v>
      </c>
      <c r="AS62" s="185" t="s">
        <v>185</v>
      </c>
      <c r="AT62" s="185" t="s">
        <v>184</v>
      </c>
      <c r="AU62" s="185" t="s">
        <v>186</v>
      </c>
      <c r="AV62" s="185" t="s">
        <v>185</v>
      </c>
      <c r="AW62" s="185" t="s">
        <v>57</v>
      </c>
      <c r="AX62" s="185">
        <v>3</v>
      </c>
      <c r="AY62" s="185" t="s">
        <v>410</v>
      </c>
      <c r="AZ62" s="185" t="s">
        <v>786</v>
      </c>
      <c r="BA62" s="185" t="s">
        <v>503</v>
      </c>
      <c r="BB62" s="185" t="s">
        <v>786</v>
      </c>
      <c r="BC62" s="185" t="s">
        <v>653</v>
      </c>
      <c r="BD62" s="185" t="s">
        <v>503</v>
      </c>
      <c r="BE62" s="185" t="s">
        <v>3792</v>
      </c>
      <c r="BF62" s="185">
        <v>3</v>
      </c>
      <c r="BG62" s="185" t="s">
        <v>3811</v>
      </c>
      <c r="BH62" s="185" t="s">
        <v>3812</v>
      </c>
      <c r="BI62" s="185" t="s">
        <v>3813</v>
      </c>
      <c r="BJ62" s="185" t="s">
        <v>3814</v>
      </c>
      <c r="BK62" s="185" t="s">
        <v>505</v>
      </c>
      <c r="BL62" s="185" t="s">
        <v>567</v>
      </c>
      <c r="BM62" s="185" t="s">
        <v>3815</v>
      </c>
      <c r="BN62" s="185">
        <v>2</v>
      </c>
      <c r="BO62" s="185" t="s">
        <v>3299</v>
      </c>
      <c r="BP62" s="185" t="s">
        <v>199</v>
      </c>
      <c r="BQ62" s="185" t="s">
        <v>3300</v>
      </c>
      <c r="BR62" s="185" t="s">
        <v>199</v>
      </c>
      <c r="BS62" s="185" t="s">
        <v>202</v>
      </c>
      <c r="BT62" s="185" t="s">
        <v>3816</v>
      </c>
    </row>
    <row r="63" spans="1:72" s="184" customFormat="1" ht="54.95" customHeight="1" x14ac:dyDescent="0.25">
      <c r="A63" s="155">
        <v>11</v>
      </c>
      <c r="B63" s="184" t="s">
        <v>506</v>
      </c>
      <c r="C63" s="184" t="s">
        <v>247</v>
      </c>
      <c r="D63" s="184" t="s">
        <v>507</v>
      </c>
      <c r="E63" s="184" t="s">
        <v>3937</v>
      </c>
      <c r="F63" s="184" t="s">
        <v>3938</v>
      </c>
      <c r="G63" s="184" t="s">
        <v>3939</v>
      </c>
      <c r="H63" s="184" t="s">
        <v>3940</v>
      </c>
      <c r="I63" s="184" t="s">
        <v>3941</v>
      </c>
      <c r="J63" s="184" t="s">
        <v>3942</v>
      </c>
      <c r="K63" s="184" t="s">
        <v>3943</v>
      </c>
      <c r="L63" s="184" t="s">
        <v>3799</v>
      </c>
      <c r="M63" s="184" t="s">
        <v>3944</v>
      </c>
      <c r="N63" s="184" t="s">
        <v>3945</v>
      </c>
      <c r="O63" s="184">
        <v>20</v>
      </c>
      <c r="P63" s="184" t="s">
        <v>164</v>
      </c>
      <c r="Q63" s="184" t="s">
        <v>3946</v>
      </c>
      <c r="R63" s="184" t="s">
        <v>3947</v>
      </c>
      <c r="S63" s="184" t="s">
        <v>519</v>
      </c>
      <c r="T63" s="184" t="s">
        <v>2385</v>
      </c>
      <c r="U63" s="184" t="s">
        <v>521</v>
      </c>
      <c r="V63" s="184" t="s">
        <v>3948</v>
      </c>
      <c r="W63" s="184" t="s">
        <v>3949</v>
      </c>
      <c r="X63" s="184" t="s">
        <v>1093</v>
      </c>
      <c r="Y63" s="185" t="s">
        <v>3806</v>
      </c>
      <c r="Z63" s="185">
        <v>4</v>
      </c>
      <c r="AA63" s="185" t="s">
        <v>3807</v>
      </c>
      <c r="AB63" s="185" t="s">
        <v>3808</v>
      </c>
      <c r="AC63" s="185" t="s">
        <v>568</v>
      </c>
      <c r="AD63" s="185" t="s">
        <v>3808</v>
      </c>
      <c r="AE63" s="185" t="s">
        <v>568</v>
      </c>
      <c r="AF63" s="185" t="s">
        <v>464</v>
      </c>
      <c r="AG63" s="185" t="s">
        <v>3809</v>
      </c>
      <c r="AH63" s="185">
        <v>4</v>
      </c>
      <c r="AI63" s="185" t="s">
        <v>498</v>
      </c>
      <c r="AJ63" s="185" t="s">
        <v>179</v>
      </c>
      <c r="AK63" s="185" t="s">
        <v>919</v>
      </c>
      <c r="AL63" s="185" t="s">
        <v>179</v>
      </c>
      <c r="AM63" s="185" t="s">
        <v>408</v>
      </c>
      <c r="AN63" s="185" t="s">
        <v>384</v>
      </c>
      <c r="AO63" s="185" t="s">
        <v>3810</v>
      </c>
      <c r="AP63" s="185">
        <v>4</v>
      </c>
      <c r="AQ63" s="185" t="s">
        <v>184</v>
      </c>
      <c r="AR63" s="185" t="s">
        <v>186</v>
      </c>
      <c r="AS63" s="185" t="s">
        <v>185</v>
      </c>
      <c r="AT63" s="185" t="s">
        <v>184</v>
      </c>
      <c r="AU63" s="185" t="s">
        <v>186</v>
      </c>
      <c r="AV63" s="185" t="s">
        <v>185</v>
      </c>
      <c r="AW63" s="185" t="s">
        <v>57</v>
      </c>
      <c r="AX63" s="185">
        <v>3</v>
      </c>
      <c r="AY63" s="185" t="s">
        <v>410</v>
      </c>
      <c r="AZ63" s="185" t="s">
        <v>786</v>
      </c>
      <c r="BA63" s="185" t="s">
        <v>503</v>
      </c>
      <c r="BB63" s="185" t="s">
        <v>786</v>
      </c>
      <c r="BC63" s="185" t="s">
        <v>653</v>
      </c>
      <c r="BD63" s="185" t="s">
        <v>503</v>
      </c>
      <c r="BE63" s="185" t="s">
        <v>3792</v>
      </c>
      <c r="BF63" s="185">
        <v>3</v>
      </c>
      <c r="BG63" s="185" t="s">
        <v>3811</v>
      </c>
      <c r="BH63" s="185" t="s">
        <v>3812</v>
      </c>
      <c r="BI63" s="185" t="s">
        <v>3813</v>
      </c>
      <c r="BJ63" s="185" t="s">
        <v>3814</v>
      </c>
      <c r="BK63" s="185" t="s">
        <v>505</v>
      </c>
      <c r="BL63" s="185" t="s">
        <v>567</v>
      </c>
      <c r="BM63" s="185" t="s">
        <v>3815</v>
      </c>
      <c r="BN63" s="185">
        <v>2</v>
      </c>
      <c r="BO63" s="185" t="s">
        <v>3299</v>
      </c>
      <c r="BP63" s="185" t="s">
        <v>199</v>
      </c>
      <c r="BQ63" s="185" t="s">
        <v>3300</v>
      </c>
      <c r="BR63" s="185" t="s">
        <v>199</v>
      </c>
      <c r="BS63" s="185" t="s">
        <v>202</v>
      </c>
      <c r="BT63" s="185" t="s">
        <v>3816</v>
      </c>
    </row>
    <row r="64" spans="1:72" s="184" customFormat="1" ht="54.95" customHeight="1" x14ac:dyDescent="0.25">
      <c r="A64" s="155">
        <v>12</v>
      </c>
      <c r="B64" s="184" t="s">
        <v>798</v>
      </c>
      <c r="C64" s="184" t="s">
        <v>325</v>
      </c>
      <c r="D64" s="184" t="s">
        <v>535</v>
      </c>
      <c r="E64" s="184" t="s">
        <v>3950</v>
      </c>
      <c r="F64" s="184" t="s">
        <v>3951</v>
      </c>
      <c r="G64" s="184" t="s">
        <v>3952</v>
      </c>
      <c r="H64" s="184" t="s">
        <v>3953</v>
      </c>
      <c r="I64" s="184" t="s">
        <v>3954</v>
      </c>
      <c r="J64" s="184" t="s">
        <v>3955</v>
      </c>
      <c r="K64" s="184" t="s">
        <v>3956</v>
      </c>
      <c r="L64" s="184" t="s">
        <v>3799</v>
      </c>
      <c r="M64" s="184" t="s">
        <v>3957</v>
      </c>
      <c r="N64" s="184" t="s">
        <v>3958</v>
      </c>
      <c r="O64" s="184">
        <v>20</v>
      </c>
      <c r="P64" s="184" t="s">
        <v>484</v>
      </c>
      <c r="Q64" s="184" t="s">
        <v>534</v>
      </c>
      <c r="R64" s="184" t="s">
        <v>3959</v>
      </c>
      <c r="S64" s="184" t="s">
        <v>548</v>
      </c>
      <c r="T64" s="184" t="s">
        <v>3960</v>
      </c>
      <c r="U64" s="184" t="s">
        <v>550</v>
      </c>
      <c r="V64" s="184" t="s">
        <v>3961</v>
      </c>
      <c r="W64" s="184" t="s">
        <v>3962</v>
      </c>
      <c r="X64" s="184" t="s">
        <v>3963</v>
      </c>
      <c r="Y64" s="185" t="s">
        <v>3806</v>
      </c>
      <c r="Z64" s="185">
        <v>4</v>
      </c>
      <c r="AA64" s="185" t="s">
        <v>3807</v>
      </c>
      <c r="AB64" s="185" t="s">
        <v>3808</v>
      </c>
      <c r="AC64" s="185" t="s">
        <v>568</v>
      </c>
      <c r="AD64" s="185" t="s">
        <v>3808</v>
      </c>
      <c r="AE64" s="185" t="s">
        <v>568</v>
      </c>
      <c r="AF64" s="185" t="s">
        <v>464</v>
      </c>
      <c r="AG64" s="185" t="s">
        <v>3809</v>
      </c>
      <c r="AH64" s="185">
        <v>4</v>
      </c>
      <c r="AI64" s="185" t="s">
        <v>498</v>
      </c>
      <c r="AJ64" s="185" t="s">
        <v>179</v>
      </c>
      <c r="AK64" s="185" t="s">
        <v>919</v>
      </c>
      <c r="AL64" s="185" t="s">
        <v>179</v>
      </c>
      <c r="AM64" s="185" t="s">
        <v>408</v>
      </c>
      <c r="AN64" s="185" t="s">
        <v>384</v>
      </c>
      <c r="AO64" s="185" t="s">
        <v>3810</v>
      </c>
      <c r="AP64" s="185">
        <v>4</v>
      </c>
      <c r="AQ64" s="185" t="s">
        <v>184</v>
      </c>
      <c r="AR64" s="185" t="s">
        <v>186</v>
      </c>
      <c r="AS64" s="185" t="s">
        <v>185</v>
      </c>
      <c r="AT64" s="185" t="s">
        <v>184</v>
      </c>
      <c r="AU64" s="185" t="s">
        <v>186</v>
      </c>
      <c r="AV64" s="185" t="s">
        <v>185</v>
      </c>
      <c r="AW64" s="185" t="s">
        <v>57</v>
      </c>
      <c r="AX64" s="185">
        <v>3</v>
      </c>
      <c r="AY64" s="185" t="s">
        <v>410</v>
      </c>
      <c r="AZ64" s="185" t="s">
        <v>786</v>
      </c>
      <c r="BA64" s="185" t="s">
        <v>503</v>
      </c>
      <c r="BB64" s="185" t="s">
        <v>786</v>
      </c>
      <c r="BC64" s="185" t="s">
        <v>653</v>
      </c>
      <c r="BD64" s="185" t="s">
        <v>503</v>
      </c>
      <c r="BE64" s="185" t="s">
        <v>3792</v>
      </c>
      <c r="BF64" s="185">
        <v>3</v>
      </c>
      <c r="BG64" s="185" t="s">
        <v>3811</v>
      </c>
      <c r="BH64" s="185" t="s">
        <v>3812</v>
      </c>
      <c r="BI64" s="185" t="s">
        <v>3813</v>
      </c>
      <c r="BJ64" s="185" t="s">
        <v>3814</v>
      </c>
      <c r="BK64" s="185" t="s">
        <v>505</v>
      </c>
      <c r="BL64" s="185" t="s">
        <v>567</v>
      </c>
      <c r="BM64" s="185" t="s">
        <v>3815</v>
      </c>
      <c r="BN64" s="185">
        <v>2</v>
      </c>
      <c r="BO64" s="185" t="s">
        <v>3299</v>
      </c>
      <c r="BP64" s="185" t="s">
        <v>199</v>
      </c>
      <c r="BQ64" s="185" t="s">
        <v>3300</v>
      </c>
      <c r="BR64" s="185" t="s">
        <v>199</v>
      </c>
      <c r="BS64" s="185" t="s">
        <v>202</v>
      </c>
      <c r="BT64" s="185" t="s">
        <v>3816</v>
      </c>
    </row>
    <row r="65" spans="1:72" s="184" customFormat="1" ht="54.95" customHeight="1" x14ac:dyDescent="0.25">
      <c r="A65" s="155">
        <v>13</v>
      </c>
      <c r="B65" s="184" t="s">
        <v>385</v>
      </c>
      <c r="C65" s="184" t="s">
        <v>570</v>
      </c>
      <c r="D65" s="184" t="s">
        <v>571</v>
      </c>
      <c r="E65" s="184" t="s">
        <v>3964</v>
      </c>
      <c r="F65" s="184" t="s">
        <v>3965</v>
      </c>
      <c r="G65" s="184" t="s">
        <v>574</v>
      </c>
      <c r="H65" s="184" t="s">
        <v>3966</v>
      </c>
      <c r="I65" s="184" t="s">
        <v>3967</v>
      </c>
      <c r="J65" s="184" t="s">
        <v>3968</v>
      </c>
      <c r="K65" s="184" t="s">
        <v>1431</v>
      </c>
      <c r="L65" s="184" t="s">
        <v>3799</v>
      </c>
      <c r="M65" s="184" t="s">
        <v>3969</v>
      </c>
      <c r="N65" s="184" t="s">
        <v>3825</v>
      </c>
      <c r="O65" s="184">
        <v>20</v>
      </c>
      <c r="P65" s="184" t="s">
        <v>164</v>
      </c>
      <c r="Q65" s="184" t="s">
        <v>2878</v>
      </c>
      <c r="R65" s="184" t="s">
        <v>3970</v>
      </c>
      <c r="S65" s="184" t="s">
        <v>3971</v>
      </c>
      <c r="T65" s="184" t="s">
        <v>584</v>
      </c>
      <c r="U65" s="184" t="s">
        <v>3972</v>
      </c>
      <c r="V65" s="184" t="s">
        <v>3973</v>
      </c>
      <c r="W65" s="184" t="s">
        <v>3974</v>
      </c>
      <c r="X65" s="184" t="s">
        <v>3975</v>
      </c>
      <c r="Y65" s="185" t="s">
        <v>3806</v>
      </c>
      <c r="Z65" s="185">
        <v>4</v>
      </c>
      <c r="AA65" s="185" t="s">
        <v>3807</v>
      </c>
      <c r="AB65" s="185" t="s">
        <v>3808</v>
      </c>
      <c r="AC65" s="185" t="s">
        <v>568</v>
      </c>
      <c r="AD65" s="185" t="s">
        <v>3808</v>
      </c>
      <c r="AE65" s="185" t="s">
        <v>568</v>
      </c>
      <c r="AF65" s="185" t="s">
        <v>464</v>
      </c>
      <c r="AG65" s="185" t="s">
        <v>3809</v>
      </c>
      <c r="AH65" s="185">
        <v>4</v>
      </c>
      <c r="AI65" s="185" t="s">
        <v>498</v>
      </c>
      <c r="AJ65" s="185" t="s">
        <v>179</v>
      </c>
      <c r="AK65" s="185" t="s">
        <v>919</v>
      </c>
      <c r="AL65" s="185" t="s">
        <v>179</v>
      </c>
      <c r="AM65" s="185" t="s">
        <v>408</v>
      </c>
      <c r="AN65" s="185" t="s">
        <v>384</v>
      </c>
      <c r="AO65" s="185" t="s">
        <v>3810</v>
      </c>
      <c r="AP65" s="185">
        <v>4</v>
      </c>
      <c r="AQ65" s="185" t="s">
        <v>184</v>
      </c>
      <c r="AR65" s="185" t="s">
        <v>186</v>
      </c>
      <c r="AS65" s="185" t="s">
        <v>185</v>
      </c>
      <c r="AT65" s="185" t="s">
        <v>184</v>
      </c>
      <c r="AU65" s="185" t="s">
        <v>186</v>
      </c>
      <c r="AV65" s="185" t="s">
        <v>185</v>
      </c>
      <c r="AW65" s="185" t="s">
        <v>57</v>
      </c>
      <c r="AX65" s="185">
        <v>3</v>
      </c>
      <c r="AY65" s="185" t="s">
        <v>410</v>
      </c>
      <c r="AZ65" s="185" t="s">
        <v>786</v>
      </c>
      <c r="BA65" s="185" t="s">
        <v>503</v>
      </c>
      <c r="BB65" s="185" t="s">
        <v>786</v>
      </c>
      <c r="BC65" s="185" t="s">
        <v>653</v>
      </c>
      <c r="BD65" s="185" t="s">
        <v>503</v>
      </c>
      <c r="BE65" s="185" t="s">
        <v>3792</v>
      </c>
      <c r="BF65" s="185">
        <v>3</v>
      </c>
      <c r="BG65" s="185" t="s">
        <v>3811</v>
      </c>
      <c r="BH65" s="185" t="s">
        <v>3812</v>
      </c>
      <c r="BI65" s="185" t="s">
        <v>3813</v>
      </c>
      <c r="BJ65" s="185" t="s">
        <v>3814</v>
      </c>
      <c r="BK65" s="185" t="s">
        <v>505</v>
      </c>
      <c r="BL65" s="185" t="s">
        <v>567</v>
      </c>
      <c r="BM65" s="185" t="s">
        <v>3815</v>
      </c>
      <c r="BN65" s="185">
        <v>2</v>
      </c>
      <c r="BO65" s="185" t="s">
        <v>3299</v>
      </c>
      <c r="BP65" s="185" t="s">
        <v>199</v>
      </c>
      <c r="BQ65" s="185" t="s">
        <v>3300</v>
      </c>
      <c r="BR65" s="185" t="s">
        <v>199</v>
      </c>
      <c r="BS65" s="185" t="s">
        <v>202</v>
      </c>
      <c r="BT65" s="185" t="s">
        <v>3816</v>
      </c>
    </row>
    <row r="66" spans="1:72" s="184" customFormat="1" ht="54.95" customHeight="1" x14ac:dyDescent="0.25">
      <c r="A66" s="155">
        <v>14</v>
      </c>
      <c r="B66" s="184" t="s">
        <v>959</v>
      </c>
      <c r="C66" s="184" t="s">
        <v>154</v>
      </c>
      <c r="D66" s="184" t="s">
        <v>601</v>
      </c>
      <c r="E66" s="184" t="s">
        <v>3976</v>
      </c>
      <c r="F66" s="184" t="s">
        <v>3977</v>
      </c>
      <c r="G66" s="184" t="s">
        <v>3978</v>
      </c>
      <c r="H66" s="184" t="s">
        <v>3979</v>
      </c>
      <c r="I66" s="184" t="s">
        <v>3980</v>
      </c>
      <c r="J66" s="184" t="s">
        <v>3981</v>
      </c>
      <c r="K66" s="184" t="s">
        <v>3982</v>
      </c>
      <c r="L66" s="184" t="s">
        <v>3799</v>
      </c>
      <c r="M66" s="184" t="s">
        <v>3983</v>
      </c>
      <c r="N66" s="184" t="s">
        <v>3825</v>
      </c>
      <c r="O66" s="184">
        <v>20</v>
      </c>
      <c r="P66" s="184" t="s">
        <v>164</v>
      </c>
      <c r="Q66" s="184" t="s">
        <v>2898</v>
      </c>
      <c r="R66" s="184" t="s">
        <v>3984</v>
      </c>
      <c r="S66" s="184" t="s">
        <v>1241</v>
      </c>
      <c r="T66" s="184" t="s">
        <v>614</v>
      </c>
      <c r="U66" s="184" t="s">
        <v>615</v>
      </c>
      <c r="V66" s="184" t="s">
        <v>3985</v>
      </c>
      <c r="W66" s="184" t="s">
        <v>3986</v>
      </c>
      <c r="X66" s="184" t="s">
        <v>3987</v>
      </c>
      <c r="Y66" s="185" t="s">
        <v>3806</v>
      </c>
      <c r="Z66" s="185">
        <v>4</v>
      </c>
      <c r="AA66" s="185" t="s">
        <v>3807</v>
      </c>
      <c r="AB66" s="185" t="s">
        <v>3808</v>
      </c>
      <c r="AC66" s="185" t="s">
        <v>568</v>
      </c>
      <c r="AD66" s="185" t="s">
        <v>3808</v>
      </c>
      <c r="AE66" s="185" t="s">
        <v>568</v>
      </c>
      <c r="AF66" s="185" t="s">
        <v>464</v>
      </c>
      <c r="AG66" s="185" t="s">
        <v>3809</v>
      </c>
      <c r="AH66" s="185">
        <v>4</v>
      </c>
      <c r="AI66" s="185" t="s">
        <v>498</v>
      </c>
      <c r="AJ66" s="185" t="s">
        <v>179</v>
      </c>
      <c r="AK66" s="185" t="s">
        <v>919</v>
      </c>
      <c r="AL66" s="185" t="s">
        <v>179</v>
      </c>
      <c r="AM66" s="185" t="s">
        <v>408</v>
      </c>
      <c r="AN66" s="185" t="s">
        <v>384</v>
      </c>
      <c r="AO66" s="185" t="s">
        <v>3810</v>
      </c>
      <c r="AP66" s="185">
        <v>4</v>
      </c>
      <c r="AQ66" s="185" t="s">
        <v>184</v>
      </c>
      <c r="AR66" s="185" t="s">
        <v>186</v>
      </c>
      <c r="AS66" s="185" t="s">
        <v>185</v>
      </c>
      <c r="AT66" s="185" t="s">
        <v>184</v>
      </c>
      <c r="AU66" s="185" t="s">
        <v>186</v>
      </c>
      <c r="AV66" s="185" t="s">
        <v>185</v>
      </c>
      <c r="AW66" s="185" t="s">
        <v>57</v>
      </c>
      <c r="AX66" s="185">
        <v>3</v>
      </c>
      <c r="AY66" s="185" t="s">
        <v>410</v>
      </c>
      <c r="AZ66" s="185" t="s">
        <v>786</v>
      </c>
      <c r="BA66" s="185" t="s">
        <v>503</v>
      </c>
      <c r="BB66" s="185" t="s">
        <v>786</v>
      </c>
      <c r="BC66" s="185" t="s">
        <v>653</v>
      </c>
      <c r="BD66" s="185" t="s">
        <v>503</v>
      </c>
      <c r="BE66" s="185" t="s">
        <v>3792</v>
      </c>
      <c r="BF66" s="185">
        <v>3</v>
      </c>
      <c r="BG66" s="185" t="s">
        <v>3811</v>
      </c>
      <c r="BH66" s="185" t="s">
        <v>3812</v>
      </c>
      <c r="BI66" s="185" t="s">
        <v>3813</v>
      </c>
      <c r="BJ66" s="185" t="s">
        <v>3814</v>
      </c>
      <c r="BK66" s="185" t="s">
        <v>505</v>
      </c>
      <c r="BL66" s="185" t="s">
        <v>567</v>
      </c>
      <c r="BM66" s="185" t="s">
        <v>3815</v>
      </c>
      <c r="BN66" s="185">
        <v>2</v>
      </c>
      <c r="BO66" s="185" t="s">
        <v>3299</v>
      </c>
      <c r="BP66" s="185" t="s">
        <v>199</v>
      </c>
      <c r="BQ66" s="185" t="s">
        <v>3300</v>
      </c>
      <c r="BR66" s="185" t="s">
        <v>199</v>
      </c>
      <c r="BS66" s="185" t="s">
        <v>202</v>
      </c>
      <c r="BT66" s="185" t="s">
        <v>3816</v>
      </c>
    </row>
    <row r="67" spans="1:72" s="184" customFormat="1" ht="54.95" customHeight="1" x14ac:dyDescent="0.25">
      <c r="A67" s="155">
        <v>15</v>
      </c>
      <c r="B67" s="184" t="s">
        <v>3988</v>
      </c>
      <c r="C67" s="184" t="s">
        <v>247</v>
      </c>
      <c r="D67" s="184" t="s">
        <v>628</v>
      </c>
      <c r="E67" s="184" t="s">
        <v>3989</v>
      </c>
      <c r="F67" s="184" t="s">
        <v>3990</v>
      </c>
      <c r="G67" s="184" t="s">
        <v>631</v>
      </c>
      <c r="H67" s="184" t="s">
        <v>3991</v>
      </c>
      <c r="I67" s="184" t="s">
        <v>3992</v>
      </c>
      <c r="J67" s="184" t="s">
        <v>3993</v>
      </c>
      <c r="K67" s="184" t="s">
        <v>3994</v>
      </c>
      <c r="L67" s="184" t="s">
        <v>3799</v>
      </c>
      <c r="M67" s="184" t="s">
        <v>3995</v>
      </c>
      <c r="N67" s="184" t="s">
        <v>3852</v>
      </c>
      <c r="O67" s="184">
        <v>20</v>
      </c>
      <c r="P67" s="184" t="s">
        <v>484</v>
      </c>
      <c r="Q67" s="184" t="s">
        <v>3996</v>
      </c>
      <c r="R67" s="184" t="s">
        <v>639</v>
      </c>
      <c r="S67" s="184" t="s">
        <v>640</v>
      </c>
      <c r="T67" s="184" t="s">
        <v>3997</v>
      </c>
      <c r="U67" s="184" t="s">
        <v>3998</v>
      </c>
      <c r="V67" s="184" t="s">
        <v>3999</v>
      </c>
      <c r="W67" s="184" t="s">
        <v>4000</v>
      </c>
      <c r="X67" s="184" t="s">
        <v>4001</v>
      </c>
      <c r="Y67" s="185" t="s">
        <v>3806</v>
      </c>
      <c r="Z67" s="185">
        <v>4</v>
      </c>
      <c r="AA67" s="185" t="s">
        <v>3807</v>
      </c>
      <c r="AB67" s="185" t="s">
        <v>3808</v>
      </c>
      <c r="AC67" s="185" t="s">
        <v>568</v>
      </c>
      <c r="AD67" s="185" t="s">
        <v>3808</v>
      </c>
      <c r="AE67" s="185" t="s">
        <v>568</v>
      </c>
      <c r="AF67" s="185" t="s">
        <v>464</v>
      </c>
      <c r="AG67" s="185" t="s">
        <v>3809</v>
      </c>
      <c r="AH67" s="185">
        <v>4</v>
      </c>
      <c r="AI67" s="185" t="s">
        <v>498</v>
      </c>
      <c r="AJ67" s="185" t="s">
        <v>179</v>
      </c>
      <c r="AK67" s="185" t="s">
        <v>919</v>
      </c>
      <c r="AL67" s="185" t="s">
        <v>179</v>
      </c>
      <c r="AM67" s="185" t="s">
        <v>408</v>
      </c>
      <c r="AN67" s="185" t="s">
        <v>384</v>
      </c>
      <c r="AO67" s="185" t="s">
        <v>3810</v>
      </c>
      <c r="AP67" s="185">
        <v>4</v>
      </c>
      <c r="AQ67" s="185" t="s">
        <v>184</v>
      </c>
      <c r="AR67" s="185" t="s">
        <v>186</v>
      </c>
      <c r="AS67" s="185" t="s">
        <v>185</v>
      </c>
      <c r="AT67" s="185" t="s">
        <v>184</v>
      </c>
      <c r="AU67" s="185" t="s">
        <v>186</v>
      </c>
      <c r="AV67" s="185" t="s">
        <v>185</v>
      </c>
      <c r="AW67" s="185" t="s">
        <v>57</v>
      </c>
      <c r="AX67" s="185">
        <v>3</v>
      </c>
      <c r="AY67" s="185" t="s">
        <v>410</v>
      </c>
      <c r="AZ67" s="185" t="s">
        <v>786</v>
      </c>
      <c r="BA67" s="185" t="s">
        <v>503</v>
      </c>
      <c r="BB67" s="185" t="s">
        <v>786</v>
      </c>
      <c r="BC67" s="185" t="s">
        <v>653</v>
      </c>
      <c r="BD67" s="185" t="s">
        <v>503</v>
      </c>
      <c r="BE67" s="185" t="s">
        <v>3792</v>
      </c>
      <c r="BF67" s="185">
        <v>3</v>
      </c>
      <c r="BG67" s="185" t="s">
        <v>3811</v>
      </c>
      <c r="BH67" s="185" t="s">
        <v>3812</v>
      </c>
      <c r="BI67" s="185" t="s">
        <v>3813</v>
      </c>
      <c r="BJ67" s="185" t="s">
        <v>3814</v>
      </c>
      <c r="BK67" s="185" t="s">
        <v>505</v>
      </c>
      <c r="BL67" s="185" t="s">
        <v>567</v>
      </c>
      <c r="BM67" s="185" t="s">
        <v>3815</v>
      </c>
      <c r="BN67" s="185">
        <v>2</v>
      </c>
      <c r="BO67" s="185" t="s">
        <v>3299</v>
      </c>
      <c r="BP67" s="185" t="s">
        <v>199</v>
      </c>
      <c r="BQ67" s="185" t="s">
        <v>3300</v>
      </c>
      <c r="BR67" s="185" t="s">
        <v>199</v>
      </c>
      <c r="BS67" s="185" t="s">
        <v>202</v>
      </c>
      <c r="BT67" s="185" t="s">
        <v>3816</v>
      </c>
    </row>
    <row r="68" spans="1:72" s="184" customFormat="1" ht="54.95" customHeight="1" x14ac:dyDescent="0.25">
      <c r="A68" s="155">
        <v>16</v>
      </c>
      <c r="B68" s="184" t="s">
        <v>246</v>
      </c>
      <c r="C68" s="184" t="s">
        <v>247</v>
      </c>
      <c r="D68" s="184" t="s">
        <v>659</v>
      </c>
      <c r="E68" s="184" t="s">
        <v>4002</v>
      </c>
      <c r="F68" s="184" t="s">
        <v>4003</v>
      </c>
      <c r="G68" s="184" t="s">
        <v>4004</v>
      </c>
      <c r="H68" s="184" t="s">
        <v>4005</v>
      </c>
      <c r="I68" s="184" t="s">
        <v>4006</v>
      </c>
      <c r="J68" s="184" t="s">
        <v>4007</v>
      </c>
      <c r="K68" s="184" t="s">
        <v>4008</v>
      </c>
      <c r="L68" s="184" t="s">
        <v>3799</v>
      </c>
      <c r="M68" s="184" t="s">
        <v>4009</v>
      </c>
      <c r="N68" s="184" t="s">
        <v>3931</v>
      </c>
      <c r="O68" s="184">
        <v>20</v>
      </c>
      <c r="P68" s="184" t="s">
        <v>259</v>
      </c>
      <c r="Q68" s="184" t="s">
        <v>4010</v>
      </c>
      <c r="R68" s="184" t="s">
        <v>670</v>
      </c>
      <c r="S68" s="184" t="s">
        <v>671</v>
      </c>
      <c r="T68" s="184" t="s">
        <v>4011</v>
      </c>
      <c r="U68" s="184" t="s">
        <v>2107</v>
      </c>
      <c r="V68" s="184" t="s">
        <v>4012</v>
      </c>
      <c r="W68" s="184" t="s">
        <v>4013</v>
      </c>
      <c r="X68" s="184" t="s">
        <v>4014</v>
      </c>
      <c r="Y68" s="185" t="s">
        <v>3806</v>
      </c>
      <c r="Z68" s="185">
        <v>4</v>
      </c>
      <c r="AA68" s="185" t="s">
        <v>3807</v>
      </c>
      <c r="AB68" s="185" t="s">
        <v>3808</v>
      </c>
      <c r="AC68" s="185" t="s">
        <v>568</v>
      </c>
      <c r="AD68" s="185" t="s">
        <v>3808</v>
      </c>
      <c r="AE68" s="185" t="s">
        <v>568</v>
      </c>
      <c r="AF68" s="185" t="s">
        <v>464</v>
      </c>
      <c r="AG68" s="185" t="s">
        <v>3809</v>
      </c>
      <c r="AH68" s="185">
        <v>4</v>
      </c>
      <c r="AI68" s="185" t="s">
        <v>498</v>
      </c>
      <c r="AJ68" s="185" t="s">
        <v>179</v>
      </c>
      <c r="AK68" s="185" t="s">
        <v>919</v>
      </c>
      <c r="AL68" s="185" t="s">
        <v>179</v>
      </c>
      <c r="AM68" s="185" t="s">
        <v>408</v>
      </c>
      <c r="AN68" s="185" t="s">
        <v>384</v>
      </c>
      <c r="AO68" s="185" t="s">
        <v>3810</v>
      </c>
      <c r="AP68" s="185">
        <v>4</v>
      </c>
      <c r="AQ68" s="185" t="s">
        <v>184</v>
      </c>
      <c r="AR68" s="185" t="s">
        <v>186</v>
      </c>
      <c r="AS68" s="185" t="s">
        <v>185</v>
      </c>
      <c r="AT68" s="185" t="s">
        <v>184</v>
      </c>
      <c r="AU68" s="185" t="s">
        <v>186</v>
      </c>
      <c r="AV68" s="185" t="s">
        <v>185</v>
      </c>
      <c r="AW68" s="185" t="s">
        <v>57</v>
      </c>
      <c r="AX68" s="185">
        <v>3</v>
      </c>
      <c r="AY68" s="185" t="s">
        <v>410</v>
      </c>
      <c r="AZ68" s="185" t="s">
        <v>786</v>
      </c>
      <c r="BA68" s="185" t="s">
        <v>503</v>
      </c>
      <c r="BB68" s="185" t="s">
        <v>786</v>
      </c>
      <c r="BC68" s="185" t="s">
        <v>653</v>
      </c>
      <c r="BD68" s="185" t="s">
        <v>503</v>
      </c>
      <c r="BE68" s="185" t="s">
        <v>3792</v>
      </c>
      <c r="BF68" s="185">
        <v>3</v>
      </c>
      <c r="BG68" s="185" t="s">
        <v>3811</v>
      </c>
      <c r="BH68" s="185" t="s">
        <v>3812</v>
      </c>
      <c r="BI68" s="185" t="s">
        <v>3813</v>
      </c>
      <c r="BJ68" s="185" t="s">
        <v>3814</v>
      </c>
      <c r="BK68" s="185" t="s">
        <v>505</v>
      </c>
      <c r="BL68" s="185" t="s">
        <v>567</v>
      </c>
      <c r="BM68" s="185" t="s">
        <v>3815</v>
      </c>
      <c r="BN68" s="185">
        <v>2</v>
      </c>
      <c r="BO68" s="185" t="s">
        <v>3299</v>
      </c>
      <c r="BP68" s="185" t="s">
        <v>199</v>
      </c>
      <c r="BQ68" s="185" t="s">
        <v>3300</v>
      </c>
      <c r="BR68" s="185" t="s">
        <v>199</v>
      </c>
      <c r="BS68" s="185" t="s">
        <v>202</v>
      </c>
      <c r="BT68" s="185" t="s">
        <v>3816</v>
      </c>
    </row>
    <row r="69" spans="1:72" s="184" customFormat="1" ht="54.95" customHeight="1" x14ac:dyDescent="0.25">
      <c r="A69" s="155">
        <v>17</v>
      </c>
      <c r="B69" s="184" t="s">
        <v>506</v>
      </c>
      <c r="C69" s="184" t="s">
        <v>247</v>
      </c>
      <c r="D69" s="184" t="s">
        <v>692</v>
      </c>
      <c r="E69" s="184" t="s">
        <v>4015</v>
      </c>
      <c r="F69" s="184" t="s">
        <v>4016</v>
      </c>
      <c r="G69" s="184" t="s">
        <v>4017</v>
      </c>
      <c r="H69" s="184" t="s">
        <v>4018</v>
      </c>
      <c r="I69" s="184" t="s">
        <v>4019</v>
      </c>
      <c r="J69" s="184" t="s">
        <v>4020</v>
      </c>
      <c r="K69" s="184" t="s">
        <v>4021</v>
      </c>
      <c r="L69" s="184" t="s">
        <v>3799</v>
      </c>
      <c r="M69" s="184" t="s">
        <v>4022</v>
      </c>
      <c r="N69" s="184" t="s">
        <v>3945</v>
      </c>
      <c r="O69" s="184">
        <v>20</v>
      </c>
      <c r="P69" s="184" t="s">
        <v>164</v>
      </c>
      <c r="Q69" s="184" t="s">
        <v>4023</v>
      </c>
      <c r="R69" s="184" t="s">
        <v>4024</v>
      </c>
      <c r="S69" s="184" t="s">
        <v>704</v>
      </c>
      <c r="T69" s="184" t="s">
        <v>705</v>
      </c>
      <c r="U69" s="184" t="s">
        <v>521</v>
      </c>
      <c r="V69" s="184" t="s">
        <v>4025</v>
      </c>
      <c r="W69" s="184" t="s">
        <v>4026</v>
      </c>
      <c r="X69" s="184" t="s">
        <v>4027</v>
      </c>
      <c r="Y69" s="185" t="s">
        <v>3806</v>
      </c>
      <c r="Z69" s="185">
        <v>4</v>
      </c>
      <c r="AA69" s="185" t="s">
        <v>3807</v>
      </c>
      <c r="AB69" s="185" t="s">
        <v>3808</v>
      </c>
      <c r="AC69" s="185" t="s">
        <v>568</v>
      </c>
      <c r="AD69" s="185" t="s">
        <v>3808</v>
      </c>
      <c r="AE69" s="185" t="s">
        <v>568</v>
      </c>
      <c r="AF69" s="185" t="s">
        <v>464</v>
      </c>
      <c r="AG69" s="185" t="s">
        <v>3809</v>
      </c>
      <c r="AH69" s="185">
        <v>4</v>
      </c>
      <c r="AI69" s="185" t="s">
        <v>498</v>
      </c>
      <c r="AJ69" s="185" t="s">
        <v>179</v>
      </c>
      <c r="AK69" s="185" t="s">
        <v>919</v>
      </c>
      <c r="AL69" s="185" t="s">
        <v>179</v>
      </c>
      <c r="AM69" s="185" t="s">
        <v>408</v>
      </c>
      <c r="AN69" s="185" t="s">
        <v>384</v>
      </c>
      <c r="AO69" s="185" t="s">
        <v>3810</v>
      </c>
      <c r="AP69" s="185">
        <v>4</v>
      </c>
      <c r="AQ69" s="185" t="s">
        <v>184</v>
      </c>
      <c r="AR69" s="185" t="s">
        <v>186</v>
      </c>
      <c r="AS69" s="185" t="s">
        <v>185</v>
      </c>
      <c r="AT69" s="185" t="s">
        <v>184</v>
      </c>
      <c r="AU69" s="185" t="s">
        <v>186</v>
      </c>
      <c r="AV69" s="185" t="s">
        <v>185</v>
      </c>
      <c r="AW69" s="185" t="s">
        <v>57</v>
      </c>
      <c r="AX69" s="185">
        <v>3</v>
      </c>
      <c r="AY69" s="185" t="s">
        <v>410</v>
      </c>
      <c r="AZ69" s="185" t="s">
        <v>786</v>
      </c>
      <c r="BA69" s="185" t="s">
        <v>503</v>
      </c>
      <c r="BB69" s="185" t="s">
        <v>786</v>
      </c>
      <c r="BC69" s="185" t="s">
        <v>653</v>
      </c>
      <c r="BD69" s="185" t="s">
        <v>503</v>
      </c>
      <c r="BE69" s="185" t="s">
        <v>3792</v>
      </c>
      <c r="BF69" s="185">
        <v>3</v>
      </c>
      <c r="BG69" s="185" t="s">
        <v>3811</v>
      </c>
      <c r="BH69" s="185" t="s">
        <v>3812</v>
      </c>
      <c r="BI69" s="185" t="s">
        <v>3813</v>
      </c>
      <c r="BJ69" s="185" t="s">
        <v>3814</v>
      </c>
      <c r="BK69" s="185" t="s">
        <v>505</v>
      </c>
      <c r="BL69" s="185" t="s">
        <v>567</v>
      </c>
      <c r="BM69" s="185" t="s">
        <v>3815</v>
      </c>
      <c r="BN69" s="185">
        <v>2</v>
      </c>
      <c r="BO69" s="185" t="s">
        <v>3299</v>
      </c>
      <c r="BP69" s="185" t="s">
        <v>199</v>
      </c>
      <c r="BQ69" s="185" t="s">
        <v>3300</v>
      </c>
      <c r="BR69" s="185" t="s">
        <v>199</v>
      </c>
      <c r="BS69" s="185" t="s">
        <v>202</v>
      </c>
      <c r="BT69" s="185" t="s">
        <v>3816</v>
      </c>
    </row>
    <row r="70" spans="1:72" s="184" customFormat="1" ht="54.95" customHeight="1" x14ac:dyDescent="0.25">
      <c r="A70" s="155">
        <v>18</v>
      </c>
      <c r="B70" s="184" t="s">
        <v>385</v>
      </c>
      <c r="C70" s="184" t="s">
        <v>205</v>
      </c>
      <c r="D70" s="184" t="s">
        <v>4028</v>
      </c>
      <c r="E70" s="184" t="s">
        <v>3351</v>
      </c>
      <c r="F70" s="184" t="s">
        <v>4029</v>
      </c>
      <c r="G70" s="184" t="s">
        <v>3353</v>
      </c>
      <c r="H70" s="184" t="s">
        <v>4030</v>
      </c>
      <c r="I70" s="184" t="s">
        <v>4031</v>
      </c>
      <c r="J70" s="184" t="s">
        <v>4032</v>
      </c>
      <c r="K70" s="184" t="s">
        <v>4033</v>
      </c>
      <c r="L70" s="184" t="s">
        <v>3799</v>
      </c>
      <c r="M70" s="184" t="s">
        <v>4034</v>
      </c>
      <c r="N70" s="184" t="s">
        <v>4035</v>
      </c>
      <c r="O70" s="184">
        <v>20</v>
      </c>
      <c r="P70" s="184" t="s">
        <v>259</v>
      </c>
      <c r="Q70" s="184" t="s">
        <v>4036</v>
      </c>
      <c r="R70" s="184" t="s">
        <v>4037</v>
      </c>
      <c r="S70" s="184" t="s">
        <v>730</v>
      </c>
      <c r="T70" s="184" t="s">
        <v>4038</v>
      </c>
      <c r="U70" s="184" t="s">
        <v>1497</v>
      </c>
      <c r="V70" s="184" t="s">
        <v>4039</v>
      </c>
      <c r="W70" s="184" t="s">
        <v>4040</v>
      </c>
      <c r="X70" s="184" t="s">
        <v>4041</v>
      </c>
      <c r="Y70" s="185" t="s">
        <v>3806</v>
      </c>
      <c r="Z70" s="185">
        <v>4</v>
      </c>
      <c r="AA70" s="185" t="s">
        <v>3807</v>
      </c>
      <c r="AB70" s="185" t="s">
        <v>3808</v>
      </c>
      <c r="AC70" s="185" t="s">
        <v>568</v>
      </c>
      <c r="AD70" s="185" t="s">
        <v>3808</v>
      </c>
      <c r="AE70" s="185" t="s">
        <v>568</v>
      </c>
      <c r="AF70" s="185" t="s">
        <v>464</v>
      </c>
      <c r="AG70" s="185" t="s">
        <v>3809</v>
      </c>
      <c r="AH70" s="185">
        <v>4</v>
      </c>
      <c r="AI70" s="185" t="s">
        <v>498</v>
      </c>
      <c r="AJ70" s="185" t="s">
        <v>179</v>
      </c>
      <c r="AK70" s="185" t="s">
        <v>919</v>
      </c>
      <c r="AL70" s="185" t="s">
        <v>179</v>
      </c>
      <c r="AM70" s="185" t="s">
        <v>408</v>
      </c>
      <c r="AN70" s="185" t="s">
        <v>384</v>
      </c>
      <c r="AO70" s="185" t="s">
        <v>3810</v>
      </c>
      <c r="AP70" s="185">
        <v>4</v>
      </c>
      <c r="AQ70" s="185" t="s">
        <v>184</v>
      </c>
      <c r="AR70" s="185" t="s">
        <v>186</v>
      </c>
      <c r="AS70" s="185" t="s">
        <v>185</v>
      </c>
      <c r="AT70" s="185" t="s">
        <v>184</v>
      </c>
      <c r="AU70" s="185" t="s">
        <v>186</v>
      </c>
      <c r="AV70" s="185" t="s">
        <v>185</v>
      </c>
      <c r="AW70" s="185" t="s">
        <v>57</v>
      </c>
      <c r="AX70" s="185">
        <v>3</v>
      </c>
      <c r="AY70" s="185" t="s">
        <v>410</v>
      </c>
      <c r="AZ70" s="185" t="s">
        <v>786</v>
      </c>
      <c r="BA70" s="185" t="s">
        <v>503</v>
      </c>
      <c r="BB70" s="185" t="s">
        <v>786</v>
      </c>
      <c r="BC70" s="185" t="s">
        <v>653</v>
      </c>
      <c r="BD70" s="185" t="s">
        <v>503</v>
      </c>
      <c r="BE70" s="185" t="s">
        <v>3792</v>
      </c>
      <c r="BF70" s="185">
        <v>3</v>
      </c>
      <c r="BG70" s="185" t="s">
        <v>3811</v>
      </c>
      <c r="BH70" s="185" t="s">
        <v>3812</v>
      </c>
      <c r="BI70" s="185" t="s">
        <v>3813</v>
      </c>
      <c r="BJ70" s="185" t="s">
        <v>3814</v>
      </c>
      <c r="BK70" s="185" t="s">
        <v>505</v>
      </c>
      <c r="BL70" s="185" t="s">
        <v>567</v>
      </c>
      <c r="BM70" s="185" t="s">
        <v>3815</v>
      </c>
      <c r="BN70" s="185">
        <v>2</v>
      </c>
      <c r="BO70" s="185" t="s">
        <v>3299</v>
      </c>
      <c r="BP70" s="185" t="s">
        <v>199</v>
      </c>
      <c r="BQ70" s="185" t="s">
        <v>3300</v>
      </c>
      <c r="BR70" s="185" t="s">
        <v>199</v>
      </c>
      <c r="BS70" s="185" t="s">
        <v>202</v>
      </c>
      <c r="BT70" s="185" t="s">
        <v>3816</v>
      </c>
    </row>
    <row r="71" spans="1:72" s="184" customFormat="1" ht="54.95" customHeight="1" x14ac:dyDescent="0.25">
      <c r="A71" s="155">
        <v>19</v>
      </c>
      <c r="B71" s="184" t="s">
        <v>739</v>
      </c>
      <c r="C71" s="184" t="s">
        <v>325</v>
      </c>
      <c r="D71" s="184" t="s">
        <v>740</v>
      </c>
      <c r="E71" s="184" t="s">
        <v>4042</v>
      </c>
      <c r="F71" s="184" t="s">
        <v>4043</v>
      </c>
      <c r="G71" s="184" t="s">
        <v>4044</v>
      </c>
      <c r="H71" s="184" t="s">
        <v>4045</v>
      </c>
      <c r="I71" s="184" t="s">
        <v>4046</v>
      </c>
      <c r="J71" s="184" t="s">
        <v>4047</v>
      </c>
      <c r="K71" s="184" t="s">
        <v>926</v>
      </c>
      <c r="L71" s="184" t="s">
        <v>3799</v>
      </c>
      <c r="M71" s="184" t="s">
        <v>4048</v>
      </c>
      <c r="N71" s="184" t="s">
        <v>4049</v>
      </c>
      <c r="O71" s="184">
        <v>20</v>
      </c>
      <c r="P71" s="184" t="s">
        <v>164</v>
      </c>
      <c r="Q71" s="184" t="s">
        <v>4050</v>
      </c>
      <c r="R71" s="184" t="s">
        <v>929</v>
      </c>
      <c r="S71" s="184" t="s">
        <v>4051</v>
      </c>
      <c r="T71" s="184" t="s">
        <v>753</v>
      </c>
      <c r="U71" s="184" t="s">
        <v>754</v>
      </c>
      <c r="V71" s="184" t="s">
        <v>4052</v>
      </c>
      <c r="W71" s="184" t="s">
        <v>4053</v>
      </c>
      <c r="X71" s="184" t="s">
        <v>4054</v>
      </c>
      <c r="Y71" s="185" t="s">
        <v>3806</v>
      </c>
      <c r="Z71" s="185">
        <v>4</v>
      </c>
      <c r="AA71" s="185" t="s">
        <v>3807</v>
      </c>
      <c r="AB71" s="185" t="s">
        <v>3808</v>
      </c>
      <c r="AC71" s="185" t="s">
        <v>568</v>
      </c>
      <c r="AD71" s="185" t="s">
        <v>3808</v>
      </c>
      <c r="AE71" s="185" t="s">
        <v>568</v>
      </c>
      <c r="AF71" s="185" t="s">
        <v>464</v>
      </c>
      <c r="AG71" s="185" t="s">
        <v>3809</v>
      </c>
      <c r="AH71" s="185">
        <v>4</v>
      </c>
      <c r="AI71" s="185" t="s">
        <v>498</v>
      </c>
      <c r="AJ71" s="185" t="s">
        <v>179</v>
      </c>
      <c r="AK71" s="185" t="s">
        <v>919</v>
      </c>
      <c r="AL71" s="185" t="s">
        <v>179</v>
      </c>
      <c r="AM71" s="185" t="s">
        <v>408</v>
      </c>
      <c r="AN71" s="185" t="s">
        <v>384</v>
      </c>
      <c r="AO71" s="185" t="s">
        <v>3810</v>
      </c>
      <c r="AP71" s="185">
        <v>4</v>
      </c>
      <c r="AQ71" s="185" t="s">
        <v>184</v>
      </c>
      <c r="AR71" s="185" t="s">
        <v>186</v>
      </c>
      <c r="AS71" s="185" t="s">
        <v>185</v>
      </c>
      <c r="AT71" s="185" t="s">
        <v>184</v>
      </c>
      <c r="AU71" s="185" t="s">
        <v>186</v>
      </c>
      <c r="AV71" s="185" t="s">
        <v>185</v>
      </c>
      <c r="AW71" s="185" t="s">
        <v>57</v>
      </c>
      <c r="AX71" s="185">
        <v>3</v>
      </c>
      <c r="AY71" s="185" t="s">
        <v>410</v>
      </c>
      <c r="AZ71" s="185" t="s">
        <v>786</v>
      </c>
      <c r="BA71" s="185" t="s">
        <v>503</v>
      </c>
      <c r="BB71" s="185" t="s">
        <v>786</v>
      </c>
      <c r="BC71" s="185" t="s">
        <v>653</v>
      </c>
      <c r="BD71" s="185" t="s">
        <v>503</v>
      </c>
      <c r="BE71" s="185" t="s">
        <v>3792</v>
      </c>
      <c r="BF71" s="185">
        <v>3</v>
      </c>
      <c r="BG71" s="185" t="s">
        <v>3811</v>
      </c>
      <c r="BH71" s="185" t="s">
        <v>3812</v>
      </c>
      <c r="BI71" s="185" t="s">
        <v>3813</v>
      </c>
      <c r="BJ71" s="185" t="s">
        <v>3814</v>
      </c>
      <c r="BK71" s="185" t="s">
        <v>505</v>
      </c>
      <c r="BL71" s="185" t="s">
        <v>567</v>
      </c>
      <c r="BM71" s="185" t="s">
        <v>3815</v>
      </c>
      <c r="BN71" s="185">
        <v>2</v>
      </c>
      <c r="BO71" s="185" t="s">
        <v>3299</v>
      </c>
      <c r="BP71" s="185" t="s">
        <v>199</v>
      </c>
      <c r="BQ71" s="185" t="s">
        <v>3300</v>
      </c>
      <c r="BR71" s="185" t="s">
        <v>199</v>
      </c>
      <c r="BS71" s="185" t="s">
        <v>202</v>
      </c>
      <c r="BT71" s="185" t="s">
        <v>3816</v>
      </c>
    </row>
    <row r="72" spans="1:72" s="184" customFormat="1" ht="54.95" customHeight="1" x14ac:dyDescent="0.25">
      <c r="A72" s="155">
        <v>20</v>
      </c>
      <c r="B72" s="184" t="s">
        <v>765</v>
      </c>
      <c r="C72" s="184" t="s">
        <v>154</v>
      </c>
      <c r="D72" s="184" t="s">
        <v>766</v>
      </c>
      <c r="E72" s="184" t="s">
        <v>3252</v>
      </c>
      <c r="F72" s="184" t="s">
        <v>4055</v>
      </c>
      <c r="G72" s="184" t="s">
        <v>4056</v>
      </c>
      <c r="H72" s="184" t="s">
        <v>4057</v>
      </c>
      <c r="I72" s="184" t="s">
        <v>4058</v>
      </c>
      <c r="J72" s="184" t="s">
        <v>4059</v>
      </c>
      <c r="K72" s="184" t="s">
        <v>1147</v>
      </c>
      <c r="L72" s="184" t="s">
        <v>3799</v>
      </c>
      <c r="M72" s="184" t="s">
        <v>4060</v>
      </c>
      <c r="N72" s="184" t="s">
        <v>3801</v>
      </c>
      <c r="O72" s="184">
        <v>20</v>
      </c>
      <c r="P72" s="184" t="s">
        <v>164</v>
      </c>
      <c r="Q72" s="184" t="s">
        <v>776</v>
      </c>
      <c r="R72" s="184" t="s">
        <v>4061</v>
      </c>
      <c r="S72" s="184" t="s">
        <v>778</v>
      </c>
      <c r="T72" s="184" t="s">
        <v>779</v>
      </c>
      <c r="U72" s="184" t="s">
        <v>780</v>
      </c>
      <c r="V72" s="184" t="s">
        <v>4062</v>
      </c>
      <c r="W72" s="184" t="s">
        <v>4063</v>
      </c>
      <c r="X72" s="184" t="s">
        <v>4064</v>
      </c>
      <c r="Y72" s="185" t="s">
        <v>3806</v>
      </c>
      <c r="Z72" s="185">
        <v>4</v>
      </c>
      <c r="AA72" s="185" t="s">
        <v>3807</v>
      </c>
      <c r="AB72" s="185" t="s">
        <v>3808</v>
      </c>
      <c r="AC72" s="185" t="s">
        <v>568</v>
      </c>
      <c r="AD72" s="185" t="s">
        <v>3808</v>
      </c>
      <c r="AE72" s="185" t="s">
        <v>568</v>
      </c>
      <c r="AF72" s="185" t="s">
        <v>464</v>
      </c>
      <c r="AG72" s="185" t="s">
        <v>3809</v>
      </c>
      <c r="AH72" s="185">
        <v>4</v>
      </c>
      <c r="AI72" s="185" t="s">
        <v>498</v>
      </c>
      <c r="AJ72" s="185" t="s">
        <v>179</v>
      </c>
      <c r="AK72" s="185" t="s">
        <v>919</v>
      </c>
      <c r="AL72" s="185" t="s">
        <v>179</v>
      </c>
      <c r="AM72" s="185" t="s">
        <v>408</v>
      </c>
      <c r="AN72" s="185" t="s">
        <v>384</v>
      </c>
      <c r="AO72" s="185" t="s">
        <v>3810</v>
      </c>
      <c r="AP72" s="185">
        <v>4</v>
      </c>
      <c r="AQ72" s="185" t="s">
        <v>184</v>
      </c>
      <c r="AR72" s="185" t="s">
        <v>186</v>
      </c>
      <c r="AS72" s="185" t="s">
        <v>185</v>
      </c>
      <c r="AT72" s="185" t="s">
        <v>184</v>
      </c>
      <c r="AU72" s="185" t="s">
        <v>186</v>
      </c>
      <c r="AV72" s="185" t="s">
        <v>185</v>
      </c>
      <c r="AW72" s="185" t="s">
        <v>57</v>
      </c>
      <c r="AX72" s="185">
        <v>3</v>
      </c>
      <c r="AY72" s="185" t="s">
        <v>410</v>
      </c>
      <c r="AZ72" s="185" t="s">
        <v>786</v>
      </c>
      <c r="BA72" s="185" t="s">
        <v>503</v>
      </c>
      <c r="BB72" s="185" t="s">
        <v>786</v>
      </c>
      <c r="BC72" s="185" t="s">
        <v>653</v>
      </c>
      <c r="BD72" s="185" t="s">
        <v>503</v>
      </c>
      <c r="BE72" s="185" t="s">
        <v>3792</v>
      </c>
      <c r="BF72" s="185">
        <v>3</v>
      </c>
      <c r="BG72" s="185" t="s">
        <v>3811</v>
      </c>
      <c r="BH72" s="185" t="s">
        <v>3812</v>
      </c>
      <c r="BI72" s="185" t="s">
        <v>3813</v>
      </c>
      <c r="BJ72" s="185" t="s">
        <v>3814</v>
      </c>
      <c r="BK72" s="185" t="s">
        <v>505</v>
      </c>
      <c r="BL72" s="185" t="s">
        <v>567</v>
      </c>
      <c r="BM72" s="185" t="s">
        <v>3815</v>
      </c>
      <c r="BN72" s="185">
        <v>2</v>
      </c>
      <c r="BO72" s="185" t="s">
        <v>3299</v>
      </c>
      <c r="BP72" s="185" t="s">
        <v>199</v>
      </c>
      <c r="BQ72" s="185" t="s">
        <v>3300</v>
      </c>
      <c r="BR72" s="185" t="s">
        <v>199</v>
      </c>
      <c r="BS72" s="185" t="s">
        <v>202</v>
      </c>
      <c r="BT72" s="185" t="s">
        <v>3816</v>
      </c>
    </row>
    <row r="73" spans="1:72" s="184" customFormat="1" ht="54.95" customHeight="1" x14ac:dyDescent="0.25">
      <c r="A73" s="155">
        <v>21</v>
      </c>
      <c r="B73" s="184" t="s">
        <v>836</v>
      </c>
      <c r="C73" s="184" t="s">
        <v>570</v>
      </c>
      <c r="D73" s="184" t="s">
        <v>4065</v>
      </c>
      <c r="E73" s="184" t="s">
        <v>4066</v>
      </c>
      <c r="F73" s="184" t="s">
        <v>4067</v>
      </c>
      <c r="G73" s="184" t="s">
        <v>4068</v>
      </c>
      <c r="H73" s="184" t="s">
        <v>4069</v>
      </c>
      <c r="I73" s="184" t="s">
        <v>4070</v>
      </c>
      <c r="J73" s="184" t="s">
        <v>4071</v>
      </c>
      <c r="K73" s="184" t="s">
        <v>4072</v>
      </c>
      <c r="L73" s="184" t="s">
        <v>3799</v>
      </c>
      <c r="M73" s="184" t="s">
        <v>4073</v>
      </c>
      <c r="N73" s="184" t="s">
        <v>3865</v>
      </c>
      <c r="O73" s="184">
        <v>20</v>
      </c>
      <c r="P73" s="184" t="s">
        <v>164</v>
      </c>
      <c r="Q73" s="184" t="s">
        <v>4074</v>
      </c>
      <c r="R73" s="184" t="s">
        <v>4075</v>
      </c>
      <c r="S73" s="184" t="s">
        <v>4076</v>
      </c>
      <c r="T73" s="184" t="s">
        <v>4077</v>
      </c>
      <c r="U73" s="184" t="s">
        <v>893</v>
      </c>
      <c r="V73" s="184" t="s">
        <v>4078</v>
      </c>
      <c r="W73" s="184" t="s">
        <v>4079</v>
      </c>
      <c r="X73" s="184" t="s">
        <v>4080</v>
      </c>
      <c r="Y73" s="185" t="s">
        <v>3806</v>
      </c>
      <c r="Z73" s="185">
        <v>4</v>
      </c>
      <c r="AA73" s="185" t="s">
        <v>3807</v>
      </c>
      <c r="AB73" s="185" t="s">
        <v>3808</v>
      </c>
      <c r="AC73" s="185" t="s">
        <v>568</v>
      </c>
      <c r="AD73" s="185" t="s">
        <v>3808</v>
      </c>
      <c r="AE73" s="185" t="s">
        <v>568</v>
      </c>
      <c r="AF73" s="185" t="s">
        <v>464</v>
      </c>
      <c r="AG73" s="185" t="s">
        <v>3809</v>
      </c>
      <c r="AH73" s="185">
        <v>4</v>
      </c>
      <c r="AI73" s="185" t="s">
        <v>498</v>
      </c>
      <c r="AJ73" s="185" t="s">
        <v>179</v>
      </c>
      <c r="AK73" s="185" t="s">
        <v>919</v>
      </c>
      <c r="AL73" s="185" t="s">
        <v>179</v>
      </c>
      <c r="AM73" s="185" t="s">
        <v>408</v>
      </c>
      <c r="AN73" s="185" t="s">
        <v>384</v>
      </c>
      <c r="AO73" s="185" t="s">
        <v>3810</v>
      </c>
      <c r="AP73" s="185">
        <v>4</v>
      </c>
      <c r="AQ73" s="185" t="s">
        <v>184</v>
      </c>
      <c r="AR73" s="185" t="s">
        <v>186</v>
      </c>
      <c r="AS73" s="185" t="s">
        <v>185</v>
      </c>
      <c r="AT73" s="185" t="s">
        <v>184</v>
      </c>
      <c r="AU73" s="185" t="s">
        <v>186</v>
      </c>
      <c r="AV73" s="185" t="s">
        <v>185</v>
      </c>
      <c r="AW73" s="185" t="s">
        <v>57</v>
      </c>
      <c r="AX73" s="185">
        <v>3</v>
      </c>
      <c r="AY73" s="185" t="s">
        <v>410</v>
      </c>
      <c r="AZ73" s="185" t="s">
        <v>786</v>
      </c>
      <c r="BA73" s="185" t="s">
        <v>503</v>
      </c>
      <c r="BB73" s="185" t="s">
        <v>786</v>
      </c>
      <c r="BC73" s="185" t="s">
        <v>653</v>
      </c>
      <c r="BD73" s="185" t="s">
        <v>503</v>
      </c>
      <c r="BE73" s="185" t="s">
        <v>3792</v>
      </c>
      <c r="BF73" s="185">
        <v>3</v>
      </c>
      <c r="BG73" s="185" t="s">
        <v>3811</v>
      </c>
      <c r="BH73" s="185" t="s">
        <v>3812</v>
      </c>
      <c r="BI73" s="185" t="s">
        <v>3813</v>
      </c>
      <c r="BJ73" s="185" t="s">
        <v>3814</v>
      </c>
      <c r="BK73" s="185" t="s">
        <v>505</v>
      </c>
      <c r="BL73" s="185" t="s">
        <v>567</v>
      </c>
      <c r="BM73" s="185" t="s">
        <v>3815</v>
      </c>
      <c r="BN73" s="185">
        <v>2</v>
      </c>
      <c r="BO73" s="185" t="s">
        <v>3299</v>
      </c>
      <c r="BP73" s="185" t="s">
        <v>199</v>
      </c>
      <c r="BQ73" s="185" t="s">
        <v>3300</v>
      </c>
      <c r="BR73" s="185" t="s">
        <v>199</v>
      </c>
      <c r="BS73" s="185" t="s">
        <v>202</v>
      </c>
      <c r="BT73" s="185" t="s">
        <v>3816</v>
      </c>
    </row>
    <row r="74" spans="1:72" s="184" customFormat="1" ht="54.95" customHeight="1" x14ac:dyDescent="0.25">
      <c r="A74" s="155">
        <v>22</v>
      </c>
      <c r="B74" s="184" t="s">
        <v>415</v>
      </c>
      <c r="C74" s="184" t="s">
        <v>205</v>
      </c>
      <c r="D74" s="184" t="s">
        <v>4081</v>
      </c>
      <c r="E74" s="184" t="s">
        <v>4082</v>
      </c>
      <c r="F74" s="184" t="s">
        <v>4083</v>
      </c>
      <c r="G74" s="184" t="s">
        <v>4084</v>
      </c>
      <c r="H74" s="184" t="s">
        <v>4085</v>
      </c>
      <c r="I74" s="184" t="s">
        <v>4086</v>
      </c>
      <c r="J74" s="184" t="s">
        <v>4087</v>
      </c>
      <c r="K74" s="184" t="s">
        <v>4088</v>
      </c>
      <c r="L74" s="184" t="s">
        <v>3799</v>
      </c>
      <c r="M74" s="184" t="s">
        <v>4089</v>
      </c>
      <c r="N74" s="184" t="s">
        <v>3838</v>
      </c>
      <c r="O74" s="184">
        <v>20</v>
      </c>
      <c r="P74" s="184" t="s">
        <v>259</v>
      </c>
      <c r="Q74" s="184" t="s">
        <v>4090</v>
      </c>
      <c r="R74" s="184" t="s">
        <v>4091</v>
      </c>
      <c r="S74" s="184" t="s">
        <v>4092</v>
      </c>
      <c r="T74" s="184" t="s">
        <v>4093</v>
      </c>
      <c r="U74" s="184" t="s">
        <v>4094</v>
      </c>
      <c r="V74" s="184" t="s">
        <v>4095</v>
      </c>
      <c r="W74" s="184" t="s">
        <v>4096</v>
      </c>
      <c r="X74" s="184" t="s">
        <v>4097</v>
      </c>
      <c r="Y74" s="185" t="s">
        <v>3806</v>
      </c>
      <c r="Z74" s="185">
        <v>4</v>
      </c>
      <c r="AA74" s="185" t="s">
        <v>3807</v>
      </c>
      <c r="AB74" s="185" t="s">
        <v>3808</v>
      </c>
      <c r="AC74" s="185" t="s">
        <v>568</v>
      </c>
      <c r="AD74" s="185" t="s">
        <v>3808</v>
      </c>
      <c r="AE74" s="185" t="s">
        <v>568</v>
      </c>
      <c r="AF74" s="185" t="s">
        <v>464</v>
      </c>
      <c r="AG74" s="185" t="s">
        <v>3809</v>
      </c>
      <c r="AH74" s="185">
        <v>4</v>
      </c>
      <c r="AI74" s="185" t="s">
        <v>498</v>
      </c>
      <c r="AJ74" s="185" t="s">
        <v>179</v>
      </c>
      <c r="AK74" s="185" t="s">
        <v>919</v>
      </c>
      <c r="AL74" s="185" t="s">
        <v>179</v>
      </c>
      <c r="AM74" s="185" t="s">
        <v>408</v>
      </c>
      <c r="AN74" s="185" t="s">
        <v>384</v>
      </c>
      <c r="AO74" s="185" t="s">
        <v>3810</v>
      </c>
      <c r="AP74" s="185">
        <v>4</v>
      </c>
      <c r="AQ74" s="185" t="s">
        <v>184</v>
      </c>
      <c r="AR74" s="185" t="s">
        <v>186</v>
      </c>
      <c r="AS74" s="185" t="s">
        <v>185</v>
      </c>
      <c r="AT74" s="185" t="s">
        <v>184</v>
      </c>
      <c r="AU74" s="185" t="s">
        <v>186</v>
      </c>
      <c r="AV74" s="185" t="s">
        <v>185</v>
      </c>
      <c r="AW74" s="185" t="s">
        <v>57</v>
      </c>
      <c r="AX74" s="185">
        <v>3</v>
      </c>
      <c r="AY74" s="185" t="s">
        <v>410</v>
      </c>
      <c r="AZ74" s="185" t="s">
        <v>786</v>
      </c>
      <c r="BA74" s="185" t="s">
        <v>503</v>
      </c>
      <c r="BB74" s="185" t="s">
        <v>786</v>
      </c>
      <c r="BC74" s="185" t="s">
        <v>653</v>
      </c>
      <c r="BD74" s="185" t="s">
        <v>503</v>
      </c>
      <c r="BE74" s="185" t="s">
        <v>3792</v>
      </c>
      <c r="BF74" s="185">
        <v>3</v>
      </c>
      <c r="BG74" s="185" t="s">
        <v>3811</v>
      </c>
      <c r="BH74" s="185" t="s">
        <v>3812</v>
      </c>
      <c r="BI74" s="185" t="s">
        <v>3813</v>
      </c>
      <c r="BJ74" s="185" t="s">
        <v>3814</v>
      </c>
      <c r="BK74" s="185" t="s">
        <v>505</v>
      </c>
      <c r="BL74" s="185" t="s">
        <v>567</v>
      </c>
      <c r="BM74" s="185" t="s">
        <v>3815</v>
      </c>
      <c r="BN74" s="185">
        <v>2</v>
      </c>
      <c r="BO74" s="185" t="s">
        <v>3299</v>
      </c>
      <c r="BP74" s="185" t="s">
        <v>199</v>
      </c>
      <c r="BQ74" s="185" t="s">
        <v>3300</v>
      </c>
      <c r="BR74" s="185" t="s">
        <v>199</v>
      </c>
      <c r="BS74" s="185" t="s">
        <v>202</v>
      </c>
      <c r="BT74" s="185" t="s">
        <v>3816</v>
      </c>
    </row>
    <row r="75" spans="1:72" s="184" customFormat="1" ht="54.95" customHeight="1" x14ac:dyDescent="0.25">
      <c r="A75" s="155">
        <v>23</v>
      </c>
      <c r="B75" s="184" t="s">
        <v>324</v>
      </c>
      <c r="C75" s="184" t="s">
        <v>205</v>
      </c>
      <c r="D75" s="184" t="s">
        <v>4098</v>
      </c>
      <c r="E75" s="184" t="s">
        <v>4099</v>
      </c>
      <c r="F75" s="184" t="s">
        <v>4100</v>
      </c>
      <c r="G75" s="184" t="s">
        <v>4101</v>
      </c>
      <c r="H75" s="184" t="s">
        <v>4102</v>
      </c>
      <c r="I75" s="184" t="s">
        <v>4103</v>
      </c>
      <c r="J75" s="184" t="s">
        <v>4104</v>
      </c>
      <c r="K75" s="184" t="s">
        <v>4105</v>
      </c>
      <c r="L75" s="184" t="s">
        <v>3799</v>
      </c>
      <c r="M75" s="184" t="s">
        <v>4106</v>
      </c>
      <c r="N75" s="184" t="s">
        <v>3852</v>
      </c>
      <c r="O75" s="184">
        <v>20</v>
      </c>
      <c r="P75" s="184" t="s">
        <v>259</v>
      </c>
      <c r="Q75" s="184" t="s">
        <v>4107</v>
      </c>
      <c r="R75" s="184" t="s">
        <v>4108</v>
      </c>
      <c r="S75" s="184" t="s">
        <v>4109</v>
      </c>
      <c r="T75" s="184" t="s">
        <v>4110</v>
      </c>
      <c r="U75" s="184" t="s">
        <v>521</v>
      </c>
      <c r="V75" s="184" t="s">
        <v>4111</v>
      </c>
      <c r="W75" s="184" t="s">
        <v>4112</v>
      </c>
      <c r="X75" s="184" t="s">
        <v>4113</v>
      </c>
      <c r="Y75" s="185" t="s">
        <v>3806</v>
      </c>
      <c r="Z75" s="185">
        <v>4</v>
      </c>
      <c r="AA75" s="185" t="s">
        <v>3807</v>
      </c>
      <c r="AB75" s="185" t="s">
        <v>3808</v>
      </c>
      <c r="AC75" s="185" t="s">
        <v>568</v>
      </c>
      <c r="AD75" s="185" t="s">
        <v>3808</v>
      </c>
      <c r="AE75" s="185" t="s">
        <v>568</v>
      </c>
      <c r="AF75" s="185" t="s">
        <v>464</v>
      </c>
      <c r="AG75" s="185" t="s">
        <v>3809</v>
      </c>
      <c r="AH75" s="185">
        <v>4</v>
      </c>
      <c r="AI75" s="185" t="s">
        <v>498</v>
      </c>
      <c r="AJ75" s="185" t="s">
        <v>179</v>
      </c>
      <c r="AK75" s="185" t="s">
        <v>919</v>
      </c>
      <c r="AL75" s="185" t="s">
        <v>179</v>
      </c>
      <c r="AM75" s="185" t="s">
        <v>408</v>
      </c>
      <c r="AN75" s="185" t="s">
        <v>384</v>
      </c>
      <c r="AO75" s="185" t="s">
        <v>3810</v>
      </c>
      <c r="AP75" s="185">
        <v>4</v>
      </c>
      <c r="AQ75" s="185" t="s">
        <v>184</v>
      </c>
      <c r="AR75" s="185" t="s">
        <v>186</v>
      </c>
      <c r="AS75" s="185" t="s">
        <v>185</v>
      </c>
      <c r="AT75" s="185" t="s">
        <v>184</v>
      </c>
      <c r="AU75" s="185" t="s">
        <v>186</v>
      </c>
      <c r="AV75" s="185" t="s">
        <v>185</v>
      </c>
      <c r="AW75" s="185" t="s">
        <v>57</v>
      </c>
      <c r="AX75" s="185">
        <v>3</v>
      </c>
      <c r="AY75" s="185" t="s">
        <v>410</v>
      </c>
      <c r="AZ75" s="185" t="s">
        <v>786</v>
      </c>
      <c r="BA75" s="185" t="s">
        <v>503</v>
      </c>
      <c r="BB75" s="185" t="s">
        <v>786</v>
      </c>
      <c r="BC75" s="185" t="s">
        <v>653</v>
      </c>
      <c r="BD75" s="185" t="s">
        <v>503</v>
      </c>
      <c r="BE75" s="185" t="s">
        <v>3792</v>
      </c>
      <c r="BF75" s="185">
        <v>3</v>
      </c>
      <c r="BG75" s="185" t="s">
        <v>3811</v>
      </c>
      <c r="BH75" s="185" t="s">
        <v>3812</v>
      </c>
      <c r="BI75" s="185" t="s">
        <v>3813</v>
      </c>
      <c r="BJ75" s="185" t="s">
        <v>3814</v>
      </c>
      <c r="BK75" s="185" t="s">
        <v>505</v>
      </c>
      <c r="BL75" s="185" t="s">
        <v>567</v>
      </c>
      <c r="BM75" s="185" t="s">
        <v>3815</v>
      </c>
      <c r="BN75" s="185">
        <v>2</v>
      </c>
      <c r="BO75" s="185" t="s">
        <v>3299</v>
      </c>
      <c r="BP75" s="185" t="s">
        <v>199</v>
      </c>
      <c r="BQ75" s="185" t="s">
        <v>3300</v>
      </c>
      <c r="BR75" s="185" t="s">
        <v>199</v>
      </c>
      <c r="BS75" s="185" t="s">
        <v>202</v>
      </c>
      <c r="BT75" s="185" t="s">
        <v>3816</v>
      </c>
    </row>
    <row r="76" spans="1:72" s="184" customFormat="1" ht="54.95" customHeight="1" x14ac:dyDescent="0.25">
      <c r="A76" s="155">
        <v>24</v>
      </c>
      <c r="B76" s="184" t="s">
        <v>472</v>
      </c>
      <c r="C76" s="184" t="s">
        <v>154</v>
      </c>
      <c r="D76" s="184" t="s">
        <v>4114</v>
      </c>
      <c r="E76" s="184" t="s">
        <v>4115</v>
      </c>
      <c r="F76" s="184" t="s">
        <v>4116</v>
      </c>
      <c r="G76" s="184" t="s">
        <v>4117</v>
      </c>
      <c r="H76" s="184" t="s">
        <v>4118</v>
      </c>
      <c r="I76" s="184" t="s">
        <v>4119</v>
      </c>
      <c r="J76" s="184" t="s">
        <v>4120</v>
      </c>
      <c r="K76" s="184" t="s">
        <v>4121</v>
      </c>
      <c r="L76" s="184" t="s">
        <v>3799</v>
      </c>
      <c r="M76" s="184" t="s">
        <v>4122</v>
      </c>
      <c r="N76" s="184" t="s">
        <v>4123</v>
      </c>
      <c r="O76" s="184">
        <v>20</v>
      </c>
      <c r="P76" s="184" t="s">
        <v>484</v>
      </c>
      <c r="Q76" s="184" t="s">
        <v>4124</v>
      </c>
      <c r="R76" s="184" t="s">
        <v>4125</v>
      </c>
      <c r="S76" s="184" t="s">
        <v>4126</v>
      </c>
      <c r="T76" s="184" t="s">
        <v>4127</v>
      </c>
      <c r="U76" s="184" t="s">
        <v>4128</v>
      </c>
      <c r="V76" s="184" t="s">
        <v>4129</v>
      </c>
      <c r="W76" s="184" t="s">
        <v>4130</v>
      </c>
      <c r="X76" s="184" t="s">
        <v>4131</v>
      </c>
      <c r="Y76" s="185" t="s">
        <v>3806</v>
      </c>
      <c r="Z76" s="185">
        <v>4</v>
      </c>
      <c r="AA76" s="185" t="s">
        <v>3807</v>
      </c>
      <c r="AB76" s="185" t="s">
        <v>3808</v>
      </c>
      <c r="AC76" s="185" t="s">
        <v>568</v>
      </c>
      <c r="AD76" s="185" t="s">
        <v>3808</v>
      </c>
      <c r="AE76" s="185" t="s">
        <v>568</v>
      </c>
      <c r="AF76" s="185" t="s">
        <v>464</v>
      </c>
      <c r="AG76" s="185" t="s">
        <v>3809</v>
      </c>
      <c r="AH76" s="185">
        <v>4</v>
      </c>
      <c r="AI76" s="185" t="s">
        <v>498</v>
      </c>
      <c r="AJ76" s="185" t="s">
        <v>179</v>
      </c>
      <c r="AK76" s="185" t="s">
        <v>919</v>
      </c>
      <c r="AL76" s="185" t="s">
        <v>179</v>
      </c>
      <c r="AM76" s="185" t="s">
        <v>408</v>
      </c>
      <c r="AN76" s="185" t="s">
        <v>384</v>
      </c>
      <c r="AO76" s="185" t="s">
        <v>3810</v>
      </c>
      <c r="AP76" s="185">
        <v>4</v>
      </c>
      <c r="AQ76" s="185" t="s">
        <v>184</v>
      </c>
      <c r="AR76" s="185" t="s">
        <v>186</v>
      </c>
      <c r="AS76" s="185" t="s">
        <v>185</v>
      </c>
      <c r="AT76" s="185" t="s">
        <v>184</v>
      </c>
      <c r="AU76" s="185" t="s">
        <v>186</v>
      </c>
      <c r="AV76" s="185" t="s">
        <v>185</v>
      </c>
      <c r="AW76" s="185" t="s">
        <v>57</v>
      </c>
      <c r="AX76" s="185">
        <v>3</v>
      </c>
      <c r="AY76" s="185" t="s">
        <v>410</v>
      </c>
      <c r="AZ76" s="185" t="s">
        <v>786</v>
      </c>
      <c r="BA76" s="185" t="s">
        <v>503</v>
      </c>
      <c r="BB76" s="185" t="s">
        <v>786</v>
      </c>
      <c r="BC76" s="185" t="s">
        <v>653</v>
      </c>
      <c r="BD76" s="185" t="s">
        <v>503</v>
      </c>
      <c r="BE76" s="185" t="s">
        <v>3792</v>
      </c>
      <c r="BF76" s="185">
        <v>3</v>
      </c>
      <c r="BG76" s="185" t="s">
        <v>3811</v>
      </c>
      <c r="BH76" s="185" t="s">
        <v>3812</v>
      </c>
      <c r="BI76" s="185" t="s">
        <v>3813</v>
      </c>
      <c r="BJ76" s="185" t="s">
        <v>3814</v>
      </c>
      <c r="BK76" s="185" t="s">
        <v>505</v>
      </c>
      <c r="BL76" s="185" t="s">
        <v>567</v>
      </c>
      <c r="BM76" s="185" t="s">
        <v>3815</v>
      </c>
      <c r="BN76" s="185">
        <v>2</v>
      </c>
      <c r="BO76" s="185" t="s">
        <v>3299</v>
      </c>
      <c r="BP76" s="185" t="s">
        <v>199</v>
      </c>
      <c r="BQ76" s="185" t="s">
        <v>3300</v>
      </c>
      <c r="BR76" s="185" t="s">
        <v>199</v>
      </c>
      <c r="BS76" s="185" t="s">
        <v>202</v>
      </c>
      <c r="BT76" s="185" t="s">
        <v>3816</v>
      </c>
    </row>
    <row r="77" spans="1:72" s="184" customFormat="1" ht="54.95" customHeight="1" x14ac:dyDescent="0.25">
      <c r="A77" s="155">
        <v>25</v>
      </c>
      <c r="B77" s="184" t="s">
        <v>978</v>
      </c>
      <c r="C77" s="184" t="s">
        <v>325</v>
      </c>
      <c r="D77" s="184" t="s">
        <v>4132</v>
      </c>
      <c r="E77" s="184" t="s">
        <v>4133</v>
      </c>
      <c r="F77" s="184" t="s">
        <v>4134</v>
      </c>
      <c r="G77" s="184" t="s">
        <v>4135</v>
      </c>
      <c r="H77" s="184" t="s">
        <v>4136</v>
      </c>
      <c r="I77" s="184" t="s">
        <v>4137</v>
      </c>
      <c r="J77" s="184" t="s">
        <v>4138</v>
      </c>
      <c r="K77" s="184" t="s">
        <v>4139</v>
      </c>
      <c r="L77" s="184" t="s">
        <v>3799</v>
      </c>
      <c r="M77" s="184" t="s">
        <v>4140</v>
      </c>
      <c r="N77" s="184" t="s">
        <v>3958</v>
      </c>
      <c r="O77" s="184">
        <v>20</v>
      </c>
      <c r="P77" s="184" t="s">
        <v>259</v>
      </c>
      <c r="Q77" s="184" t="s">
        <v>4141</v>
      </c>
      <c r="R77" s="184" t="s">
        <v>4142</v>
      </c>
      <c r="S77" s="184" t="s">
        <v>4143</v>
      </c>
      <c r="T77" s="184" t="s">
        <v>4144</v>
      </c>
      <c r="U77" s="184" t="s">
        <v>4145</v>
      </c>
      <c r="V77" s="184" t="s">
        <v>4146</v>
      </c>
      <c r="W77" s="184" t="s">
        <v>4147</v>
      </c>
      <c r="X77" s="184" t="s">
        <v>4148</v>
      </c>
      <c r="Y77" s="185" t="s">
        <v>3806</v>
      </c>
      <c r="Z77" s="185">
        <v>4</v>
      </c>
      <c r="AA77" s="185" t="s">
        <v>3807</v>
      </c>
      <c r="AB77" s="185" t="s">
        <v>3808</v>
      </c>
      <c r="AC77" s="185" t="s">
        <v>568</v>
      </c>
      <c r="AD77" s="185" t="s">
        <v>3808</v>
      </c>
      <c r="AE77" s="185" t="s">
        <v>568</v>
      </c>
      <c r="AF77" s="185" t="s">
        <v>464</v>
      </c>
      <c r="AG77" s="185" t="s">
        <v>3809</v>
      </c>
      <c r="AH77" s="185">
        <v>4</v>
      </c>
      <c r="AI77" s="185" t="s">
        <v>498</v>
      </c>
      <c r="AJ77" s="185" t="s">
        <v>179</v>
      </c>
      <c r="AK77" s="185" t="s">
        <v>919</v>
      </c>
      <c r="AL77" s="185" t="s">
        <v>179</v>
      </c>
      <c r="AM77" s="185" t="s">
        <v>408</v>
      </c>
      <c r="AN77" s="185" t="s">
        <v>384</v>
      </c>
      <c r="AO77" s="185" t="s">
        <v>3810</v>
      </c>
      <c r="AP77" s="185">
        <v>4</v>
      </c>
      <c r="AQ77" s="185" t="s">
        <v>184</v>
      </c>
      <c r="AR77" s="185" t="s">
        <v>186</v>
      </c>
      <c r="AS77" s="185" t="s">
        <v>185</v>
      </c>
      <c r="AT77" s="185" t="s">
        <v>184</v>
      </c>
      <c r="AU77" s="185" t="s">
        <v>186</v>
      </c>
      <c r="AV77" s="185" t="s">
        <v>185</v>
      </c>
      <c r="AW77" s="185" t="s">
        <v>57</v>
      </c>
      <c r="AX77" s="185">
        <v>3</v>
      </c>
      <c r="AY77" s="185" t="s">
        <v>410</v>
      </c>
      <c r="AZ77" s="185" t="s">
        <v>786</v>
      </c>
      <c r="BA77" s="185" t="s">
        <v>503</v>
      </c>
      <c r="BB77" s="185" t="s">
        <v>786</v>
      </c>
      <c r="BC77" s="185" t="s">
        <v>653</v>
      </c>
      <c r="BD77" s="185" t="s">
        <v>503</v>
      </c>
      <c r="BE77" s="185" t="s">
        <v>3792</v>
      </c>
      <c r="BF77" s="185">
        <v>3</v>
      </c>
      <c r="BG77" s="185" t="s">
        <v>3811</v>
      </c>
      <c r="BH77" s="185" t="s">
        <v>3812</v>
      </c>
      <c r="BI77" s="185" t="s">
        <v>3813</v>
      </c>
      <c r="BJ77" s="185" t="s">
        <v>3814</v>
      </c>
      <c r="BK77" s="185" t="s">
        <v>505</v>
      </c>
      <c r="BL77" s="185" t="s">
        <v>567</v>
      </c>
      <c r="BM77" s="185" t="s">
        <v>3815</v>
      </c>
      <c r="BN77" s="185">
        <v>2</v>
      </c>
      <c r="BO77" s="185" t="s">
        <v>3299</v>
      </c>
      <c r="BP77" s="185" t="s">
        <v>199</v>
      </c>
      <c r="BQ77" s="185" t="s">
        <v>3300</v>
      </c>
      <c r="BR77" s="185" t="s">
        <v>199</v>
      </c>
      <c r="BS77" s="185" t="s">
        <v>202</v>
      </c>
      <c r="BT77" s="185" t="s">
        <v>3816</v>
      </c>
    </row>
    <row r="78" spans="1:72" s="184" customFormat="1" ht="54.95" customHeight="1" x14ac:dyDescent="0.25">
      <c r="A78" s="155">
        <v>26</v>
      </c>
      <c r="B78" s="184" t="s">
        <v>739</v>
      </c>
      <c r="C78" s="184" t="s">
        <v>154</v>
      </c>
      <c r="D78" s="184" t="s">
        <v>4149</v>
      </c>
      <c r="E78" s="184" t="s">
        <v>4150</v>
      </c>
      <c r="F78" s="184" t="s">
        <v>4151</v>
      </c>
      <c r="G78" s="184" t="s">
        <v>4152</v>
      </c>
      <c r="H78" s="184" t="s">
        <v>4153</v>
      </c>
      <c r="I78" s="184" t="s">
        <v>4154</v>
      </c>
      <c r="J78" s="184" t="s">
        <v>4155</v>
      </c>
      <c r="K78" s="184" t="s">
        <v>4156</v>
      </c>
      <c r="L78" s="184" t="s">
        <v>3799</v>
      </c>
      <c r="M78" s="184" t="s">
        <v>4157</v>
      </c>
      <c r="N78" s="184" t="s">
        <v>4158</v>
      </c>
      <c r="O78" s="184">
        <v>20</v>
      </c>
      <c r="P78" s="184" t="s">
        <v>259</v>
      </c>
      <c r="Q78" s="184" t="s">
        <v>4159</v>
      </c>
      <c r="R78" s="184" t="s">
        <v>4160</v>
      </c>
      <c r="S78" s="184" t="s">
        <v>4161</v>
      </c>
      <c r="T78" s="184" t="s">
        <v>4162</v>
      </c>
      <c r="U78" s="184" t="s">
        <v>4163</v>
      </c>
      <c r="V78" s="184" t="s">
        <v>4164</v>
      </c>
      <c r="W78" s="184" t="s">
        <v>3921</v>
      </c>
      <c r="X78" s="184" t="s">
        <v>4165</v>
      </c>
      <c r="Y78" s="185" t="s">
        <v>3806</v>
      </c>
      <c r="Z78" s="185">
        <v>4</v>
      </c>
      <c r="AA78" s="185" t="s">
        <v>3807</v>
      </c>
      <c r="AB78" s="185" t="s">
        <v>3808</v>
      </c>
      <c r="AC78" s="185" t="s">
        <v>568</v>
      </c>
      <c r="AD78" s="185" t="s">
        <v>3808</v>
      </c>
      <c r="AE78" s="185" t="s">
        <v>568</v>
      </c>
      <c r="AF78" s="185" t="s">
        <v>464</v>
      </c>
      <c r="AG78" s="185" t="s">
        <v>3809</v>
      </c>
      <c r="AH78" s="185">
        <v>4</v>
      </c>
      <c r="AI78" s="185" t="s">
        <v>498</v>
      </c>
      <c r="AJ78" s="185" t="s">
        <v>179</v>
      </c>
      <c r="AK78" s="185" t="s">
        <v>919</v>
      </c>
      <c r="AL78" s="185" t="s">
        <v>179</v>
      </c>
      <c r="AM78" s="185" t="s">
        <v>408</v>
      </c>
      <c r="AN78" s="185" t="s">
        <v>384</v>
      </c>
      <c r="AO78" s="185" t="s">
        <v>3810</v>
      </c>
      <c r="AP78" s="185">
        <v>4</v>
      </c>
      <c r="AQ78" s="185" t="s">
        <v>184</v>
      </c>
      <c r="AR78" s="185" t="s">
        <v>186</v>
      </c>
      <c r="AS78" s="185" t="s">
        <v>185</v>
      </c>
      <c r="AT78" s="185" t="s">
        <v>184</v>
      </c>
      <c r="AU78" s="185" t="s">
        <v>186</v>
      </c>
      <c r="AV78" s="185" t="s">
        <v>185</v>
      </c>
      <c r="AW78" s="185" t="s">
        <v>57</v>
      </c>
      <c r="AX78" s="185">
        <v>3</v>
      </c>
      <c r="AY78" s="185" t="s">
        <v>410</v>
      </c>
      <c r="AZ78" s="185" t="s">
        <v>786</v>
      </c>
      <c r="BA78" s="185" t="s">
        <v>503</v>
      </c>
      <c r="BB78" s="185" t="s">
        <v>786</v>
      </c>
      <c r="BC78" s="185" t="s">
        <v>653</v>
      </c>
      <c r="BD78" s="185" t="s">
        <v>503</v>
      </c>
      <c r="BE78" s="185" t="s">
        <v>3792</v>
      </c>
      <c r="BF78" s="185">
        <v>3</v>
      </c>
      <c r="BG78" s="185" t="s">
        <v>3811</v>
      </c>
      <c r="BH78" s="185" t="s">
        <v>3812</v>
      </c>
      <c r="BI78" s="185" t="s">
        <v>3813</v>
      </c>
      <c r="BJ78" s="185" t="s">
        <v>3814</v>
      </c>
      <c r="BK78" s="185" t="s">
        <v>505</v>
      </c>
      <c r="BL78" s="185" t="s">
        <v>567</v>
      </c>
      <c r="BM78" s="185" t="s">
        <v>3815</v>
      </c>
      <c r="BN78" s="185">
        <v>2</v>
      </c>
      <c r="BO78" s="185" t="s">
        <v>3299</v>
      </c>
      <c r="BP78" s="185" t="s">
        <v>199</v>
      </c>
      <c r="BQ78" s="185" t="s">
        <v>3300</v>
      </c>
      <c r="BR78" s="185" t="s">
        <v>199</v>
      </c>
      <c r="BS78" s="185" t="s">
        <v>202</v>
      </c>
      <c r="BT78" s="185" t="s">
        <v>3816</v>
      </c>
    </row>
    <row r="79" spans="1:72" s="184" customFormat="1" ht="54.95" customHeight="1" x14ac:dyDescent="0.25">
      <c r="A79" s="155">
        <v>27</v>
      </c>
      <c r="B79" s="184" t="s">
        <v>959</v>
      </c>
      <c r="C79" s="184" t="s">
        <v>570</v>
      </c>
      <c r="D79" s="184" t="s">
        <v>4166</v>
      </c>
      <c r="E79" s="184" t="s">
        <v>4167</v>
      </c>
      <c r="F79" s="184" t="s">
        <v>4168</v>
      </c>
      <c r="G79" s="184" t="s">
        <v>4169</v>
      </c>
      <c r="H79" s="184" t="s">
        <v>4170</v>
      </c>
      <c r="I79" s="184" t="s">
        <v>4171</v>
      </c>
      <c r="J79" s="184" t="s">
        <v>4172</v>
      </c>
      <c r="K79" s="184" t="s">
        <v>4173</v>
      </c>
      <c r="L79" s="184" t="s">
        <v>3799</v>
      </c>
      <c r="M79" s="184" t="s">
        <v>4174</v>
      </c>
      <c r="N79" s="184" t="s">
        <v>3825</v>
      </c>
      <c r="O79" s="184">
        <v>20</v>
      </c>
      <c r="P79" s="184" t="s">
        <v>259</v>
      </c>
      <c r="Q79" s="184" t="s">
        <v>4175</v>
      </c>
      <c r="R79" s="184" t="s">
        <v>4176</v>
      </c>
      <c r="S79" s="184" t="s">
        <v>4177</v>
      </c>
      <c r="T79" s="184" t="s">
        <v>4178</v>
      </c>
      <c r="U79" s="184" t="s">
        <v>1780</v>
      </c>
      <c r="V79" s="184" t="s">
        <v>4179</v>
      </c>
      <c r="W79" s="184" t="s">
        <v>4180</v>
      </c>
      <c r="X79" s="184" t="s">
        <v>4181</v>
      </c>
      <c r="Y79" s="185" t="s">
        <v>3806</v>
      </c>
      <c r="Z79" s="185">
        <v>4</v>
      </c>
      <c r="AA79" s="185" t="s">
        <v>3807</v>
      </c>
      <c r="AB79" s="185" t="s">
        <v>3808</v>
      </c>
      <c r="AC79" s="185" t="s">
        <v>568</v>
      </c>
      <c r="AD79" s="185" t="s">
        <v>3808</v>
      </c>
      <c r="AE79" s="185" t="s">
        <v>568</v>
      </c>
      <c r="AF79" s="185" t="s">
        <v>464</v>
      </c>
      <c r="AG79" s="185" t="s">
        <v>3809</v>
      </c>
      <c r="AH79" s="185">
        <v>4</v>
      </c>
      <c r="AI79" s="185" t="s">
        <v>498</v>
      </c>
      <c r="AJ79" s="185" t="s">
        <v>179</v>
      </c>
      <c r="AK79" s="185" t="s">
        <v>919</v>
      </c>
      <c r="AL79" s="185" t="s">
        <v>179</v>
      </c>
      <c r="AM79" s="185" t="s">
        <v>408</v>
      </c>
      <c r="AN79" s="185" t="s">
        <v>384</v>
      </c>
      <c r="AO79" s="185" t="s">
        <v>3810</v>
      </c>
      <c r="AP79" s="185">
        <v>4</v>
      </c>
      <c r="AQ79" s="185" t="s">
        <v>184</v>
      </c>
      <c r="AR79" s="185" t="s">
        <v>186</v>
      </c>
      <c r="AS79" s="185" t="s">
        <v>185</v>
      </c>
      <c r="AT79" s="185" t="s">
        <v>184</v>
      </c>
      <c r="AU79" s="185" t="s">
        <v>186</v>
      </c>
      <c r="AV79" s="185" t="s">
        <v>185</v>
      </c>
      <c r="AW79" s="185" t="s">
        <v>57</v>
      </c>
      <c r="AX79" s="185">
        <v>3</v>
      </c>
      <c r="AY79" s="185" t="s">
        <v>410</v>
      </c>
      <c r="AZ79" s="185" t="s">
        <v>786</v>
      </c>
      <c r="BA79" s="185" t="s">
        <v>503</v>
      </c>
      <c r="BB79" s="185" t="s">
        <v>786</v>
      </c>
      <c r="BC79" s="185" t="s">
        <v>653</v>
      </c>
      <c r="BD79" s="185" t="s">
        <v>503</v>
      </c>
      <c r="BE79" s="185" t="s">
        <v>3792</v>
      </c>
      <c r="BF79" s="185">
        <v>3</v>
      </c>
      <c r="BG79" s="185" t="s">
        <v>3811</v>
      </c>
      <c r="BH79" s="185" t="s">
        <v>3812</v>
      </c>
      <c r="BI79" s="185" t="s">
        <v>3813</v>
      </c>
      <c r="BJ79" s="185" t="s">
        <v>3814</v>
      </c>
      <c r="BK79" s="185" t="s">
        <v>505</v>
      </c>
      <c r="BL79" s="185" t="s">
        <v>567</v>
      </c>
      <c r="BM79" s="185" t="s">
        <v>3815</v>
      </c>
      <c r="BN79" s="185">
        <v>2</v>
      </c>
      <c r="BO79" s="185" t="s">
        <v>3299</v>
      </c>
      <c r="BP79" s="185" t="s">
        <v>199</v>
      </c>
      <c r="BQ79" s="185" t="s">
        <v>3300</v>
      </c>
      <c r="BR79" s="185" t="s">
        <v>199</v>
      </c>
      <c r="BS79" s="185" t="s">
        <v>202</v>
      </c>
      <c r="BT79" s="185" t="s">
        <v>3816</v>
      </c>
    </row>
    <row r="80" spans="1:72" s="184" customFormat="1" ht="54.95" customHeight="1" x14ac:dyDescent="0.25">
      <c r="A80" s="155">
        <v>28</v>
      </c>
      <c r="B80" s="184" t="s">
        <v>444</v>
      </c>
      <c r="C80" s="184" t="s">
        <v>205</v>
      </c>
      <c r="D80" s="184" t="s">
        <v>4182</v>
      </c>
      <c r="E80" s="184" t="s">
        <v>4183</v>
      </c>
      <c r="F80" s="184" t="s">
        <v>4184</v>
      </c>
      <c r="G80" s="184" t="s">
        <v>4185</v>
      </c>
      <c r="H80" s="184" t="s">
        <v>4186</v>
      </c>
      <c r="I80" s="184" t="s">
        <v>4187</v>
      </c>
      <c r="J80" s="184" t="s">
        <v>4188</v>
      </c>
      <c r="K80" s="184" t="s">
        <v>4189</v>
      </c>
      <c r="L80" s="184" t="s">
        <v>3799</v>
      </c>
      <c r="M80" s="184" t="s">
        <v>4190</v>
      </c>
      <c r="N80" s="184" t="s">
        <v>4191</v>
      </c>
      <c r="O80" s="184">
        <v>20</v>
      </c>
      <c r="P80" s="184" t="s">
        <v>164</v>
      </c>
      <c r="Q80" s="184" t="s">
        <v>4192</v>
      </c>
      <c r="R80" s="184" t="s">
        <v>4193</v>
      </c>
      <c r="S80" s="184" t="s">
        <v>4194</v>
      </c>
      <c r="T80" s="184" t="s">
        <v>1227</v>
      </c>
      <c r="U80" s="184" t="s">
        <v>521</v>
      </c>
      <c r="V80" s="184" t="s">
        <v>4195</v>
      </c>
      <c r="W80" s="184" t="s">
        <v>4196</v>
      </c>
      <c r="X80" s="184" t="s">
        <v>4197</v>
      </c>
      <c r="Y80" s="185" t="s">
        <v>3806</v>
      </c>
      <c r="Z80" s="185">
        <v>4</v>
      </c>
      <c r="AA80" s="185" t="s">
        <v>3807</v>
      </c>
      <c r="AB80" s="185" t="s">
        <v>3808</v>
      </c>
      <c r="AC80" s="185" t="s">
        <v>568</v>
      </c>
      <c r="AD80" s="185" t="s">
        <v>3808</v>
      </c>
      <c r="AE80" s="185" t="s">
        <v>568</v>
      </c>
      <c r="AF80" s="185" t="s">
        <v>464</v>
      </c>
      <c r="AG80" s="185" t="s">
        <v>3809</v>
      </c>
      <c r="AH80" s="185">
        <v>4</v>
      </c>
      <c r="AI80" s="185" t="s">
        <v>498</v>
      </c>
      <c r="AJ80" s="185" t="s">
        <v>179</v>
      </c>
      <c r="AK80" s="185" t="s">
        <v>919</v>
      </c>
      <c r="AL80" s="185" t="s">
        <v>179</v>
      </c>
      <c r="AM80" s="185" t="s">
        <v>408</v>
      </c>
      <c r="AN80" s="185" t="s">
        <v>384</v>
      </c>
      <c r="AO80" s="185" t="s">
        <v>3810</v>
      </c>
      <c r="AP80" s="185">
        <v>4</v>
      </c>
      <c r="AQ80" s="185" t="s">
        <v>184</v>
      </c>
      <c r="AR80" s="185" t="s">
        <v>186</v>
      </c>
      <c r="AS80" s="185" t="s">
        <v>185</v>
      </c>
      <c r="AT80" s="185" t="s">
        <v>184</v>
      </c>
      <c r="AU80" s="185" t="s">
        <v>186</v>
      </c>
      <c r="AV80" s="185" t="s">
        <v>185</v>
      </c>
      <c r="AW80" s="185" t="s">
        <v>57</v>
      </c>
      <c r="AX80" s="185">
        <v>3</v>
      </c>
      <c r="AY80" s="185" t="s">
        <v>410</v>
      </c>
      <c r="AZ80" s="185" t="s">
        <v>786</v>
      </c>
      <c r="BA80" s="185" t="s">
        <v>503</v>
      </c>
      <c r="BB80" s="185" t="s">
        <v>786</v>
      </c>
      <c r="BC80" s="185" t="s">
        <v>653</v>
      </c>
      <c r="BD80" s="185" t="s">
        <v>503</v>
      </c>
      <c r="BE80" s="185" t="s">
        <v>3792</v>
      </c>
      <c r="BF80" s="185">
        <v>3</v>
      </c>
      <c r="BG80" s="185" t="s">
        <v>3811</v>
      </c>
      <c r="BH80" s="185" t="s">
        <v>3812</v>
      </c>
      <c r="BI80" s="185" t="s">
        <v>3813</v>
      </c>
      <c r="BJ80" s="185" t="s">
        <v>3814</v>
      </c>
      <c r="BK80" s="185" t="s">
        <v>505</v>
      </c>
      <c r="BL80" s="185" t="s">
        <v>567</v>
      </c>
      <c r="BM80" s="185" t="s">
        <v>3815</v>
      </c>
      <c r="BN80" s="185">
        <v>2</v>
      </c>
      <c r="BO80" s="185" t="s">
        <v>3299</v>
      </c>
      <c r="BP80" s="185" t="s">
        <v>199</v>
      </c>
      <c r="BQ80" s="185" t="s">
        <v>3300</v>
      </c>
      <c r="BR80" s="185" t="s">
        <v>199</v>
      </c>
      <c r="BS80" s="185" t="s">
        <v>202</v>
      </c>
      <c r="BT80" s="185" t="s">
        <v>3816</v>
      </c>
    </row>
    <row r="81" spans="1:72" s="184" customFormat="1" ht="54.95" customHeight="1" x14ac:dyDescent="0.25">
      <c r="A81" s="155">
        <v>29</v>
      </c>
      <c r="B81" s="184" t="s">
        <v>798</v>
      </c>
      <c r="C81" s="184" t="s">
        <v>154</v>
      </c>
      <c r="D81" s="184" t="s">
        <v>4198</v>
      </c>
      <c r="E81" s="184" t="s">
        <v>4199</v>
      </c>
      <c r="F81" s="184" t="s">
        <v>4200</v>
      </c>
      <c r="G81" s="184" t="s">
        <v>4201</v>
      </c>
      <c r="H81" s="184" t="s">
        <v>4202</v>
      </c>
      <c r="I81" s="184" t="s">
        <v>4203</v>
      </c>
      <c r="J81" s="184" t="s">
        <v>4204</v>
      </c>
      <c r="K81" s="184" t="s">
        <v>4205</v>
      </c>
      <c r="L81" s="184" t="s">
        <v>3799</v>
      </c>
      <c r="M81" s="184" t="s">
        <v>4206</v>
      </c>
      <c r="N81" s="184" t="s">
        <v>4123</v>
      </c>
      <c r="O81" s="184">
        <v>20</v>
      </c>
      <c r="P81" s="184" t="s">
        <v>484</v>
      </c>
      <c r="Q81" s="184" t="s">
        <v>4207</v>
      </c>
      <c r="R81" s="184" t="s">
        <v>4208</v>
      </c>
      <c r="S81" s="184" t="s">
        <v>4209</v>
      </c>
      <c r="T81" s="184" t="s">
        <v>1165</v>
      </c>
      <c r="U81" s="184" t="s">
        <v>4210</v>
      </c>
      <c r="V81" s="184" t="s">
        <v>4211</v>
      </c>
      <c r="W81" s="184" t="s">
        <v>4212</v>
      </c>
      <c r="X81" s="184" t="s">
        <v>4213</v>
      </c>
      <c r="Y81" s="185" t="s">
        <v>3806</v>
      </c>
      <c r="Z81" s="185">
        <v>4</v>
      </c>
      <c r="AA81" s="185" t="s">
        <v>3807</v>
      </c>
      <c r="AB81" s="185" t="s">
        <v>3808</v>
      </c>
      <c r="AC81" s="185" t="s">
        <v>568</v>
      </c>
      <c r="AD81" s="185" t="s">
        <v>3808</v>
      </c>
      <c r="AE81" s="185" t="s">
        <v>568</v>
      </c>
      <c r="AF81" s="185" t="s">
        <v>464</v>
      </c>
      <c r="AG81" s="185" t="s">
        <v>3809</v>
      </c>
      <c r="AH81" s="185">
        <v>4</v>
      </c>
      <c r="AI81" s="185" t="s">
        <v>498</v>
      </c>
      <c r="AJ81" s="185" t="s">
        <v>179</v>
      </c>
      <c r="AK81" s="185" t="s">
        <v>919</v>
      </c>
      <c r="AL81" s="185" t="s">
        <v>179</v>
      </c>
      <c r="AM81" s="185" t="s">
        <v>408</v>
      </c>
      <c r="AN81" s="185" t="s">
        <v>384</v>
      </c>
      <c r="AO81" s="185" t="s">
        <v>3810</v>
      </c>
      <c r="AP81" s="185">
        <v>4</v>
      </c>
      <c r="AQ81" s="185" t="s">
        <v>184</v>
      </c>
      <c r="AR81" s="185" t="s">
        <v>186</v>
      </c>
      <c r="AS81" s="185" t="s">
        <v>185</v>
      </c>
      <c r="AT81" s="185" t="s">
        <v>184</v>
      </c>
      <c r="AU81" s="185" t="s">
        <v>186</v>
      </c>
      <c r="AV81" s="185" t="s">
        <v>185</v>
      </c>
      <c r="AW81" s="185" t="s">
        <v>57</v>
      </c>
      <c r="AX81" s="185">
        <v>3</v>
      </c>
      <c r="AY81" s="185" t="s">
        <v>410</v>
      </c>
      <c r="AZ81" s="185" t="s">
        <v>786</v>
      </c>
      <c r="BA81" s="185" t="s">
        <v>503</v>
      </c>
      <c r="BB81" s="185" t="s">
        <v>786</v>
      </c>
      <c r="BC81" s="185" t="s">
        <v>653</v>
      </c>
      <c r="BD81" s="185" t="s">
        <v>503</v>
      </c>
      <c r="BE81" s="185" t="s">
        <v>3792</v>
      </c>
      <c r="BF81" s="185">
        <v>3</v>
      </c>
      <c r="BG81" s="185" t="s">
        <v>3811</v>
      </c>
      <c r="BH81" s="185" t="s">
        <v>3812</v>
      </c>
      <c r="BI81" s="185" t="s">
        <v>3813</v>
      </c>
      <c r="BJ81" s="185" t="s">
        <v>3814</v>
      </c>
      <c r="BK81" s="185" t="s">
        <v>505</v>
      </c>
      <c r="BL81" s="185" t="s">
        <v>567</v>
      </c>
      <c r="BM81" s="185" t="s">
        <v>3815</v>
      </c>
      <c r="BN81" s="185">
        <v>2</v>
      </c>
      <c r="BO81" s="185" t="s">
        <v>3299</v>
      </c>
      <c r="BP81" s="185" t="s">
        <v>199</v>
      </c>
      <c r="BQ81" s="185" t="s">
        <v>3300</v>
      </c>
      <c r="BR81" s="185" t="s">
        <v>199</v>
      </c>
      <c r="BS81" s="185" t="s">
        <v>202</v>
      </c>
      <c r="BT81" s="185" t="s">
        <v>3816</v>
      </c>
    </row>
    <row r="82" spans="1:72" s="184" customFormat="1" ht="54.95" customHeight="1" x14ac:dyDescent="0.25">
      <c r="A82" s="155">
        <v>30</v>
      </c>
      <c r="B82" s="184" t="s">
        <v>765</v>
      </c>
      <c r="C82" s="184" t="s">
        <v>325</v>
      </c>
      <c r="D82" s="184" t="s">
        <v>4214</v>
      </c>
      <c r="E82" s="184" t="s">
        <v>4215</v>
      </c>
      <c r="F82" s="184" t="s">
        <v>4216</v>
      </c>
      <c r="G82" s="184" t="s">
        <v>4217</v>
      </c>
      <c r="H82" s="184" t="s">
        <v>4218</v>
      </c>
      <c r="I82" s="184" t="s">
        <v>4219</v>
      </c>
      <c r="J82" s="184" t="s">
        <v>4220</v>
      </c>
      <c r="K82" s="184" t="s">
        <v>4221</v>
      </c>
      <c r="L82" s="184" t="s">
        <v>3799</v>
      </c>
      <c r="M82" s="184" t="s">
        <v>4222</v>
      </c>
      <c r="N82" s="184" t="s">
        <v>3801</v>
      </c>
      <c r="O82" s="184">
        <v>20</v>
      </c>
      <c r="P82" s="184" t="s">
        <v>259</v>
      </c>
      <c r="Q82" s="184" t="s">
        <v>4223</v>
      </c>
      <c r="R82" s="184" t="s">
        <v>4224</v>
      </c>
      <c r="S82" s="184" t="s">
        <v>4225</v>
      </c>
      <c r="T82" s="184" t="s">
        <v>4226</v>
      </c>
      <c r="U82" s="184" t="s">
        <v>4227</v>
      </c>
      <c r="V82" s="184" t="s">
        <v>4228</v>
      </c>
      <c r="W82" s="184" t="s">
        <v>4229</v>
      </c>
      <c r="X82" s="184" t="s">
        <v>4230</v>
      </c>
      <c r="Y82" s="185" t="s">
        <v>3806</v>
      </c>
      <c r="Z82" s="185">
        <v>4</v>
      </c>
      <c r="AA82" s="185" t="s">
        <v>3807</v>
      </c>
      <c r="AB82" s="185" t="s">
        <v>3808</v>
      </c>
      <c r="AC82" s="185" t="s">
        <v>568</v>
      </c>
      <c r="AD82" s="185" t="s">
        <v>3808</v>
      </c>
      <c r="AE82" s="185" t="s">
        <v>568</v>
      </c>
      <c r="AF82" s="185" t="s">
        <v>464</v>
      </c>
      <c r="AG82" s="185" t="s">
        <v>3809</v>
      </c>
      <c r="AH82" s="185">
        <v>4</v>
      </c>
      <c r="AI82" s="185" t="s">
        <v>498</v>
      </c>
      <c r="AJ82" s="185" t="s">
        <v>179</v>
      </c>
      <c r="AK82" s="185" t="s">
        <v>919</v>
      </c>
      <c r="AL82" s="185" t="s">
        <v>179</v>
      </c>
      <c r="AM82" s="185" t="s">
        <v>408</v>
      </c>
      <c r="AN82" s="185" t="s">
        <v>384</v>
      </c>
      <c r="AO82" s="185" t="s">
        <v>3810</v>
      </c>
      <c r="AP82" s="185">
        <v>4</v>
      </c>
      <c r="AQ82" s="185" t="s">
        <v>184</v>
      </c>
      <c r="AR82" s="185" t="s">
        <v>186</v>
      </c>
      <c r="AS82" s="185" t="s">
        <v>185</v>
      </c>
      <c r="AT82" s="185" t="s">
        <v>184</v>
      </c>
      <c r="AU82" s="185" t="s">
        <v>186</v>
      </c>
      <c r="AV82" s="185" t="s">
        <v>185</v>
      </c>
      <c r="AW82" s="185" t="s">
        <v>57</v>
      </c>
      <c r="AX82" s="185">
        <v>3</v>
      </c>
      <c r="AY82" s="185" t="s">
        <v>410</v>
      </c>
      <c r="AZ82" s="185" t="s">
        <v>786</v>
      </c>
      <c r="BA82" s="185" t="s">
        <v>503</v>
      </c>
      <c r="BB82" s="185" t="s">
        <v>786</v>
      </c>
      <c r="BC82" s="185" t="s">
        <v>653</v>
      </c>
      <c r="BD82" s="185" t="s">
        <v>503</v>
      </c>
      <c r="BE82" s="185" t="s">
        <v>3792</v>
      </c>
      <c r="BF82" s="185">
        <v>3</v>
      </c>
      <c r="BG82" s="185" t="s">
        <v>3811</v>
      </c>
      <c r="BH82" s="185" t="s">
        <v>3812</v>
      </c>
      <c r="BI82" s="185" t="s">
        <v>3813</v>
      </c>
      <c r="BJ82" s="185" t="s">
        <v>3814</v>
      </c>
      <c r="BK82" s="185" t="s">
        <v>505</v>
      </c>
      <c r="BL82" s="185" t="s">
        <v>567</v>
      </c>
      <c r="BM82" s="185" t="s">
        <v>3815</v>
      </c>
      <c r="BN82" s="185">
        <v>2</v>
      </c>
      <c r="BO82" s="185" t="s">
        <v>3299</v>
      </c>
      <c r="BP82" s="185" t="s">
        <v>199</v>
      </c>
      <c r="BQ82" s="185" t="s">
        <v>3300</v>
      </c>
      <c r="BR82" s="185" t="s">
        <v>199</v>
      </c>
      <c r="BS82" s="185" t="s">
        <v>202</v>
      </c>
      <c r="BT82" s="185" t="s">
        <v>3816</v>
      </c>
    </row>
    <row r="83" spans="1:72" x14ac:dyDescent="0.25">
      <c r="A83" s="7"/>
      <c r="B83" s="7"/>
      <c r="C83" s="7"/>
      <c r="D83" s="7"/>
      <c r="E83" s="7"/>
      <c r="F83" s="7"/>
      <c r="G83" s="7"/>
      <c r="H83" s="7"/>
      <c r="I83" s="7"/>
      <c r="J83" s="7"/>
      <c r="K83" s="7"/>
      <c r="L83" s="7"/>
      <c r="M83" s="7"/>
      <c r="N83" s="7"/>
      <c r="O83" s="7"/>
      <c r="P83" s="7"/>
      <c r="Q83" s="7"/>
      <c r="R83" s="7"/>
      <c r="S83" s="7"/>
      <c r="T83" s="7"/>
      <c r="U83" s="7"/>
      <c r="V83" s="7"/>
      <c r="W83" s="7"/>
      <c r="X83" s="7"/>
    </row>
    <row r="84" spans="1:72" x14ac:dyDescent="0.25">
      <c r="A84" s="7"/>
      <c r="B84" s="7"/>
      <c r="C84" s="7"/>
      <c r="D84" s="7"/>
      <c r="E84" s="7"/>
      <c r="F84" s="7"/>
      <c r="G84" s="7"/>
      <c r="H84" s="7"/>
      <c r="I84" s="7"/>
      <c r="J84" s="7"/>
      <c r="K84" s="7"/>
      <c r="L84" s="7"/>
      <c r="M84" s="7"/>
      <c r="N84" s="7"/>
      <c r="O84" s="7"/>
      <c r="P84" s="7"/>
      <c r="Q84" s="7"/>
      <c r="R84" s="7"/>
      <c r="S84" s="7"/>
      <c r="T84" s="7"/>
      <c r="U84" s="7"/>
      <c r="V84" s="7"/>
      <c r="W84" s="7"/>
      <c r="X84" s="7"/>
    </row>
    <row r="85" spans="1:72" x14ac:dyDescent="0.25">
      <c r="A85" s="7"/>
      <c r="B85" s="7"/>
      <c r="C85" s="7"/>
      <c r="D85" s="7"/>
      <c r="E85" s="7"/>
      <c r="F85" s="7"/>
      <c r="G85" s="7"/>
      <c r="H85" s="7"/>
      <c r="I85" s="7"/>
      <c r="J85" s="7"/>
      <c r="K85" s="7"/>
      <c r="L85" s="7"/>
      <c r="M85" s="7"/>
      <c r="N85" s="7"/>
      <c r="O85" s="7"/>
      <c r="P85" s="7"/>
      <c r="Q85" s="7"/>
      <c r="R85" s="7"/>
      <c r="S85" s="7"/>
      <c r="T85" s="7"/>
      <c r="U85" s="7"/>
      <c r="V85" s="7"/>
      <c r="W85" s="7"/>
      <c r="X85" s="7"/>
    </row>
    <row r="86" spans="1:72" x14ac:dyDescent="0.25">
      <c r="A86" s="7"/>
      <c r="B86" s="7"/>
      <c r="C86" s="7"/>
      <c r="D86" s="7"/>
      <c r="E86" s="7"/>
      <c r="F86" s="7"/>
      <c r="G86" s="7"/>
      <c r="H86" s="7"/>
      <c r="I86" s="7"/>
      <c r="J86" s="7"/>
      <c r="K86" s="7"/>
      <c r="L86" s="7"/>
      <c r="M86" s="7"/>
      <c r="N86" s="7"/>
      <c r="O86" s="7"/>
      <c r="P86" s="7"/>
      <c r="Q86" s="7"/>
      <c r="R86" s="7"/>
      <c r="S86" s="7"/>
      <c r="T86" s="7"/>
      <c r="U86" s="7"/>
      <c r="V86" s="7"/>
      <c r="W86" s="7"/>
      <c r="X86" s="7"/>
    </row>
    <row r="87" spans="1:72" x14ac:dyDescent="0.25">
      <c r="A87" s="7"/>
      <c r="B87" s="7"/>
      <c r="C87" s="7"/>
      <c r="D87" s="7"/>
      <c r="E87" s="7"/>
      <c r="F87" s="7"/>
      <c r="G87" s="7"/>
      <c r="H87" s="7"/>
      <c r="I87" s="7"/>
      <c r="J87" s="7"/>
      <c r="K87" s="7"/>
      <c r="L87" s="7"/>
      <c r="M87" s="7"/>
      <c r="N87" s="7"/>
      <c r="O87" s="7"/>
      <c r="P87" s="7"/>
      <c r="Q87" s="7"/>
      <c r="R87" s="7"/>
      <c r="S87" s="7"/>
      <c r="T87" s="7"/>
      <c r="U87" s="7"/>
      <c r="V87" s="7"/>
      <c r="W87" s="7"/>
      <c r="X87" s="7"/>
    </row>
    <row r="88" spans="1:72" x14ac:dyDescent="0.25">
      <c r="A88" s="7"/>
      <c r="B88" s="7"/>
      <c r="C88" s="7"/>
      <c r="D88" s="7"/>
      <c r="E88" s="7"/>
      <c r="F88" s="7"/>
      <c r="G88" s="7"/>
      <c r="H88" s="7"/>
      <c r="I88" s="7"/>
      <c r="J88" s="7"/>
      <c r="K88" s="7"/>
      <c r="L88" s="7"/>
      <c r="M88" s="7"/>
      <c r="N88" s="7"/>
      <c r="O88" s="7"/>
      <c r="P88" s="7"/>
      <c r="Q88" s="7"/>
      <c r="R88" s="7"/>
      <c r="S88" s="7"/>
      <c r="T88" s="7"/>
      <c r="U88" s="7"/>
      <c r="V88" s="7"/>
      <c r="W88" s="7"/>
      <c r="X88" s="7"/>
    </row>
    <row r="89" spans="1:72" x14ac:dyDescent="0.25">
      <c r="A89" s="7"/>
      <c r="B89" s="7"/>
      <c r="C89" s="7"/>
      <c r="D89" s="7"/>
      <c r="E89" s="7"/>
      <c r="F89" s="7"/>
      <c r="G89" s="7"/>
      <c r="H89" s="7"/>
      <c r="I89" s="7"/>
      <c r="J89" s="7"/>
      <c r="K89" s="7"/>
      <c r="L89" s="7"/>
      <c r="M89" s="7"/>
      <c r="N89" s="7"/>
      <c r="O89" s="7"/>
      <c r="P89" s="7"/>
      <c r="Q89" s="7"/>
      <c r="R89" s="7"/>
      <c r="S89" s="7"/>
      <c r="T89" s="7"/>
      <c r="U89" s="7"/>
      <c r="V89" s="7"/>
      <c r="W89" s="7"/>
      <c r="X89" s="7"/>
    </row>
    <row r="90" spans="1:72" x14ac:dyDescent="0.25">
      <c r="A90" s="7"/>
      <c r="B90" s="7"/>
      <c r="C90" s="7"/>
      <c r="D90" s="7"/>
      <c r="E90" s="7"/>
      <c r="F90" s="7"/>
      <c r="G90" s="7"/>
      <c r="H90" s="7"/>
      <c r="I90" s="7"/>
      <c r="J90" s="7"/>
      <c r="K90" s="7"/>
      <c r="L90" s="7"/>
      <c r="M90" s="7"/>
      <c r="N90" s="7"/>
      <c r="O90" s="7"/>
      <c r="P90" s="7"/>
      <c r="Q90" s="7"/>
      <c r="R90" s="7"/>
      <c r="S90" s="7"/>
      <c r="T90" s="7"/>
      <c r="U90" s="7"/>
      <c r="V90" s="7"/>
      <c r="W90" s="7"/>
      <c r="X90" s="7"/>
    </row>
    <row r="91" spans="1:72" x14ac:dyDescent="0.25">
      <c r="A91" s="7"/>
      <c r="B91" s="7"/>
      <c r="C91" s="7"/>
      <c r="D91" s="7"/>
      <c r="E91" s="7"/>
      <c r="F91" s="7"/>
      <c r="G91" s="7"/>
      <c r="H91" s="7"/>
      <c r="I91" s="7"/>
      <c r="J91" s="7"/>
      <c r="K91" s="7"/>
      <c r="L91" s="7"/>
      <c r="M91" s="7"/>
      <c r="N91" s="7"/>
      <c r="O91" s="7"/>
      <c r="P91" s="7"/>
      <c r="Q91" s="7"/>
      <c r="R91" s="7"/>
      <c r="S91" s="7"/>
      <c r="T91" s="7"/>
      <c r="U91" s="7"/>
      <c r="V91" s="7"/>
      <c r="W91" s="7"/>
      <c r="X91" s="7"/>
    </row>
    <row r="92" spans="1:72" x14ac:dyDescent="0.25">
      <c r="A92" s="7"/>
      <c r="B92" s="7"/>
      <c r="C92" s="7"/>
      <c r="D92" s="7"/>
      <c r="E92" s="7"/>
      <c r="F92" s="7"/>
      <c r="G92" s="7"/>
      <c r="H92" s="7"/>
      <c r="I92" s="7"/>
      <c r="J92" s="7"/>
      <c r="K92" s="7"/>
      <c r="L92" s="7"/>
      <c r="M92" s="7"/>
      <c r="N92" s="7"/>
      <c r="O92" s="7"/>
      <c r="P92" s="7"/>
      <c r="Q92" s="7"/>
      <c r="R92" s="7"/>
      <c r="S92" s="7"/>
      <c r="T92" s="7"/>
      <c r="U92" s="7"/>
      <c r="V92" s="7"/>
      <c r="W92" s="7"/>
      <c r="X92" s="7"/>
    </row>
    <row r="93" spans="1:72" x14ac:dyDescent="0.25">
      <c r="A93" s="7"/>
      <c r="B93" s="7"/>
      <c r="C93" s="7"/>
      <c r="D93" s="7"/>
      <c r="E93" s="7"/>
      <c r="F93" s="7"/>
      <c r="G93" s="7"/>
      <c r="H93" s="7"/>
      <c r="I93" s="7"/>
      <c r="J93" s="7"/>
      <c r="K93" s="7"/>
      <c r="L93" s="7"/>
      <c r="M93" s="7"/>
      <c r="N93" s="7"/>
      <c r="O93" s="7"/>
      <c r="P93" s="7"/>
      <c r="Q93" s="7"/>
      <c r="R93" s="7"/>
      <c r="S93" s="7"/>
      <c r="T93" s="7"/>
      <c r="U93" s="7"/>
      <c r="V93" s="7"/>
      <c r="W93" s="7"/>
      <c r="X93" s="7"/>
    </row>
    <row r="94" spans="1:72" x14ac:dyDescent="0.25">
      <c r="A94" s="7"/>
      <c r="B94" s="7"/>
      <c r="C94" s="7"/>
      <c r="D94" s="7"/>
      <c r="E94" s="7"/>
      <c r="F94" s="7"/>
      <c r="G94" s="7"/>
      <c r="H94" s="7"/>
      <c r="I94" s="7"/>
      <c r="J94" s="7"/>
      <c r="K94" s="7"/>
      <c r="L94" s="7"/>
      <c r="M94" s="7"/>
      <c r="N94" s="7"/>
      <c r="O94" s="7"/>
      <c r="P94" s="7"/>
      <c r="Q94" s="7"/>
      <c r="R94" s="7"/>
      <c r="S94" s="7"/>
      <c r="T94" s="7"/>
      <c r="U94" s="7"/>
      <c r="V94" s="7"/>
      <c r="W94" s="7"/>
      <c r="X94" s="7"/>
    </row>
    <row r="95" spans="1:72" x14ac:dyDescent="0.25">
      <c r="A95" s="7"/>
      <c r="B95" s="7"/>
      <c r="C95" s="7"/>
      <c r="D95" s="7"/>
      <c r="E95" s="7"/>
      <c r="F95" s="7"/>
      <c r="G95" s="7"/>
      <c r="H95" s="7"/>
      <c r="I95" s="7"/>
      <c r="J95" s="7"/>
      <c r="K95" s="7"/>
      <c r="L95" s="7"/>
      <c r="M95" s="7"/>
      <c r="N95" s="7"/>
      <c r="O95" s="7"/>
      <c r="P95" s="7"/>
      <c r="Q95" s="7"/>
      <c r="R95" s="7"/>
      <c r="S95" s="7"/>
      <c r="T95" s="7"/>
      <c r="U95" s="7"/>
      <c r="V95" s="7"/>
      <c r="W95" s="7"/>
      <c r="X95" s="7"/>
    </row>
  </sheetData>
  <mergeCells count="21">
    <mergeCell ref="A11:A12"/>
    <mergeCell ref="A15:A16"/>
    <mergeCell ref="I13:M13"/>
    <mergeCell ref="B13:F13"/>
    <mergeCell ref="B9:F9"/>
    <mergeCell ref="H15:H16"/>
    <mergeCell ref="H11:H12"/>
    <mergeCell ref="I9:M9"/>
    <mergeCell ref="B11:F11"/>
    <mergeCell ref="I11:M11"/>
    <mergeCell ref="B12:F12"/>
    <mergeCell ref="I12:M12"/>
    <mergeCell ref="B19:F19"/>
    <mergeCell ref="I19:M19"/>
    <mergeCell ref="A26:A36"/>
    <mergeCell ref="B15:F15"/>
    <mergeCell ref="I15:M15"/>
    <mergeCell ref="B16:F16"/>
    <mergeCell ref="I16:M16"/>
    <mergeCell ref="B17:F17"/>
    <mergeCell ref="I17:M1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B04F3-6BE4-45D4-9A97-43DC94146802}">
  <dimension ref="A1:Z249"/>
  <sheetViews>
    <sheetView workbookViewId="0">
      <selection activeCell="A7" sqref="A7:XFD250"/>
    </sheetView>
  </sheetViews>
  <sheetFormatPr baseColWidth="10" defaultRowHeight="15" x14ac:dyDescent="0.25"/>
  <cols>
    <col min="1" max="1" width="4.75" style="163" customWidth="1"/>
    <col min="2" max="2" width="37.75" style="163" customWidth="1"/>
    <col min="3" max="3" width="29.375" style="163" customWidth="1"/>
    <col min="4" max="4" width="11" style="163"/>
    <col min="5" max="5" width="47.5" style="163" customWidth="1"/>
    <col min="6" max="6" width="18.125" style="163" customWidth="1"/>
    <col min="7" max="8" width="40.625" style="163" customWidth="1"/>
    <col min="9" max="9" width="44.875" style="163" customWidth="1"/>
    <col min="10" max="10" width="40.625" style="163" customWidth="1"/>
    <col min="11" max="11" width="81.5" style="163" customWidth="1"/>
    <col min="12" max="12" width="67.875" style="163" customWidth="1"/>
    <col min="13" max="13" width="46" style="163" customWidth="1"/>
    <col min="14" max="14" width="52.375" style="163" customWidth="1"/>
    <col min="15" max="15" width="55.375" style="163" customWidth="1"/>
    <col min="16" max="17" width="40.625" style="163" customWidth="1"/>
    <col min="18" max="19" width="30.625" style="163" customWidth="1"/>
    <col min="20" max="20" width="40.625" style="163" customWidth="1"/>
    <col min="21" max="21" width="36.375" style="163" customWidth="1"/>
    <col min="22" max="26" width="40.625" style="163" customWidth="1"/>
    <col min="27" max="16384" width="11" style="163"/>
  </cols>
  <sheetData>
    <row r="1" spans="2:26" ht="33" customHeight="1" x14ac:dyDescent="0.25">
      <c r="B1" s="162" t="s">
        <v>4830</v>
      </c>
    </row>
    <row r="2" spans="2:26" ht="27" customHeight="1" x14ac:dyDescent="0.25">
      <c r="B2" s="157" t="s">
        <v>4844</v>
      </c>
    </row>
    <row r="3" spans="2:26" s="164" customFormat="1" ht="27.95" customHeight="1" x14ac:dyDescent="0.25">
      <c r="B3" s="1189"/>
      <c r="C3" s="1189"/>
      <c r="D3" s="1189" t="s">
        <v>83</v>
      </c>
      <c r="E3" s="1189" t="s">
        <v>5</v>
      </c>
      <c r="F3" s="1189" t="s">
        <v>6</v>
      </c>
      <c r="G3" s="1189" t="s">
        <v>84</v>
      </c>
      <c r="H3" s="1189" t="s">
        <v>85</v>
      </c>
      <c r="I3" s="1191" t="s">
        <v>86</v>
      </c>
      <c r="J3" s="1192" t="s">
        <v>87</v>
      </c>
      <c r="K3" s="1191" t="s">
        <v>88</v>
      </c>
      <c r="L3" s="1192" t="s">
        <v>89</v>
      </c>
      <c r="M3" s="1191" t="s">
        <v>90</v>
      </c>
      <c r="N3" s="1190" t="s">
        <v>91</v>
      </c>
      <c r="O3" s="1189" t="s">
        <v>92</v>
      </c>
    </row>
    <row r="4" spans="2:26" s="165" customFormat="1" ht="90" customHeight="1" x14ac:dyDescent="0.25">
      <c r="B4" s="1570" t="s">
        <v>4831</v>
      </c>
      <c r="C4" s="1570"/>
      <c r="D4" s="158">
        <v>120</v>
      </c>
      <c r="E4" s="166" t="str">
        <f>IFERROR(INDEX(E$7:E$249,MATCH($D4,$D$7:$D$249,0)),"Question non trouvée")</f>
        <v>Adultes</v>
      </c>
      <c r="F4" s="166" t="str">
        <f>IFERROR(INDEX(F$7:F$249,MATCH($D4,$D$7:$D$249,0)),"Question non trouvée")</f>
        <v>Automne</v>
      </c>
      <c r="G4" s="166" t="str">
        <f t="shared" ref="G4:O4" si="0">IFERROR(INDEX(G$7:G$249,MATCH($D4,$D$7:$D$249,0)),"Question non trouvée")</f>
        <v>Plat principal à analyser : Moules marinières adaptées collectif</v>
      </c>
      <c r="H4" s="166" t="str">
        <f t="shared" si="0"/>
        <v>allergènes, acceptabilité et traçabilité</v>
      </c>
      <c r="I4" s="166" t="str">
        <f t="shared" si="0"/>
        <v>Analysez le plat principal « Moules marinières adaptées collectif » : identifiez sa famille, son risque principal, puis proposez une garniture, une sauce ou un jus, une adaptation convive et une justification.</v>
      </c>
      <c r="J4" s="166" t="str">
        <f t="shared" si="0"/>
        <v>Regarde le plat « Moules marinières adaptées collectif » : c’est quelle famille, quel est le risque, et qu’est-ce que tu mets avec pour que le menu fonctionne ?</v>
      </c>
      <c r="K4" s="166" t="str">
        <f t="shared" si="0"/>
        <v>Moules marinières adaptées collectif appartient à la famille coquillages. Le risque principal est allergènes, acceptabilité et traçabilité. Je propose comme garniture : Pommes vapeur, légumes verts ou frites au four selon cadre. Pour la sauce ou le jus : Jus marinière maîtrisé. L’adaptation convive est : Convives allergiques ou réticents : information et alternative. La justification est de construire le menu à partir du plat principal sans corriger au hasard.</v>
      </c>
      <c r="L4" s="166" t="str">
        <f t="shared" si="0"/>
        <v>C’est un plat de la famille coquillages. Le risque, c’est allergènes, acceptabilité et traçabilité. Je mets avec : Pommes vapeur, légumes verts ou frites au four selon cadre. J’ajoute ou je vérifie : Jus marinière maîtrisé. Je pense au convive : Convives allergiques ou réticents : information et alternative. J’explique mon choix au lieu de répondre au hasard.</v>
      </c>
      <c r="M4" s="166" t="str">
        <f t="shared" si="0"/>
        <v>Si la réponse reste générale, demander à l’apprenant de nommer le plat, sa famille, le risque précis, puis une correction par garniture et sauce.</v>
      </c>
      <c r="N4" s="166" t="str">
        <f t="shared" si="0"/>
        <v>Demander : « C’est quel type de plat ? Qu’est-ce qui peut rater ? Avec quoi tu le rends meilleur ? Pour qui tu le prépares ? »</v>
      </c>
      <c r="O4" s="166" t="str">
        <f t="shared" si="0"/>
        <v>Famille du plat 4 pts ; risque principal 4 pts ; garniture 4 pts ; sauce ou jus 3 pts ; adaptation convive 3 pts ; justification 2 pts.</v>
      </c>
    </row>
    <row r="5" spans="2:26" s="165" customFormat="1" ht="27.95" customHeight="1" x14ac:dyDescent="0.25">
      <c r="B5" s="1189"/>
      <c r="C5" s="1189" t="s">
        <v>83</v>
      </c>
      <c r="D5" s="1189"/>
      <c r="E5" s="1189" t="s">
        <v>93</v>
      </c>
      <c r="F5" s="1189" t="s">
        <v>94</v>
      </c>
      <c r="G5" s="1189" t="s">
        <v>96</v>
      </c>
      <c r="H5" s="1189" t="s">
        <v>97</v>
      </c>
      <c r="I5" s="1189" t="s">
        <v>4840</v>
      </c>
      <c r="J5" s="1189" t="s">
        <v>4841</v>
      </c>
      <c r="K5" s="1189" t="s">
        <v>4842</v>
      </c>
      <c r="L5" s="1189" t="s">
        <v>4843</v>
      </c>
      <c r="M5" s="1189" t="s">
        <v>102</v>
      </c>
      <c r="N5" s="167" t="s">
        <v>103</v>
      </c>
      <c r="O5" s="168" t="s">
        <v>104</v>
      </c>
      <c r="P5" s="166"/>
      <c r="Q5" s="166"/>
      <c r="R5" s="166"/>
      <c r="S5" s="166"/>
      <c r="T5" s="166"/>
      <c r="U5" s="166"/>
      <c r="V5" s="166"/>
      <c r="W5" s="166"/>
      <c r="X5" s="166"/>
      <c r="Y5" s="166"/>
      <c r="Z5" s="166"/>
    </row>
    <row r="6" spans="2:26" s="165" customFormat="1" ht="81" customHeight="1" x14ac:dyDescent="0.25">
      <c r="B6" s="1327" t="s">
        <v>4770</v>
      </c>
      <c r="C6" s="1328" t="s">
        <v>4832</v>
      </c>
      <c r="D6" s="159"/>
      <c r="E6" s="166" t="str">
        <f t="shared" ref="E6:O6" si="1">IFERROR(INDEX(P$7:P$249,MATCH($D4,$D$7:$D$249,0)),"Question non trouvée")</f>
        <v>coquillages ; allergènes, acceptabilité et traçabilité ; Pommes vapeur, légumes verts ou frites au four selon cadre ; Jus marinière maîtrisé ; Convives allergiques ou réticents : information et alternative ; justification</v>
      </c>
      <c r="F6" s="166" t="str">
        <f t="shared" si="1"/>
        <v>M02 ; M03 ; M05</v>
      </c>
      <c r="G6" s="166" t="str">
        <f t="shared" si="1"/>
        <v>Difficile</v>
      </c>
      <c r="H6" s="169" t="str">
        <f t="shared" si="1"/>
        <v>Allergènes / production</v>
      </c>
      <c r="I6" s="166" t="str">
        <f t="shared" si="1"/>
        <v>Pommes vapeur, légumes verts ou frites au four selon cadre</v>
      </c>
      <c r="J6" s="166" t="str">
        <f t="shared" si="1"/>
        <v>Jus marinière maîtrisé</v>
      </c>
      <c r="K6" s="166" t="str">
        <f t="shared" si="1"/>
        <v>Entrée simple non iodée</v>
      </c>
      <c r="L6" s="166" t="str">
        <f t="shared" si="1"/>
        <v>Fruit</v>
      </c>
      <c r="M6" s="170" t="str">
        <f t="shared" si="1"/>
        <v>Convives allergiques ou réticents : information et alternative</v>
      </c>
      <c r="N6" s="170" t="str">
        <f t="shared" si="1"/>
        <v>Traçabilité, température, coquillages</v>
      </c>
      <c r="O6" s="171" t="str">
        <f t="shared" si="1"/>
        <v>Moules marinières adaptées collectif : famille + risque + garniture + sauce + convive.</v>
      </c>
      <c r="P6" s="166"/>
      <c r="Q6" s="166"/>
      <c r="R6" s="166"/>
      <c r="S6" s="166"/>
      <c r="T6" s="166"/>
      <c r="U6" s="166"/>
      <c r="V6" s="166"/>
      <c r="W6" s="166"/>
      <c r="X6" s="166"/>
      <c r="Y6" s="166"/>
      <c r="Z6" s="166"/>
    </row>
    <row r="7" spans="2:26" s="164" customFormat="1" ht="30" customHeight="1" x14ac:dyDescent="0.25">
      <c r="B7" s="1329" t="s">
        <v>4769</v>
      </c>
      <c r="C7" s="1330" t="s">
        <v>4833</v>
      </c>
      <c r="D7" s="172">
        <v>1</v>
      </c>
      <c r="E7" s="173" t="s">
        <v>153</v>
      </c>
      <c r="F7" s="173" t="s">
        <v>154</v>
      </c>
      <c r="G7" s="173" t="s">
        <v>155</v>
      </c>
      <c r="H7" s="173" t="s">
        <v>156</v>
      </c>
      <c r="I7" s="173" t="s">
        <v>157</v>
      </c>
      <c r="J7" s="173" t="s">
        <v>158</v>
      </c>
      <c r="K7" s="173" t="s">
        <v>37</v>
      </c>
      <c r="L7" s="173" t="s">
        <v>41</v>
      </c>
      <c r="M7" s="173" t="s">
        <v>159</v>
      </c>
      <c r="N7" s="173" t="s">
        <v>160</v>
      </c>
      <c r="O7" s="173" t="s">
        <v>161</v>
      </c>
      <c r="P7" s="173" t="s">
        <v>162</v>
      </c>
      <c r="Q7" s="173" t="s">
        <v>163</v>
      </c>
      <c r="R7" s="173" t="s">
        <v>164</v>
      </c>
      <c r="S7" s="173" t="s">
        <v>165</v>
      </c>
      <c r="T7" s="173" t="s">
        <v>166</v>
      </c>
      <c r="U7" s="173" t="s">
        <v>167</v>
      </c>
      <c r="V7" s="173" t="s">
        <v>168</v>
      </c>
      <c r="W7" s="173" t="s">
        <v>169</v>
      </c>
      <c r="X7" s="173" t="s">
        <v>170</v>
      </c>
      <c r="Y7" s="173" t="s">
        <v>171</v>
      </c>
      <c r="Z7" s="173" t="s">
        <v>172</v>
      </c>
    </row>
    <row r="8" spans="2:26" s="164" customFormat="1" ht="30" customHeight="1" x14ac:dyDescent="0.25">
      <c r="B8" s="1329" t="s">
        <v>4773</v>
      </c>
      <c r="C8" s="1330" t="s">
        <v>4834</v>
      </c>
      <c r="D8" s="174">
        <v>2</v>
      </c>
      <c r="E8" s="175" t="s">
        <v>204</v>
      </c>
      <c r="F8" s="175" t="s">
        <v>205</v>
      </c>
      <c r="G8" s="175" t="s">
        <v>206</v>
      </c>
      <c r="H8" s="175" t="s">
        <v>207</v>
      </c>
      <c r="I8" s="175" t="s">
        <v>208</v>
      </c>
      <c r="J8" s="175" t="s">
        <v>209</v>
      </c>
      <c r="K8" s="175" t="s">
        <v>210</v>
      </c>
      <c r="L8" s="175" t="s">
        <v>211</v>
      </c>
      <c r="M8" s="175" t="s">
        <v>212</v>
      </c>
      <c r="N8" s="175" t="s">
        <v>213</v>
      </c>
      <c r="O8" s="175" t="s">
        <v>214</v>
      </c>
      <c r="P8" s="175" t="s">
        <v>215</v>
      </c>
      <c r="Q8" s="175" t="s">
        <v>216</v>
      </c>
      <c r="R8" s="175" t="s">
        <v>164</v>
      </c>
      <c r="S8" s="175" t="s">
        <v>217</v>
      </c>
      <c r="T8" s="175" t="s">
        <v>218</v>
      </c>
      <c r="U8" s="175" t="s">
        <v>219</v>
      </c>
      <c r="V8" s="175" t="s">
        <v>220</v>
      </c>
      <c r="W8" s="175" t="s">
        <v>221</v>
      </c>
      <c r="X8" s="175" t="s">
        <v>222</v>
      </c>
      <c r="Y8" s="175" t="s">
        <v>223</v>
      </c>
      <c r="Z8" s="175" t="s">
        <v>224</v>
      </c>
    </row>
    <row r="9" spans="2:26" s="164" customFormat="1" ht="30" customHeight="1" x14ac:dyDescent="0.25">
      <c r="B9" s="1329" t="s">
        <v>4768</v>
      </c>
      <c r="C9" s="1330" t="s">
        <v>4835</v>
      </c>
      <c r="D9" s="174">
        <v>3</v>
      </c>
      <c r="E9" s="175" t="s">
        <v>246</v>
      </c>
      <c r="F9" s="175" t="s">
        <v>247</v>
      </c>
      <c r="G9" s="175" t="s">
        <v>248</v>
      </c>
      <c r="H9" s="175" t="s">
        <v>249</v>
      </c>
      <c r="I9" s="175" t="s">
        <v>250</v>
      </c>
      <c r="J9" s="175" t="s">
        <v>251</v>
      </c>
      <c r="K9" s="175" t="s">
        <v>252</v>
      </c>
      <c r="L9" s="175" t="s">
        <v>253</v>
      </c>
      <c r="M9" s="175" t="s">
        <v>254</v>
      </c>
      <c r="N9" s="175" t="s">
        <v>255</v>
      </c>
      <c r="O9" s="175" t="s">
        <v>256</v>
      </c>
      <c r="P9" s="175" t="s">
        <v>257</v>
      </c>
      <c r="Q9" s="175" t="s">
        <v>258</v>
      </c>
      <c r="R9" s="175" t="s">
        <v>259</v>
      </c>
      <c r="S9" s="175" t="s">
        <v>260</v>
      </c>
      <c r="T9" s="175" t="s">
        <v>261</v>
      </c>
      <c r="U9" s="175" t="s">
        <v>262</v>
      </c>
      <c r="V9" s="175" t="s">
        <v>263</v>
      </c>
      <c r="W9" s="175" t="s">
        <v>264</v>
      </c>
      <c r="X9" s="175" t="s">
        <v>265</v>
      </c>
      <c r="Y9" s="175" t="s">
        <v>266</v>
      </c>
      <c r="Z9" s="175" t="s">
        <v>267</v>
      </c>
    </row>
    <row r="10" spans="2:26" s="164" customFormat="1" ht="30" customHeight="1" x14ac:dyDescent="0.25">
      <c r="B10" s="1329" t="s">
        <v>4764</v>
      </c>
      <c r="C10" s="1330" t="s">
        <v>4836</v>
      </c>
      <c r="D10" s="174">
        <v>4</v>
      </c>
      <c r="E10" s="175" t="s">
        <v>290</v>
      </c>
      <c r="F10" s="175" t="s">
        <v>154</v>
      </c>
      <c r="G10" s="175" t="s">
        <v>291</v>
      </c>
      <c r="H10" s="175" t="s">
        <v>292</v>
      </c>
      <c r="I10" s="175" t="s">
        <v>293</v>
      </c>
      <c r="J10" s="175" t="s">
        <v>294</v>
      </c>
      <c r="K10" s="175" t="s">
        <v>295</v>
      </c>
      <c r="L10" s="175" t="s">
        <v>296</v>
      </c>
      <c r="M10" s="175" t="s">
        <v>297</v>
      </c>
      <c r="N10" s="175" t="s">
        <v>298</v>
      </c>
      <c r="O10" s="175" t="s">
        <v>299</v>
      </c>
      <c r="P10" s="175" t="s">
        <v>300</v>
      </c>
      <c r="Q10" s="175" t="s">
        <v>301</v>
      </c>
      <c r="R10" s="175" t="s">
        <v>259</v>
      </c>
      <c r="S10" s="175" t="s">
        <v>302</v>
      </c>
      <c r="T10" s="175" t="s">
        <v>303</v>
      </c>
      <c r="U10" s="175" t="s">
        <v>304</v>
      </c>
      <c r="V10" s="175" t="s">
        <v>305</v>
      </c>
      <c r="W10" s="175" t="s">
        <v>306</v>
      </c>
      <c r="X10" s="175" t="s">
        <v>307</v>
      </c>
      <c r="Y10" s="175" t="s">
        <v>308</v>
      </c>
      <c r="Z10" s="175" t="s">
        <v>309</v>
      </c>
    </row>
    <row r="11" spans="2:26" s="164" customFormat="1" ht="30" customHeight="1" x14ac:dyDescent="0.25">
      <c r="B11" s="1329" t="s">
        <v>4765</v>
      </c>
      <c r="C11" s="1330" t="s">
        <v>4837</v>
      </c>
      <c r="D11" s="174">
        <v>5</v>
      </c>
      <c r="E11" s="175" t="s">
        <v>324</v>
      </c>
      <c r="F11" s="175" t="s">
        <v>325</v>
      </c>
      <c r="G11" s="175" t="s">
        <v>326</v>
      </c>
      <c r="H11" s="175" t="s">
        <v>327</v>
      </c>
      <c r="I11" s="175" t="s">
        <v>328</v>
      </c>
      <c r="J11" s="175" t="s">
        <v>329</v>
      </c>
      <c r="K11" s="175" t="s">
        <v>330</v>
      </c>
      <c r="L11" s="175" t="s">
        <v>331</v>
      </c>
      <c r="M11" s="175" t="s">
        <v>332</v>
      </c>
      <c r="N11" s="175" t="s">
        <v>333</v>
      </c>
      <c r="O11" s="175" t="s">
        <v>334</v>
      </c>
      <c r="P11" s="175" t="s">
        <v>335</v>
      </c>
      <c r="Q11" s="175" t="s">
        <v>336</v>
      </c>
      <c r="R11" s="175" t="s">
        <v>259</v>
      </c>
      <c r="S11" s="175" t="s">
        <v>337</v>
      </c>
      <c r="T11" s="175" t="s">
        <v>338</v>
      </c>
      <c r="U11" s="175" t="s">
        <v>339</v>
      </c>
      <c r="V11" s="175" t="s">
        <v>340</v>
      </c>
      <c r="W11" s="175" t="s">
        <v>341</v>
      </c>
      <c r="X11" s="175" t="s">
        <v>342</v>
      </c>
      <c r="Y11" s="175" t="s">
        <v>343</v>
      </c>
      <c r="Z11" s="175" t="s">
        <v>344</v>
      </c>
    </row>
    <row r="12" spans="2:26" s="164" customFormat="1" ht="30" customHeight="1" x14ac:dyDescent="0.25">
      <c r="B12" s="1329" t="s">
        <v>4766</v>
      </c>
      <c r="C12" s="1330" t="s">
        <v>4838</v>
      </c>
      <c r="D12" s="174">
        <v>6</v>
      </c>
      <c r="E12" s="175" t="s">
        <v>354</v>
      </c>
      <c r="F12" s="175" t="s">
        <v>154</v>
      </c>
      <c r="G12" s="175" t="s">
        <v>355</v>
      </c>
      <c r="H12" s="175" t="s">
        <v>356</v>
      </c>
      <c r="I12" s="175" t="s">
        <v>357</v>
      </c>
      <c r="J12" s="175" t="s">
        <v>358</v>
      </c>
      <c r="K12" s="175" t="s">
        <v>359</v>
      </c>
      <c r="L12" s="175" t="s">
        <v>360</v>
      </c>
      <c r="M12" s="175" t="s">
        <v>361</v>
      </c>
      <c r="N12" s="175" t="s">
        <v>362</v>
      </c>
      <c r="O12" s="175" t="s">
        <v>363</v>
      </c>
      <c r="P12" s="175" t="s">
        <v>364</v>
      </c>
      <c r="Q12" s="175" t="s">
        <v>216</v>
      </c>
      <c r="R12" s="175" t="s">
        <v>164</v>
      </c>
      <c r="S12" s="175" t="s">
        <v>365</v>
      </c>
      <c r="T12" s="175" t="s">
        <v>366</v>
      </c>
      <c r="U12" s="175" t="s">
        <v>367</v>
      </c>
      <c r="V12" s="175" t="s">
        <v>368</v>
      </c>
      <c r="W12" s="175" t="s">
        <v>369</v>
      </c>
      <c r="X12" s="175" t="s">
        <v>370</v>
      </c>
      <c r="Y12" s="175" t="s">
        <v>371</v>
      </c>
      <c r="Z12" s="175" t="s">
        <v>372</v>
      </c>
    </row>
    <row r="13" spans="2:26" s="164" customFormat="1" ht="30" customHeight="1" x14ac:dyDescent="0.25">
      <c r="B13" s="1331" t="s">
        <v>4767</v>
      </c>
      <c r="C13" s="1332" t="s">
        <v>4839</v>
      </c>
      <c r="D13" s="174">
        <v>7</v>
      </c>
      <c r="E13" s="175" t="s">
        <v>385</v>
      </c>
      <c r="F13" s="175" t="s">
        <v>205</v>
      </c>
      <c r="G13" s="175" t="s">
        <v>386</v>
      </c>
      <c r="H13" s="175" t="s">
        <v>387</v>
      </c>
      <c r="I13" s="175" t="s">
        <v>388</v>
      </c>
      <c r="J13" s="175" t="s">
        <v>389</v>
      </c>
      <c r="K13" s="175" t="s">
        <v>390</v>
      </c>
      <c r="L13" s="175" t="s">
        <v>391</v>
      </c>
      <c r="M13" s="175" t="s">
        <v>392</v>
      </c>
      <c r="N13" s="175" t="s">
        <v>393</v>
      </c>
      <c r="O13" s="175" t="s">
        <v>394</v>
      </c>
      <c r="P13" s="175" t="s">
        <v>395</v>
      </c>
      <c r="Q13" s="175" t="s">
        <v>216</v>
      </c>
      <c r="R13" s="175" t="s">
        <v>164</v>
      </c>
      <c r="S13" s="175" t="s">
        <v>396</v>
      </c>
      <c r="T13" s="175" t="s">
        <v>397</v>
      </c>
      <c r="U13" s="175" t="s">
        <v>398</v>
      </c>
      <c r="V13" s="175" t="s">
        <v>399</v>
      </c>
      <c r="W13" s="175" t="s">
        <v>400</v>
      </c>
      <c r="X13" s="175" t="s">
        <v>401</v>
      </c>
      <c r="Y13" s="175" t="s">
        <v>402</v>
      </c>
      <c r="Z13" s="175" t="s">
        <v>403</v>
      </c>
    </row>
    <row r="14" spans="2:26" s="164" customFormat="1" ht="30" customHeight="1" x14ac:dyDescent="0.25">
      <c r="B14" s="176"/>
      <c r="C14" s="176"/>
      <c r="D14" s="174">
        <v>8</v>
      </c>
      <c r="E14" s="175" t="s">
        <v>415</v>
      </c>
      <c r="F14" s="175" t="s">
        <v>247</v>
      </c>
      <c r="G14" s="175" t="s">
        <v>416</v>
      </c>
      <c r="H14" s="175" t="s">
        <v>417</v>
      </c>
      <c r="I14" s="175" t="s">
        <v>418</v>
      </c>
      <c r="J14" s="175" t="s">
        <v>419</v>
      </c>
      <c r="K14" s="175" t="s">
        <v>420</v>
      </c>
      <c r="L14" s="175" t="s">
        <v>421</v>
      </c>
      <c r="M14" s="175" t="s">
        <v>422</v>
      </c>
      <c r="N14" s="175" t="s">
        <v>423</v>
      </c>
      <c r="O14" s="175" t="s">
        <v>424</v>
      </c>
      <c r="P14" s="175" t="s">
        <v>425</v>
      </c>
      <c r="Q14" s="175" t="s">
        <v>163</v>
      </c>
      <c r="R14" s="175" t="s">
        <v>164</v>
      </c>
      <c r="S14" s="175" t="s">
        <v>426</v>
      </c>
      <c r="T14" s="175" t="s">
        <v>427</v>
      </c>
      <c r="U14" s="175" t="s">
        <v>428</v>
      </c>
      <c r="V14" s="175" t="s">
        <v>429</v>
      </c>
      <c r="W14" s="175" t="s">
        <v>430</v>
      </c>
      <c r="X14" s="175" t="s">
        <v>431</v>
      </c>
      <c r="Y14" s="175" t="s">
        <v>432</v>
      </c>
      <c r="Z14" s="175" t="s">
        <v>433</v>
      </c>
    </row>
    <row r="15" spans="2:26" s="164" customFormat="1" ht="30" customHeight="1" x14ac:dyDescent="0.25">
      <c r="B15" s="176"/>
      <c r="C15" s="176"/>
      <c r="D15" s="174">
        <v>9</v>
      </c>
      <c r="E15" s="175" t="s">
        <v>444</v>
      </c>
      <c r="F15" s="175" t="s">
        <v>154</v>
      </c>
      <c r="G15" s="175" t="s">
        <v>445</v>
      </c>
      <c r="H15" s="175" t="s">
        <v>446</v>
      </c>
      <c r="I15" s="175" t="s">
        <v>447</v>
      </c>
      <c r="J15" s="175" t="s">
        <v>448</v>
      </c>
      <c r="K15" s="175" t="s">
        <v>449</v>
      </c>
      <c r="L15" s="175" t="s">
        <v>450</v>
      </c>
      <c r="M15" s="175" t="s">
        <v>451</v>
      </c>
      <c r="N15" s="175" t="s">
        <v>452</v>
      </c>
      <c r="O15" s="175" t="s">
        <v>453</v>
      </c>
      <c r="P15" s="175" t="s">
        <v>454</v>
      </c>
      <c r="Q15" s="175" t="s">
        <v>258</v>
      </c>
      <c r="R15" s="175" t="s">
        <v>259</v>
      </c>
      <c r="S15" s="175" t="s">
        <v>455</v>
      </c>
      <c r="T15" s="175" t="s">
        <v>456</v>
      </c>
      <c r="U15" s="175" t="s">
        <v>457</v>
      </c>
      <c r="V15" s="175" t="s">
        <v>429</v>
      </c>
      <c r="W15" s="175" t="s">
        <v>458</v>
      </c>
      <c r="X15" s="175" t="s">
        <v>459</v>
      </c>
      <c r="Y15" s="175" t="s">
        <v>460</v>
      </c>
      <c r="Z15" s="175" t="s">
        <v>461</v>
      </c>
    </row>
    <row r="16" spans="2:26" s="164" customFormat="1" ht="30" customHeight="1" x14ac:dyDescent="0.25">
      <c r="B16" s="176"/>
      <c r="C16" s="176"/>
      <c r="D16" s="174">
        <v>10</v>
      </c>
      <c r="E16" s="175" t="s">
        <v>472</v>
      </c>
      <c r="F16" s="175" t="s">
        <v>247</v>
      </c>
      <c r="G16" s="175" t="s">
        <v>473</v>
      </c>
      <c r="H16" s="175" t="s">
        <v>474</v>
      </c>
      <c r="I16" s="175" t="s">
        <v>475</v>
      </c>
      <c r="J16" s="175" t="s">
        <v>476</v>
      </c>
      <c r="K16" s="175" t="s">
        <v>477</v>
      </c>
      <c r="L16" s="175" t="s">
        <v>478</v>
      </c>
      <c r="M16" s="175" t="s">
        <v>479</v>
      </c>
      <c r="N16" s="175" t="s">
        <v>480</v>
      </c>
      <c r="O16" s="175" t="s">
        <v>481</v>
      </c>
      <c r="P16" s="175" t="s">
        <v>482</v>
      </c>
      <c r="Q16" s="175" t="s">
        <v>483</v>
      </c>
      <c r="R16" s="175" t="s">
        <v>484</v>
      </c>
      <c r="S16" s="175" t="s">
        <v>485</v>
      </c>
      <c r="T16" s="175" t="s">
        <v>486</v>
      </c>
      <c r="U16" s="175" t="s">
        <v>487</v>
      </c>
      <c r="V16" s="175" t="s">
        <v>488</v>
      </c>
      <c r="W16" s="175" t="s">
        <v>489</v>
      </c>
      <c r="X16" s="175" t="s">
        <v>490</v>
      </c>
      <c r="Y16" s="175" t="s">
        <v>491</v>
      </c>
      <c r="Z16" s="175" t="s">
        <v>492</v>
      </c>
    </row>
    <row r="17" spans="1:26" s="164" customFormat="1" ht="30" customHeight="1" x14ac:dyDescent="0.25">
      <c r="B17" s="176"/>
      <c r="C17" s="176"/>
      <c r="D17" s="174">
        <v>11</v>
      </c>
      <c r="E17" s="175" t="s">
        <v>506</v>
      </c>
      <c r="F17" s="175" t="s">
        <v>247</v>
      </c>
      <c r="G17" s="175" t="s">
        <v>507</v>
      </c>
      <c r="H17" s="175" t="s">
        <v>508</v>
      </c>
      <c r="I17" s="175" t="s">
        <v>509</v>
      </c>
      <c r="J17" s="175" t="s">
        <v>510</v>
      </c>
      <c r="K17" s="175" t="s">
        <v>511</v>
      </c>
      <c r="L17" s="175" t="s">
        <v>512</v>
      </c>
      <c r="M17" s="175" t="s">
        <v>513</v>
      </c>
      <c r="N17" s="175" t="s">
        <v>514</v>
      </c>
      <c r="O17" s="175" t="s">
        <v>515</v>
      </c>
      <c r="P17" s="175" t="s">
        <v>516</v>
      </c>
      <c r="Q17" s="175" t="s">
        <v>258</v>
      </c>
      <c r="R17" s="175" t="s">
        <v>164</v>
      </c>
      <c r="S17" s="175" t="s">
        <v>517</v>
      </c>
      <c r="T17" s="175" t="s">
        <v>518</v>
      </c>
      <c r="U17" s="175" t="s">
        <v>519</v>
      </c>
      <c r="V17" s="175" t="s">
        <v>520</v>
      </c>
      <c r="W17" s="175" t="s">
        <v>521</v>
      </c>
      <c r="X17" s="175" t="s">
        <v>522</v>
      </c>
      <c r="Y17" s="175" t="s">
        <v>523</v>
      </c>
      <c r="Z17" s="175" t="s">
        <v>524</v>
      </c>
    </row>
    <row r="18" spans="1:26" s="164" customFormat="1" ht="30" customHeight="1" x14ac:dyDescent="0.25">
      <c r="B18" s="176"/>
      <c r="C18" s="176"/>
      <c r="D18" s="174">
        <v>12</v>
      </c>
      <c r="E18" s="175" t="s">
        <v>534</v>
      </c>
      <c r="F18" s="175" t="s">
        <v>325</v>
      </c>
      <c r="G18" s="175" t="s">
        <v>535</v>
      </c>
      <c r="H18" s="175" t="s">
        <v>536</v>
      </c>
      <c r="I18" s="175" t="s">
        <v>537</v>
      </c>
      <c r="J18" s="175" t="s">
        <v>538</v>
      </c>
      <c r="K18" s="175" t="s">
        <v>539</v>
      </c>
      <c r="L18" s="175" t="s">
        <v>540</v>
      </c>
      <c r="M18" s="175" t="s">
        <v>541</v>
      </c>
      <c r="N18" s="175" t="s">
        <v>542</v>
      </c>
      <c r="O18" s="175" t="s">
        <v>543</v>
      </c>
      <c r="P18" s="175" t="s">
        <v>544</v>
      </c>
      <c r="Q18" s="175" t="s">
        <v>545</v>
      </c>
      <c r="R18" s="175" t="s">
        <v>484</v>
      </c>
      <c r="S18" s="175" t="s">
        <v>546</v>
      </c>
      <c r="T18" s="175" t="s">
        <v>547</v>
      </c>
      <c r="U18" s="175" t="s">
        <v>548</v>
      </c>
      <c r="V18" s="175" t="s">
        <v>549</v>
      </c>
      <c r="W18" s="175" t="s">
        <v>550</v>
      </c>
      <c r="X18" s="175" t="s">
        <v>551</v>
      </c>
      <c r="Y18" s="175" t="s">
        <v>552</v>
      </c>
      <c r="Z18" s="175" t="s">
        <v>553</v>
      </c>
    </row>
    <row r="19" spans="1:26" s="164" customFormat="1" ht="30" customHeight="1" x14ac:dyDescent="0.25">
      <c r="B19" s="176"/>
      <c r="C19" s="176"/>
      <c r="D19" s="174">
        <v>13</v>
      </c>
      <c r="E19" s="175" t="s">
        <v>385</v>
      </c>
      <c r="F19" s="175" t="s">
        <v>570</v>
      </c>
      <c r="G19" s="175" t="s">
        <v>571</v>
      </c>
      <c r="H19" s="175" t="s">
        <v>572</v>
      </c>
      <c r="I19" s="175" t="s">
        <v>573</v>
      </c>
      <c r="J19" s="175" t="s">
        <v>574</v>
      </c>
      <c r="K19" s="175" t="s">
        <v>575</v>
      </c>
      <c r="L19" s="175" t="s">
        <v>576</v>
      </c>
      <c r="M19" s="175" t="s">
        <v>577</v>
      </c>
      <c r="N19" s="175" t="s">
        <v>578</v>
      </c>
      <c r="O19" s="175" t="s">
        <v>579</v>
      </c>
      <c r="P19" s="175" t="s">
        <v>580</v>
      </c>
      <c r="Q19" s="175" t="s">
        <v>216</v>
      </c>
      <c r="R19" s="175" t="s">
        <v>164</v>
      </c>
      <c r="S19" s="175" t="s">
        <v>581</v>
      </c>
      <c r="T19" s="175" t="s">
        <v>582</v>
      </c>
      <c r="U19" s="175" t="s">
        <v>583</v>
      </c>
      <c r="V19" s="175" t="s">
        <v>584</v>
      </c>
      <c r="W19" s="175" t="s">
        <v>585</v>
      </c>
      <c r="X19" s="175" t="s">
        <v>586</v>
      </c>
      <c r="Y19" s="175" t="s">
        <v>587</v>
      </c>
      <c r="Z19" s="175" t="s">
        <v>588</v>
      </c>
    </row>
    <row r="20" spans="1:26" s="164" customFormat="1" ht="30" customHeight="1" x14ac:dyDescent="0.25">
      <c r="B20" s="176"/>
      <c r="C20" s="176"/>
      <c r="D20" s="174">
        <v>14</v>
      </c>
      <c r="E20" s="175" t="s">
        <v>600</v>
      </c>
      <c r="F20" s="175" t="s">
        <v>154</v>
      </c>
      <c r="G20" s="175" t="s">
        <v>601</v>
      </c>
      <c r="H20" s="175" t="s">
        <v>602</v>
      </c>
      <c r="I20" s="175" t="s">
        <v>603</v>
      </c>
      <c r="J20" s="175" t="s">
        <v>604</v>
      </c>
      <c r="K20" s="175" t="s">
        <v>605</v>
      </c>
      <c r="L20" s="175" t="s">
        <v>606</v>
      </c>
      <c r="M20" s="175" t="s">
        <v>607</v>
      </c>
      <c r="N20" s="175" t="s">
        <v>608</v>
      </c>
      <c r="O20" s="175" t="s">
        <v>609</v>
      </c>
      <c r="P20" s="175" t="s">
        <v>610</v>
      </c>
      <c r="Q20" s="175" t="s">
        <v>216</v>
      </c>
      <c r="R20" s="175" t="s">
        <v>164</v>
      </c>
      <c r="S20" s="175" t="s">
        <v>611</v>
      </c>
      <c r="T20" s="175" t="s">
        <v>612</v>
      </c>
      <c r="U20" s="175" t="s">
        <v>613</v>
      </c>
      <c r="V20" s="175" t="s">
        <v>614</v>
      </c>
      <c r="W20" s="175" t="s">
        <v>615</v>
      </c>
      <c r="X20" s="175" t="s">
        <v>616</v>
      </c>
      <c r="Y20" s="175" t="s">
        <v>617</v>
      </c>
      <c r="Z20" s="175" t="s">
        <v>618</v>
      </c>
    </row>
    <row r="21" spans="1:26" s="164" customFormat="1" ht="30" customHeight="1" x14ac:dyDescent="0.25">
      <c r="B21" s="176"/>
      <c r="C21" s="176"/>
      <c r="D21" s="174">
        <v>15</v>
      </c>
      <c r="E21" s="175" t="s">
        <v>627</v>
      </c>
      <c r="F21" s="175" t="s">
        <v>247</v>
      </c>
      <c r="G21" s="175" t="s">
        <v>628</v>
      </c>
      <c r="H21" s="175" t="s">
        <v>629</v>
      </c>
      <c r="I21" s="175" t="s">
        <v>630</v>
      </c>
      <c r="J21" s="175" t="s">
        <v>631</v>
      </c>
      <c r="K21" s="175" t="s">
        <v>632</v>
      </c>
      <c r="L21" s="175" t="s">
        <v>633</v>
      </c>
      <c r="M21" s="175" t="s">
        <v>634</v>
      </c>
      <c r="N21" s="175" t="s">
        <v>635</v>
      </c>
      <c r="O21" s="175" t="s">
        <v>636</v>
      </c>
      <c r="P21" s="175" t="s">
        <v>637</v>
      </c>
      <c r="Q21" s="175" t="s">
        <v>216</v>
      </c>
      <c r="R21" s="175" t="s">
        <v>484</v>
      </c>
      <c r="S21" s="175" t="s">
        <v>638</v>
      </c>
      <c r="T21" s="175" t="s">
        <v>639</v>
      </c>
      <c r="U21" s="175" t="s">
        <v>640</v>
      </c>
      <c r="V21" s="175" t="s">
        <v>641</v>
      </c>
      <c r="W21" s="175" t="s">
        <v>642</v>
      </c>
      <c r="X21" s="175" t="s">
        <v>643</v>
      </c>
      <c r="Y21" s="175" t="s">
        <v>644</v>
      </c>
      <c r="Z21" s="175" t="s">
        <v>645</v>
      </c>
    </row>
    <row r="22" spans="1:26" s="164" customFormat="1" ht="30" customHeight="1" x14ac:dyDescent="0.25">
      <c r="B22" s="176"/>
      <c r="C22" s="176"/>
      <c r="D22" s="174">
        <v>16</v>
      </c>
      <c r="E22" s="175" t="s">
        <v>246</v>
      </c>
      <c r="F22" s="175" t="s">
        <v>247</v>
      </c>
      <c r="G22" s="175" t="s">
        <v>659</v>
      </c>
      <c r="H22" s="175" t="s">
        <v>660</v>
      </c>
      <c r="I22" s="175" t="s">
        <v>661</v>
      </c>
      <c r="J22" s="175" t="s">
        <v>662</v>
      </c>
      <c r="K22" s="175" t="s">
        <v>663</v>
      </c>
      <c r="L22" s="175" t="s">
        <v>664</v>
      </c>
      <c r="M22" s="175" t="s">
        <v>665</v>
      </c>
      <c r="N22" s="175" t="s">
        <v>666</v>
      </c>
      <c r="O22" s="175" t="s">
        <v>667</v>
      </c>
      <c r="P22" s="175" t="s">
        <v>668</v>
      </c>
      <c r="Q22" s="175" t="s">
        <v>483</v>
      </c>
      <c r="R22" s="175" t="s">
        <v>259</v>
      </c>
      <c r="S22" s="175" t="s">
        <v>669</v>
      </c>
      <c r="T22" s="175" t="s">
        <v>670</v>
      </c>
      <c r="U22" s="175" t="s">
        <v>671</v>
      </c>
      <c r="V22" s="175" t="s">
        <v>672</v>
      </c>
      <c r="W22" s="175" t="s">
        <v>673</v>
      </c>
      <c r="X22" s="175" t="s">
        <v>674</v>
      </c>
      <c r="Y22" s="175" t="s">
        <v>675</v>
      </c>
      <c r="Z22" s="175" t="s">
        <v>676</v>
      </c>
    </row>
    <row r="23" spans="1:26" s="164" customFormat="1" ht="30" customHeight="1" x14ac:dyDescent="0.25">
      <c r="B23" s="176"/>
      <c r="C23" s="176"/>
      <c r="D23" s="174">
        <v>17</v>
      </c>
      <c r="E23" s="175" t="s">
        <v>506</v>
      </c>
      <c r="F23" s="175" t="s">
        <v>247</v>
      </c>
      <c r="G23" s="175" t="s">
        <v>692</v>
      </c>
      <c r="H23" s="175" t="s">
        <v>693</v>
      </c>
      <c r="I23" s="175" t="s">
        <v>694</v>
      </c>
      <c r="J23" s="175" t="s">
        <v>695</v>
      </c>
      <c r="K23" s="175" t="s">
        <v>696</v>
      </c>
      <c r="L23" s="175" t="s">
        <v>697</v>
      </c>
      <c r="M23" s="175" t="s">
        <v>698</v>
      </c>
      <c r="N23" s="175" t="s">
        <v>699</v>
      </c>
      <c r="O23" s="175" t="s">
        <v>700</v>
      </c>
      <c r="P23" s="175" t="s">
        <v>701</v>
      </c>
      <c r="Q23" s="175" t="s">
        <v>258</v>
      </c>
      <c r="R23" s="175" t="s">
        <v>164</v>
      </c>
      <c r="S23" s="175" t="s">
        <v>702</v>
      </c>
      <c r="T23" s="175" t="s">
        <v>703</v>
      </c>
      <c r="U23" s="175" t="s">
        <v>704</v>
      </c>
      <c r="V23" s="175" t="s">
        <v>705</v>
      </c>
      <c r="W23" s="175" t="s">
        <v>521</v>
      </c>
      <c r="X23" s="175" t="s">
        <v>706</v>
      </c>
      <c r="Y23" s="175" t="s">
        <v>707</v>
      </c>
      <c r="Z23" s="175" t="s">
        <v>708</v>
      </c>
    </row>
    <row r="24" spans="1:26" s="164" customFormat="1" ht="30" customHeight="1" x14ac:dyDescent="0.25">
      <c r="B24" s="176"/>
      <c r="C24" s="176"/>
      <c r="D24" s="174">
        <v>18</v>
      </c>
      <c r="E24" s="175" t="s">
        <v>385</v>
      </c>
      <c r="F24" s="175" t="s">
        <v>205</v>
      </c>
      <c r="G24" s="175" t="s">
        <v>718</v>
      </c>
      <c r="H24" s="175" t="s">
        <v>719</v>
      </c>
      <c r="I24" s="175" t="s">
        <v>720</v>
      </c>
      <c r="J24" s="175" t="s">
        <v>721</v>
      </c>
      <c r="K24" s="175" t="s">
        <v>722</v>
      </c>
      <c r="L24" s="175" t="s">
        <v>723</v>
      </c>
      <c r="M24" s="175" t="s">
        <v>724</v>
      </c>
      <c r="N24" s="175" t="s">
        <v>725</v>
      </c>
      <c r="O24" s="175" t="s">
        <v>726</v>
      </c>
      <c r="P24" s="175" t="s">
        <v>727</v>
      </c>
      <c r="Q24" s="175" t="s">
        <v>216</v>
      </c>
      <c r="R24" s="175" t="s">
        <v>259</v>
      </c>
      <c r="S24" s="175" t="s">
        <v>728</v>
      </c>
      <c r="T24" s="175" t="s">
        <v>729</v>
      </c>
      <c r="U24" s="175" t="s">
        <v>730</v>
      </c>
      <c r="V24" s="175" t="s">
        <v>731</v>
      </c>
      <c r="W24" s="175" t="s">
        <v>732</v>
      </c>
      <c r="X24" s="175" t="s">
        <v>733</v>
      </c>
      <c r="Y24" s="175" t="s">
        <v>734</v>
      </c>
      <c r="Z24" s="175" t="s">
        <v>735</v>
      </c>
    </row>
    <row r="25" spans="1:26" s="164" customFormat="1" ht="30" customHeight="1" x14ac:dyDescent="0.25">
      <c r="B25" s="176"/>
      <c r="C25" s="176"/>
      <c r="D25" s="174">
        <v>19</v>
      </c>
      <c r="E25" s="175" t="s">
        <v>739</v>
      </c>
      <c r="F25" s="175" t="s">
        <v>325</v>
      </c>
      <c r="G25" s="175" t="s">
        <v>740</v>
      </c>
      <c r="H25" s="175" t="s">
        <v>741</v>
      </c>
      <c r="I25" s="175" t="s">
        <v>742</v>
      </c>
      <c r="J25" s="175" t="s">
        <v>743</v>
      </c>
      <c r="K25" s="175" t="s">
        <v>744</v>
      </c>
      <c r="L25" s="175" t="s">
        <v>745</v>
      </c>
      <c r="M25" s="175" t="s">
        <v>746</v>
      </c>
      <c r="N25" s="175" t="s">
        <v>747</v>
      </c>
      <c r="O25" s="175" t="s">
        <v>748</v>
      </c>
      <c r="P25" s="175" t="s">
        <v>749</v>
      </c>
      <c r="Q25" s="175" t="s">
        <v>258</v>
      </c>
      <c r="R25" s="175" t="s">
        <v>164</v>
      </c>
      <c r="S25" s="175" t="s">
        <v>750</v>
      </c>
      <c r="T25" s="175" t="s">
        <v>751</v>
      </c>
      <c r="U25" s="175" t="s">
        <v>752</v>
      </c>
      <c r="V25" s="175" t="s">
        <v>753</v>
      </c>
      <c r="W25" s="175" t="s">
        <v>754</v>
      </c>
      <c r="X25" s="175" t="s">
        <v>755</v>
      </c>
      <c r="Y25" s="175" t="s">
        <v>756</v>
      </c>
      <c r="Z25" s="175" t="s">
        <v>757</v>
      </c>
    </row>
    <row r="26" spans="1:26" s="164" customFormat="1" ht="30" customHeight="1" x14ac:dyDescent="0.25">
      <c r="B26" s="176"/>
      <c r="C26" s="176"/>
      <c r="D26" s="174">
        <v>20</v>
      </c>
      <c r="E26" s="175" t="s">
        <v>765</v>
      </c>
      <c r="F26" s="175" t="s">
        <v>154</v>
      </c>
      <c r="G26" s="175" t="s">
        <v>766</v>
      </c>
      <c r="H26" s="175" t="s">
        <v>767</v>
      </c>
      <c r="I26" s="175" t="s">
        <v>768</v>
      </c>
      <c r="J26" s="175" t="s">
        <v>769</v>
      </c>
      <c r="K26" s="175" t="s">
        <v>770</v>
      </c>
      <c r="L26" s="175" t="s">
        <v>771</v>
      </c>
      <c r="M26" s="175" t="s">
        <v>772</v>
      </c>
      <c r="N26" s="175" t="s">
        <v>773</v>
      </c>
      <c r="O26" s="175" t="s">
        <v>774</v>
      </c>
      <c r="P26" s="175" t="s">
        <v>775</v>
      </c>
      <c r="Q26" s="175" t="s">
        <v>163</v>
      </c>
      <c r="R26" s="175" t="s">
        <v>164</v>
      </c>
      <c r="S26" s="175" t="s">
        <v>776</v>
      </c>
      <c r="T26" s="175" t="s">
        <v>777</v>
      </c>
      <c r="U26" s="175" t="s">
        <v>778</v>
      </c>
      <c r="V26" s="175" t="s">
        <v>779</v>
      </c>
      <c r="W26" s="175" t="s">
        <v>780</v>
      </c>
      <c r="X26" s="175" t="s">
        <v>781</v>
      </c>
      <c r="Y26" s="175" t="s">
        <v>782</v>
      </c>
      <c r="Z26" s="175" t="s">
        <v>783</v>
      </c>
    </row>
    <row r="27" spans="1:26" s="164" customFormat="1" ht="30" customHeight="1" x14ac:dyDescent="0.25">
      <c r="A27" s="177"/>
      <c r="B27" s="178"/>
      <c r="C27" s="176"/>
      <c r="D27" s="174">
        <v>21</v>
      </c>
      <c r="E27" s="175" t="s">
        <v>798</v>
      </c>
      <c r="F27" s="175" t="s">
        <v>325</v>
      </c>
      <c r="G27" s="175" t="s">
        <v>799</v>
      </c>
      <c r="H27" s="175" t="s">
        <v>800</v>
      </c>
      <c r="I27" s="175" t="s">
        <v>801</v>
      </c>
      <c r="J27" s="175" t="s">
        <v>802</v>
      </c>
      <c r="K27" s="175" t="s">
        <v>791</v>
      </c>
      <c r="L27" s="175" t="s">
        <v>792</v>
      </c>
      <c r="M27" s="175" t="s">
        <v>803</v>
      </c>
      <c r="N27" s="175" t="s">
        <v>804</v>
      </c>
      <c r="O27" s="175" t="s">
        <v>805</v>
      </c>
      <c r="P27" s="175" t="s">
        <v>806</v>
      </c>
      <c r="Q27" s="175" t="s">
        <v>807</v>
      </c>
      <c r="R27" s="175" t="s">
        <v>164</v>
      </c>
      <c r="S27" s="175" t="s">
        <v>808</v>
      </c>
      <c r="T27" s="175" t="s">
        <v>809</v>
      </c>
      <c r="U27" s="175" t="s">
        <v>548</v>
      </c>
      <c r="V27" s="175" t="s">
        <v>810</v>
      </c>
      <c r="W27" s="175" t="s">
        <v>550</v>
      </c>
      <c r="X27" s="175" t="s">
        <v>811</v>
      </c>
      <c r="Y27" s="175" t="s">
        <v>812</v>
      </c>
      <c r="Z27" s="175" t="s">
        <v>813</v>
      </c>
    </row>
    <row r="28" spans="1:26" s="164" customFormat="1" ht="30" customHeight="1" x14ac:dyDescent="0.25">
      <c r="A28" s="177"/>
      <c r="B28" s="178"/>
      <c r="C28" s="176"/>
      <c r="D28" s="174">
        <v>22</v>
      </c>
      <c r="E28" s="175" t="s">
        <v>836</v>
      </c>
      <c r="F28" s="175" t="s">
        <v>154</v>
      </c>
      <c r="G28" s="175" t="s">
        <v>837</v>
      </c>
      <c r="H28" s="175" t="s">
        <v>838</v>
      </c>
      <c r="I28" s="175" t="s">
        <v>839</v>
      </c>
      <c r="J28" s="175" t="s">
        <v>840</v>
      </c>
      <c r="K28" s="175" t="s">
        <v>841</v>
      </c>
      <c r="L28" s="175" t="s">
        <v>842</v>
      </c>
      <c r="M28" s="175" t="s">
        <v>843</v>
      </c>
      <c r="N28" s="175" t="s">
        <v>844</v>
      </c>
      <c r="O28" s="175" t="s">
        <v>805</v>
      </c>
      <c r="P28" s="175" t="s">
        <v>845</v>
      </c>
      <c r="Q28" s="175" t="s">
        <v>807</v>
      </c>
      <c r="R28" s="175" t="s">
        <v>164</v>
      </c>
      <c r="S28" s="175" t="s">
        <v>846</v>
      </c>
      <c r="T28" s="175" t="s">
        <v>847</v>
      </c>
      <c r="U28" s="175" t="s">
        <v>848</v>
      </c>
      <c r="V28" s="175" t="s">
        <v>849</v>
      </c>
      <c r="W28" s="175" t="s">
        <v>850</v>
      </c>
      <c r="X28" s="175" t="s">
        <v>851</v>
      </c>
      <c r="Y28" s="175" t="s">
        <v>852</v>
      </c>
      <c r="Z28" s="175" t="s">
        <v>853</v>
      </c>
    </row>
    <row r="29" spans="1:26" s="164" customFormat="1" ht="30" customHeight="1" x14ac:dyDescent="0.25">
      <c r="A29" s="177"/>
      <c r="B29" s="178"/>
      <c r="C29" s="176"/>
      <c r="D29" s="174">
        <v>23</v>
      </c>
      <c r="E29" s="175" t="s">
        <v>324</v>
      </c>
      <c r="F29" s="175" t="s">
        <v>325</v>
      </c>
      <c r="G29" s="175" t="s">
        <v>326</v>
      </c>
      <c r="H29" s="175" t="s">
        <v>862</v>
      </c>
      <c r="I29" s="175" t="s">
        <v>863</v>
      </c>
      <c r="J29" s="175" t="s">
        <v>864</v>
      </c>
      <c r="K29" s="175" t="s">
        <v>865</v>
      </c>
      <c r="L29" s="175" t="s">
        <v>866</v>
      </c>
      <c r="M29" s="175" t="s">
        <v>867</v>
      </c>
      <c r="N29" s="175" t="s">
        <v>868</v>
      </c>
      <c r="O29" s="175" t="s">
        <v>805</v>
      </c>
      <c r="P29" s="175" t="s">
        <v>869</v>
      </c>
      <c r="Q29" s="175" t="s">
        <v>807</v>
      </c>
      <c r="R29" s="175" t="s">
        <v>259</v>
      </c>
      <c r="S29" s="175" t="s">
        <v>870</v>
      </c>
      <c r="T29" s="175" t="s">
        <v>871</v>
      </c>
      <c r="U29" s="175" t="s">
        <v>872</v>
      </c>
      <c r="V29" s="175" t="s">
        <v>873</v>
      </c>
      <c r="W29" s="175" t="s">
        <v>874</v>
      </c>
      <c r="X29" s="175" t="s">
        <v>875</v>
      </c>
      <c r="Y29" s="175" t="s">
        <v>876</v>
      </c>
      <c r="Z29" s="175" t="s">
        <v>877</v>
      </c>
    </row>
    <row r="30" spans="1:26" s="164" customFormat="1" ht="30" customHeight="1" x14ac:dyDescent="0.25">
      <c r="A30" s="177"/>
      <c r="B30" s="178"/>
      <c r="C30" s="176"/>
      <c r="D30" s="174">
        <v>24</v>
      </c>
      <c r="E30" s="175" t="s">
        <v>246</v>
      </c>
      <c r="F30" s="175" t="s">
        <v>154</v>
      </c>
      <c r="G30" s="175" t="s">
        <v>445</v>
      </c>
      <c r="H30" s="175" t="s">
        <v>881</v>
      </c>
      <c r="I30" s="175" t="s">
        <v>882</v>
      </c>
      <c r="J30" s="175" t="s">
        <v>883</v>
      </c>
      <c r="K30" s="175" t="s">
        <v>884</v>
      </c>
      <c r="L30" s="175" t="s">
        <v>885</v>
      </c>
      <c r="M30" s="175" t="s">
        <v>886</v>
      </c>
      <c r="N30" s="175" t="s">
        <v>887</v>
      </c>
      <c r="O30" s="175" t="s">
        <v>805</v>
      </c>
      <c r="P30" s="175" t="s">
        <v>888</v>
      </c>
      <c r="Q30" s="175" t="s">
        <v>807</v>
      </c>
      <c r="R30" s="175" t="s">
        <v>259</v>
      </c>
      <c r="S30" s="175" t="s">
        <v>889</v>
      </c>
      <c r="T30" s="175" t="s">
        <v>890</v>
      </c>
      <c r="U30" s="175" t="s">
        <v>891</v>
      </c>
      <c r="V30" s="175" t="s">
        <v>892</v>
      </c>
      <c r="W30" s="175" t="s">
        <v>893</v>
      </c>
      <c r="X30" s="175" t="s">
        <v>894</v>
      </c>
      <c r="Y30" s="175" t="s">
        <v>895</v>
      </c>
      <c r="Z30" s="175" t="s">
        <v>896</v>
      </c>
    </row>
    <row r="31" spans="1:26" s="164" customFormat="1" ht="30" customHeight="1" x14ac:dyDescent="0.25">
      <c r="A31" s="177"/>
      <c r="B31" s="178"/>
      <c r="C31" s="176"/>
      <c r="D31" s="174">
        <v>25</v>
      </c>
      <c r="E31" s="175" t="s">
        <v>415</v>
      </c>
      <c r="F31" s="175" t="s">
        <v>247</v>
      </c>
      <c r="G31" s="175" t="s">
        <v>416</v>
      </c>
      <c r="H31" s="175" t="s">
        <v>903</v>
      </c>
      <c r="I31" s="175" t="s">
        <v>904</v>
      </c>
      <c r="J31" s="175" t="s">
        <v>905</v>
      </c>
      <c r="K31" s="175" t="s">
        <v>906</v>
      </c>
      <c r="L31" s="175" t="s">
        <v>907</v>
      </c>
      <c r="M31" s="175" t="s">
        <v>908</v>
      </c>
      <c r="N31" s="175" t="s">
        <v>909</v>
      </c>
      <c r="O31" s="175" t="s">
        <v>805</v>
      </c>
      <c r="P31" s="175" t="s">
        <v>910</v>
      </c>
      <c r="Q31" s="175" t="s">
        <v>807</v>
      </c>
      <c r="R31" s="175" t="s">
        <v>164</v>
      </c>
      <c r="S31" s="175" t="s">
        <v>911</v>
      </c>
      <c r="T31" s="175" t="s">
        <v>912</v>
      </c>
      <c r="U31" s="175" t="s">
        <v>428</v>
      </c>
      <c r="V31" s="175" t="s">
        <v>913</v>
      </c>
      <c r="W31" s="175" t="s">
        <v>914</v>
      </c>
      <c r="X31" s="175" t="s">
        <v>915</v>
      </c>
      <c r="Y31" s="175" t="s">
        <v>916</v>
      </c>
      <c r="Z31" s="175" t="s">
        <v>917</v>
      </c>
    </row>
    <row r="32" spans="1:26" s="164" customFormat="1" ht="30" customHeight="1" x14ac:dyDescent="0.25">
      <c r="A32" s="177"/>
      <c r="B32" s="178"/>
      <c r="C32" s="176"/>
      <c r="D32" s="174">
        <v>26</v>
      </c>
      <c r="E32" s="175" t="s">
        <v>739</v>
      </c>
      <c r="F32" s="175" t="s">
        <v>325</v>
      </c>
      <c r="G32" s="175" t="s">
        <v>740</v>
      </c>
      <c r="H32" s="175" t="s">
        <v>920</v>
      </c>
      <c r="I32" s="175" t="s">
        <v>921</v>
      </c>
      <c r="J32" s="175" t="s">
        <v>922</v>
      </c>
      <c r="K32" s="175" t="s">
        <v>923</v>
      </c>
      <c r="L32" s="175" t="s">
        <v>924</v>
      </c>
      <c r="M32" s="175" t="s">
        <v>925</v>
      </c>
      <c r="N32" s="175" t="s">
        <v>926</v>
      </c>
      <c r="O32" s="175" t="s">
        <v>805</v>
      </c>
      <c r="P32" s="175" t="s">
        <v>927</v>
      </c>
      <c r="Q32" s="175" t="s">
        <v>807</v>
      </c>
      <c r="R32" s="175" t="s">
        <v>259</v>
      </c>
      <c r="S32" s="175" t="s">
        <v>928</v>
      </c>
      <c r="T32" s="175" t="s">
        <v>929</v>
      </c>
      <c r="U32" s="175" t="s">
        <v>930</v>
      </c>
      <c r="V32" s="175" t="s">
        <v>753</v>
      </c>
      <c r="W32" s="175" t="s">
        <v>931</v>
      </c>
      <c r="X32" s="175" t="s">
        <v>755</v>
      </c>
      <c r="Y32" s="175" t="s">
        <v>932</v>
      </c>
      <c r="Z32" s="175" t="s">
        <v>933</v>
      </c>
    </row>
    <row r="33" spans="1:26" s="164" customFormat="1" ht="30" customHeight="1" x14ac:dyDescent="0.25">
      <c r="A33" s="177"/>
      <c r="B33" s="178"/>
      <c r="C33" s="176"/>
      <c r="D33" s="174">
        <v>27</v>
      </c>
      <c r="E33" s="175" t="s">
        <v>204</v>
      </c>
      <c r="F33" s="175" t="s">
        <v>205</v>
      </c>
      <c r="G33" s="175" t="s">
        <v>940</v>
      </c>
      <c r="H33" s="175" t="s">
        <v>941</v>
      </c>
      <c r="I33" s="175" t="s">
        <v>942</v>
      </c>
      <c r="J33" s="175" t="s">
        <v>943</v>
      </c>
      <c r="K33" s="175" t="s">
        <v>944</v>
      </c>
      <c r="L33" s="175" t="s">
        <v>945</v>
      </c>
      <c r="M33" s="175" t="s">
        <v>946</v>
      </c>
      <c r="N33" s="175" t="s">
        <v>947</v>
      </c>
      <c r="O33" s="175" t="s">
        <v>805</v>
      </c>
      <c r="P33" s="175" t="s">
        <v>948</v>
      </c>
      <c r="Q33" s="175" t="s">
        <v>807</v>
      </c>
      <c r="R33" s="175" t="s">
        <v>164</v>
      </c>
      <c r="S33" s="175" t="s">
        <v>949</v>
      </c>
      <c r="T33" s="175" t="s">
        <v>950</v>
      </c>
      <c r="U33" s="175" t="s">
        <v>951</v>
      </c>
      <c r="V33" s="175" t="s">
        <v>220</v>
      </c>
      <c r="W33" s="175" t="s">
        <v>221</v>
      </c>
      <c r="X33" s="175" t="s">
        <v>952</v>
      </c>
      <c r="Y33" s="175" t="s">
        <v>953</v>
      </c>
      <c r="Z33" s="175" t="s">
        <v>954</v>
      </c>
    </row>
    <row r="34" spans="1:26" s="164" customFormat="1" ht="30" customHeight="1" x14ac:dyDescent="0.25">
      <c r="A34" s="177"/>
      <c r="B34" s="178"/>
      <c r="C34" s="176"/>
      <c r="D34" s="174">
        <v>28</v>
      </c>
      <c r="E34" s="175" t="s">
        <v>959</v>
      </c>
      <c r="F34" s="175" t="s">
        <v>154</v>
      </c>
      <c r="G34" s="175" t="s">
        <v>601</v>
      </c>
      <c r="H34" s="175" t="s">
        <v>960</v>
      </c>
      <c r="I34" s="175" t="s">
        <v>961</v>
      </c>
      <c r="J34" s="175" t="s">
        <v>962</v>
      </c>
      <c r="K34" s="175" t="s">
        <v>963</v>
      </c>
      <c r="L34" s="175" t="s">
        <v>964</v>
      </c>
      <c r="M34" s="175" t="s">
        <v>965</v>
      </c>
      <c r="N34" s="175" t="s">
        <v>966</v>
      </c>
      <c r="O34" s="175" t="s">
        <v>805</v>
      </c>
      <c r="P34" s="175" t="s">
        <v>967</v>
      </c>
      <c r="Q34" s="175" t="s">
        <v>807</v>
      </c>
      <c r="R34" s="175" t="s">
        <v>259</v>
      </c>
      <c r="S34" s="175" t="s">
        <v>968</v>
      </c>
      <c r="T34" s="175" t="s">
        <v>969</v>
      </c>
      <c r="U34" s="175" t="s">
        <v>613</v>
      </c>
      <c r="V34" s="175" t="s">
        <v>614</v>
      </c>
      <c r="W34" s="175" t="s">
        <v>970</v>
      </c>
      <c r="X34" s="175" t="s">
        <v>971</v>
      </c>
      <c r="Y34" s="175" t="s">
        <v>972</v>
      </c>
      <c r="Z34" s="175" t="s">
        <v>973</v>
      </c>
    </row>
    <row r="35" spans="1:26" s="164" customFormat="1" ht="30" customHeight="1" x14ac:dyDescent="0.25">
      <c r="A35" s="177"/>
      <c r="B35" s="178"/>
      <c r="C35" s="176"/>
      <c r="D35" s="174">
        <v>29</v>
      </c>
      <c r="E35" s="175" t="s">
        <v>978</v>
      </c>
      <c r="F35" s="175" t="s">
        <v>154</v>
      </c>
      <c r="G35" s="175" t="s">
        <v>979</v>
      </c>
      <c r="H35" s="175" t="s">
        <v>980</v>
      </c>
      <c r="I35" s="175" t="s">
        <v>981</v>
      </c>
      <c r="J35" s="175" t="s">
        <v>982</v>
      </c>
      <c r="K35" s="175" t="s">
        <v>983</v>
      </c>
      <c r="L35" s="175" t="s">
        <v>984</v>
      </c>
      <c r="M35" s="175" t="s">
        <v>985</v>
      </c>
      <c r="N35" s="175" t="s">
        <v>986</v>
      </c>
      <c r="O35" s="175" t="s">
        <v>805</v>
      </c>
      <c r="P35" s="175" t="s">
        <v>987</v>
      </c>
      <c r="Q35" s="175" t="s">
        <v>807</v>
      </c>
      <c r="R35" s="175" t="s">
        <v>259</v>
      </c>
      <c r="S35" s="175" t="s">
        <v>988</v>
      </c>
      <c r="T35" s="175" t="s">
        <v>989</v>
      </c>
      <c r="U35" s="175" t="s">
        <v>990</v>
      </c>
      <c r="V35" s="175" t="s">
        <v>991</v>
      </c>
      <c r="W35" s="175" t="s">
        <v>306</v>
      </c>
      <c r="X35" s="175" t="s">
        <v>992</v>
      </c>
      <c r="Y35" s="175" t="s">
        <v>993</v>
      </c>
      <c r="Z35" s="175" t="s">
        <v>994</v>
      </c>
    </row>
    <row r="36" spans="1:26" s="164" customFormat="1" ht="30" customHeight="1" x14ac:dyDescent="0.25">
      <c r="A36" s="177"/>
      <c r="B36" s="178"/>
      <c r="C36" s="176"/>
      <c r="D36" s="174">
        <v>30</v>
      </c>
      <c r="E36" s="175" t="s">
        <v>472</v>
      </c>
      <c r="F36" s="175" t="s">
        <v>247</v>
      </c>
      <c r="G36" s="175" t="s">
        <v>999</v>
      </c>
      <c r="H36" s="175" t="s">
        <v>1000</v>
      </c>
      <c r="I36" s="175" t="s">
        <v>1001</v>
      </c>
      <c r="J36" s="175" t="s">
        <v>476</v>
      </c>
      <c r="K36" s="175" t="s">
        <v>1002</v>
      </c>
      <c r="L36" s="175" t="s">
        <v>1003</v>
      </c>
      <c r="M36" s="175" t="s">
        <v>1004</v>
      </c>
      <c r="N36" s="175" t="s">
        <v>1005</v>
      </c>
      <c r="O36" s="175" t="s">
        <v>805</v>
      </c>
      <c r="P36" s="175" t="s">
        <v>1006</v>
      </c>
      <c r="Q36" s="175" t="s">
        <v>807</v>
      </c>
      <c r="R36" s="175" t="s">
        <v>484</v>
      </c>
      <c r="S36" s="175" t="s">
        <v>1007</v>
      </c>
      <c r="T36" s="175" t="s">
        <v>1008</v>
      </c>
      <c r="U36" s="175" t="s">
        <v>487</v>
      </c>
      <c r="V36" s="175" t="s">
        <v>488</v>
      </c>
      <c r="W36" s="175" t="s">
        <v>1009</v>
      </c>
      <c r="X36" s="175" t="s">
        <v>1010</v>
      </c>
      <c r="Y36" s="175" t="s">
        <v>1011</v>
      </c>
      <c r="Z36" s="175" t="s">
        <v>1012</v>
      </c>
    </row>
    <row r="37" spans="1:26" s="164" customFormat="1" ht="30" customHeight="1" x14ac:dyDescent="0.25">
      <c r="A37" s="177"/>
      <c r="B37" s="178"/>
      <c r="C37" s="176"/>
      <c r="D37" s="174">
        <v>31</v>
      </c>
      <c r="E37" s="175" t="s">
        <v>798</v>
      </c>
      <c r="F37" s="175" t="s">
        <v>570</v>
      </c>
      <c r="G37" s="175" t="s">
        <v>1018</v>
      </c>
      <c r="H37" s="175" t="s">
        <v>1019</v>
      </c>
      <c r="I37" s="175" t="s">
        <v>1020</v>
      </c>
      <c r="J37" s="175" t="s">
        <v>1021</v>
      </c>
      <c r="K37" s="175" t="s">
        <v>1022</v>
      </c>
      <c r="L37" s="175" t="s">
        <v>1023</v>
      </c>
      <c r="M37" s="175" t="s">
        <v>1024</v>
      </c>
      <c r="N37" s="175" t="s">
        <v>1025</v>
      </c>
      <c r="O37" s="175" t="s">
        <v>805</v>
      </c>
      <c r="P37" s="175" t="s">
        <v>1026</v>
      </c>
      <c r="Q37" s="175" t="s">
        <v>807</v>
      </c>
      <c r="R37" s="175" t="s">
        <v>259</v>
      </c>
      <c r="S37" s="175" t="s">
        <v>1027</v>
      </c>
      <c r="T37" s="175" t="s">
        <v>1028</v>
      </c>
      <c r="U37" s="175" t="s">
        <v>1029</v>
      </c>
      <c r="V37" s="175" t="s">
        <v>1030</v>
      </c>
      <c r="W37" s="175" t="s">
        <v>1031</v>
      </c>
      <c r="X37" s="175" t="s">
        <v>1032</v>
      </c>
      <c r="Y37" s="175" t="s">
        <v>1033</v>
      </c>
      <c r="Z37" s="175" t="s">
        <v>1034</v>
      </c>
    </row>
    <row r="38" spans="1:26" s="164" customFormat="1" ht="30" customHeight="1" x14ac:dyDescent="0.25">
      <c r="A38" s="177"/>
      <c r="B38" s="178"/>
      <c r="C38" s="176"/>
      <c r="D38" s="174">
        <v>32</v>
      </c>
      <c r="E38" s="175" t="s">
        <v>836</v>
      </c>
      <c r="F38" s="175" t="s">
        <v>205</v>
      </c>
      <c r="G38" s="175" t="s">
        <v>1039</v>
      </c>
      <c r="H38" s="175" t="s">
        <v>1040</v>
      </c>
      <c r="I38" s="175" t="s">
        <v>1041</v>
      </c>
      <c r="J38" s="175" t="s">
        <v>1042</v>
      </c>
      <c r="K38" s="175" t="s">
        <v>1043</v>
      </c>
      <c r="L38" s="175" t="s">
        <v>1044</v>
      </c>
      <c r="M38" s="175" t="s">
        <v>1045</v>
      </c>
      <c r="N38" s="175" t="s">
        <v>1046</v>
      </c>
      <c r="O38" s="175" t="s">
        <v>805</v>
      </c>
      <c r="P38" s="175" t="s">
        <v>1026</v>
      </c>
      <c r="Q38" s="175" t="s">
        <v>807</v>
      </c>
      <c r="R38" s="175" t="s">
        <v>259</v>
      </c>
      <c r="S38" s="175" t="s">
        <v>1047</v>
      </c>
      <c r="T38" s="175" t="s">
        <v>1048</v>
      </c>
      <c r="U38" s="175" t="s">
        <v>1049</v>
      </c>
      <c r="V38" s="175" t="s">
        <v>1050</v>
      </c>
      <c r="W38" s="175" t="s">
        <v>1051</v>
      </c>
      <c r="X38" s="175" t="s">
        <v>1052</v>
      </c>
      <c r="Y38" s="175" t="s">
        <v>1053</v>
      </c>
      <c r="Z38" s="175" t="s">
        <v>1054</v>
      </c>
    </row>
    <row r="39" spans="1:26" s="164" customFormat="1" ht="30" customHeight="1" x14ac:dyDescent="0.25">
      <c r="A39" s="177"/>
      <c r="B39" s="178"/>
      <c r="C39" s="176"/>
      <c r="D39" s="174">
        <v>33</v>
      </c>
      <c r="E39" s="175" t="s">
        <v>324</v>
      </c>
      <c r="F39" s="175" t="s">
        <v>154</v>
      </c>
      <c r="G39" s="175" t="s">
        <v>1055</v>
      </c>
      <c r="H39" s="175" t="s">
        <v>1056</v>
      </c>
      <c r="I39" s="175" t="s">
        <v>1057</v>
      </c>
      <c r="J39" s="175" t="s">
        <v>1058</v>
      </c>
      <c r="K39" s="175" t="s">
        <v>1059</v>
      </c>
      <c r="L39" s="175" t="s">
        <v>1060</v>
      </c>
      <c r="M39" s="175" t="s">
        <v>1061</v>
      </c>
      <c r="N39" s="175" t="s">
        <v>1062</v>
      </c>
      <c r="O39" s="175" t="s">
        <v>805</v>
      </c>
      <c r="P39" s="175" t="s">
        <v>1026</v>
      </c>
      <c r="Q39" s="175" t="s">
        <v>807</v>
      </c>
      <c r="R39" s="175" t="s">
        <v>164</v>
      </c>
      <c r="S39" s="175" t="s">
        <v>1063</v>
      </c>
      <c r="T39" s="175" t="s">
        <v>1064</v>
      </c>
      <c r="U39" s="175" t="s">
        <v>1065</v>
      </c>
      <c r="V39" s="175" t="s">
        <v>1066</v>
      </c>
      <c r="W39" s="175" t="s">
        <v>1067</v>
      </c>
      <c r="X39" s="175" t="s">
        <v>1068</v>
      </c>
      <c r="Y39" s="175" t="s">
        <v>1069</v>
      </c>
      <c r="Z39" s="175" t="s">
        <v>1070</v>
      </c>
    </row>
    <row r="40" spans="1:26" s="164" customFormat="1" ht="30" customHeight="1" x14ac:dyDescent="0.25">
      <c r="A40" s="177"/>
      <c r="B40" s="178"/>
      <c r="C40" s="176"/>
      <c r="D40" s="174">
        <v>34</v>
      </c>
      <c r="E40" s="175" t="s">
        <v>506</v>
      </c>
      <c r="F40" s="175" t="s">
        <v>247</v>
      </c>
      <c r="G40" s="175" t="s">
        <v>692</v>
      </c>
      <c r="H40" s="175" t="s">
        <v>1071</v>
      </c>
      <c r="I40" s="175" t="s">
        <v>1072</v>
      </c>
      <c r="J40" s="175" t="s">
        <v>1073</v>
      </c>
      <c r="K40" s="175" t="s">
        <v>1074</v>
      </c>
      <c r="L40" s="175" t="s">
        <v>1075</v>
      </c>
      <c r="M40" s="175" t="s">
        <v>1076</v>
      </c>
      <c r="N40" s="175" t="s">
        <v>1077</v>
      </c>
      <c r="O40" s="175" t="s">
        <v>805</v>
      </c>
      <c r="P40" s="175" t="s">
        <v>1026</v>
      </c>
      <c r="Q40" s="175" t="s">
        <v>807</v>
      </c>
      <c r="R40" s="175" t="s">
        <v>164</v>
      </c>
      <c r="S40" s="175" t="s">
        <v>1078</v>
      </c>
      <c r="T40" s="175" t="s">
        <v>1079</v>
      </c>
      <c r="U40" s="175" t="s">
        <v>704</v>
      </c>
      <c r="V40" s="175" t="s">
        <v>705</v>
      </c>
      <c r="W40" s="175" t="s">
        <v>521</v>
      </c>
      <c r="X40" s="175" t="s">
        <v>1080</v>
      </c>
      <c r="Y40" s="175" t="s">
        <v>1081</v>
      </c>
      <c r="Z40" s="175" t="s">
        <v>708</v>
      </c>
    </row>
    <row r="41" spans="1:26" s="164" customFormat="1" ht="30" customHeight="1" x14ac:dyDescent="0.25">
      <c r="A41" s="177"/>
      <c r="B41" s="178"/>
      <c r="C41" s="176"/>
      <c r="D41" s="174">
        <v>35</v>
      </c>
      <c r="E41" s="175" t="s">
        <v>444</v>
      </c>
      <c r="F41" s="175" t="s">
        <v>247</v>
      </c>
      <c r="G41" s="175" t="s">
        <v>507</v>
      </c>
      <c r="H41" s="175" t="s">
        <v>1082</v>
      </c>
      <c r="I41" s="175" t="s">
        <v>1083</v>
      </c>
      <c r="J41" s="175" t="s">
        <v>1084</v>
      </c>
      <c r="K41" s="175" t="s">
        <v>1085</v>
      </c>
      <c r="L41" s="175" t="s">
        <v>1086</v>
      </c>
      <c r="M41" s="175" t="s">
        <v>1087</v>
      </c>
      <c r="N41" s="175" t="s">
        <v>1088</v>
      </c>
      <c r="O41" s="175" t="s">
        <v>805</v>
      </c>
      <c r="P41" s="175" t="s">
        <v>1026</v>
      </c>
      <c r="Q41" s="175" t="s">
        <v>807</v>
      </c>
      <c r="R41" s="175" t="s">
        <v>164</v>
      </c>
      <c r="S41" s="175" t="s">
        <v>1089</v>
      </c>
      <c r="T41" s="175" t="s">
        <v>518</v>
      </c>
      <c r="U41" s="175" t="s">
        <v>1090</v>
      </c>
      <c r="V41" s="175" t="s">
        <v>705</v>
      </c>
      <c r="W41" s="175" t="s">
        <v>521</v>
      </c>
      <c r="X41" s="175" t="s">
        <v>1091</v>
      </c>
      <c r="Y41" s="175" t="s">
        <v>1092</v>
      </c>
      <c r="Z41" s="175" t="s">
        <v>1093</v>
      </c>
    </row>
    <row r="42" spans="1:26" s="164" customFormat="1" ht="30" customHeight="1" x14ac:dyDescent="0.25">
      <c r="A42" s="177"/>
      <c r="B42" s="178"/>
      <c r="C42" s="176"/>
      <c r="D42" s="174">
        <v>36</v>
      </c>
      <c r="E42" s="175" t="s">
        <v>415</v>
      </c>
      <c r="F42" s="175" t="s">
        <v>205</v>
      </c>
      <c r="G42" s="175" t="s">
        <v>1094</v>
      </c>
      <c r="H42" s="175" t="s">
        <v>1095</v>
      </c>
      <c r="I42" s="175" t="s">
        <v>1096</v>
      </c>
      <c r="J42" s="175" t="s">
        <v>1097</v>
      </c>
      <c r="K42" s="175" t="s">
        <v>1098</v>
      </c>
      <c r="L42" s="175" t="s">
        <v>1099</v>
      </c>
      <c r="M42" s="175" t="s">
        <v>1100</v>
      </c>
      <c r="N42" s="175" t="s">
        <v>1101</v>
      </c>
      <c r="O42" s="175" t="s">
        <v>805</v>
      </c>
      <c r="P42" s="175" t="s">
        <v>1026</v>
      </c>
      <c r="Q42" s="175" t="s">
        <v>807</v>
      </c>
      <c r="R42" s="175" t="s">
        <v>259</v>
      </c>
      <c r="S42" s="175" t="s">
        <v>1102</v>
      </c>
      <c r="T42" s="175" t="s">
        <v>1103</v>
      </c>
      <c r="U42" s="175" t="s">
        <v>1104</v>
      </c>
      <c r="V42" s="175" t="s">
        <v>1105</v>
      </c>
      <c r="W42" s="175" t="s">
        <v>1106</v>
      </c>
      <c r="X42" s="175" t="s">
        <v>1107</v>
      </c>
      <c r="Y42" s="175" t="s">
        <v>1108</v>
      </c>
      <c r="Z42" s="175" t="s">
        <v>1109</v>
      </c>
    </row>
    <row r="43" spans="1:26" s="164" customFormat="1" ht="30" customHeight="1" x14ac:dyDescent="0.25">
      <c r="A43" s="177"/>
      <c r="B43" s="178"/>
      <c r="C43" s="176"/>
      <c r="D43" s="174">
        <v>37</v>
      </c>
      <c r="E43" s="175" t="s">
        <v>739</v>
      </c>
      <c r="F43" s="175" t="s">
        <v>570</v>
      </c>
      <c r="G43" s="175" t="s">
        <v>1110</v>
      </c>
      <c r="H43" s="175" t="s">
        <v>1111</v>
      </c>
      <c r="I43" s="175" t="s">
        <v>1112</v>
      </c>
      <c r="J43" s="175" t="s">
        <v>1113</v>
      </c>
      <c r="K43" s="175" t="s">
        <v>1114</v>
      </c>
      <c r="L43" s="175" t="s">
        <v>1115</v>
      </c>
      <c r="M43" s="175" t="s">
        <v>1116</v>
      </c>
      <c r="N43" s="175" t="s">
        <v>1117</v>
      </c>
      <c r="O43" s="175" t="s">
        <v>805</v>
      </c>
      <c r="P43" s="175" t="s">
        <v>1026</v>
      </c>
      <c r="Q43" s="175" t="s">
        <v>807</v>
      </c>
      <c r="R43" s="175" t="s">
        <v>259</v>
      </c>
      <c r="S43" s="175" t="s">
        <v>1118</v>
      </c>
      <c r="T43" s="175" t="s">
        <v>1119</v>
      </c>
      <c r="U43" s="175" t="s">
        <v>1120</v>
      </c>
      <c r="V43" s="175" t="s">
        <v>1121</v>
      </c>
      <c r="W43" s="175" t="s">
        <v>1122</v>
      </c>
      <c r="X43" s="175" t="s">
        <v>1123</v>
      </c>
      <c r="Y43" s="175" t="s">
        <v>1124</v>
      </c>
      <c r="Z43" s="175" t="s">
        <v>1125</v>
      </c>
    </row>
    <row r="44" spans="1:26" s="164" customFormat="1" ht="30" customHeight="1" x14ac:dyDescent="0.25">
      <c r="A44" s="177"/>
      <c r="B44" s="178"/>
      <c r="C44" s="176"/>
      <c r="D44" s="174">
        <v>38</v>
      </c>
      <c r="E44" s="175" t="s">
        <v>385</v>
      </c>
      <c r="F44" s="175" t="s">
        <v>325</v>
      </c>
      <c r="G44" s="175" t="s">
        <v>1126</v>
      </c>
      <c r="H44" s="175" t="s">
        <v>1127</v>
      </c>
      <c r="I44" s="175" t="s">
        <v>1128</v>
      </c>
      <c r="J44" s="175" t="s">
        <v>1129</v>
      </c>
      <c r="K44" s="175" t="s">
        <v>1130</v>
      </c>
      <c r="L44" s="175" t="s">
        <v>1131</v>
      </c>
      <c r="M44" s="175" t="s">
        <v>1132</v>
      </c>
      <c r="N44" s="175" t="s">
        <v>1133</v>
      </c>
      <c r="O44" s="175" t="s">
        <v>805</v>
      </c>
      <c r="P44" s="175" t="s">
        <v>1026</v>
      </c>
      <c r="Q44" s="175" t="s">
        <v>807</v>
      </c>
      <c r="R44" s="175" t="s">
        <v>164</v>
      </c>
      <c r="S44" s="175" t="s">
        <v>1134</v>
      </c>
      <c r="T44" s="175" t="s">
        <v>1135</v>
      </c>
      <c r="U44" s="175" t="s">
        <v>1136</v>
      </c>
      <c r="V44" s="175" t="s">
        <v>913</v>
      </c>
      <c r="W44" s="175" t="s">
        <v>1137</v>
      </c>
      <c r="X44" s="175" t="s">
        <v>1138</v>
      </c>
      <c r="Y44" s="175" t="s">
        <v>1139</v>
      </c>
      <c r="Z44" s="175" t="s">
        <v>1140</v>
      </c>
    </row>
    <row r="45" spans="1:26" s="164" customFormat="1" ht="30" customHeight="1" x14ac:dyDescent="0.25">
      <c r="A45" s="177"/>
      <c r="B45" s="178"/>
      <c r="C45" s="176"/>
      <c r="D45" s="174">
        <v>39</v>
      </c>
      <c r="E45" s="175" t="s">
        <v>978</v>
      </c>
      <c r="F45" s="175" t="s">
        <v>247</v>
      </c>
      <c r="G45" s="175" t="s">
        <v>1141</v>
      </c>
      <c r="H45" s="175" t="s">
        <v>1142</v>
      </c>
      <c r="I45" s="175" t="s">
        <v>1143</v>
      </c>
      <c r="J45" s="175" t="s">
        <v>631</v>
      </c>
      <c r="K45" s="175" t="s">
        <v>1144</v>
      </c>
      <c r="L45" s="175" t="s">
        <v>1145</v>
      </c>
      <c r="M45" s="175" t="s">
        <v>1146</v>
      </c>
      <c r="N45" s="175" t="s">
        <v>1147</v>
      </c>
      <c r="O45" s="175" t="s">
        <v>805</v>
      </c>
      <c r="P45" s="175" t="s">
        <v>1026</v>
      </c>
      <c r="Q45" s="175" t="s">
        <v>807</v>
      </c>
      <c r="R45" s="175" t="s">
        <v>484</v>
      </c>
      <c r="S45" s="175" t="s">
        <v>627</v>
      </c>
      <c r="T45" s="175" t="s">
        <v>639</v>
      </c>
      <c r="U45" s="175" t="s">
        <v>1148</v>
      </c>
      <c r="V45" s="175" t="s">
        <v>1149</v>
      </c>
      <c r="W45" s="175" t="s">
        <v>1150</v>
      </c>
      <c r="X45" s="175" t="s">
        <v>1151</v>
      </c>
      <c r="Y45" s="175" t="s">
        <v>1152</v>
      </c>
      <c r="Z45" s="175" t="s">
        <v>1153</v>
      </c>
    </row>
    <row r="46" spans="1:26" s="164" customFormat="1" ht="30" customHeight="1" x14ac:dyDescent="0.25">
      <c r="A46" s="177"/>
      <c r="B46" s="178"/>
      <c r="C46" s="176"/>
      <c r="D46" s="174">
        <v>40</v>
      </c>
      <c r="E46" s="175" t="s">
        <v>472</v>
      </c>
      <c r="F46" s="175" t="s">
        <v>247</v>
      </c>
      <c r="G46" s="175" t="s">
        <v>1154</v>
      </c>
      <c r="H46" s="175" t="s">
        <v>1155</v>
      </c>
      <c r="I46" s="175" t="s">
        <v>1156</v>
      </c>
      <c r="J46" s="175" t="s">
        <v>1157</v>
      </c>
      <c r="K46" s="175" t="s">
        <v>1158</v>
      </c>
      <c r="L46" s="175" t="s">
        <v>1159</v>
      </c>
      <c r="M46" s="175" t="s">
        <v>1160</v>
      </c>
      <c r="N46" s="175" t="s">
        <v>1161</v>
      </c>
      <c r="O46" s="175" t="s">
        <v>805</v>
      </c>
      <c r="P46" s="175" t="s">
        <v>1026</v>
      </c>
      <c r="Q46" s="175" t="s">
        <v>807</v>
      </c>
      <c r="R46" s="175" t="s">
        <v>484</v>
      </c>
      <c r="S46" s="175" t="s">
        <v>1162</v>
      </c>
      <c r="T46" s="175" t="s">
        <v>1163</v>
      </c>
      <c r="U46" s="175" t="s">
        <v>1164</v>
      </c>
      <c r="V46" s="175" t="s">
        <v>1165</v>
      </c>
      <c r="W46" s="175" t="s">
        <v>1166</v>
      </c>
      <c r="X46" s="175" t="s">
        <v>1167</v>
      </c>
      <c r="Y46" s="175" t="s">
        <v>1168</v>
      </c>
      <c r="Z46" s="175" t="s">
        <v>1169</v>
      </c>
    </row>
    <row r="47" spans="1:26" s="164" customFormat="1" ht="30" customHeight="1" x14ac:dyDescent="0.25">
      <c r="A47" s="177"/>
      <c r="B47" s="178"/>
      <c r="C47" s="176"/>
      <c r="D47" s="174">
        <v>41</v>
      </c>
      <c r="E47" s="175" t="s">
        <v>798</v>
      </c>
      <c r="F47" s="175" t="s">
        <v>154</v>
      </c>
      <c r="G47" s="175" t="s">
        <v>1170</v>
      </c>
      <c r="H47" s="175" t="s">
        <v>1171</v>
      </c>
      <c r="I47" s="175" t="s">
        <v>1172</v>
      </c>
      <c r="J47" s="175" t="s">
        <v>1173</v>
      </c>
      <c r="K47" s="175" t="s">
        <v>1174</v>
      </c>
      <c r="L47" s="175" t="s">
        <v>1175</v>
      </c>
      <c r="M47" s="175" t="s">
        <v>1176</v>
      </c>
      <c r="N47" s="175" t="s">
        <v>1177</v>
      </c>
      <c r="O47" s="175" t="s">
        <v>805</v>
      </c>
      <c r="P47" s="175" t="s">
        <v>1026</v>
      </c>
      <c r="Q47" s="175" t="s">
        <v>807</v>
      </c>
      <c r="R47" s="175" t="s">
        <v>259</v>
      </c>
      <c r="S47" s="175" t="s">
        <v>1178</v>
      </c>
      <c r="T47" s="175" t="s">
        <v>1179</v>
      </c>
      <c r="U47" s="175" t="s">
        <v>1180</v>
      </c>
      <c r="V47" s="175" t="s">
        <v>1181</v>
      </c>
      <c r="W47" s="175" t="s">
        <v>1182</v>
      </c>
      <c r="X47" s="175" t="s">
        <v>1183</v>
      </c>
      <c r="Y47" s="175" t="s">
        <v>1184</v>
      </c>
      <c r="Z47" s="175" t="s">
        <v>1185</v>
      </c>
    </row>
    <row r="48" spans="1:26" s="164" customFormat="1" ht="30" customHeight="1" x14ac:dyDescent="0.25">
      <c r="A48" s="177"/>
      <c r="B48" s="178"/>
      <c r="C48" s="176"/>
      <c r="D48" s="174">
        <v>42</v>
      </c>
      <c r="E48" s="175" t="s">
        <v>836</v>
      </c>
      <c r="F48" s="175" t="s">
        <v>570</v>
      </c>
      <c r="G48" s="175" t="s">
        <v>1186</v>
      </c>
      <c r="H48" s="175" t="s">
        <v>1187</v>
      </c>
      <c r="I48" s="175" t="s">
        <v>1188</v>
      </c>
      <c r="J48" s="175" t="s">
        <v>1189</v>
      </c>
      <c r="K48" s="175" t="s">
        <v>1190</v>
      </c>
      <c r="L48" s="175" t="s">
        <v>1191</v>
      </c>
      <c r="M48" s="175" t="s">
        <v>1192</v>
      </c>
      <c r="N48" s="175" t="s">
        <v>1193</v>
      </c>
      <c r="O48" s="175" t="s">
        <v>805</v>
      </c>
      <c r="P48" s="175" t="s">
        <v>1026</v>
      </c>
      <c r="Q48" s="175" t="s">
        <v>807</v>
      </c>
      <c r="R48" s="175" t="s">
        <v>259</v>
      </c>
      <c r="S48" s="175" t="s">
        <v>1194</v>
      </c>
      <c r="T48" s="175" t="s">
        <v>1195</v>
      </c>
      <c r="U48" s="175" t="s">
        <v>1196</v>
      </c>
      <c r="V48" s="175" t="s">
        <v>1197</v>
      </c>
      <c r="W48" s="175" t="s">
        <v>1198</v>
      </c>
      <c r="X48" s="175" t="s">
        <v>1199</v>
      </c>
      <c r="Y48" s="175" t="s">
        <v>1200</v>
      </c>
      <c r="Z48" s="175" t="s">
        <v>1201</v>
      </c>
    </row>
    <row r="49" spans="1:26" s="164" customFormat="1" ht="30" customHeight="1" x14ac:dyDescent="0.25">
      <c r="A49" s="177"/>
      <c r="B49" s="178"/>
      <c r="C49" s="176"/>
      <c r="D49" s="174">
        <v>43</v>
      </c>
      <c r="E49" s="175" t="s">
        <v>324</v>
      </c>
      <c r="F49" s="175" t="s">
        <v>205</v>
      </c>
      <c r="G49" s="175" t="s">
        <v>1202</v>
      </c>
      <c r="H49" s="175" t="s">
        <v>1203</v>
      </c>
      <c r="I49" s="175" t="s">
        <v>1204</v>
      </c>
      <c r="J49" s="175" t="s">
        <v>1205</v>
      </c>
      <c r="K49" s="175" t="s">
        <v>1206</v>
      </c>
      <c r="L49" s="175" t="s">
        <v>1207</v>
      </c>
      <c r="M49" s="175" t="s">
        <v>1208</v>
      </c>
      <c r="N49" s="175" t="s">
        <v>1209</v>
      </c>
      <c r="O49" s="175" t="s">
        <v>805</v>
      </c>
      <c r="P49" s="175" t="s">
        <v>1026</v>
      </c>
      <c r="Q49" s="175" t="s">
        <v>807</v>
      </c>
      <c r="R49" s="175" t="s">
        <v>259</v>
      </c>
      <c r="S49" s="175" t="s">
        <v>1210</v>
      </c>
      <c r="T49" s="175" t="s">
        <v>1211</v>
      </c>
      <c r="U49" s="175" t="s">
        <v>1212</v>
      </c>
      <c r="V49" s="175" t="s">
        <v>429</v>
      </c>
      <c r="W49" s="175" t="s">
        <v>521</v>
      </c>
      <c r="X49" s="175" t="s">
        <v>1213</v>
      </c>
      <c r="Y49" s="175" t="s">
        <v>1214</v>
      </c>
      <c r="Z49" s="175" t="s">
        <v>1215</v>
      </c>
    </row>
    <row r="50" spans="1:26" s="164" customFormat="1" ht="30" customHeight="1" x14ac:dyDescent="0.25">
      <c r="A50" s="177"/>
      <c r="B50" s="178"/>
      <c r="C50" s="176"/>
      <c r="D50" s="174">
        <v>44</v>
      </c>
      <c r="E50" s="175" t="s">
        <v>246</v>
      </c>
      <c r="F50" s="175" t="s">
        <v>247</v>
      </c>
      <c r="G50" s="175" t="s">
        <v>1216</v>
      </c>
      <c r="H50" s="175" t="s">
        <v>1217</v>
      </c>
      <c r="I50" s="175" t="s">
        <v>1218</v>
      </c>
      <c r="J50" s="175" t="s">
        <v>1219</v>
      </c>
      <c r="K50" s="175" t="s">
        <v>1220</v>
      </c>
      <c r="L50" s="175" t="s">
        <v>1221</v>
      </c>
      <c r="M50" s="175" t="s">
        <v>1222</v>
      </c>
      <c r="N50" s="175" t="s">
        <v>1223</v>
      </c>
      <c r="O50" s="175" t="s">
        <v>805</v>
      </c>
      <c r="P50" s="175" t="s">
        <v>1026</v>
      </c>
      <c r="Q50" s="175" t="s">
        <v>807</v>
      </c>
      <c r="R50" s="175" t="s">
        <v>164</v>
      </c>
      <c r="S50" s="175" t="s">
        <v>1224</v>
      </c>
      <c r="T50" s="175" t="s">
        <v>1225</v>
      </c>
      <c r="U50" s="175" t="s">
        <v>1226</v>
      </c>
      <c r="V50" s="175" t="s">
        <v>1227</v>
      </c>
      <c r="W50" s="175" t="s">
        <v>1228</v>
      </c>
      <c r="X50" s="175" t="s">
        <v>1229</v>
      </c>
      <c r="Y50" s="175" t="s">
        <v>1230</v>
      </c>
      <c r="Z50" s="175" t="s">
        <v>1231</v>
      </c>
    </row>
    <row r="51" spans="1:26" s="164" customFormat="1" ht="30" customHeight="1" x14ac:dyDescent="0.25">
      <c r="A51" s="177"/>
      <c r="B51" s="178"/>
      <c r="C51" s="176"/>
      <c r="D51" s="174">
        <v>45</v>
      </c>
      <c r="E51" s="175" t="s">
        <v>415</v>
      </c>
      <c r="F51" s="175" t="s">
        <v>205</v>
      </c>
      <c r="G51" s="175" t="s">
        <v>1232</v>
      </c>
      <c r="H51" s="175" t="s">
        <v>1233</v>
      </c>
      <c r="I51" s="175" t="s">
        <v>1234</v>
      </c>
      <c r="J51" s="175" t="s">
        <v>1235</v>
      </c>
      <c r="K51" s="175" t="s">
        <v>1236</v>
      </c>
      <c r="L51" s="175" t="s">
        <v>1237</v>
      </c>
      <c r="M51" s="175" t="s">
        <v>1238</v>
      </c>
      <c r="N51" s="175" t="s">
        <v>1239</v>
      </c>
      <c r="O51" s="175" t="s">
        <v>805</v>
      </c>
      <c r="P51" s="175" t="s">
        <v>1026</v>
      </c>
      <c r="Q51" s="175" t="s">
        <v>807</v>
      </c>
      <c r="R51" s="175" t="s">
        <v>259</v>
      </c>
      <c r="S51" s="175" t="s">
        <v>1240</v>
      </c>
      <c r="T51" s="175" t="s">
        <v>612</v>
      </c>
      <c r="U51" s="175" t="s">
        <v>1241</v>
      </c>
      <c r="V51" s="175" t="s">
        <v>1242</v>
      </c>
      <c r="W51" s="175" t="s">
        <v>1243</v>
      </c>
      <c r="X51" s="175" t="s">
        <v>1244</v>
      </c>
      <c r="Y51" s="175" t="s">
        <v>1245</v>
      </c>
      <c r="Z51" s="175" t="s">
        <v>1246</v>
      </c>
    </row>
    <row r="52" spans="1:26" s="164" customFormat="1" ht="30" customHeight="1" x14ac:dyDescent="0.25">
      <c r="A52" s="177"/>
      <c r="B52" s="178"/>
      <c r="C52" s="176"/>
      <c r="D52" s="174">
        <v>46</v>
      </c>
      <c r="E52" s="175" t="s">
        <v>739</v>
      </c>
      <c r="F52" s="175" t="s">
        <v>154</v>
      </c>
      <c r="G52" s="175" t="s">
        <v>1247</v>
      </c>
      <c r="H52" s="175" t="s">
        <v>1248</v>
      </c>
      <c r="I52" s="175" t="s">
        <v>1249</v>
      </c>
      <c r="J52" s="175" t="s">
        <v>1250</v>
      </c>
      <c r="K52" s="175" t="s">
        <v>1251</v>
      </c>
      <c r="L52" s="175" t="s">
        <v>1252</v>
      </c>
      <c r="M52" s="175" t="s">
        <v>1253</v>
      </c>
      <c r="N52" s="175" t="s">
        <v>1254</v>
      </c>
      <c r="O52" s="175" t="s">
        <v>805</v>
      </c>
      <c r="P52" s="175" t="s">
        <v>1026</v>
      </c>
      <c r="Q52" s="175" t="s">
        <v>807</v>
      </c>
      <c r="R52" s="175" t="s">
        <v>259</v>
      </c>
      <c r="S52" s="175" t="s">
        <v>1255</v>
      </c>
      <c r="T52" s="175" t="s">
        <v>1256</v>
      </c>
      <c r="U52" s="175" t="s">
        <v>1257</v>
      </c>
      <c r="V52" s="175" t="s">
        <v>1258</v>
      </c>
      <c r="W52" s="175" t="s">
        <v>1259</v>
      </c>
      <c r="X52" s="175" t="s">
        <v>1091</v>
      </c>
      <c r="Y52" s="175" t="s">
        <v>1260</v>
      </c>
      <c r="Z52" s="175" t="s">
        <v>1261</v>
      </c>
    </row>
    <row r="53" spans="1:26" s="164" customFormat="1" ht="30" customHeight="1" x14ac:dyDescent="0.25">
      <c r="A53" s="177"/>
      <c r="B53" s="178"/>
      <c r="C53" s="176"/>
      <c r="D53" s="174">
        <v>47</v>
      </c>
      <c r="E53" s="175" t="s">
        <v>385</v>
      </c>
      <c r="F53" s="175" t="s">
        <v>570</v>
      </c>
      <c r="G53" s="175" t="s">
        <v>1262</v>
      </c>
      <c r="H53" s="175" t="s">
        <v>1263</v>
      </c>
      <c r="I53" s="175" t="s">
        <v>1264</v>
      </c>
      <c r="J53" s="175" t="s">
        <v>1265</v>
      </c>
      <c r="K53" s="175" t="s">
        <v>1266</v>
      </c>
      <c r="L53" s="175" t="s">
        <v>1267</v>
      </c>
      <c r="M53" s="175" t="s">
        <v>1268</v>
      </c>
      <c r="N53" s="175" t="s">
        <v>1269</v>
      </c>
      <c r="O53" s="175" t="s">
        <v>805</v>
      </c>
      <c r="P53" s="175" t="s">
        <v>1026</v>
      </c>
      <c r="Q53" s="175" t="s">
        <v>807</v>
      </c>
      <c r="R53" s="175" t="s">
        <v>259</v>
      </c>
      <c r="S53" s="175" t="s">
        <v>1270</v>
      </c>
      <c r="T53" s="175" t="s">
        <v>1271</v>
      </c>
      <c r="U53" s="175" t="s">
        <v>1272</v>
      </c>
      <c r="V53" s="175" t="s">
        <v>1273</v>
      </c>
      <c r="W53" s="175" t="s">
        <v>1274</v>
      </c>
      <c r="X53" s="175" t="s">
        <v>1275</v>
      </c>
      <c r="Y53" s="175" t="s">
        <v>1276</v>
      </c>
      <c r="Z53" s="175" t="s">
        <v>1277</v>
      </c>
    </row>
    <row r="54" spans="1:26" s="164" customFormat="1" ht="30" customHeight="1" x14ac:dyDescent="0.25">
      <c r="A54" s="177"/>
      <c r="B54" s="178"/>
      <c r="C54" s="176"/>
      <c r="D54" s="174">
        <v>48</v>
      </c>
      <c r="E54" s="175" t="s">
        <v>959</v>
      </c>
      <c r="F54" s="175" t="s">
        <v>325</v>
      </c>
      <c r="G54" s="175" t="s">
        <v>1278</v>
      </c>
      <c r="H54" s="175" t="s">
        <v>1279</v>
      </c>
      <c r="I54" s="175" t="s">
        <v>1280</v>
      </c>
      <c r="J54" s="175" t="s">
        <v>1281</v>
      </c>
      <c r="K54" s="175" t="s">
        <v>1282</v>
      </c>
      <c r="L54" s="175" t="s">
        <v>1283</v>
      </c>
      <c r="M54" s="175" t="s">
        <v>1284</v>
      </c>
      <c r="N54" s="175" t="s">
        <v>1285</v>
      </c>
      <c r="O54" s="175" t="s">
        <v>805</v>
      </c>
      <c r="P54" s="175" t="s">
        <v>1026</v>
      </c>
      <c r="Q54" s="175" t="s">
        <v>807</v>
      </c>
      <c r="R54" s="175" t="s">
        <v>164</v>
      </c>
      <c r="S54" s="175" t="s">
        <v>1286</v>
      </c>
      <c r="T54" s="175" t="s">
        <v>1287</v>
      </c>
      <c r="U54" s="175" t="s">
        <v>1288</v>
      </c>
      <c r="V54" s="175" t="s">
        <v>705</v>
      </c>
      <c r="W54" s="175" t="s">
        <v>1106</v>
      </c>
      <c r="X54" s="175" t="s">
        <v>1289</v>
      </c>
      <c r="Y54" s="175" t="s">
        <v>1290</v>
      </c>
      <c r="Z54" s="175" t="s">
        <v>1291</v>
      </c>
    </row>
    <row r="55" spans="1:26" s="164" customFormat="1" ht="30" customHeight="1" x14ac:dyDescent="0.25">
      <c r="A55" s="177"/>
      <c r="B55" s="178"/>
      <c r="C55" s="176"/>
      <c r="D55" s="174">
        <v>49</v>
      </c>
      <c r="E55" s="175" t="s">
        <v>978</v>
      </c>
      <c r="F55" s="175" t="s">
        <v>154</v>
      </c>
      <c r="G55" s="175" t="s">
        <v>1292</v>
      </c>
      <c r="H55" s="175" t="s">
        <v>1293</v>
      </c>
      <c r="I55" s="175" t="s">
        <v>1294</v>
      </c>
      <c r="J55" s="175" t="s">
        <v>1295</v>
      </c>
      <c r="K55" s="175" t="s">
        <v>1296</v>
      </c>
      <c r="L55" s="175" t="s">
        <v>1297</v>
      </c>
      <c r="M55" s="175" t="s">
        <v>1298</v>
      </c>
      <c r="N55" s="175" t="s">
        <v>1299</v>
      </c>
      <c r="O55" s="175" t="s">
        <v>805</v>
      </c>
      <c r="P55" s="175" t="s">
        <v>1026</v>
      </c>
      <c r="Q55" s="175" t="s">
        <v>807</v>
      </c>
      <c r="R55" s="175" t="s">
        <v>259</v>
      </c>
      <c r="S55" s="175" t="s">
        <v>1300</v>
      </c>
      <c r="T55" s="175" t="s">
        <v>1301</v>
      </c>
      <c r="U55" s="175" t="s">
        <v>1302</v>
      </c>
      <c r="V55" s="175" t="s">
        <v>1303</v>
      </c>
      <c r="W55" s="175" t="s">
        <v>1304</v>
      </c>
      <c r="X55" s="175" t="s">
        <v>1305</v>
      </c>
      <c r="Y55" s="175" t="s">
        <v>1306</v>
      </c>
      <c r="Z55" s="175" t="s">
        <v>1307</v>
      </c>
    </row>
    <row r="56" spans="1:26" s="164" customFormat="1" ht="30" customHeight="1" x14ac:dyDescent="0.25">
      <c r="A56" s="177"/>
      <c r="B56" s="178"/>
      <c r="C56" s="176"/>
      <c r="D56" s="174">
        <v>50</v>
      </c>
      <c r="E56" s="175" t="s">
        <v>472</v>
      </c>
      <c r="F56" s="175" t="s">
        <v>247</v>
      </c>
      <c r="G56" s="175" t="s">
        <v>1308</v>
      </c>
      <c r="H56" s="175" t="s">
        <v>1309</v>
      </c>
      <c r="I56" s="175" t="s">
        <v>1310</v>
      </c>
      <c r="J56" s="175" t="s">
        <v>1311</v>
      </c>
      <c r="K56" s="175" t="s">
        <v>1312</v>
      </c>
      <c r="L56" s="175" t="s">
        <v>1313</v>
      </c>
      <c r="M56" s="175" t="s">
        <v>1314</v>
      </c>
      <c r="N56" s="175" t="s">
        <v>1315</v>
      </c>
      <c r="O56" s="175" t="s">
        <v>805</v>
      </c>
      <c r="P56" s="175" t="s">
        <v>1026</v>
      </c>
      <c r="Q56" s="175" t="s">
        <v>807</v>
      </c>
      <c r="R56" s="175" t="s">
        <v>484</v>
      </c>
      <c r="S56" s="175" t="s">
        <v>1316</v>
      </c>
      <c r="T56" s="175" t="s">
        <v>1317</v>
      </c>
      <c r="U56" s="175" t="s">
        <v>1318</v>
      </c>
      <c r="V56" s="175" t="s">
        <v>1319</v>
      </c>
      <c r="W56" s="175" t="s">
        <v>1304</v>
      </c>
      <c r="X56" s="175" t="s">
        <v>1320</v>
      </c>
      <c r="Y56" s="175" t="s">
        <v>1321</v>
      </c>
      <c r="Z56" s="175" t="s">
        <v>1322</v>
      </c>
    </row>
    <row r="57" spans="1:26" s="183" customFormat="1" ht="30" customHeight="1" x14ac:dyDescent="0.25">
      <c r="A57" s="179"/>
      <c r="B57" s="180"/>
      <c r="C57" s="181"/>
      <c r="D57" s="174">
        <v>51</v>
      </c>
      <c r="E57" s="182" t="s">
        <v>153</v>
      </c>
      <c r="F57" s="182" t="s">
        <v>154</v>
      </c>
      <c r="G57" s="182" t="s">
        <v>1343</v>
      </c>
      <c r="H57" s="182" t="s">
        <v>1344</v>
      </c>
      <c r="I57" s="182" t="s">
        <v>1345</v>
      </c>
      <c r="J57" s="182" t="s">
        <v>1346</v>
      </c>
      <c r="K57" s="182" t="s">
        <v>1328</v>
      </c>
      <c r="L57" s="182" t="s">
        <v>1329</v>
      </c>
      <c r="M57" s="182" t="s">
        <v>1347</v>
      </c>
      <c r="N57" s="182" t="s">
        <v>1348</v>
      </c>
      <c r="O57" s="182" t="s">
        <v>1349</v>
      </c>
      <c r="P57" s="182" t="s">
        <v>1350</v>
      </c>
      <c r="Q57" s="182" t="s">
        <v>163</v>
      </c>
      <c r="R57" s="182" t="s">
        <v>164</v>
      </c>
      <c r="S57" s="182" t="s">
        <v>1351</v>
      </c>
      <c r="T57" s="182" t="s">
        <v>1352</v>
      </c>
      <c r="U57" s="182" t="s">
        <v>1353</v>
      </c>
      <c r="V57" s="182" t="s">
        <v>1354</v>
      </c>
      <c r="W57" s="182" t="s">
        <v>1355</v>
      </c>
      <c r="X57" s="182" t="s">
        <v>1356</v>
      </c>
      <c r="Y57" s="182" t="s">
        <v>171</v>
      </c>
      <c r="Z57" s="182" t="s">
        <v>1357</v>
      </c>
    </row>
    <row r="58" spans="1:26" s="183" customFormat="1" ht="30" customHeight="1" x14ac:dyDescent="0.25">
      <c r="A58" s="179"/>
      <c r="B58" s="180"/>
      <c r="C58" s="181"/>
      <c r="D58" s="174">
        <v>52</v>
      </c>
      <c r="E58" s="182" t="s">
        <v>204</v>
      </c>
      <c r="F58" s="182" t="s">
        <v>205</v>
      </c>
      <c r="G58" s="182" t="s">
        <v>1366</v>
      </c>
      <c r="H58" s="182" t="s">
        <v>1367</v>
      </c>
      <c r="I58" s="182" t="s">
        <v>1368</v>
      </c>
      <c r="J58" s="182" t="s">
        <v>1369</v>
      </c>
      <c r="K58" s="182" t="s">
        <v>1370</v>
      </c>
      <c r="L58" s="182" t="s">
        <v>1371</v>
      </c>
      <c r="M58" s="182" t="s">
        <v>1372</v>
      </c>
      <c r="N58" s="182" t="s">
        <v>1373</v>
      </c>
      <c r="O58" s="182" t="s">
        <v>1349</v>
      </c>
      <c r="P58" s="182" t="s">
        <v>1374</v>
      </c>
      <c r="Q58" s="182" t="s">
        <v>163</v>
      </c>
      <c r="R58" s="182" t="s">
        <v>164</v>
      </c>
      <c r="S58" s="182" t="s">
        <v>1375</v>
      </c>
      <c r="T58" s="182" t="s">
        <v>1376</v>
      </c>
      <c r="U58" s="182" t="s">
        <v>1377</v>
      </c>
      <c r="V58" s="182" t="s">
        <v>1378</v>
      </c>
      <c r="W58" s="182" t="s">
        <v>400</v>
      </c>
      <c r="X58" s="182" t="s">
        <v>1379</v>
      </c>
      <c r="Y58" s="182" t="s">
        <v>1380</v>
      </c>
      <c r="Z58" s="182" t="s">
        <v>1381</v>
      </c>
    </row>
    <row r="59" spans="1:26" s="183" customFormat="1" ht="30" customHeight="1" x14ac:dyDescent="0.25">
      <c r="A59" s="179"/>
      <c r="B59" s="180"/>
      <c r="C59" s="181"/>
      <c r="D59" s="174">
        <v>53</v>
      </c>
      <c r="E59" s="182" t="s">
        <v>246</v>
      </c>
      <c r="F59" s="182" t="s">
        <v>247</v>
      </c>
      <c r="G59" s="182" t="s">
        <v>416</v>
      </c>
      <c r="H59" s="182" t="s">
        <v>1382</v>
      </c>
      <c r="I59" s="182" t="s">
        <v>1383</v>
      </c>
      <c r="J59" s="182" t="s">
        <v>1384</v>
      </c>
      <c r="K59" s="182" t="s">
        <v>1385</v>
      </c>
      <c r="L59" s="182" t="s">
        <v>1386</v>
      </c>
      <c r="M59" s="182" t="s">
        <v>1387</v>
      </c>
      <c r="N59" s="182" t="s">
        <v>423</v>
      </c>
      <c r="O59" s="182" t="s">
        <v>1349</v>
      </c>
      <c r="P59" s="182" t="s">
        <v>1388</v>
      </c>
      <c r="Q59" s="182" t="s">
        <v>163</v>
      </c>
      <c r="R59" s="182" t="s">
        <v>164</v>
      </c>
      <c r="S59" s="182" t="s">
        <v>1389</v>
      </c>
      <c r="T59" s="182" t="s">
        <v>1390</v>
      </c>
      <c r="U59" s="182" t="s">
        <v>428</v>
      </c>
      <c r="V59" s="182" t="s">
        <v>1391</v>
      </c>
      <c r="W59" s="182" t="s">
        <v>1392</v>
      </c>
      <c r="X59" s="182" t="s">
        <v>1393</v>
      </c>
      <c r="Y59" s="182" t="s">
        <v>1394</v>
      </c>
      <c r="Z59" s="182" t="s">
        <v>1395</v>
      </c>
    </row>
    <row r="60" spans="1:26" s="183" customFormat="1" ht="30" customHeight="1" x14ac:dyDescent="0.25">
      <c r="A60" s="179"/>
      <c r="B60" s="180"/>
      <c r="C60" s="181"/>
      <c r="D60" s="174">
        <v>54</v>
      </c>
      <c r="E60" s="182" t="s">
        <v>978</v>
      </c>
      <c r="F60" s="182" t="s">
        <v>154</v>
      </c>
      <c r="G60" s="182" t="s">
        <v>1405</v>
      </c>
      <c r="H60" s="182" t="s">
        <v>1406</v>
      </c>
      <c r="I60" s="182" t="s">
        <v>1407</v>
      </c>
      <c r="J60" s="182" t="s">
        <v>1408</v>
      </c>
      <c r="K60" s="182" t="s">
        <v>1409</v>
      </c>
      <c r="L60" s="182" t="s">
        <v>1410</v>
      </c>
      <c r="M60" s="182" t="s">
        <v>1411</v>
      </c>
      <c r="N60" s="182" t="s">
        <v>1412</v>
      </c>
      <c r="O60" s="182" t="s">
        <v>1349</v>
      </c>
      <c r="P60" s="182" t="s">
        <v>1413</v>
      </c>
      <c r="Q60" s="182" t="s">
        <v>163</v>
      </c>
      <c r="R60" s="182" t="s">
        <v>259</v>
      </c>
      <c r="S60" s="182" t="s">
        <v>1414</v>
      </c>
      <c r="T60" s="182" t="s">
        <v>1415</v>
      </c>
      <c r="U60" s="182" t="s">
        <v>1416</v>
      </c>
      <c r="V60" s="182" t="s">
        <v>1417</v>
      </c>
      <c r="W60" s="182" t="s">
        <v>1418</v>
      </c>
      <c r="X60" s="182" t="s">
        <v>1419</v>
      </c>
      <c r="Y60" s="182" t="s">
        <v>1420</v>
      </c>
      <c r="Z60" s="182" t="s">
        <v>1421</v>
      </c>
    </row>
    <row r="61" spans="1:26" s="183" customFormat="1" ht="30" customHeight="1" x14ac:dyDescent="0.25">
      <c r="A61" s="179"/>
      <c r="B61" s="180"/>
      <c r="C61" s="181"/>
      <c r="D61" s="174">
        <v>55</v>
      </c>
      <c r="E61" s="182" t="s">
        <v>385</v>
      </c>
      <c r="F61" s="182" t="s">
        <v>570</v>
      </c>
      <c r="G61" s="182" t="s">
        <v>571</v>
      </c>
      <c r="H61" s="182" t="s">
        <v>1427</v>
      </c>
      <c r="I61" s="182" t="s">
        <v>573</v>
      </c>
      <c r="J61" s="182" t="s">
        <v>574</v>
      </c>
      <c r="K61" s="182" t="s">
        <v>1428</v>
      </c>
      <c r="L61" s="182" t="s">
        <v>1429</v>
      </c>
      <c r="M61" s="182" t="s">
        <v>1430</v>
      </c>
      <c r="N61" s="182" t="s">
        <v>1431</v>
      </c>
      <c r="O61" s="182" t="s">
        <v>1349</v>
      </c>
      <c r="P61" s="182" t="s">
        <v>1432</v>
      </c>
      <c r="Q61" s="182" t="s">
        <v>163</v>
      </c>
      <c r="R61" s="182" t="s">
        <v>164</v>
      </c>
      <c r="S61" s="182" t="s">
        <v>1433</v>
      </c>
      <c r="T61" s="182" t="s">
        <v>1434</v>
      </c>
      <c r="U61" s="182" t="s">
        <v>1435</v>
      </c>
      <c r="V61" s="182" t="s">
        <v>1436</v>
      </c>
      <c r="W61" s="182" t="s">
        <v>1437</v>
      </c>
      <c r="X61" s="182" t="s">
        <v>1438</v>
      </c>
      <c r="Y61" s="182" t="s">
        <v>1439</v>
      </c>
      <c r="Z61" s="182" t="s">
        <v>588</v>
      </c>
    </row>
    <row r="62" spans="1:26" s="183" customFormat="1" ht="30" customHeight="1" x14ac:dyDescent="0.25">
      <c r="A62" s="179"/>
      <c r="B62" s="180"/>
      <c r="C62" s="181"/>
      <c r="D62" s="174">
        <v>56</v>
      </c>
      <c r="E62" s="182" t="s">
        <v>324</v>
      </c>
      <c r="F62" s="182" t="s">
        <v>325</v>
      </c>
      <c r="G62" s="182" t="s">
        <v>1444</v>
      </c>
      <c r="H62" s="182" t="s">
        <v>1445</v>
      </c>
      <c r="I62" s="182" t="s">
        <v>1446</v>
      </c>
      <c r="J62" s="182" t="s">
        <v>1447</v>
      </c>
      <c r="K62" s="182" t="s">
        <v>1448</v>
      </c>
      <c r="L62" s="182" t="s">
        <v>1449</v>
      </c>
      <c r="M62" s="182" t="s">
        <v>1450</v>
      </c>
      <c r="N62" s="182" t="s">
        <v>1451</v>
      </c>
      <c r="O62" s="182" t="s">
        <v>1349</v>
      </c>
      <c r="P62" s="182" t="s">
        <v>1452</v>
      </c>
      <c r="Q62" s="182" t="s">
        <v>163</v>
      </c>
      <c r="R62" s="182" t="s">
        <v>164</v>
      </c>
      <c r="S62" s="182" t="s">
        <v>1453</v>
      </c>
      <c r="T62" s="182" t="s">
        <v>1454</v>
      </c>
      <c r="U62" s="182" t="s">
        <v>1455</v>
      </c>
      <c r="V62" s="182" t="s">
        <v>1456</v>
      </c>
      <c r="W62" s="182" t="s">
        <v>1457</v>
      </c>
      <c r="X62" s="182" t="s">
        <v>1458</v>
      </c>
      <c r="Y62" s="182" t="s">
        <v>1459</v>
      </c>
      <c r="Z62" s="182" t="s">
        <v>1460</v>
      </c>
    </row>
    <row r="63" spans="1:26" s="183" customFormat="1" ht="30" customHeight="1" x14ac:dyDescent="0.25">
      <c r="A63" s="179"/>
      <c r="B63" s="180"/>
      <c r="C63" s="181"/>
      <c r="D63" s="174">
        <v>57</v>
      </c>
      <c r="E63" s="182" t="s">
        <v>506</v>
      </c>
      <c r="F63" s="182" t="s">
        <v>154</v>
      </c>
      <c r="G63" s="182" t="s">
        <v>1464</v>
      </c>
      <c r="H63" s="182" t="s">
        <v>1465</v>
      </c>
      <c r="I63" s="182" t="s">
        <v>1466</v>
      </c>
      <c r="J63" s="182" t="s">
        <v>1467</v>
      </c>
      <c r="K63" s="182" t="s">
        <v>1468</v>
      </c>
      <c r="L63" s="182" t="s">
        <v>1469</v>
      </c>
      <c r="M63" s="182" t="s">
        <v>1470</v>
      </c>
      <c r="N63" s="182" t="s">
        <v>1471</v>
      </c>
      <c r="O63" s="182" t="s">
        <v>1349</v>
      </c>
      <c r="P63" s="182" t="s">
        <v>1472</v>
      </c>
      <c r="Q63" s="182" t="s">
        <v>163</v>
      </c>
      <c r="R63" s="182" t="s">
        <v>164</v>
      </c>
      <c r="S63" s="182" t="s">
        <v>1473</v>
      </c>
      <c r="T63" s="182" t="s">
        <v>1474</v>
      </c>
      <c r="U63" s="182" t="s">
        <v>1475</v>
      </c>
      <c r="V63" s="182" t="s">
        <v>1476</v>
      </c>
      <c r="W63" s="182" t="s">
        <v>1477</v>
      </c>
      <c r="X63" s="182" t="s">
        <v>1478</v>
      </c>
      <c r="Y63" s="182" t="s">
        <v>1479</v>
      </c>
      <c r="Z63" s="182" t="s">
        <v>1480</v>
      </c>
    </row>
    <row r="64" spans="1:26" s="183" customFormat="1" ht="30" customHeight="1" x14ac:dyDescent="0.25">
      <c r="A64" s="179"/>
      <c r="B64" s="180"/>
      <c r="C64" s="181"/>
      <c r="D64" s="174">
        <v>58</v>
      </c>
      <c r="E64" s="182" t="s">
        <v>444</v>
      </c>
      <c r="F64" s="182" t="s">
        <v>205</v>
      </c>
      <c r="G64" s="182" t="s">
        <v>1485</v>
      </c>
      <c r="H64" s="182" t="s">
        <v>1486</v>
      </c>
      <c r="I64" s="182" t="s">
        <v>1487</v>
      </c>
      <c r="J64" s="182" t="s">
        <v>1488</v>
      </c>
      <c r="K64" s="182" t="s">
        <v>1489</v>
      </c>
      <c r="L64" s="182" t="s">
        <v>1490</v>
      </c>
      <c r="M64" s="182" t="s">
        <v>1491</v>
      </c>
      <c r="N64" s="182" t="s">
        <v>725</v>
      </c>
      <c r="O64" s="182" t="s">
        <v>1349</v>
      </c>
      <c r="P64" s="182" t="s">
        <v>1492</v>
      </c>
      <c r="Q64" s="182" t="s">
        <v>163</v>
      </c>
      <c r="R64" s="182" t="s">
        <v>259</v>
      </c>
      <c r="S64" s="182" t="s">
        <v>1493</v>
      </c>
      <c r="T64" s="182" t="s">
        <v>1494</v>
      </c>
      <c r="U64" s="182" t="s">
        <v>1495</v>
      </c>
      <c r="V64" s="182" t="s">
        <v>1496</v>
      </c>
      <c r="W64" s="182" t="s">
        <v>1497</v>
      </c>
      <c r="X64" s="182" t="s">
        <v>1498</v>
      </c>
      <c r="Y64" s="182" t="s">
        <v>1499</v>
      </c>
      <c r="Z64" s="182" t="s">
        <v>1500</v>
      </c>
    </row>
    <row r="65" spans="1:26" s="183" customFormat="1" ht="30" customHeight="1" x14ac:dyDescent="0.25">
      <c r="A65" s="179"/>
      <c r="B65" s="180"/>
      <c r="C65" s="181"/>
      <c r="D65" s="174">
        <v>59</v>
      </c>
      <c r="E65" s="182" t="s">
        <v>385</v>
      </c>
      <c r="F65" s="182" t="s">
        <v>325</v>
      </c>
      <c r="G65" s="182" t="s">
        <v>1503</v>
      </c>
      <c r="H65" s="182" t="s">
        <v>1504</v>
      </c>
      <c r="I65" s="182" t="s">
        <v>1505</v>
      </c>
      <c r="J65" s="182" t="s">
        <v>1506</v>
      </c>
      <c r="K65" s="182" t="s">
        <v>1507</v>
      </c>
      <c r="L65" s="182" t="s">
        <v>1508</v>
      </c>
      <c r="M65" s="182" t="s">
        <v>1509</v>
      </c>
      <c r="N65" s="182" t="s">
        <v>1510</v>
      </c>
      <c r="O65" s="182" t="s">
        <v>1349</v>
      </c>
      <c r="P65" s="182" t="s">
        <v>1511</v>
      </c>
      <c r="Q65" s="182" t="s">
        <v>163</v>
      </c>
      <c r="R65" s="182" t="s">
        <v>259</v>
      </c>
      <c r="S65" s="182" t="s">
        <v>1512</v>
      </c>
      <c r="T65" s="182" t="s">
        <v>1513</v>
      </c>
      <c r="U65" s="182" t="s">
        <v>1514</v>
      </c>
      <c r="V65" s="182" t="s">
        <v>1515</v>
      </c>
      <c r="W65" s="182" t="s">
        <v>1516</v>
      </c>
      <c r="X65" s="182" t="s">
        <v>1517</v>
      </c>
      <c r="Y65" s="182" t="s">
        <v>1518</v>
      </c>
      <c r="Z65" s="182" t="s">
        <v>1519</v>
      </c>
    </row>
    <row r="66" spans="1:26" s="183" customFormat="1" ht="30" customHeight="1" x14ac:dyDescent="0.25">
      <c r="A66" s="179"/>
      <c r="B66" s="180"/>
      <c r="C66" s="181"/>
      <c r="D66" s="174">
        <v>60</v>
      </c>
      <c r="E66" s="182" t="s">
        <v>978</v>
      </c>
      <c r="F66" s="182" t="s">
        <v>570</v>
      </c>
      <c r="G66" s="182" t="s">
        <v>1522</v>
      </c>
      <c r="H66" s="182" t="s">
        <v>1523</v>
      </c>
      <c r="I66" s="182" t="s">
        <v>1524</v>
      </c>
      <c r="J66" s="182" t="s">
        <v>1525</v>
      </c>
      <c r="K66" s="182" t="s">
        <v>1526</v>
      </c>
      <c r="L66" s="182" t="s">
        <v>1527</v>
      </c>
      <c r="M66" s="182" t="s">
        <v>1528</v>
      </c>
      <c r="N66" s="182" t="s">
        <v>1529</v>
      </c>
      <c r="O66" s="182" t="s">
        <v>1349</v>
      </c>
      <c r="P66" s="182" t="s">
        <v>1530</v>
      </c>
      <c r="Q66" s="182" t="s">
        <v>163</v>
      </c>
      <c r="R66" s="182" t="s">
        <v>259</v>
      </c>
      <c r="S66" s="182" t="s">
        <v>1531</v>
      </c>
      <c r="T66" s="182" t="s">
        <v>1532</v>
      </c>
      <c r="U66" s="182" t="s">
        <v>1533</v>
      </c>
      <c r="V66" s="182" t="s">
        <v>1534</v>
      </c>
      <c r="W66" s="182" t="s">
        <v>1535</v>
      </c>
      <c r="X66" s="182" t="s">
        <v>1536</v>
      </c>
      <c r="Y66" s="182" t="s">
        <v>1537</v>
      </c>
      <c r="Z66" s="182" t="s">
        <v>1538</v>
      </c>
    </row>
    <row r="67" spans="1:26" s="183" customFormat="1" ht="30" customHeight="1" x14ac:dyDescent="0.25">
      <c r="A67" s="179"/>
      <c r="B67" s="180"/>
      <c r="C67" s="181"/>
      <c r="D67" s="174">
        <v>61</v>
      </c>
      <c r="E67" s="182" t="s">
        <v>385</v>
      </c>
      <c r="F67" s="182" t="s">
        <v>154</v>
      </c>
      <c r="G67" s="182" t="s">
        <v>1541</v>
      </c>
      <c r="H67" s="182" t="s">
        <v>1542</v>
      </c>
      <c r="I67" s="182" t="s">
        <v>1543</v>
      </c>
      <c r="J67" s="182" t="s">
        <v>1544</v>
      </c>
      <c r="K67" s="182" t="s">
        <v>1545</v>
      </c>
      <c r="L67" s="182" t="s">
        <v>1546</v>
      </c>
      <c r="M67" s="182" t="s">
        <v>1547</v>
      </c>
      <c r="N67" s="182" t="s">
        <v>1548</v>
      </c>
      <c r="O67" s="182" t="s">
        <v>1349</v>
      </c>
      <c r="P67" s="182" t="s">
        <v>1549</v>
      </c>
      <c r="Q67" s="182" t="s">
        <v>163</v>
      </c>
      <c r="R67" s="182" t="s">
        <v>259</v>
      </c>
      <c r="S67" s="182" t="s">
        <v>1550</v>
      </c>
      <c r="T67" s="182" t="s">
        <v>1551</v>
      </c>
      <c r="U67" s="182" t="s">
        <v>778</v>
      </c>
      <c r="V67" s="182" t="s">
        <v>1552</v>
      </c>
      <c r="W67" s="182" t="s">
        <v>1553</v>
      </c>
      <c r="X67" s="182" t="s">
        <v>1554</v>
      </c>
      <c r="Y67" s="182" t="s">
        <v>1555</v>
      </c>
      <c r="Z67" s="182" t="s">
        <v>1556</v>
      </c>
    </row>
    <row r="68" spans="1:26" s="183" customFormat="1" ht="30" customHeight="1" x14ac:dyDescent="0.25">
      <c r="A68" s="179"/>
      <c r="B68" s="180"/>
      <c r="C68" s="181"/>
      <c r="D68" s="174">
        <v>62</v>
      </c>
      <c r="E68" s="182" t="s">
        <v>324</v>
      </c>
      <c r="F68" s="182" t="s">
        <v>205</v>
      </c>
      <c r="G68" s="182" t="s">
        <v>1559</v>
      </c>
      <c r="H68" s="182" t="s">
        <v>1560</v>
      </c>
      <c r="I68" s="182" t="s">
        <v>1561</v>
      </c>
      <c r="J68" s="182" t="s">
        <v>1562</v>
      </c>
      <c r="K68" s="182" t="s">
        <v>1563</v>
      </c>
      <c r="L68" s="182" t="s">
        <v>1564</v>
      </c>
      <c r="M68" s="182" t="s">
        <v>1565</v>
      </c>
      <c r="N68" s="182" t="s">
        <v>1566</v>
      </c>
      <c r="O68" s="182" t="s">
        <v>1349</v>
      </c>
      <c r="P68" s="182" t="s">
        <v>1567</v>
      </c>
      <c r="Q68" s="182" t="s">
        <v>163</v>
      </c>
      <c r="R68" s="182" t="s">
        <v>164</v>
      </c>
      <c r="S68" s="182" t="s">
        <v>1568</v>
      </c>
      <c r="T68" s="182" t="s">
        <v>1569</v>
      </c>
      <c r="U68" s="182" t="s">
        <v>671</v>
      </c>
      <c r="V68" s="182" t="s">
        <v>1570</v>
      </c>
      <c r="W68" s="182" t="s">
        <v>1571</v>
      </c>
      <c r="X68" s="182" t="s">
        <v>1572</v>
      </c>
      <c r="Y68" s="182" t="s">
        <v>1573</v>
      </c>
      <c r="Z68" s="182" t="s">
        <v>1574</v>
      </c>
    </row>
    <row r="69" spans="1:26" s="183" customFormat="1" ht="30" customHeight="1" x14ac:dyDescent="0.25">
      <c r="A69" s="179"/>
      <c r="B69" s="180"/>
      <c r="C69" s="181"/>
      <c r="D69" s="174">
        <v>63</v>
      </c>
      <c r="E69" s="182" t="s">
        <v>444</v>
      </c>
      <c r="F69" s="182" t="s">
        <v>154</v>
      </c>
      <c r="G69" s="182" t="s">
        <v>1575</v>
      </c>
      <c r="H69" s="182" t="s">
        <v>1576</v>
      </c>
      <c r="I69" s="182" t="s">
        <v>1577</v>
      </c>
      <c r="J69" s="182" t="s">
        <v>1578</v>
      </c>
      <c r="K69" s="182" t="s">
        <v>1579</v>
      </c>
      <c r="L69" s="182" t="s">
        <v>1580</v>
      </c>
      <c r="M69" s="182" t="s">
        <v>1581</v>
      </c>
      <c r="N69" s="182" t="s">
        <v>1582</v>
      </c>
      <c r="O69" s="182" t="s">
        <v>1349</v>
      </c>
      <c r="P69" s="182" t="s">
        <v>1583</v>
      </c>
      <c r="Q69" s="182" t="s">
        <v>163</v>
      </c>
      <c r="R69" s="182" t="s">
        <v>259</v>
      </c>
      <c r="S69" s="182" t="s">
        <v>1584</v>
      </c>
      <c r="T69" s="182" t="s">
        <v>1585</v>
      </c>
      <c r="U69" s="182" t="s">
        <v>1586</v>
      </c>
      <c r="V69" s="182" t="s">
        <v>1587</v>
      </c>
      <c r="W69" s="182" t="s">
        <v>1588</v>
      </c>
      <c r="X69" s="182" t="s">
        <v>1589</v>
      </c>
      <c r="Y69" s="182" t="s">
        <v>1590</v>
      </c>
      <c r="Z69" s="182" t="s">
        <v>1591</v>
      </c>
    </row>
    <row r="70" spans="1:26" s="183" customFormat="1" ht="30" customHeight="1" x14ac:dyDescent="0.25">
      <c r="A70" s="179"/>
      <c r="B70" s="180"/>
      <c r="C70" s="181"/>
      <c r="D70" s="174">
        <v>64</v>
      </c>
      <c r="E70" s="182" t="s">
        <v>385</v>
      </c>
      <c r="F70" s="182" t="s">
        <v>325</v>
      </c>
      <c r="G70" s="182" t="s">
        <v>1595</v>
      </c>
      <c r="H70" s="182" t="s">
        <v>1596</v>
      </c>
      <c r="I70" s="182" t="s">
        <v>1597</v>
      </c>
      <c r="J70" s="182" t="s">
        <v>1598</v>
      </c>
      <c r="K70" s="182" t="s">
        <v>1599</v>
      </c>
      <c r="L70" s="182" t="s">
        <v>1600</v>
      </c>
      <c r="M70" s="182" t="s">
        <v>1601</v>
      </c>
      <c r="N70" s="182" t="s">
        <v>1602</v>
      </c>
      <c r="O70" s="182" t="s">
        <v>1349</v>
      </c>
      <c r="P70" s="182" t="s">
        <v>1603</v>
      </c>
      <c r="Q70" s="182" t="s">
        <v>163</v>
      </c>
      <c r="R70" s="182" t="s">
        <v>259</v>
      </c>
      <c r="S70" s="182" t="s">
        <v>1604</v>
      </c>
      <c r="T70" s="182" t="s">
        <v>1605</v>
      </c>
      <c r="U70" s="182" t="s">
        <v>1606</v>
      </c>
      <c r="V70" s="182" t="s">
        <v>1607</v>
      </c>
      <c r="W70" s="182" t="s">
        <v>1608</v>
      </c>
      <c r="X70" s="182" t="s">
        <v>1609</v>
      </c>
      <c r="Y70" s="182" t="s">
        <v>1610</v>
      </c>
      <c r="Z70" s="182" t="s">
        <v>1611</v>
      </c>
    </row>
    <row r="71" spans="1:26" s="183" customFormat="1" ht="30" customHeight="1" x14ac:dyDescent="0.25">
      <c r="A71" s="179"/>
      <c r="B71" s="180"/>
      <c r="C71" s="181"/>
      <c r="D71" s="174">
        <v>65</v>
      </c>
      <c r="E71" s="182" t="s">
        <v>506</v>
      </c>
      <c r="F71" s="182" t="s">
        <v>570</v>
      </c>
      <c r="G71" s="182" t="s">
        <v>1616</v>
      </c>
      <c r="H71" s="182" t="s">
        <v>1617</v>
      </c>
      <c r="I71" s="182" t="s">
        <v>1618</v>
      </c>
      <c r="J71" s="182" t="s">
        <v>1619</v>
      </c>
      <c r="K71" s="182" t="s">
        <v>1620</v>
      </c>
      <c r="L71" s="182" t="s">
        <v>1621</v>
      </c>
      <c r="M71" s="182" t="s">
        <v>1622</v>
      </c>
      <c r="N71" s="182" t="s">
        <v>966</v>
      </c>
      <c r="O71" s="182" t="s">
        <v>1349</v>
      </c>
      <c r="P71" s="182" t="s">
        <v>1623</v>
      </c>
      <c r="Q71" s="182" t="s">
        <v>163</v>
      </c>
      <c r="R71" s="182" t="s">
        <v>164</v>
      </c>
      <c r="S71" s="182" t="s">
        <v>1624</v>
      </c>
      <c r="T71" s="182" t="s">
        <v>1625</v>
      </c>
      <c r="U71" s="182" t="s">
        <v>1626</v>
      </c>
      <c r="V71" s="182" t="s">
        <v>1627</v>
      </c>
      <c r="W71" s="182" t="s">
        <v>1628</v>
      </c>
      <c r="X71" s="182" t="s">
        <v>1629</v>
      </c>
      <c r="Y71" s="182" t="s">
        <v>1630</v>
      </c>
      <c r="Z71" s="182" t="s">
        <v>1631</v>
      </c>
    </row>
    <row r="72" spans="1:26" s="183" customFormat="1" ht="30" customHeight="1" x14ac:dyDescent="0.25">
      <c r="A72" s="179"/>
      <c r="B72" s="180"/>
      <c r="C72" s="181"/>
      <c r="D72" s="174">
        <v>66</v>
      </c>
      <c r="E72" s="182" t="s">
        <v>472</v>
      </c>
      <c r="F72" s="182" t="s">
        <v>247</v>
      </c>
      <c r="G72" s="182" t="s">
        <v>1633</v>
      </c>
      <c r="H72" s="182" t="s">
        <v>1634</v>
      </c>
      <c r="I72" s="182" t="s">
        <v>1635</v>
      </c>
      <c r="J72" s="182" t="s">
        <v>1636</v>
      </c>
      <c r="K72" s="182" t="s">
        <v>1637</v>
      </c>
      <c r="L72" s="182" t="s">
        <v>1638</v>
      </c>
      <c r="M72" s="182" t="s">
        <v>1639</v>
      </c>
      <c r="N72" s="182" t="s">
        <v>1640</v>
      </c>
      <c r="O72" s="182" t="s">
        <v>1349</v>
      </c>
      <c r="P72" s="182" t="s">
        <v>1641</v>
      </c>
      <c r="Q72" s="182" t="s">
        <v>163</v>
      </c>
      <c r="R72" s="182" t="s">
        <v>259</v>
      </c>
      <c r="S72" s="182" t="s">
        <v>1642</v>
      </c>
      <c r="T72" s="182" t="s">
        <v>1643</v>
      </c>
      <c r="U72" s="182" t="s">
        <v>487</v>
      </c>
      <c r="V72" s="182" t="s">
        <v>1644</v>
      </c>
      <c r="W72" s="182" t="s">
        <v>1645</v>
      </c>
      <c r="X72" s="182" t="s">
        <v>1646</v>
      </c>
      <c r="Y72" s="182" t="s">
        <v>1647</v>
      </c>
      <c r="Z72" s="182" t="s">
        <v>1648</v>
      </c>
    </row>
    <row r="73" spans="1:26" s="183" customFormat="1" ht="30" customHeight="1" x14ac:dyDescent="0.25">
      <c r="A73" s="179"/>
      <c r="B73" s="180"/>
      <c r="C73" s="181"/>
      <c r="D73" s="174">
        <v>67</v>
      </c>
      <c r="E73" s="182" t="s">
        <v>385</v>
      </c>
      <c r="F73" s="182" t="s">
        <v>205</v>
      </c>
      <c r="G73" s="182" t="s">
        <v>1650</v>
      </c>
      <c r="H73" s="182" t="s">
        <v>1651</v>
      </c>
      <c r="I73" s="182" t="s">
        <v>1652</v>
      </c>
      <c r="J73" s="182" t="s">
        <v>1653</v>
      </c>
      <c r="K73" s="182" t="s">
        <v>1654</v>
      </c>
      <c r="L73" s="182" t="s">
        <v>1655</v>
      </c>
      <c r="M73" s="182" t="s">
        <v>1656</v>
      </c>
      <c r="N73" s="182" t="s">
        <v>1657</v>
      </c>
      <c r="O73" s="182" t="s">
        <v>1349</v>
      </c>
      <c r="P73" s="182" t="s">
        <v>1658</v>
      </c>
      <c r="Q73" s="182" t="s">
        <v>163</v>
      </c>
      <c r="R73" s="182" t="s">
        <v>259</v>
      </c>
      <c r="S73" s="182" t="s">
        <v>1659</v>
      </c>
      <c r="T73" s="182" t="s">
        <v>1660</v>
      </c>
      <c r="U73" s="182" t="s">
        <v>1661</v>
      </c>
      <c r="V73" s="182" t="s">
        <v>1662</v>
      </c>
      <c r="W73" s="182" t="s">
        <v>1663</v>
      </c>
      <c r="X73" s="182" t="s">
        <v>1664</v>
      </c>
      <c r="Y73" s="182" t="s">
        <v>1665</v>
      </c>
      <c r="Z73" s="182" t="s">
        <v>1666</v>
      </c>
    </row>
    <row r="74" spans="1:26" s="183" customFormat="1" ht="30" customHeight="1" x14ac:dyDescent="0.25">
      <c r="A74" s="179"/>
      <c r="B74" s="180"/>
      <c r="C74" s="181"/>
      <c r="D74" s="174">
        <v>68</v>
      </c>
      <c r="E74" s="182" t="s">
        <v>415</v>
      </c>
      <c r="F74" s="182" t="s">
        <v>325</v>
      </c>
      <c r="G74" s="182" t="s">
        <v>1670</v>
      </c>
      <c r="H74" s="182" t="s">
        <v>1671</v>
      </c>
      <c r="I74" s="182" t="s">
        <v>1672</v>
      </c>
      <c r="J74" s="182" t="s">
        <v>1673</v>
      </c>
      <c r="K74" s="182" t="s">
        <v>1674</v>
      </c>
      <c r="L74" s="182" t="s">
        <v>1675</v>
      </c>
      <c r="M74" s="182" t="s">
        <v>1676</v>
      </c>
      <c r="N74" s="182" t="s">
        <v>1677</v>
      </c>
      <c r="O74" s="182" t="s">
        <v>1349</v>
      </c>
      <c r="P74" s="182" t="s">
        <v>1678</v>
      </c>
      <c r="Q74" s="182" t="s">
        <v>163</v>
      </c>
      <c r="R74" s="182" t="s">
        <v>164</v>
      </c>
      <c r="S74" s="182" t="s">
        <v>1679</v>
      </c>
      <c r="T74" s="182" t="s">
        <v>1680</v>
      </c>
      <c r="U74" s="182" t="s">
        <v>1681</v>
      </c>
      <c r="V74" s="182" t="s">
        <v>1682</v>
      </c>
      <c r="W74" s="182" t="s">
        <v>1683</v>
      </c>
      <c r="X74" s="182" t="s">
        <v>1684</v>
      </c>
      <c r="Y74" s="182" t="s">
        <v>1685</v>
      </c>
      <c r="Z74" s="182" t="s">
        <v>1686</v>
      </c>
    </row>
    <row r="75" spans="1:26" s="183" customFormat="1" ht="30" customHeight="1" x14ac:dyDescent="0.25">
      <c r="A75" s="179"/>
      <c r="B75" s="180"/>
      <c r="C75" s="181"/>
      <c r="D75" s="174">
        <v>69</v>
      </c>
      <c r="E75" s="182" t="s">
        <v>324</v>
      </c>
      <c r="F75" s="182" t="s">
        <v>154</v>
      </c>
      <c r="G75" s="182" t="s">
        <v>1689</v>
      </c>
      <c r="H75" s="182" t="s">
        <v>1690</v>
      </c>
      <c r="I75" s="182" t="s">
        <v>1691</v>
      </c>
      <c r="J75" s="182" t="s">
        <v>1692</v>
      </c>
      <c r="K75" s="182" t="s">
        <v>1693</v>
      </c>
      <c r="L75" s="182" t="s">
        <v>1694</v>
      </c>
      <c r="M75" s="182" t="s">
        <v>1695</v>
      </c>
      <c r="N75" s="182" t="s">
        <v>1696</v>
      </c>
      <c r="O75" s="182" t="s">
        <v>1349</v>
      </c>
      <c r="P75" s="182" t="s">
        <v>1697</v>
      </c>
      <c r="Q75" s="182" t="s">
        <v>163</v>
      </c>
      <c r="R75" s="182" t="s">
        <v>164</v>
      </c>
      <c r="S75" s="182" t="s">
        <v>1698</v>
      </c>
      <c r="T75" s="182" t="s">
        <v>1699</v>
      </c>
      <c r="U75" s="182" t="s">
        <v>1700</v>
      </c>
      <c r="V75" s="182" t="s">
        <v>1701</v>
      </c>
      <c r="W75" s="182" t="s">
        <v>1702</v>
      </c>
      <c r="X75" s="182" t="s">
        <v>1703</v>
      </c>
      <c r="Y75" s="182" t="s">
        <v>1704</v>
      </c>
      <c r="Z75" s="182" t="s">
        <v>1705</v>
      </c>
    </row>
    <row r="76" spans="1:26" s="183" customFormat="1" ht="30" customHeight="1" x14ac:dyDescent="0.25">
      <c r="A76" s="179"/>
      <c r="B76" s="180"/>
      <c r="C76" s="181"/>
      <c r="D76" s="174">
        <v>70</v>
      </c>
      <c r="E76" s="182" t="s">
        <v>385</v>
      </c>
      <c r="F76" s="182" t="s">
        <v>570</v>
      </c>
      <c r="G76" s="182" t="s">
        <v>1708</v>
      </c>
      <c r="H76" s="182" t="s">
        <v>1709</v>
      </c>
      <c r="I76" s="182" t="s">
        <v>1710</v>
      </c>
      <c r="J76" s="182" t="s">
        <v>1711</v>
      </c>
      <c r="K76" s="182" t="s">
        <v>1712</v>
      </c>
      <c r="L76" s="182" t="s">
        <v>1713</v>
      </c>
      <c r="M76" s="182" t="s">
        <v>1714</v>
      </c>
      <c r="N76" s="182" t="s">
        <v>1715</v>
      </c>
      <c r="O76" s="182" t="s">
        <v>1349</v>
      </c>
      <c r="P76" s="182" t="s">
        <v>1716</v>
      </c>
      <c r="Q76" s="182" t="s">
        <v>163</v>
      </c>
      <c r="R76" s="182" t="s">
        <v>259</v>
      </c>
      <c r="S76" s="182" t="s">
        <v>1717</v>
      </c>
      <c r="T76" s="182" t="s">
        <v>1718</v>
      </c>
      <c r="U76" s="182" t="s">
        <v>1719</v>
      </c>
      <c r="V76" s="182" t="s">
        <v>1720</v>
      </c>
      <c r="W76" s="182" t="s">
        <v>1721</v>
      </c>
      <c r="X76" s="182" t="s">
        <v>1722</v>
      </c>
      <c r="Y76" s="182" t="s">
        <v>1723</v>
      </c>
      <c r="Z76" s="182" t="s">
        <v>1724</v>
      </c>
    </row>
    <row r="77" spans="1:26" s="183" customFormat="1" ht="30" customHeight="1" x14ac:dyDescent="0.25">
      <c r="A77" s="179"/>
      <c r="B77" s="180"/>
      <c r="C77" s="181"/>
      <c r="D77" s="174">
        <v>71</v>
      </c>
      <c r="E77" s="182" t="s">
        <v>153</v>
      </c>
      <c r="F77" s="182" t="s">
        <v>325</v>
      </c>
      <c r="G77" s="182" t="s">
        <v>1730</v>
      </c>
      <c r="H77" s="182" t="s">
        <v>1731</v>
      </c>
      <c r="I77" s="182" t="s">
        <v>1732</v>
      </c>
      <c r="J77" s="182" t="s">
        <v>1733</v>
      </c>
      <c r="K77" s="182" t="s">
        <v>1734</v>
      </c>
      <c r="L77" s="182" t="s">
        <v>1735</v>
      </c>
      <c r="M77" s="182" t="s">
        <v>1736</v>
      </c>
      <c r="N77" s="182" t="s">
        <v>1737</v>
      </c>
      <c r="O77" s="182" t="s">
        <v>1349</v>
      </c>
      <c r="P77" s="182" t="s">
        <v>1738</v>
      </c>
      <c r="Q77" s="182" t="s">
        <v>163</v>
      </c>
      <c r="R77" s="182" t="s">
        <v>259</v>
      </c>
      <c r="S77" s="182" t="s">
        <v>1739</v>
      </c>
      <c r="T77" s="182" t="s">
        <v>1740</v>
      </c>
      <c r="U77" s="182" t="s">
        <v>1741</v>
      </c>
      <c r="V77" s="182" t="s">
        <v>1742</v>
      </c>
      <c r="W77" s="182" t="s">
        <v>1743</v>
      </c>
      <c r="X77" s="182" t="s">
        <v>1744</v>
      </c>
      <c r="Y77" s="182" t="s">
        <v>1745</v>
      </c>
      <c r="Z77" s="182" t="s">
        <v>1746</v>
      </c>
    </row>
    <row r="78" spans="1:26" s="183" customFormat="1" ht="30" customHeight="1" x14ac:dyDescent="0.25">
      <c r="A78" s="179"/>
      <c r="B78" s="180"/>
      <c r="C78" s="181"/>
      <c r="D78" s="174">
        <v>72</v>
      </c>
      <c r="E78" s="182" t="s">
        <v>385</v>
      </c>
      <c r="F78" s="182" t="s">
        <v>154</v>
      </c>
      <c r="G78" s="182" t="s">
        <v>1750</v>
      </c>
      <c r="H78" s="182" t="s">
        <v>1751</v>
      </c>
      <c r="I78" s="182" t="s">
        <v>1752</v>
      </c>
      <c r="J78" s="182" t="s">
        <v>1753</v>
      </c>
      <c r="K78" s="182" t="s">
        <v>1754</v>
      </c>
      <c r="L78" s="182" t="s">
        <v>1755</v>
      </c>
      <c r="M78" s="182" t="s">
        <v>1756</v>
      </c>
      <c r="N78" s="182" t="s">
        <v>1757</v>
      </c>
      <c r="O78" s="182" t="s">
        <v>1349</v>
      </c>
      <c r="P78" s="182" t="s">
        <v>1758</v>
      </c>
      <c r="Q78" s="182" t="s">
        <v>163</v>
      </c>
      <c r="R78" s="182" t="s">
        <v>164</v>
      </c>
      <c r="S78" s="182" t="s">
        <v>1759</v>
      </c>
      <c r="T78" s="182" t="s">
        <v>1760</v>
      </c>
      <c r="U78" s="182" t="s">
        <v>1761</v>
      </c>
      <c r="V78" s="182" t="s">
        <v>1762</v>
      </c>
      <c r="W78" s="182" t="s">
        <v>1355</v>
      </c>
      <c r="X78" s="182" t="s">
        <v>1763</v>
      </c>
      <c r="Y78" s="182" t="s">
        <v>1764</v>
      </c>
      <c r="Z78" s="182" t="s">
        <v>1765</v>
      </c>
    </row>
    <row r="79" spans="1:26" s="183" customFormat="1" ht="30" customHeight="1" x14ac:dyDescent="0.25">
      <c r="A79" s="179"/>
      <c r="B79" s="180"/>
      <c r="C79" s="181"/>
      <c r="D79" s="174">
        <v>73</v>
      </c>
      <c r="E79" s="182" t="s">
        <v>506</v>
      </c>
      <c r="F79" s="182" t="s">
        <v>205</v>
      </c>
      <c r="G79" s="182" t="s">
        <v>1767</v>
      </c>
      <c r="H79" s="182" t="s">
        <v>1768</v>
      </c>
      <c r="I79" s="182" t="s">
        <v>1769</v>
      </c>
      <c r="J79" s="182" t="s">
        <v>1770</v>
      </c>
      <c r="K79" s="182" t="s">
        <v>1771</v>
      </c>
      <c r="L79" s="182" t="s">
        <v>1772</v>
      </c>
      <c r="M79" s="182" t="s">
        <v>1773</v>
      </c>
      <c r="N79" s="182" t="s">
        <v>1774</v>
      </c>
      <c r="O79" s="182" t="s">
        <v>1349</v>
      </c>
      <c r="P79" s="182" t="s">
        <v>1775</v>
      </c>
      <c r="Q79" s="182" t="s">
        <v>163</v>
      </c>
      <c r="R79" s="182" t="s">
        <v>259</v>
      </c>
      <c r="S79" s="182" t="s">
        <v>1776</v>
      </c>
      <c r="T79" s="182" t="s">
        <v>1777</v>
      </c>
      <c r="U79" s="182" t="s">
        <v>1778</v>
      </c>
      <c r="V79" s="182" t="s">
        <v>1779</v>
      </c>
      <c r="W79" s="182" t="s">
        <v>1780</v>
      </c>
      <c r="X79" s="182" t="s">
        <v>1781</v>
      </c>
      <c r="Y79" s="182" t="s">
        <v>1782</v>
      </c>
      <c r="Z79" s="182" t="s">
        <v>1783</v>
      </c>
    </row>
    <row r="80" spans="1:26" s="183" customFormat="1" ht="30" customHeight="1" x14ac:dyDescent="0.25">
      <c r="A80" s="179"/>
      <c r="B80" s="180"/>
      <c r="C80" s="181"/>
      <c r="D80" s="174">
        <v>74</v>
      </c>
      <c r="E80" s="182" t="s">
        <v>1787</v>
      </c>
      <c r="F80" s="182" t="s">
        <v>325</v>
      </c>
      <c r="G80" s="182" t="s">
        <v>1788</v>
      </c>
      <c r="H80" s="182" t="s">
        <v>1789</v>
      </c>
      <c r="I80" s="182" t="s">
        <v>1790</v>
      </c>
      <c r="J80" s="182" t="s">
        <v>1791</v>
      </c>
      <c r="K80" s="182" t="s">
        <v>1792</v>
      </c>
      <c r="L80" s="182" t="s">
        <v>1793</v>
      </c>
      <c r="M80" s="182" t="s">
        <v>1794</v>
      </c>
      <c r="N80" s="182" t="s">
        <v>1795</v>
      </c>
      <c r="O80" s="182" t="s">
        <v>1349</v>
      </c>
      <c r="P80" s="182" t="s">
        <v>1796</v>
      </c>
      <c r="Q80" s="182" t="s">
        <v>163</v>
      </c>
      <c r="R80" s="182" t="s">
        <v>259</v>
      </c>
      <c r="S80" s="182" t="s">
        <v>1797</v>
      </c>
      <c r="T80" s="182" t="s">
        <v>1798</v>
      </c>
      <c r="U80" s="182" t="s">
        <v>1799</v>
      </c>
      <c r="V80" s="182" t="s">
        <v>1800</v>
      </c>
      <c r="W80" s="182" t="s">
        <v>1801</v>
      </c>
      <c r="X80" s="182" t="s">
        <v>1802</v>
      </c>
      <c r="Y80" s="182" t="s">
        <v>1803</v>
      </c>
      <c r="Z80" s="182" t="s">
        <v>1804</v>
      </c>
    </row>
    <row r="81" spans="1:26" s="183" customFormat="1" ht="30" customHeight="1" x14ac:dyDescent="0.25">
      <c r="A81" s="179"/>
      <c r="B81" s="180"/>
      <c r="C81" s="181"/>
      <c r="D81" s="174">
        <v>75</v>
      </c>
      <c r="E81" s="182" t="s">
        <v>385</v>
      </c>
      <c r="F81" s="182" t="s">
        <v>247</v>
      </c>
      <c r="G81" s="182" t="s">
        <v>1806</v>
      </c>
      <c r="H81" s="182" t="s">
        <v>1807</v>
      </c>
      <c r="I81" s="182" t="s">
        <v>1808</v>
      </c>
      <c r="J81" s="182" t="s">
        <v>1809</v>
      </c>
      <c r="K81" s="182" t="s">
        <v>1810</v>
      </c>
      <c r="L81" s="182" t="s">
        <v>1811</v>
      </c>
      <c r="M81" s="182" t="s">
        <v>1812</v>
      </c>
      <c r="N81" s="182" t="s">
        <v>1813</v>
      </c>
      <c r="O81" s="182" t="s">
        <v>1349</v>
      </c>
      <c r="P81" s="182" t="s">
        <v>1814</v>
      </c>
      <c r="Q81" s="182" t="s">
        <v>163</v>
      </c>
      <c r="R81" s="182" t="s">
        <v>259</v>
      </c>
      <c r="S81" s="182" t="s">
        <v>1815</v>
      </c>
      <c r="T81" s="182" t="s">
        <v>1816</v>
      </c>
      <c r="U81" s="182" t="s">
        <v>1817</v>
      </c>
      <c r="V81" s="182" t="s">
        <v>1818</v>
      </c>
      <c r="W81" s="182" t="s">
        <v>1819</v>
      </c>
      <c r="X81" s="182" t="s">
        <v>1820</v>
      </c>
      <c r="Y81" s="182" t="s">
        <v>1821</v>
      </c>
      <c r="Z81" s="182" t="s">
        <v>1822</v>
      </c>
    </row>
    <row r="82" spans="1:26" s="183" customFormat="1" ht="30" customHeight="1" x14ac:dyDescent="0.25">
      <c r="A82" s="179"/>
      <c r="B82" s="180"/>
      <c r="C82" s="181"/>
      <c r="D82" s="174">
        <v>76</v>
      </c>
      <c r="E82" s="182" t="s">
        <v>153</v>
      </c>
      <c r="F82" s="182" t="s">
        <v>570</v>
      </c>
      <c r="G82" s="182" t="s">
        <v>1827</v>
      </c>
      <c r="H82" s="182" t="s">
        <v>1828</v>
      </c>
      <c r="I82" s="182" t="s">
        <v>1829</v>
      </c>
      <c r="J82" s="182" t="s">
        <v>1830</v>
      </c>
      <c r="K82" s="182" t="s">
        <v>1831</v>
      </c>
      <c r="L82" s="182" t="s">
        <v>1832</v>
      </c>
      <c r="M82" s="182" t="s">
        <v>1833</v>
      </c>
      <c r="N82" s="182" t="s">
        <v>1834</v>
      </c>
      <c r="O82" s="182" t="s">
        <v>1349</v>
      </c>
      <c r="P82" s="182" t="s">
        <v>1835</v>
      </c>
      <c r="Q82" s="182" t="s">
        <v>163</v>
      </c>
      <c r="R82" s="182" t="s">
        <v>164</v>
      </c>
      <c r="S82" s="182" t="s">
        <v>1836</v>
      </c>
      <c r="T82" s="182" t="s">
        <v>1837</v>
      </c>
      <c r="U82" s="182" t="s">
        <v>1838</v>
      </c>
      <c r="V82" s="182" t="s">
        <v>1839</v>
      </c>
      <c r="W82" s="182" t="s">
        <v>1840</v>
      </c>
      <c r="X82" s="182" t="s">
        <v>1841</v>
      </c>
      <c r="Y82" s="182" t="s">
        <v>1842</v>
      </c>
      <c r="Z82" s="182" t="s">
        <v>1843</v>
      </c>
    </row>
    <row r="83" spans="1:26" s="183" customFormat="1" ht="30" customHeight="1" x14ac:dyDescent="0.25">
      <c r="A83" s="179"/>
      <c r="B83" s="180"/>
      <c r="C83" s="181"/>
      <c r="D83" s="174">
        <v>77</v>
      </c>
      <c r="E83" s="182" t="s">
        <v>385</v>
      </c>
      <c r="F83" s="182" t="s">
        <v>154</v>
      </c>
      <c r="G83" s="182" t="s">
        <v>1847</v>
      </c>
      <c r="H83" s="182" t="s">
        <v>1848</v>
      </c>
      <c r="I83" s="182" t="s">
        <v>1849</v>
      </c>
      <c r="J83" s="182" t="s">
        <v>1850</v>
      </c>
      <c r="K83" s="182" t="s">
        <v>1851</v>
      </c>
      <c r="L83" s="182" t="s">
        <v>1852</v>
      </c>
      <c r="M83" s="182" t="s">
        <v>1853</v>
      </c>
      <c r="N83" s="182" t="s">
        <v>1854</v>
      </c>
      <c r="O83" s="182" t="s">
        <v>1349</v>
      </c>
      <c r="P83" s="182" t="s">
        <v>1855</v>
      </c>
      <c r="Q83" s="182" t="s">
        <v>163</v>
      </c>
      <c r="R83" s="182" t="s">
        <v>164</v>
      </c>
      <c r="S83" s="182" t="s">
        <v>1856</v>
      </c>
      <c r="T83" s="182" t="s">
        <v>1857</v>
      </c>
      <c r="U83" s="182" t="s">
        <v>1661</v>
      </c>
      <c r="V83" s="182" t="s">
        <v>1858</v>
      </c>
      <c r="W83" s="182" t="s">
        <v>221</v>
      </c>
      <c r="X83" s="182" t="s">
        <v>1859</v>
      </c>
      <c r="Y83" s="182" t="s">
        <v>1860</v>
      </c>
      <c r="Z83" s="182" t="s">
        <v>1861</v>
      </c>
    </row>
    <row r="84" spans="1:26" s="183" customFormat="1" ht="30" customHeight="1" x14ac:dyDescent="0.25">
      <c r="A84" s="179"/>
      <c r="B84" s="180"/>
      <c r="C84" s="181"/>
      <c r="D84" s="174">
        <v>78</v>
      </c>
      <c r="E84" s="182" t="s">
        <v>506</v>
      </c>
      <c r="F84" s="182" t="s">
        <v>325</v>
      </c>
      <c r="G84" s="182" t="s">
        <v>1862</v>
      </c>
      <c r="H84" s="182" t="s">
        <v>1863</v>
      </c>
      <c r="I84" s="182" t="s">
        <v>1864</v>
      </c>
      <c r="J84" s="182" t="s">
        <v>1865</v>
      </c>
      <c r="K84" s="182" t="s">
        <v>1866</v>
      </c>
      <c r="L84" s="182" t="s">
        <v>1867</v>
      </c>
      <c r="M84" s="182" t="s">
        <v>1868</v>
      </c>
      <c r="N84" s="182" t="s">
        <v>1869</v>
      </c>
      <c r="O84" s="182" t="s">
        <v>1349</v>
      </c>
      <c r="P84" s="182" t="s">
        <v>1870</v>
      </c>
      <c r="Q84" s="182" t="s">
        <v>163</v>
      </c>
      <c r="R84" s="182" t="s">
        <v>259</v>
      </c>
      <c r="S84" s="182" t="s">
        <v>1871</v>
      </c>
      <c r="T84" s="182" t="s">
        <v>1872</v>
      </c>
      <c r="U84" s="182" t="s">
        <v>1873</v>
      </c>
      <c r="V84" s="182" t="s">
        <v>1874</v>
      </c>
      <c r="W84" s="182" t="s">
        <v>1875</v>
      </c>
      <c r="X84" s="182" t="s">
        <v>1781</v>
      </c>
      <c r="Y84" s="182" t="s">
        <v>1876</v>
      </c>
      <c r="Z84" s="182" t="s">
        <v>1877</v>
      </c>
    </row>
    <row r="85" spans="1:26" s="183" customFormat="1" ht="30" customHeight="1" x14ac:dyDescent="0.25">
      <c r="A85" s="179"/>
      <c r="B85" s="180"/>
      <c r="C85" s="181"/>
      <c r="D85" s="174">
        <v>79</v>
      </c>
      <c r="E85" s="182" t="s">
        <v>978</v>
      </c>
      <c r="F85" s="182" t="s">
        <v>205</v>
      </c>
      <c r="G85" s="182" t="s">
        <v>1880</v>
      </c>
      <c r="H85" s="182" t="s">
        <v>1881</v>
      </c>
      <c r="I85" s="182" t="s">
        <v>1882</v>
      </c>
      <c r="J85" s="182" t="s">
        <v>1883</v>
      </c>
      <c r="K85" s="182" t="s">
        <v>1884</v>
      </c>
      <c r="L85" s="182" t="s">
        <v>1885</v>
      </c>
      <c r="M85" s="182" t="s">
        <v>1886</v>
      </c>
      <c r="N85" s="182" t="s">
        <v>1887</v>
      </c>
      <c r="O85" s="182" t="s">
        <v>1349</v>
      </c>
      <c r="P85" s="182" t="s">
        <v>1888</v>
      </c>
      <c r="Q85" s="182" t="s">
        <v>163</v>
      </c>
      <c r="R85" s="182" t="s">
        <v>259</v>
      </c>
      <c r="S85" s="182" t="s">
        <v>1889</v>
      </c>
      <c r="T85" s="182" t="s">
        <v>1890</v>
      </c>
      <c r="U85" s="182" t="s">
        <v>1891</v>
      </c>
      <c r="V85" s="182" t="s">
        <v>1892</v>
      </c>
      <c r="W85" s="182" t="s">
        <v>1893</v>
      </c>
      <c r="X85" s="182" t="s">
        <v>1894</v>
      </c>
      <c r="Y85" s="182" t="s">
        <v>1895</v>
      </c>
      <c r="Z85" s="182" t="s">
        <v>1896</v>
      </c>
    </row>
    <row r="86" spans="1:26" s="183" customFormat="1" ht="30" customHeight="1" x14ac:dyDescent="0.25">
      <c r="A86" s="179"/>
      <c r="B86" s="180"/>
      <c r="C86" s="181"/>
      <c r="D86" s="174">
        <v>80</v>
      </c>
      <c r="E86" s="182" t="s">
        <v>385</v>
      </c>
      <c r="F86" s="182" t="s">
        <v>247</v>
      </c>
      <c r="G86" s="182" t="s">
        <v>1898</v>
      </c>
      <c r="H86" s="182" t="s">
        <v>1899</v>
      </c>
      <c r="I86" s="182" t="s">
        <v>1900</v>
      </c>
      <c r="J86" s="182" t="s">
        <v>1901</v>
      </c>
      <c r="K86" s="182" t="s">
        <v>1902</v>
      </c>
      <c r="L86" s="182" t="s">
        <v>1903</v>
      </c>
      <c r="M86" s="182" t="s">
        <v>1904</v>
      </c>
      <c r="N86" s="182" t="s">
        <v>1905</v>
      </c>
      <c r="O86" s="182" t="s">
        <v>1349</v>
      </c>
      <c r="P86" s="182" t="s">
        <v>1906</v>
      </c>
      <c r="Q86" s="182" t="s">
        <v>163</v>
      </c>
      <c r="R86" s="182" t="s">
        <v>164</v>
      </c>
      <c r="S86" s="182" t="s">
        <v>1907</v>
      </c>
      <c r="T86" s="182" t="s">
        <v>1908</v>
      </c>
      <c r="U86" s="182" t="s">
        <v>1909</v>
      </c>
      <c r="V86" s="182" t="s">
        <v>1910</v>
      </c>
      <c r="W86" s="182" t="s">
        <v>1259</v>
      </c>
      <c r="X86" s="182" t="s">
        <v>1911</v>
      </c>
      <c r="Y86" s="182" t="s">
        <v>1912</v>
      </c>
      <c r="Z86" s="182" t="s">
        <v>1913</v>
      </c>
    </row>
    <row r="87" spans="1:26" s="164" customFormat="1" ht="30" customHeight="1" x14ac:dyDescent="0.25">
      <c r="A87" s="177"/>
      <c r="B87" s="178"/>
      <c r="C87" s="176"/>
      <c r="D87" s="174">
        <v>81</v>
      </c>
      <c r="E87" s="175" t="s">
        <v>153</v>
      </c>
      <c r="F87" s="175" t="s">
        <v>154</v>
      </c>
      <c r="G87" s="175" t="s">
        <v>1933</v>
      </c>
      <c r="H87" s="175" t="s">
        <v>1934</v>
      </c>
      <c r="I87" s="175" t="s">
        <v>1935</v>
      </c>
      <c r="J87" s="175" t="s">
        <v>1936</v>
      </c>
      <c r="K87" s="175" t="s">
        <v>1922</v>
      </c>
      <c r="L87" s="175" t="s">
        <v>1923</v>
      </c>
      <c r="M87" s="175" t="s">
        <v>1937</v>
      </c>
      <c r="N87" s="175" t="s">
        <v>1938</v>
      </c>
      <c r="O87" s="175" t="s">
        <v>1939</v>
      </c>
      <c r="P87" s="175" t="s">
        <v>1940</v>
      </c>
      <c r="Q87" s="175" t="s">
        <v>163</v>
      </c>
      <c r="R87" s="175" t="s">
        <v>164</v>
      </c>
      <c r="S87" s="175" t="s">
        <v>1941</v>
      </c>
      <c r="T87" s="175" t="s">
        <v>1942</v>
      </c>
      <c r="U87" s="175" t="s">
        <v>167</v>
      </c>
      <c r="V87" s="175" t="s">
        <v>1943</v>
      </c>
      <c r="W87" s="175" t="s">
        <v>1944</v>
      </c>
      <c r="X87" s="175" t="s">
        <v>1945</v>
      </c>
      <c r="Y87" s="175" t="s">
        <v>1946</v>
      </c>
      <c r="Z87" s="175" t="s">
        <v>1947</v>
      </c>
    </row>
    <row r="88" spans="1:26" s="164" customFormat="1" ht="30" customHeight="1" x14ac:dyDescent="0.25">
      <c r="A88" s="177"/>
      <c r="B88" s="178"/>
      <c r="C88" s="176"/>
      <c r="D88" s="174">
        <v>82</v>
      </c>
      <c r="E88" s="175" t="s">
        <v>506</v>
      </c>
      <c r="F88" s="175" t="s">
        <v>247</v>
      </c>
      <c r="G88" s="175" t="s">
        <v>1955</v>
      </c>
      <c r="H88" s="175" t="s">
        <v>1956</v>
      </c>
      <c r="I88" s="175" t="s">
        <v>1957</v>
      </c>
      <c r="J88" s="175" t="s">
        <v>1958</v>
      </c>
      <c r="K88" s="175" t="s">
        <v>1959</v>
      </c>
      <c r="L88" s="175" t="s">
        <v>1960</v>
      </c>
      <c r="M88" s="175" t="s">
        <v>1937</v>
      </c>
      <c r="N88" s="175" t="s">
        <v>1938</v>
      </c>
      <c r="O88" s="175" t="s">
        <v>1939</v>
      </c>
      <c r="P88" s="175" t="s">
        <v>1961</v>
      </c>
      <c r="Q88" s="175" t="s">
        <v>163</v>
      </c>
      <c r="R88" s="175" t="s">
        <v>164</v>
      </c>
      <c r="S88" s="175" t="s">
        <v>1962</v>
      </c>
      <c r="T88" s="175" t="s">
        <v>1963</v>
      </c>
      <c r="U88" s="175" t="s">
        <v>1964</v>
      </c>
      <c r="V88" s="175" t="s">
        <v>705</v>
      </c>
      <c r="W88" s="175" t="s">
        <v>1965</v>
      </c>
      <c r="X88" s="175" t="s">
        <v>1966</v>
      </c>
      <c r="Y88" s="175" t="s">
        <v>1967</v>
      </c>
      <c r="Z88" s="175" t="s">
        <v>1968</v>
      </c>
    </row>
    <row r="89" spans="1:26" s="164" customFormat="1" ht="30" customHeight="1" x14ac:dyDescent="0.25">
      <c r="A89" s="177"/>
      <c r="B89" s="178"/>
      <c r="C89" s="176"/>
      <c r="D89" s="174">
        <v>83</v>
      </c>
      <c r="E89" s="175" t="s">
        <v>385</v>
      </c>
      <c r="F89" s="175" t="s">
        <v>325</v>
      </c>
      <c r="G89" s="175" t="s">
        <v>1970</v>
      </c>
      <c r="H89" s="175" t="s">
        <v>1971</v>
      </c>
      <c r="I89" s="175" t="s">
        <v>1972</v>
      </c>
      <c r="J89" s="175" t="s">
        <v>1973</v>
      </c>
      <c r="K89" s="175" t="s">
        <v>1974</v>
      </c>
      <c r="L89" s="175" t="s">
        <v>1975</v>
      </c>
      <c r="M89" s="175" t="s">
        <v>1937</v>
      </c>
      <c r="N89" s="175" t="s">
        <v>1938</v>
      </c>
      <c r="O89" s="175" t="s">
        <v>1939</v>
      </c>
      <c r="P89" s="175" t="s">
        <v>1976</v>
      </c>
      <c r="Q89" s="175" t="s">
        <v>163</v>
      </c>
      <c r="R89" s="175" t="s">
        <v>259</v>
      </c>
      <c r="S89" s="175" t="s">
        <v>1977</v>
      </c>
      <c r="T89" s="175" t="s">
        <v>1978</v>
      </c>
      <c r="U89" s="175" t="s">
        <v>1979</v>
      </c>
      <c r="V89" s="175" t="s">
        <v>1980</v>
      </c>
      <c r="W89" s="175" t="s">
        <v>1981</v>
      </c>
      <c r="X89" s="175" t="s">
        <v>1982</v>
      </c>
      <c r="Y89" s="175" t="s">
        <v>1983</v>
      </c>
      <c r="Z89" s="175" t="s">
        <v>1984</v>
      </c>
    </row>
    <row r="90" spans="1:26" s="164" customFormat="1" ht="30" customHeight="1" x14ac:dyDescent="0.25">
      <c r="A90" s="177"/>
      <c r="B90" s="178"/>
      <c r="C90" s="176"/>
      <c r="D90" s="174">
        <v>84</v>
      </c>
      <c r="E90" s="175" t="s">
        <v>978</v>
      </c>
      <c r="F90" s="175" t="s">
        <v>154</v>
      </c>
      <c r="G90" s="175" t="s">
        <v>1988</v>
      </c>
      <c r="H90" s="175" t="s">
        <v>1989</v>
      </c>
      <c r="I90" s="175" t="s">
        <v>1990</v>
      </c>
      <c r="J90" s="175" t="s">
        <v>1991</v>
      </c>
      <c r="K90" s="175" t="s">
        <v>1992</v>
      </c>
      <c r="L90" s="175" t="s">
        <v>1993</v>
      </c>
      <c r="M90" s="175" t="s">
        <v>1937</v>
      </c>
      <c r="N90" s="175" t="s">
        <v>1938</v>
      </c>
      <c r="O90" s="175" t="s">
        <v>1939</v>
      </c>
      <c r="P90" s="175" t="s">
        <v>1994</v>
      </c>
      <c r="Q90" s="175" t="s">
        <v>163</v>
      </c>
      <c r="R90" s="175" t="s">
        <v>259</v>
      </c>
      <c r="S90" s="175" t="s">
        <v>1995</v>
      </c>
      <c r="T90" s="175" t="s">
        <v>1996</v>
      </c>
      <c r="U90" s="175" t="s">
        <v>1997</v>
      </c>
      <c r="V90" s="175" t="s">
        <v>1998</v>
      </c>
      <c r="W90" s="175" t="s">
        <v>1999</v>
      </c>
      <c r="X90" s="175" t="s">
        <v>2000</v>
      </c>
      <c r="Y90" s="175" t="s">
        <v>2001</v>
      </c>
      <c r="Z90" s="175" t="s">
        <v>2002</v>
      </c>
    </row>
    <row r="91" spans="1:26" s="164" customFormat="1" ht="30" customHeight="1" x14ac:dyDescent="0.25">
      <c r="A91" s="177"/>
      <c r="B91" s="178"/>
      <c r="C91" s="176"/>
      <c r="D91" s="174">
        <v>85</v>
      </c>
      <c r="E91" s="175" t="s">
        <v>765</v>
      </c>
      <c r="F91" s="175" t="s">
        <v>247</v>
      </c>
      <c r="G91" s="175" t="s">
        <v>2008</v>
      </c>
      <c r="H91" s="175" t="s">
        <v>2009</v>
      </c>
      <c r="I91" s="175" t="s">
        <v>2010</v>
      </c>
      <c r="J91" s="175" t="s">
        <v>2011</v>
      </c>
      <c r="K91" s="175" t="s">
        <v>2012</v>
      </c>
      <c r="L91" s="175" t="s">
        <v>2013</v>
      </c>
      <c r="M91" s="175" t="s">
        <v>1937</v>
      </c>
      <c r="N91" s="175" t="s">
        <v>1938</v>
      </c>
      <c r="O91" s="175" t="s">
        <v>1939</v>
      </c>
      <c r="P91" s="175" t="s">
        <v>2014</v>
      </c>
      <c r="Q91" s="175" t="s">
        <v>163</v>
      </c>
      <c r="R91" s="175" t="s">
        <v>164</v>
      </c>
      <c r="S91" s="175" t="s">
        <v>2015</v>
      </c>
      <c r="T91" s="175" t="s">
        <v>2016</v>
      </c>
      <c r="U91" s="175" t="s">
        <v>2017</v>
      </c>
      <c r="V91" s="175" t="s">
        <v>2018</v>
      </c>
      <c r="W91" s="175" t="s">
        <v>2019</v>
      </c>
      <c r="X91" s="175" t="s">
        <v>2020</v>
      </c>
      <c r="Y91" s="175" t="s">
        <v>993</v>
      </c>
      <c r="Z91" s="175" t="s">
        <v>2021</v>
      </c>
    </row>
    <row r="92" spans="1:26" s="164" customFormat="1" ht="30" customHeight="1" x14ac:dyDescent="0.25">
      <c r="A92" s="177"/>
      <c r="B92" s="178"/>
      <c r="C92" s="176"/>
      <c r="D92" s="174">
        <v>86</v>
      </c>
      <c r="E92" s="175" t="s">
        <v>2026</v>
      </c>
      <c r="F92" s="175" t="s">
        <v>247</v>
      </c>
      <c r="G92" s="175" t="s">
        <v>2027</v>
      </c>
      <c r="H92" s="175" t="s">
        <v>2028</v>
      </c>
      <c r="I92" s="175" t="s">
        <v>2029</v>
      </c>
      <c r="J92" s="175" t="s">
        <v>2030</v>
      </c>
      <c r="K92" s="175" t="s">
        <v>2031</v>
      </c>
      <c r="L92" s="175" t="s">
        <v>2032</v>
      </c>
      <c r="M92" s="175" t="s">
        <v>1937</v>
      </c>
      <c r="N92" s="175" t="s">
        <v>1938</v>
      </c>
      <c r="O92" s="175" t="s">
        <v>1939</v>
      </c>
      <c r="P92" s="175" t="s">
        <v>2033</v>
      </c>
      <c r="Q92" s="175" t="s">
        <v>163</v>
      </c>
      <c r="R92" s="175" t="s">
        <v>259</v>
      </c>
      <c r="S92" s="175" t="s">
        <v>2034</v>
      </c>
      <c r="T92" s="175" t="s">
        <v>2035</v>
      </c>
      <c r="U92" s="175" t="s">
        <v>2036</v>
      </c>
      <c r="V92" s="175" t="s">
        <v>2037</v>
      </c>
      <c r="W92" s="175" t="s">
        <v>2038</v>
      </c>
      <c r="X92" s="175" t="s">
        <v>2039</v>
      </c>
      <c r="Y92" s="175" t="s">
        <v>2040</v>
      </c>
      <c r="Z92" s="175" t="s">
        <v>2041</v>
      </c>
    </row>
    <row r="93" spans="1:26" s="164" customFormat="1" ht="30" customHeight="1" x14ac:dyDescent="0.25">
      <c r="A93" s="177"/>
      <c r="B93" s="178"/>
      <c r="C93" s="176"/>
      <c r="D93" s="174">
        <v>87</v>
      </c>
      <c r="E93" s="175" t="s">
        <v>204</v>
      </c>
      <c r="F93" s="175" t="s">
        <v>205</v>
      </c>
      <c r="G93" s="175" t="s">
        <v>2044</v>
      </c>
      <c r="H93" s="175" t="s">
        <v>2045</v>
      </c>
      <c r="I93" s="175" t="s">
        <v>2046</v>
      </c>
      <c r="J93" s="175" t="s">
        <v>2047</v>
      </c>
      <c r="K93" s="175" t="s">
        <v>2048</v>
      </c>
      <c r="L93" s="175" t="s">
        <v>2049</v>
      </c>
      <c r="M93" s="175" t="s">
        <v>1937</v>
      </c>
      <c r="N93" s="175" t="s">
        <v>1938</v>
      </c>
      <c r="O93" s="175" t="s">
        <v>1939</v>
      </c>
      <c r="P93" s="175" t="s">
        <v>2050</v>
      </c>
      <c r="Q93" s="175" t="s">
        <v>163</v>
      </c>
      <c r="R93" s="175" t="s">
        <v>164</v>
      </c>
      <c r="S93" s="175" t="s">
        <v>2051</v>
      </c>
      <c r="T93" s="175" t="s">
        <v>2052</v>
      </c>
      <c r="U93" s="175" t="s">
        <v>2053</v>
      </c>
      <c r="V93" s="175" t="s">
        <v>429</v>
      </c>
      <c r="W93" s="175" t="s">
        <v>2054</v>
      </c>
      <c r="X93" s="175" t="s">
        <v>2055</v>
      </c>
      <c r="Y93" s="175" t="s">
        <v>2056</v>
      </c>
      <c r="Z93" s="175" t="s">
        <v>2057</v>
      </c>
    </row>
    <row r="94" spans="1:26" s="164" customFormat="1" ht="30" customHeight="1" x14ac:dyDescent="0.25">
      <c r="A94" s="177"/>
      <c r="B94" s="178"/>
      <c r="C94" s="176"/>
      <c r="D94" s="174">
        <v>88</v>
      </c>
      <c r="E94" s="175" t="s">
        <v>2059</v>
      </c>
      <c r="F94" s="175" t="s">
        <v>247</v>
      </c>
      <c r="G94" s="175" t="s">
        <v>2060</v>
      </c>
      <c r="H94" s="175" t="s">
        <v>2061</v>
      </c>
      <c r="I94" s="175" t="s">
        <v>2062</v>
      </c>
      <c r="J94" s="175" t="s">
        <v>2063</v>
      </c>
      <c r="K94" s="175" t="s">
        <v>2064</v>
      </c>
      <c r="L94" s="175" t="s">
        <v>2065</v>
      </c>
      <c r="M94" s="175" t="s">
        <v>1937</v>
      </c>
      <c r="N94" s="175" t="s">
        <v>1938</v>
      </c>
      <c r="O94" s="175" t="s">
        <v>1939</v>
      </c>
      <c r="P94" s="175" t="s">
        <v>2066</v>
      </c>
      <c r="Q94" s="175" t="s">
        <v>163</v>
      </c>
      <c r="R94" s="175" t="s">
        <v>259</v>
      </c>
      <c r="S94" s="175" t="s">
        <v>2067</v>
      </c>
      <c r="T94" s="175" t="s">
        <v>2068</v>
      </c>
      <c r="U94" s="175" t="s">
        <v>2069</v>
      </c>
      <c r="V94" s="175" t="s">
        <v>2070</v>
      </c>
      <c r="W94" s="175" t="s">
        <v>306</v>
      </c>
      <c r="X94" s="175" t="s">
        <v>2071</v>
      </c>
      <c r="Y94" s="175" t="s">
        <v>2072</v>
      </c>
      <c r="Z94" s="175" t="s">
        <v>2073</v>
      </c>
    </row>
    <row r="95" spans="1:26" s="164" customFormat="1" ht="30" customHeight="1" x14ac:dyDescent="0.25">
      <c r="A95" s="177"/>
      <c r="B95" s="178"/>
      <c r="C95" s="176"/>
      <c r="D95" s="174">
        <v>89</v>
      </c>
      <c r="E95" s="175" t="s">
        <v>2076</v>
      </c>
      <c r="F95" s="175" t="s">
        <v>154</v>
      </c>
      <c r="G95" s="175" t="s">
        <v>2077</v>
      </c>
      <c r="H95" s="175" t="s">
        <v>2078</v>
      </c>
      <c r="I95" s="175" t="s">
        <v>2079</v>
      </c>
      <c r="J95" s="175" t="s">
        <v>2080</v>
      </c>
      <c r="K95" s="175" t="s">
        <v>2081</v>
      </c>
      <c r="L95" s="175" t="s">
        <v>2082</v>
      </c>
      <c r="M95" s="175" t="s">
        <v>1937</v>
      </c>
      <c r="N95" s="175" t="s">
        <v>1938</v>
      </c>
      <c r="O95" s="175" t="s">
        <v>1939</v>
      </c>
      <c r="P95" s="175" t="s">
        <v>2083</v>
      </c>
      <c r="Q95" s="175" t="s">
        <v>163</v>
      </c>
      <c r="R95" s="175" t="s">
        <v>259</v>
      </c>
      <c r="S95" s="175" t="s">
        <v>2084</v>
      </c>
      <c r="T95" s="175" t="s">
        <v>2085</v>
      </c>
      <c r="U95" s="175" t="s">
        <v>2086</v>
      </c>
      <c r="V95" s="175" t="s">
        <v>2087</v>
      </c>
      <c r="W95" s="175" t="s">
        <v>1259</v>
      </c>
      <c r="X95" s="175" t="s">
        <v>2088</v>
      </c>
      <c r="Y95" s="175" t="s">
        <v>2089</v>
      </c>
      <c r="Z95" s="175" t="s">
        <v>2090</v>
      </c>
    </row>
    <row r="96" spans="1:26" s="164" customFormat="1" ht="30" customHeight="1" x14ac:dyDescent="0.25">
      <c r="A96" s="177"/>
      <c r="B96" s="178"/>
      <c r="C96" s="176"/>
      <c r="D96" s="174">
        <v>90</v>
      </c>
      <c r="E96" s="175" t="s">
        <v>2096</v>
      </c>
      <c r="F96" s="175" t="s">
        <v>247</v>
      </c>
      <c r="G96" s="175" t="s">
        <v>2097</v>
      </c>
      <c r="H96" s="175" t="s">
        <v>2098</v>
      </c>
      <c r="I96" s="175" t="s">
        <v>2099</v>
      </c>
      <c r="J96" s="175" t="s">
        <v>2100</v>
      </c>
      <c r="K96" s="175" t="s">
        <v>2101</v>
      </c>
      <c r="L96" s="175" t="s">
        <v>2102</v>
      </c>
      <c r="M96" s="175" t="s">
        <v>1937</v>
      </c>
      <c r="N96" s="175" t="s">
        <v>1938</v>
      </c>
      <c r="O96" s="175" t="s">
        <v>1939</v>
      </c>
      <c r="P96" s="175" t="s">
        <v>2103</v>
      </c>
      <c r="Q96" s="175" t="s">
        <v>163</v>
      </c>
      <c r="R96" s="175" t="s">
        <v>164</v>
      </c>
      <c r="S96" s="175" t="s">
        <v>2104</v>
      </c>
      <c r="T96" s="175" t="s">
        <v>2105</v>
      </c>
      <c r="U96" s="175" t="s">
        <v>2106</v>
      </c>
      <c r="V96" s="175" t="s">
        <v>2018</v>
      </c>
      <c r="W96" s="175" t="s">
        <v>2107</v>
      </c>
      <c r="X96" s="175" t="s">
        <v>2108</v>
      </c>
      <c r="Y96" s="175" t="s">
        <v>2109</v>
      </c>
      <c r="Z96" s="175" t="s">
        <v>2110</v>
      </c>
    </row>
    <row r="97" spans="1:26" s="164" customFormat="1" ht="30" customHeight="1" x14ac:dyDescent="0.25">
      <c r="A97" s="177"/>
      <c r="B97" s="178"/>
      <c r="C97" s="176"/>
      <c r="D97" s="174">
        <v>91</v>
      </c>
      <c r="E97" s="175" t="s">
        <v>506</v>
      </c>
      <c r="F97" s="175" t="s">
        <v>247</v>
      </c>
      <c r="G97" s="175" t="s">
        <v>2113</v>
      </c>
      <c r="H97" s="175" t="s">
        <v>2114</v>
      </c>
      <c r="I97" s="175" t="s">
        <v>2115</v>
      </c>
      <c r="J97" s="175" t="s">
        <v>2116</v>
      </c>
      <c r="K97" s="175" t="s">
        <v>2117</v>
      </c>
      <c r="L97" s="175" t="s">
        <v>2118</v>
      </c>
      <c r="M97" s="175" t="s">
        <v>1937</v>
      </c>
      <c r="N97" s="175" t="s">
        <v>1938</v>
      </c>
      <c r="O97" s="175" t="s">
        <v>1939</v>
      </c>
      <c r="P97" s="175" t="s">
        <v>2119</v>
      </c>
      <c r="Q97" s="175" t="s">
        <v>163</v>
      </c>
      <c r="R97" s="175" t="s">
        <v>164</v>
      </c>
      <c r="S97" s="175" t="s">
        <v>2120</v>
      </c>
      <c r="T97" s="175" t="s">
        <v>2121</v>
      </c>
      <c r="U97" s="175" t="s">
        <v>2122</v>
      </c>
      <c r="V97" s="175" t="s">
        <v>2123</v>
      </c>
      <c r="W97" s="175" t="s">
        <v>521</v>
      </c>
      <c r="X97" s="175" t="s">
        <v>2124</v>
      </c>
      <c r="Y97" s="175" t="s">
        <v>2125</v>
      </c>
      <c r="Z97" s="175" t="s">
        <v>2126</v>
      </c>
    </row>
    <row r="98" spans="1:26" s="164" customFormat="1" ht="30" customHeight="1" x14ac:dyDescent="0.25">
      <c r="A98" s="177"/>
      <c r="B98" s="178"/>
      <c r="C98" s="176"/>
      <c r="D98" s="174">
        <v>92</v>
      </c>
      <c r="E98" s="175" t="s">
        <v>978</v>
      </c>
      <c r="F98" s="175" t="s">
        <v>154</v>
      </c>
      <c r="G98" s="175" t="s">
        <v>2131</v>
      </c>
      <c r="H98" s="175" t="s">
        <v>2132</v>
      </c>
      <c r="I98" s="175" t="s">
        <v>2133</v>
      </c>
      <c r="J98" s="175" t="s">
        <v>2134</v>
      </c>
      <c r="K98" s="175" t="s">
        <v>2135</v>
      </c>
      <c r="L98" s="175" t="s">
        <v>2136</v>
      </c>
      <c r="M98" s="175" t="s">
        <v>1937</v>
      </c>
      <c r="N98" s="175" t="s">
        <v>1938</v>
      </c>
      <c r="O98" s="175" t="s">
        <v>1939</v>
      </c>
      <c r="P98" s="175" t="s">
        <v>2137</v>
      </c>
      <c r="Q98" s="175" t="s">
        <v>163</v>
      </c>
      <c r="R98" s="175" t="s">
        <v>259</v>
      </c>
      <c r="S98" s="175" t="s">
        <v>2138</v>
      </c>
      <c r="T98" s="175" t="s">
        <v>2139</v>
      </c>
      <c r="U98" s="175" t="s">
        <v>2140</v>
      </c>
      <c r="V98" s="175" t="s">
        <v>2141</v>
      </c>
      <c r="W98" s="175" t="s">
        <v>673</v>
      </c>
      <c r="X98" s="175" t="s">
        <v>2142</v>
      </c>
      <c r="Y98" s="175" t="s">
        <v>2143</v>
      </c>
      <c r="Z98" s="175" t="s">
        <v>2144</v>
      </c>
    </row>
    <row r="99" spans="1:26" s="164" customFormat="1" ht="30" customHeight="1" x14ac:dyDescent="0.25">
      <c r="A99" s="177"/>
      <c r="B99" s="178"/>
      <c r="C99" s="176"/>
      <c r="D99" s="174">
        <v>93</v>
      </c>
      <c r="E99" s="175" t="s">
        <v>246</v>
      </c>
      <c r="F99" s="175" t="s">
        <v>247</v>
      </c>
      <c r="G99" s="175" t="s">
        <v>2147</v>
      </c>
      <c r="H99" s="175" t="s">
        <v>2148</v>
      </c>
      <c r="I99" s="175" t="s">
        <v>2149</v>
      </c>
      <c r="J99" s="175" t="s">
        <v>2150</v>
      </c>
      <c r="K99" s="175" t="s">
        <v>2151</v>
      </c>
      <c r="L99" s="175" t="s">
        <v>2152</v>
      </c>
      <c r="M99" s="175" t="s">
        <v>1937</v>
      </c>
      <c r="N99" s="175" t="s">
        <v>1938</v>
      </c>
      <c r="O99" s="175" t="s">
        <v>1939</v>
      </c>
      <c r="P99" s="175" t="s">
        <v>2153</v>
      </c>
      <c r="Q99" s="175" t="s">
        <v>163</v>
      </c>
      <c r="R99" s="175" t="s">
        <v>164</v>
      </c>
      <c r="S99" s="175" t="s">
        <v>2154</v>
      </c>
      <c r="T99" s="175" t="s">
        <v>2155</v>
      </c>
      <c r="U99" s="175" t="s">
        <v>2156</v>
      </c>
      <c r="V99" s="175" t="s">
        <v>2157</v>
      </c>
      <c r="W99" s="175" t="s">
        <v>521</v>
      </c>
      <c r="X99" s="175" t="s">
        <v>2158</v>
      </c>
      <c r="Y99" s="175" t="s">
        <v>2159</v>
      </c>
      <c r="Z99" s="175" t="s">
        <v>2160</v>
      </c>
    </row>
    <row r="100" spans="1:26" s="164" customFormat="1" ht="30" customHeight="1" x14ac:dyDescent="0.25">
      <c r="A100" s="177"/>
      <c r="B100" s="178"/>
      <c r="C100" s="176"/>
      <c r="D100" s="174">
        <v>94</v>
      </c>
      <c r="E100" s="175" t="s">
        <v>2165</v>
      </c>
      <c r="F100" s="175" t="s">
        <v>154</v>
      </c>
      <c r="G100" s="175" t="s">
        <v>2166</v>
      </c>
      <c r="H100" s="175" t="s">
        <v>2167</v>
      </c>
      <c r="I100" s="175" t="s">
        <v>2168</v>
      </c>
      <c r="J100" s="175" t="s">
        <v>2169</v>
      </c>
      <c r="K100" s="175" t="s">
        <v>2170</v>
      </c>
      <c r="L100" s="175" t="s">
        <v>2171</v>
      </c>
      <c r="M100" s="175" t="s">
        <v>1937</v>
      </c>
      <c r="N100" s="175" t="s">
        <v>1938</v>
      </c>
      <c r="O100" s="175" t="s">
        <v>1939</v>
      </c>
      <c r="P100" s="175" t="s">
        <v>2172</v>
      </c>
      <c r="Q100" s="175" t="s">
        <v>163</v>
      </c>
      <c r="R100" s="175" t="s">
        <v>164</v>
      </c>
      <c r="S100" s="175" t="s">
        <v>2173</v>
      </c>
      <c r="T100" s="175" t="s">
        <v>2174</v>
      </c>
      <c r="U100" s="175" t="s">
        <v>2175</v>
      </c>
      <c r="V100" s="175" t="s">
        <v>2176</v>
      </c>
      <c r="W100" s="175" t="s">
        <v>2177</v>
      </c>
      <c r="X100" s="175" t="s">
        <v>2178</v>
      </c>
      <c r="Y100" s="175" t="s">
        <v>2179</v>
      </c>
      <c r="Z100" s="175" t="s">
        <v>2180</v>
      </c>
    </row>
    <row r="101" spans="1:26" s="164" customFormat="1" ht="30" customHeight="1" x14ac:dyDescent="0.25">
      <c r="A101" s="177"/>
      <c r="B101" s="178"/>
      <c r="C101" s="176"/>
      <c r="D101" s="174">
        <v>95</v>
      </c>
      <c r="E101" s="175" t="s">
        <v>246</v>
      </c>
      <c r="F101" s="175" t="s">
        <v>247</v>
      </c>
      <c r="G101" s="175" t="s">
        <v>2184</v>
      </c>
      <c r="H101" s="175" t="s">
        <v>2185</v>
      </c>
      <c r="I101" s="175" t="s">
        <v>2186</v>
      </c>
      <c r="J101" s="175" t="s">
        <v>2187</v>
      </c>
      <c r="K101" s="175" t="s">
        <v>2188</v>
      </c>
      <c r="L101" s="175" t="s">
        <v>2189</v>
      </c>
      <c r="M101" s="175" t="s">
        <v>1937</v>
      </c>
      <c r="N101" s="175" t="s">
        <v>1938</v>
      </c>
      <c r="O101" s="175" t="s">
        <v>1939</v>
      </c>
      <c r="P101" s="175" t="s">
        <v>2190</v>
      </c>
      <c r="Q101" s="175" t="s">
        <v>163</v>
      </c>
      <c r="R101" s="175" t="s">
        <v>259</v>
      </c>
      <c r="S101" s="175" t="s">
        <v>2191</v>
      </c>
      <c r="T101" s="175" t="s">
        <v>2192</v>
      </c>
      <c r="U101" s="175" t="s">
        <v>2193</v>
      </c>
      <c r="V101" s="175" t="s">
        <v>2194</v>
      </c>
      <c r="W101" s="175" t="s">
        <v>673</v>
      </c>
      <c r="X101" s="175" t="s">
        <v>2195</v>
      </c>
      <c r="Y101" s="175" t="s">
        <v>2196</v>
      </c>
      <c r="Z101" s="175" t="s">
        <v>2197</v>
      </c>
    </row>
    <row r="102" spans="1:26" s="164" customFormat="1" ht="30" customHeight="1" x14ac:dyDescent="0.25">
      <c r="A102" s="177"/>
      <c r="B102" s="178"/>
      <c r="C102" s="176"/>
      <c r="D102" s="174">
        <v>96</v>
      </c>
      <c r="E102" s="175" t="s">
        <v>385</v>
      </c>
      <c r="F102" s="175" t="s">
        <v>205</v>
      </c>
      <c r="G102" s="175" t="s">
        <v>2198</v>
      </c>
      <c r="H102" s="175" t="s">
        <v>2199</v>
      </c>
      <c r="I102" s="175" t="s">
        <v>2200</v>
      </c>
      <c r="J102" s="175" t="s">
        <v>2201</v>
      </c>
      <c r="K102" s="175" t="s">
        <v>2202</v>
      </c>
      <c r="L102" s="175" t="s">
        <v>2203</v>
      </c>
      <c r="M102" s="175" t="s">
        <v>1937</v>
      </c>
      <c r="N102" s="175" t="s">
        <v>1938</v>
      </c>
      <c r="O102" s="175" t="s">
        <v>1939</v>
      </c>
      <c r="P102" s="175" t="s">
        <v>2204</v>
      </c>
      <c r="Q102" s="175" t="s">
        <v>163</v>
      </c>
      <c r="R102" s="175" t="s">
        <v>259</v>
      </c>
      <c r="S102" s="175" t="s">
        <v>2205</v>
      </c>
      <c r="T102" s="175" t="s">
        <v>2206</v>
      </c>
      <c r="U102" s="175" t="s">
        <v>2207</v>
      </c>
      <c r="V102" s="175" t="s">
        <v>2208</v>
      </c>
      <c r="W102" s="175" t="s">
        <v>521</v>
      </c>
      <c r="X102" s="175" t="s">
        <v>2209</v>
      </c>
      <c r="Y102" s="175" t="s">
        <v>2210</v>
      </c>
      <c r="Z102" s="175" t="s">
        <v>2211</v>
      </c>
    </row>
    <row r="103" spans="1:26" s="164" customFormat="1" ht="30" customHeight="1" x14ac:dyDescent="0.25">
      <c r="A103" s="177"/>
      <c r="B103" s="178"/>
      <c r="C103" s="176"/>
      <c r="D103" s="174">
        <v>97</v>
      </c>
      <c r="E103" s="175" t="s">
        <v>739</v>
      </c>
      <c r="F103" s="175" t="s">
        <v>247</v>
      </c>
      <c r="G103" s="175" t="s">
        <v>2215</v>
      </c>
      <c r="H103" s="175" t="s">
        <v>2216</v>
      </c>
      <c r="I103" s="175" t="s">
        <v>2217</v>
      </c>
      <c r="J103" s="175" t="s">
        <v>2218</v>
      </c>
      <c r="K103" s="175" t="s">
        <v>2219</v>
      </c>
      <c r="L103" s="175" t="s">
        <v>2220</v>
      </c>
      <c r="M103" s="175" t="s">
        <v>1937</v>
      </c>
      <c r="N103" s="175" t="s">
        <v>1938</v>
      </c>
      <c r="O103" s="175" t="s">
        <v>1939</v>
      </c>
      <c r="P103" s="175" t="s">
        <v>2221</v>
      </c>
      <c r="Q103" s="175" t="s">
        <v>163</v>
      </c>
      <c r="R103" s="175" t="s">
        <v>164</v>
      </c>
      <c r="S103" s="175" t="s">
        <v>2222</v>
      </c>
      <c r="T103" s="175" t="s">
        <v>2223</v>
      </c>
      <c r="U103" s="175" t="s">
        <v>2224</v>
      </c>
      <c r="V103" s="175" t="s">
        <v>2225</v>
      </c>
      <c r="W103" s="175" t="s">
        <v>2107</v>
      </c>
      <c r="X103" s="175" t="s">
        <v>2226</v>
      </c>
      <c r="Y103" s="175" t="s">
        <v>2227</v>
      </c>
      <c r="Z103" s="175" t="s">
        <v>2228</v>
      </c>
    </row>
    <row r="104" spans="1:26" s="164" customFormat="1" ht="30" customHeight="1" x14ac:dyDescent="0.25">
      <c r="A104" s="177"/>
      <c r="B104" s="178"/>
      <c r="C104" s="176"/>
      <c r="D104" s="174">
        <v>98</v>
      </c>
      <c r="E104" s="175" t="s">
        <v>324</v>
      </c>
      <c r="F104" s="175" t="s">
        <v>154</v>
      </c>
      <c r="G104" s="175" t="s">
        <v>2235</v>
      </c>
      <c r="H104" s="175" t="s">
        <v>2236</v>
      </c>
      <c r="I104" s="175" t="s">
        <v>2237</v>
      </c>
      <c r="J104" s="175" t="s">
        <v>2238</v>
      </c>
      <c r="K104" s="175" t="s">
        <v>2239</v>
      </c>
      <c r="L104" s="175" t="s">
        <v>2240</v>
      </c>
      <c r="M104" s="175" t="s">
        <v>1937</v>
      </c>
      <c r="N104" s="175" t="s">
        <v>1938</v>
      </c>
      <c r="O104" s="175" t="s">
        <v>1939</v>
      </c>
      <c r="P104" s="175" t="s">
        <v>2241</v>
      </c>
      <c r="Q104" s="175" t="s">
        <v>163</v>
      </c>
      <c r="R104" s="175" t="s">
        <v>259</v>
      </c>
      <c r="S104" s="175" t="s">
        <v>2242</v>
      </c>
      <c r="T104" s="175" t="s">
        <v>2243</v>
      </c>
      <c r="U104" s="175" t="s">
        <v>2244</v>
      </c>
      <c r="V104" s="175" t="s">
        <v>2245</v>
      </c>
      <c r="W104" s="175" t="s">
        <v>521</v>
      </c>
      <c r="X104" s="175" t="s">
        <v>2246</v>
      </c>
      <c r="Y104" s="175" t="s">
        <v>2247</v>
      </c>
      <c r="Z104" s="175" t="s">
        <v>2248</v>
      </c>
    </row>
    <row r="105" spans="1:26" s="164" customFormat="1" ht="30" customHeight="1" x14ac:dyDescent="0.25">
      <c r="A105" s="177"/>
      <c r="B105" s="178"/>
      <c r="C105" s="176"/>
      <c r="D105" s="174">
        <v>99</v>
      </c>
      <c r="E105" s="175" t="s">
        <v>204</v>
      </c>
      <c r="F105" s="175" t="s">
        <v>325</v>
      </c>
      <c r="G105" s="175" t="s">
        <v>2251</v>
      </c>
      <c r="H105" s="175" t="s">
        <v>2252</v>
      </c>
      <c r="I105" s="175" t="s">
        <v>2253</v>
      </c>
      <c r="J105" s="175" t="s">
        <v>2254</v>
      </c>
      <c r="K105" s="175" t="s">
        <v>2255</v>
      </c>
      <c r="L105" s="175" t="s">
        <v>2256</v>
      </c>
      <c r="M105" s="175" t="s">
        <v>1937</v>
      </c>
      <c r="N105" s="175" t="s">
        <v>1938</v>
      </c>
      <c r="O105" s="175" t="s">
        <v>1939</v>
      </c>
      <c r="P105" s="175" t="s">
        <v>2257</v>
      </c>
      <c r="Q105" s="175" t="s">
        <v>163</v>
      </c>
      <c r="R105" s="175" t="s">
        <v>164</v>
      </c>
      <c r="S105" s="175" t="s">
        <v>2258</v>
      </c>
      <c r="T105" s="175" t="s">
        <v>2259</v>
      </c>
      <c r="U105" s="175" t="s">
        <v>2260</v>
      </c>
      <c r="V105" s="175" t="s">
        <v>2261</v>
      </c>
      <c r="W105" s="175" t="s">
        <v>1965</v>
      </c>
      <c r="X105" s="175" t="s">
        <v>2262</v>
      </c>
      <c r="Y105" s="175" t="s">
        <v>2263</v>
      </c>
      <c r="Z105" s="175" t="s">
        <v>2264</v>
      </c>
    </row>
    <row r="106" spans="1:26" s="164" customFormat="1" ht="30" customHeight="1" x14ac:dyDescent="0.25">
      <c r="A106" s="177"/>
      <c r="B106" s="178"/>
      <c r="C106" s="176"/>
      <c r="D106" s="174">
        <v>100</v>
      </c>
      <c r="E106" s="175" t="s">
        <v>978</v>
      </c>
      <c r="F106" s="175" t="s">
        <v>325</v>
      </c>
      <c r="G106" s="175" t="s">
        <v>2267</v>
      </c>
      <c r="H106" s="175" t="s">
        <v>2268</v>
      </c>
      <c r="I106" s="175" t="s">
        <v>2269</v>
      </c>
      <c r="J106" s="175" t="s">
        <v>2270</v>
      </c>
      <c r="K106" s="175" t="s">
        <v>2271</v>
      </c>
      <c r="L106" s="175" t="s">
        <v>2272</v>
      </c>
      <c r="M106" s="175" t="s">
        <v>1937</v>
      </c>
      <c r="N106" s="175" t="s">
        <v>1938</v>
      </c>
      <c r="O106" s="175" t="s">
        <v>1939</v>
      </c>
      <c r="P106" s="175" t="s">
        <v>2273</v>
      </c>
      <c r="Q106" s="175" t="s">
        <v>163</v>
      </c>
      <c r="R106" s="175" t="s">
        <v>259</v>
      </c>
      <c r="S106" s="175" t="s">
        <v>2274</v>
      </c>
      <c r="T106" s="175" t="s">
        <v>2275</v>
      </c>
      <c r="U106" s="175" t="s">
        <v>2276</v>
      </c>
      <c r="V106" s="175" t="s">
        <v>2277</v>
      </c>
      <c r="W106" s="175" t="s">
        <v>2278</v>
      </c>
      <c r="X106" s="175" t="s">
        <v>2279</v>
      </c>
      <c r="Y106" s="175" t="s">
        <v>2280</v>
      </c>
      <c r="Z106" s="175" t="s">
        <v>2281</v>
      </c>
    </row>
    <row r="107" spans="1:26" s="164" customFormat="1" ht="30" customHeight="1" x14ac:dyDescent="0.25">
      <c r="A107" s="177"/>
      <c r="B107" s="178"/>
      <c r="C107" s="176"/>
      <c r="D107" s="174">
        <v>101</v>
      </c>
      <c r="E107" s="175" t="s">
        <v>246</v>
      </c>
      <c r="F107" s="175" t="s">
        <v>205</v>
      </c>
      <c r="G107" s="175" t="s">
        <v>2282</v>
      </c>
      <c r="H107" s="175" t="s">
        <v>2283</v>
      </c>
      <c r="I107" s="175" t="s">
        <v>2284</v>
      </c>
      <c r="J107" s="175" t="s">
        <v>2285</v>
      </c>
      <c r="K107" s="175" t="s">
        <v>2286</v>
      </c>
      <c r="L107" s="175" t="s">
        <v>2287</v>
      </c>
      <c r="M107" s="175" t="s">
        <v>1937</v>
      </c>
      <c r="N107" s="175" t="s">
        <v>1938</v>
      </c>
      <c r="O107" s="175" t="s">
        <v>1939</v>
      </c>
      <c r="P107" s="175" t="s">
        <v>2288</v>
      </c>
      <c r="Q107" s="175" t="s">
        <v>163</v>
      </c>
      <c r="R107" s="175" t="s">
        <v>259</v>
      </c>
      <c r="S107" s="175" t="s">
        <v>2289</v>
      </c>
      <c r="T107" s="175" t="s">
        <v>2290</v>
      </c>
      <c r="U107" s="175" t="s">
        <v>2291</v>
      </c>
      <c r="V107" s="175" t="s">
        <v>705</v>
      </c>
      <c r="W107" s="175" t="s">
        <v>2292</v>
      </c>
      <c r="X107" s="175" t="s">
        <v>2293</v>
      </c>
      <c r="Y107" s="175" t="s">
        <v>2294</v>
      </c>
      <c r="Z107" s="175" t="s">
        <v>2295</v>
      </c>
    </row>
    <row r="108" spans="1:26" s="164" customFormat="1" ht="30" customHeight="1" x14ac:dyDescent="0.25">
      <c r="A108" s="177"/>
      <c r="B108" s="178"/>
      <c r="C108" s="176"/>
      <c r="D108" s="174">
        <v>102</v>
      </c>
      <c r="E108" s="175" t="s">
        <v>444</v>
      </c>
      <c r="F108" s="175" t="s">
        <v>154</v>
      </c>
      <c r="G108" s="175" t="s">
        <v>2297</v>
      </c>
      <c r="H108" s="175" t="s">
        <v>2298</v>
      </c>
      <c r="I108" s="175" t="s">
        <v>2299</v>
      </c>
      <c r="J108" s="175" t="s">
        <v>2300</v>
      </c>
      <c r="K108" s="175" t="s">
        <v>2301</v>
      </c>
      <c r="L108" s="175" t="s">
        <v>2302</v>
      </c>
      <c r="M108" s="175" t="s">
        <v>1937</v>
      </c>
      <c r="N108" s="175" t="s">
        <v>1938</v>
      </c>
      <c r="O108" s="175" t="s">
        <v>1939</v>
      </c>
      <c r="P108" s="175" t="s">
        <v>2303</v>
      </c>
      <c r="Q108" s="175" t="s">
        <v>163</v>
      </c>
      <c r="R108" s="175" t="s">
        <v>259</v>
      </c>
      <c r="S108" s="175" t="s">
        <v>455</v>
      </c>
      <c r="T108" s="175" t="s">
        <v>2304</v>
      </c>
      <c r="U108" s="175" t="s">
        <v>457</v>
      </c>
      <c r="V108" s="175" t="s">
        <v>429</v>
      </c>
      <c r="W108" s="175" t="s">
        <v>2305</v>
      </c>
      <c r="X108" s="175" t="s">
        <v>2306</v>
      </c>
      <c r="Y108" s="175" t="s">
        <v>2307</v>
      </c>
      <c r="Z108" s="175" t="s">
        <v>2308</v>
      </c>
    </row>
    <row r="109" spans="1:26" s="164" customFormat="1" ht="30" customHeight="1" x14ac:dyDescent="0.25">
      <c r="A109" s="177"/>
      <c r="B109" s="178"/>
      <c r="C109" s="176"/>
      <c r="D109" s="174">
        <v>103</v>
      </c>
      <c r="E109" s="175" t="s">
        <v>765</v>
      </c>
      <c r="F109" s="175" t="s">
        <v>205</v>
      </c>
      <c r="G109" s="175" t="s">
        <v>2314</v>
      </c>
      <c r="H109" s="175" t="s">
        <v>2315</v>
      </c>
      <c r="I109" s="175" t="s">
        <v>2316</v>
      </c>
      <c r="J109" s="175" t="s">
        <v>2317</v>
      </c>
      <c r="K109" s="175" t="s">
        <v>2318</v>
      </c>
      <c r="L109" s="175" t="s">
        <v>2319</v>
      </c>
      <c r="M109" s="175" t="s">
        <v>1937</v>
      </c>
      <c r="N109" s="175" t="s">
        <v>1938</v>
      </c>
      <c r="O109" s="175" t="s">
        <v>1939</v>
      </c>
      <c r="P109" s="175" t="s">
        <v>2320</v>
      </c>
      <c r="Q109" s="175" t="s">
        <v>163</v>
      </c>
      <c r="R109" s="175" t="s">
        <v>259</v>
      </c>
      <c r="S109" s="175" t="s">
        <v>2321</v>
      </c>
      <c r="T109" s="175" t="s">
        <v>2322</v>
      </c>
      <c r="U109" s="175" t="s">
        <v>2323</v>
      </c>
      <c r="V109" s="175" t="s">
        <v>2324</v>
      </c>
      <c r="W109" s="175" t="s">
        <v>521</v>
      </c>
      <c r="X109" s="175" t="s">
        <v>2325</v>
      </c>
      <c r="Y109" s="175" t="s">
        <v>2326</v>
      </c>
      <c r="Z109" s="175" t="s">
        <v>2327</v>
      </c>
    </row>
    <row r="110" spans="1:26" s="164" customFormat="1" ht="30" customHeight="1" x14ac:dyDescent="0.25">
      <c r="A110" s="177"/>
      <c r="B110" s="178"/>
      <c r="C110" s="176"/>
      <c r="D110" s="174">
        <v>104</v>
      </c>
      <c r="E110" s="175" t="s">
        <v>385</v>
      </c>
      <c r="F110" s="175" t="s">
        <v>247</v>
      </c>
      <c r="G110" s="175" t="s">
        <v>2331</v>
      </c>
      <c r="H110" s="175" t="s">
        <v>2332</v>
      </c>
      <c r="I110" s="175" t="s">
        <v>2333</v>
      </c>
      <c r="J110" s="175" t="s">
        <v>2334</v>
      </c>
      <c r="K110" s="175" t="s">
        <v>2335</v>
      </c>
      <c r="L110" s="175" t="s">
        <v>2336</v>
      </c>
      <c r="M110" s="175" t="s">
        <v>1937</v>
      </c>
      <c r="N110" s="175" t="s">
        <v>1938</v>
      </c>
      <c r="O110" s="175" t="s">
        <v>1939</v>
      </c>
      <c r="P110" s="175" t="s">
        <v>2337</v>
      </c>
      <c r="Q110" s="175" t="s">
        <v>163</v>
      </c>
      <c r="R110" s="175" t="s">
        <v>259</v>
      </c>
      <c r="S110" s="175" t="s">
        <v>2338</v>
      </c>
      <c r="T110" s="175" t="s">
        <v>2339</v>
      </c>
      <c r="U110" s="175" t="s">
        <v>2340</v>
      </c>
      <c r="V110" s="175" t="s">
        <v>705</v>
      </c>
      <c r="W110" s="175" t="s">
        <v>2341</v>
      </c>
      <c r="X110" s="175" t="s">
        <v>2342</v>
      </c>
      <c r="Y110" s="175" t="s">
        <v>2343</v>
      </c>
      <c r="Z110" s="175" t="s">
        <v>2344</v>
      </c>
    </row>
    <row r="111" spans="1:26" s="164" customFormat="1" ht="30" customHeight="1" x14ac:dyDescent="0.25">
      <c r="A111" s="177"/>
      <c r="B111" s="178"/>
      <c r="C111" s="176"/>
      <c r="D111" s="174">
        <v>105</v>
      </c>
      <c r="E111" s="175" t="s">
        <v>2096</v>
      </c>
      <c r="F111" s="175" t="s">
        <v>247</v>
      </c>
      <c r="G111" s="175" t="s">
        <v>2346</v>
      </c>
      <c r="H111" s="175" t="s">
        <v>2347</v>
      </c>
      <c r="I111" s="175" t="s">
        <v>2348</v>
      </c>
      <c r="J111" s="175" t="s">
        <v>2349</v>
      </c>
      <c r="K111" s="175" t="s">
        <v>2350</v>
      </c>
      <c r="L111" s="175" t="s">
        <v>2351</v>
      </c>
      <c r="M111" s="175" t="s">
        <v>1937</v>
      </c>
      <c r="N111" s="175" t="s">
        <v>1938</v>
      </c>
      <c r="O111" s="175" t="s">
        <v>1939</v>
      </c>
      <c r="P111" s="175" t="s">
        <v>2352</v>
      </c>
      <c r="Q111" s="175" t="s">
        <v>163</v>
      </c>
      <c r="R111" s="175" t="s">
        <v>259</v>
      </c>
      <c r="S111" s="175" t="s">
        <v>1871</v>
      </c>
      <c r="T111" s="175" t="s">
        <v>2353</v>
      </c>
      <c r="U111" s="175" t="s">
        <v>2354</v>
      </c>
      <c r="V111" s="175" t="s">
        <v>705</v>
      </c>
      <c r="W111" s="175" t="s">
        <v>521</v>
      </c>
      <c r="X111" s="175" t="s">
        <v>2355</v>
      </c>
      <c r="Y111" s="175" t="s">
        <v>2356</v>
      </c>
      <c r="Z111" s="175" t="s">
        <v>2357</v>
      </c>
    </row>
    <row r="112" spans="1:26" s="164" customFormat="1" ht="30" customHeight="1" x14ac:dyDescent="0.25">
      <c r="A112" s="177"/>
      <c r="B112" s="178"/>
      <c r="C112" s="176"/>
      <c r="D112" s="174">
        <v>106</v>
      </c>
      <c r="E112" s="175" t="s">
        <v>506</v>
      </c>
      <c r="F112" s="175" t="s">
        <v>247</v>
      </c>
      <c r="G112" s="175" t="s">
        <v>2362</v>
      </c>
      <c r="H112" s="175" t="s">
        <v>2363</v>
      </c>
      <c r="I112" s="175" t="s">
        <v>2364</v>
      </c>
      <c r="J112" s="175" t="s">
        <v>2365</v>
      </c>
      <c r="K112" s="175" t="s">
        <v>2366</v>
      </c>
      <c r="L112" s="175" t="s">
        <v>2367</v>
      </c>
      <c r="M112" s="175" t="s">
        <v>1937</v>
      </c>
      <c r="N112" s="175" t="s">
        <v>1938</v>
      </c>
      <c r="O112" s="175" t="s">
        <v>1939</v>
      </c>
      <c r="P112" s="175" t="s">
        <v>2368</v>
      </c>
      <c r="Q112" s="175" t="s">
        <v>163</v>
      </c>
      <c r="R112" s="175" t="s">
        <v>259</v>
      </c>
      <c r="S112" s="175" t="s">
        <v>2369</v>
      </c>
      <c r="T112" s="175" t="s">
        <v>2370</v>
      </c>
      <c r="U112" s="175" t="s">
        <v>1817</v>
      </c>
      <c r="V112" s="175" t="s">
        <v>2123</v>
      </c>
      <c r="W112" s="175" t="s">
        <v>2292</v>
      </c>
      <c r="X112" s="175" t="s">
        <v>2371</v>
      </c>
      <c r="Y112" s="175" t="s">
        <v>2372</v>
      </c>
      <c r="Z112" s="175" t="s">
        <v>2373</v>
      </c>
    </row>
    <row r="113" spans="1:26" s="164" customFormat="1" ht="30" customHeight="1" x14ac:dyDescent="0.25">
      <c r="A113" s="177"/>
      <c r="B113" s="178"/>
      <c r="C113" s="176"/>
      <c r="D113" s="174">
        <v>107</v>
      </c>
      <c r="E113" s="175" t="s">
        <v>444</v>
      </c>
      <c r="F113" s="175" t="s">
        <v>247</v>
      </c>
      <c r="G113" s="175" t="s">
        <v>2375</v>
      </c>
      <c r="H113" s="175" t="s">
        <v>2376</v>
      </c>
      <c r="I113" s="175" t="s">
        <v>2377</v>
      </c>
      <c r="J113" s="175" t="s">
        <v>2378</v>
      </c>
      <c r="K113" s="175" t="s">
        <v>2379</v>
      </c>
      <c r="L113" s="175" t="s">
        <v>2380</v>
      </c>
      <c r="M113" s="175" t="s">
        <v>1937</v>
      </c>
      <c r="N113" s="175" t="s">
        <v>1938</v>
      </c>
      <c r="O113" s="175" t="s">
        <v>1939</v>
      </c>
      <c r="P113" s="175" t="s">
        <v>2381</v>
      </c>
      <c r="Q113" s="175" t="s">
        <v>163</v>
      </c>
      <c r="R113" s="175" t="s">
        <v>259</v>
      </c>
      <c r="S113" s="175" t="s">
        <v>2382</v>
      </c>
      <c r="T113" s="175" t="s">
        <v>2383</v>
      </c>
      <c r="U113" s="175" t="s">
        <v>2384</v>
      </c>
      <c r="V113" s="175" t="s">
        <v>2385</v>
      </c>
      <c r="W113" s="175" t="s">
        <v>521</v>
      </c>
      <c r="X113" s="175" t="s">
        <v>2386</v>
      </c>
      <c r="Y113" s="175" t="s">
        <v>2387</v>
      </c>
      <c r="Z113" s="175" t="s">
        <v>2388</v>
      </c>
    </row>
    <row r="114" spans="1:26" s="164" customFormat="1" ht="30" customHeight="1" x14ac:dyDescent="0.25">
      <c r="A114" s="177"/>
      <c r="B114" s="178"/>
      <c r="C114" s="176"/>
      <c r="D114" s="174">
        <v>108</v>
      </c>
      <c r="E114" s="175" t="s">
        <v>385</v>
      </c>
      <c r="F114" s="175" t="s">
        <v>325</v>
      </c>
      <c r="G114" s="175" t="s">
        <v>2394</v>
      </c>
      <c r="H114" s="175" t="s">
        <v>2395</v>
      </c>
      <c r="I114" s="175" t="s">
        <v>2396</v>
      </c>
      <c r="J114" s="175" t="s">
        <v>2397</v>
      </c>
      <c r="K114" s="175" t="s">
        <v>2398</v>
      </c>
      <c r="L114" s="175" t="s">
        <v>2399</v>
      </c>
      <c r="M114" s="175" t="s">
        <v>1937</v>
      </c>
      <c r="N114" s="175" t="s">
        <v>1938</v>
      </c>
      <c r="O114" s="175" t="s">
        <v>1939</v>
      </c>
      <c r="P114" s="175" t="s">
        <v>2400</v>
      </c>
      <c r="Q114" s="175" t="s">
        <v>163</v>
      </c>
      <c r="R114" s="175" t="s">
        <v>259</v>
      </c>
      <c r="S114" s="175" t="s">
        <v>2401</v>
      </c>
      <c r="T114" s="175" t="s">
        <v>2402</v>
      </c>
      <c r="U114" s="175" t="s">
        <v>2403</v>
      </c>
      <c r="V114" s="175" t="s">
        <v>2123</v>
      </c>
      <c r="W114" s="175" t="s">
        <v>2404</v>
      </c>
      <c r="X114" s="175" t="s">
        <v>2405</v>
      </c>
      <c r="Y114" s="175" t="s">
        <v>2406</v>
      </c>
      <c r="Z114" s="175" t="s">
        <v>2407</v>
      </c>
    </row>
    <row r="115" spans="1:26" s="164" customFormat="1" ht="30" customHeight="1" x14ac:dyDescent="0.25">
      <c r="A115" s="177"/>
      <c r="B115" s="178"/>
      <c r="C115" s="176"/>
      <c r="D115" s="174">
        <v>109</v>
      </c>
      <c r="E115" s="175" t="s">
        <v>765</v>
      </c>
      <c r="F115" s="175" t="s">
        <v>570</v>
      </c>
      <c r="G115" s="175" t="s">
        <v>2408</v>
      </c>
      <c r="H115" s="175" t="s">
        <v>2409</v>
      </c>
      <c r="I115" s="175" t="s">
        <v>2410</v>
      </c>
      <c r="J115" s="175" t="s">
        <v>2411</v>
      </c>
      <c r="K115" s="175" t="s">
        <v>2412</v>
      </c>
      <c r="L115" s="175" t="s">
        <v>2413</v>
      </c>
      <c r="M115" s="175" t="s">
        <v>1937</v>
      </c>
      <c r="N115" s="175" t="s">
        <v>1938</v>
      </c>
      <c r="O115" s="175" t="s">
        <v>1939</v>
      </c>
      <c r="P115" s="175" t="s">
        <v>2414</v>
      </c>
      <c r="Q115" s="175" t="s">
        <v>163</v>
      </c>
      <c r="R115" s="175" t="s">
        <v>259</v>
      </c>
      <c r="S115" s="175" t="s">
        <v>2415</v>
      </c>
      <c r="T115" s="175" t="s">
        <v>2416</v>
      </c>
      <c r="U115" s="175" t="s">
        <v>2417</v>
      </c>
      <c r="V115" s="175" t="s">
        <v>2418</v>
      </c>
      <c r="W115" s="175" t="s">
        <v>1628</v>
      </c>
      <c r="X115" s="175" t="s">
        <v>2419</v>
      </c>
      <c r="Y115" s="175" t="s">
        <v>2420</v>
      </c>
      <c r="Z115" s="175" t="s">
        <v>2421</v>
      </c>
    </row>
    <row r="116" spans="1:26" s="164" customFormat="1" ht="30" customHeight="1" x14ac:dyDescent="0.25">
      <c r="A116" s="177"/>
      <c r="B116" s="178"/>
      <c r="C116" s="176"/>
      <c r="D116" s="174">
        <v>110</v>
      </c>
      <c r="E116" s="175" t="s">
        <v>246</v>
      </c>
      <c r="F116" s="175" t="s">
        <v>247</v>
      </c>
      <c r="G116" s="175" t="s">
        <v>2427</v>
      </c>
      <c r="H116" s="175" t="s">
        <v>2428</v>
      </c>
      <c r="I116" s="175" t="s">
        <v>2429</v>
      </c>
      <c r="J116" s="175" t="s">
        <v>2430</v>
      </c>
      <c r="K116" s="175" t="s">
        <v>2431</v>
      </c>
      <c r="L116" s="175" t="s">
        <v>2432</v>
      </c>
      <c r="M116" s="175" t="s">
        <v>1937</v>
      </c>
      <c r="N116" s="175" t="s">
        <v>1938</v>
      </c>
      <c r="O116" s="175" t="s">
        <v>1939</v>
      </c>
      <c r="P116" s="175" t="s">
        <v>2433</v>
      </c>
      <c r="Q116" s="175" t="s">
        <v>163</v>
      </c>
      <c r="R116" s="175" t="s">
        <v>164</v>
      </c>
      <c r="S116" s="175" t="s">
        <v>2434</v>
      </c>
      <c r="T116" s="175" t="s">
        <v>2435</v>
      </c>
      <c r="U116" s="175" t="s">
        <v>2436</v>
      </c>
      <c r="V116" s="175" t="s">
        <v>705</v>
      </c>
      <c r="W116" s="175" t="s">
        <v>521</v>
      </c>
      <c r="X116" s="175" t="s">
        <v>2437</v>
      </c>
      <c r="Y116" s="175" t="s">
        <v>2438</v>
      </c>
      <c r="Z116" s="175" t="s">
        <v>2439</v>
      </c>
    </row>
    <row r="117" spans="1:26" s="164" customFormat="1" ht="30" customHeight="1" x14ac:dyDescent="0.25">
      <c r="A117" s="177"/>
      <c r="B117" s="178"/>
      <c r="C117" s="176"/>
      <c r="D117" s="174">
        <v>111</v>
      </c>
      <c r="E117" s="175" t="s">
        <v>385</v>
      </c>
      <c r="F117" s="175" t="s">
        <v>247</v>
      </c>
      <c r="G117" s="175" t="s">
        <v>2442</v>
      </c>
      <c r="H117" s="175" t="s">
        <v>2443</v>
      </c>
      <c r="I117" s="175" t="s">
        <v>2444</v>
      </c>
      <c r="J117" s="175" t="s">
        <v>2445</v>
      </c>
      <c r="K117" s="175" t="s">
        <v>2446</v>
      </c>
      <c r="L117" s="175" t="s">
        <v>2447</v>
      </c>
      <c r="M117" s="175" t="s">
        <v>1937</v>
      </c>
      <c r="N117" s="175" t="s">
        <v>1938</v>
      </c>
      <c r="O117" s="175" t="s">
        <v>1939</v>
      </c>
      <c r="P117" s="175" t="s">
        <v>2448</v>
      </c>
      <c r="Q117" s="175" t="s">
        <v>163</v>
      </c>
      <c r="R117" s="175" t="s">
        <v>259</v>
      </c>
      <c r="S117" s="175" t="s">
        <v>2449</v>
      </c>
      <c r="T117" s="175" t="s">
        <v>2450</v>
      </c>
      <c r="U117" s="175" t="s">
        <v>2451</v>
      </c>
      <c r="V117" s="175" t="s">
        <v>2123</v>
      </c>
      <c r="W117" s="175" t="s">
        <v>521</v>
      </c>
      <c r="X117" s="175" t="s">
        <v>2452</v>
      </c>
      <c r="Y117" s="175" t="s">
        <v>2453</v>
      </c>
      <c r="Z117" s="175" t="s">
        <v>2454</v>
      </c>
    </row>
    <row r="118" spans="1:26" s="164" customFormat="1" ht="30" customHeight="1" x14ac:dyDescent="0.25">
      <c r="A118" s="177"/>
      <c r="B118" s="178"/>
      <c r="C118" s="176"/>
      <c r="D118" s="174">
        <v>112</v>
      </c>
      <c r="E118" s="175" t="s">
        <v>978</v>
      </c>
      <c r="F118" s="175" t="s">
        <v>247</v>
      </c>
      <c r="G118" s="175" t="s">
        <v>2458</v>
      </c>
      <c r="H118" s="175" t="s">
        <v>2459</v>
      </c>
      <c r="I118" s="175" t="s">
        <v>2460</v>
      </c>
      <c r="J118" s="175" t="s">
        <v>2461</v>
      </c>
      <c r="K118" s="175" t="s">
        <v>2462</v>
      </c>
      <c r="L118" s="175" t="s">
        <v>2463</v>
      </c>
      <c r="M118" s="175" t="s">
        <v>1937</v>
      </c>
      <c r="N118" s="175" t="s">
        <v>1938</v>
      </c>
      <c r="O118" s="175" t="s">
        <v>1939</v>
      </c>
      <c r="P118" s="175" t="s">
        <v>2464</v>
      </c>
      <c r="Q118" s="175" t="s">
        <v>163</v>
      </c>
      <c r="R118" s="175" t="s">
        <v>259</v>
      </c>
      <c r="S118" s="175" t="s">
        <v>2465</v>
      </c>
      <c r="T118" s="175" t="s">
        <v>2466</v>
      </c>
      <c r="U118" s="175" t="s">
        <v>2467</v>
      </c>
      <c r="V118" s="175" t="s">
        <v>2468</v>
      </c>
      <c r="W118" s="175" t="s">
        <v>2469</v>
      </c>
      <c r="X118" s="175" t="s">
        <v>2470</v>
      </c>
      <c r="Y118" s="175" t="s">
        <v>2471</v>
      </c>
      <c r="Z118" s="175" t="s">
        <v>2472</v>
      </c>
    </row>
    <row r="119" spans="1:26" s="164" customFormat="1" ht="30" customHeight="1" x14ac:dyDescent="0.25">
      <c r="A119" s="177"/>
      <c r="B119" s="178"/>
      <c r="C119" s="176"/>
      <c r="D119" s="174">
        <v>113</v>
      </c>
      <c r="E119" s="175" t="s">
        <v>2474</v>
      </c>
      <c r="F119" s="175" t="s">
        <v>247</v>
      </c>
      <c r="G119" s="175" t="s">
        <v>2475</v>
      </c>
      <c r="H119" s="175" t="s">
        <v>2476</v>
      </c>
      <c r="I119" s="175" t="s">
        <v>2477</v>
      </c>
      <c r="J119" s="175" t="s">
        <v>2478</v>
      </c>
      <c r="K119" s="175" t="s">
        <v>2479</v>
      </c>
      <c r="L119" s="175" t="s">
        <v>2480</v>
      </c>
      <c r="M119" s="175" t="s">
        <v>1937</v>
      </c>
      <c r="N119" s="175" t="s">
        <v>1938</v>
      </c>
      <c r="O119" s="175" t="s">
        <v>1939</v>
      </c>
      <c r="P119" s="175" t="s">
        <v>2481</v>
      </c>
      <c r="Q119" s="175" t="s">
        <v>163</v>
      </c>
      <c r="R119" s="175" t="s">
        <v>484</v>
      </c>
      <c r="S119" s="175" t="s">
        <v>2482</v>
      </c>
      <c r="T119" s="175" t="s">
        <v>2483</v>
      </c>
      <c r="U119" s="175" t="s">
        <v>2484</v>
      </c>
      <c r="V119" s="175" t="s">
        <v>2485</v>
      </c>
      <c r="W119" s="175" t="s">
        <v>2486</v>
      </c>
      <c r="X119" s="175" t="s">
        <v>2487</v>
      </c>
      <c r="Y119" s="175" t="s">
        <v>2488</v>
      </c>
      <c r="Z119" s="175" t="s">
        <v>2489</v>
      </c>
    </row>
    <row r="120" spans="1:26" s="164" customFormat="1" ht="30" customHeight="1" x14ac:dyDescent="0.25">
      <c r="A120" s="177"/>
      <c r="B120" s="178"/>
      <c r="C120" s="176"/>
      <c r="D120" s="174">
        <v>114</v>
      </c>
      <c r="E120" s="175" t="s">
        <v>2491</v>
      </c>
      <c r="F120" s="175" t="s">
        <v>247</v>
      </c>
      <c r="G120" s="175" t="s">
        <v>2492</v>
      </c>
      <c r="H120" s="175" t="s">
        <v>2493</v>
      </c>
      <c r="I120" s="175" t="s">
        <v>2494</v>
      </c>
      <c r="J120" s="175" t="s">
        <v>2495</v>
      </c>
      <c r="K120" s="175" t="s">
        <v>2496</v>
      </c>
      <c r="L120" s="175" t="s">
        <v>2497</v>
      </c>
      <c r="M120" s="175" t="s">
        <v>1937</v>
      </c>
      <c r="N120" s="175" t="s">
        <v>1938</v>
      </c>
      <c r="O120" s="175" t="s">
        <v>1939</v>
      </c>
      <c r="P120" s="175" t="s">
        <v>2498</v>
      </c>
      <c r="Q120" s="175" t="s">
        <v>163</v>
      </c>
      <c r="R120" s="175" t="s">
        <v>484</v>
      </c>
      <c r="S120" s="175" t="s">
        <v>2499</v>
      </c>
      <c r="T120" s="175" t="s">
        <v>2500</v>
      </c>
      <c r="U120" s="175" t="s">
        <v>2501</v>
      </c>
      <c r="V120" s="175" t="s">
        <v>2502</v>
      </c>
      <c r="W120" s="175" t="s">
        <v>2503</v>
      </c>
      <c r="X120" s="175" t="s">
        <v>2504</v>
      </c>
      <c r="Y120" s="175" t="s">
        <v>2505</v>
      </c>
      <c r="Z120" s="175" t="s">
        <v>2506</v>
      </c>
    </row>
    <row r="121" spans="1:26" s="164" customFormat="1" ht="30" customHeight="1" x14ac:dyDescent="0.25">
      <c r="A121" s="177"/>
      <c r="B121" s="178"/>
      <c r="C121" s="176"/>
      <c r="D121" s="174">
        <v>115</v>
      </c>
      <c r="E121" s="175" t="s">
        <v>2076</v>
      </c>
      <c r="F121" s="175" t="s">
        <v>154</v>
      </c>
      <c r="G121" s="175" t="s">
        <v>2513</v>
      </c>
      <c r="H121" s="175" t="s">
        <v>2514</v>
      </c>
      <c r="I121" s="175" t="s">
        <v>2515</v>
      </c>
      <c r="J121" s="175" t="s">
        <v>2516</v>
      </c>
      <c r="K121" s="175" t="s">
        <v>2517</v>
      </c>
      <c r="L121" s="175" t="s">
        <v>2518</v>
      </c>
      <c r="M121" s="175" t="s">
        <v>1937</v>
      </c>
      <c r="N121" s="175" t="s">
        <v>1938</v>
      </c>
      <c r="O121" s="175" t="s">
        <v>1939</v>
      </c>
      <c r="P121" s="175" t="s">
        <v>2519</v>
      </c>
      <c r="Q121" s="175" t="s">
        <v>163</v>
      </c>
      <c r="R121" s="175" t="s">
        <v>259</v>
      </c>
      <c r="S121" s="175" t="s">
        <v>2520</v>
      </c>
      <c r="T121" s="175" t="s">
        <v>2521</v>
      </c>
      <c r="U121" s="175" t="s">
        <v>2522</v>
      </c>
      <c r="V121" s="175" t="s">
        <v>2523</v>
      </c>
      <c r="W121" s="175" t="s">
        <v>2524</v>
      </c>
      <c r="X121" s="175" t="s">
        <v>2525</v>
      </c>
      <c r="Y121" s="175" t="s">
        <v>2526</v>
      </c>
      <c r="Z121" s="175" t="s">
        <v>2527</v>
      </c>
    </row>
    <row r="122" spans="1:26" s="164" customFormat="1" ht="30" customHeight="1" x14ac:dyDescent="0.25">
      <c r="A122" s="177"/>
      <c r="B122" s="178"/>
      <c r="C122" s="176"/>
      <c r="D122" s="174">
        <v>116</v>
      </c>
      <c r="E122" s="175" t="s">
        <v>2529</v>
      </c>
      <c r="F122" s="175" t="s">
        <v>205</v>
      </c>
      <c r="G122" s="175" t="s">
        <v>2530</v>
      </c>
      <c r="H122" s="175" t="s">
        <v>2531</v>
      </c>
      <c r="I122" s="175" t="s">
        <v>2532</v>
      </c>
      <c r="J122" s="175" t="s">
        <v>2533</v>
      </c>
      <c r="K122" s="175" t="s">
        <v>2534</v>
      </c>
      <c r="L122" s="175" t="s">
        <v>2535</v>
      </c>
      <c r="M122" s="175" t="s">
        <v>1937</v>
      </c>
      <c r="N122" s="175" t="s">
        <v>1938</v>
      </c>
      <c r="O122" s="175" t="s">
        <v>1939</v>
      </c>
      <c r="P122" s="175" t="s">
        <v>2536</v>
      </c>
      <c r="Q122" s="175" t="s">
        <v>163</v>
      </c>
      <c r="R122" s="175" t="s">
        <v>259</v>
      </c>
      <c r="S122" s="175" t="s">
        <v>2537</v>
      </c>
      <c r="T122" s="175" t="s">
        <v>2538</v>
      </c>
      <c r="U122" s="175" t="s">
        <v>2539</v>
      </c>
      <c r="V122" s="175" t="s">
        <v>2540</v>
      </c>
      <c r="W122" s="175" t="s">
        <v>2541</v>
      </c>
      <c r="X122" s="175" t="s">
        <v>2542</v>
      </c>
      <c r="Y122" s="175" t="s">
        <v>2543</v>
      </c>
      <c r="Z122" s="175" t="s">
        <v>2544</v>
      </c>
    </row>
    <row r="123" spans="1:26" s="164" customFormat="1" ht="30" customHeight="1" x14ac:dyDescent="0.25">
      <c r="A123" s="177"/>
      <c r="B123" s="178"/>
      <c r="C123" s="176"/>
      <c r="D123" s="174">
        <v>117</v>
      </c>
      <c r="E123" s="175" t="s">
        <v>765</v>
      </c>
      <c r="F123" s="175" t="s">
        <v>570</v>
      </c>
      <c r="G123" s="175" t="s">
        <v>2547</v>
      </c>
      <c r="H123" s="175" t="s">
        <v>2548</v>
      </c>
      <c r="I123" s="175" t="s">
        <v>2549</v>
      </c>
      <c r="J123" s="175" t="s">
        <v>2550</v>
      </c>
      <c r="K123" s="175" t="s">
        <v>2551</v>
      </c>
      <c r="L123" s="175" t="s">
        <v>2552</v>
      </c>
      <c r="M123" s="175" t="s">
        <v>1937</v>
      </c>
      <c r="N123" s="175" t="s">
        <v>1938</v>
      </c>
      <c r="O123" s="175" t="s">
        <v>1939</v>
      </c>
      <c r="P123" s="175" t="s">
        <v>2553</v>
      </c>
      <c r="Q123" s="175" t="s">
        <v>163</v>
      </c>
      <c r="R123" s="175" t="s">
        <v>164</v>
      </c>
      <c r="S123" s="175" t="s">
        <v>2554</v>
      </c>
      <c r="T123" s="175" t="s">
        <v>2555</v>
      </c>
      <c r="U123" s="175" t="s">
        <v>2556</v>
      </c>
      <c r="V123" s="175" t="s">
        <v>2324</v>
      </c>
      <c r="W123" s="175" t="s">
        <v>2341</v>
      </c>
      <c r="X123" s="175" t="s">
        <v>2557</v>
      </c>
      <c r="Y123" s="175" t="s">
        <v>2558</v>
      </c>
      <c r="Z123" s="175" t="s">
        <v>2559</v>
      </c>
    </row>
    <row r="124" spans="1:26" s="164" customFormat="1" ht="30" customHeight="1" x14ac:dyDescent="0.25">
      <c r="A124" s="177"/>
      <c r="B124" s="178"/>
      <c r="C124" s="176"/>
      <c r="D124" s="174">
        <v>118</v>
      </c>
      <c r="E124" s="175" t="s">
        <v>2096</v>
      </c>
      <c r="F124" s="175" t="s">
        <v>325</v>
      </c>
      <c r="G124" s="175" t="s">
        <v>2565</v>
      </c>
      <c r="H124" s="175" t="s">
        <v>2566</v>
      </c>
      <c r="I124" s="175" t="s">
        <v>2567</v>
      </c>
      <c r="J124" s="175" t="s">
        <v>2568</v>
      </c>
      <c r="K124" s="175" t="s">
        <v>2569</v>
      </c>
      <c r="L124" s="175" t="s">
        <v>2570</v>
      </c>
      <c r="M124" s="175" t="s">
        <v>1937</v>
      </c>
      <c r="N124" s="175" t="s">
        <v>1938</v>
      </c>
      <c r="O124" s="175" t="s">
        <v>1939</v>
      </c>
      <c r="P124" s="175" t="s">
        <v>2571</v>
      </c>
      <c r="Q124" s="175" t="s">
        <v>163</v>
      </c>
      <c r="R124" s="175" t="s">
        <v>259</v>
      </c>
      <c r="S124" s="175" t="s">
        <v>2572</v>
      </c>
      <c r="T124" s="175" t="s">
        <v>2573</v>
      </c>
      <c r="U124" s="175" t="s">
        <v>2574</v>
      </c>
      <c r="V124" s="175" t="s">
        <v>2575</v>
      </c>
      <c r="W124" s="175" t="s">
        <v>521</v>
      </c>
      <c r="X124" s="175" t="s">
        <v>2576</v>
      </c>
      <c r="Y124" s="175" t="s">
        <v>2577</v>
      </c>
      <c r="Z124" s="175" t="s">
        <v>2578</v>
      </c>
    </row>
    <row r="125" spans="1:26" s="164" customFormat="1" ht="30" customHeight="1" x14ac:dyDescent="0.25">
      <c r="A125" s="177"/>
      <c r="B125" s="178"/>
      <c r="C125" s="176"/>
      <c r="D125" s="174">
        <v>119</v>
      </c>
      <c r="E125" s="175" t="s">
        <v>385</v>
      </c>
      <c r="F125" s="175" t="s">
        <v>247</v>
      </c>
      <c r="G125" s="175" t="s">
        <v>2580</v>
      </c>
      <c r="H125" s="175" t="s">
        <v>2581</v>
      </c>
      <c r="I125" s="175" t="s">
        <v>2582</v>
      </c>
      <c r="J125" s="175" t="s">
        <v>2583</v>
      </c>
      <c r="K125" s="175" t="s">
        <v>2584</v>
      </c>
      <c r="L125" s="175" t="s">
        <v>2585</v>
      </c>
      <c r="M125" s="175" t="s">
        <v>1937</v>
      </c>
      <c r="N125" s="175" t="s">
        <v>1938</v>
      </c>
      <c r="O125" s="175" t="s">
        <v>1939</v>
      </c>
      <c r="P125" s="175" t="s">
        <v>2586</v>
      </c>
      <c r="Q125" s="175" t="s">
        <v>163</v>
      </c>
      <c r="R125" s="175" t="s">
        <v>164</v>
      </c>
      <c r="S125" s="175" t="s">
        <v>2587</v>
      </c>
      <c r="T125" s="175" t="s">
        <v>2353</v>
      </c>
      <c r="U125" s="175" t="s">
        <v>2588</v>
      </c>
      <c r="V125" s="175" t="s">
        <v>2123</v>
      </c>
      <c r="W125" s="175" t="s">
        <v>521</v>
      </c>
      <c r="X125" s="175" t="s">
        <v>2589</v>
      </c>
      <c r="Y125" s="175" t="s">
        <v>2590</v>
      </c>
      <c r="Z125" s="175" t="s">
        <v>2591</v>
      </c>
    </row>
    <row r="126" spans="1:26" s="164" customFormat="1" ht="30" customHeight="1" x14ac:dyDescent="0.25">
      <c r="A126" s="177"/>
      <c r="B126" s="178"/>
      <c r="C126" s="176"/>
      <c r="D126" s="174">
        <v>120</v>
      </c>
      <c r="E126" s="175" t="s">
        <v>385</v>
      </c>
      <c r="F126" s="175" t="s">
        <v>205</v>
      </c>
      <c r="G126" s="175" t="s">
        <v>2594</v>
      </c>
      <c r="H126" s="175" t="s">
        <v>2595</v>
      </c>
      <c r="I126" s="175" t="s">
        <v>2596</v>
      </c>
      <c r="J126" s="175" t="s">
        <v>2597</v>
      </c>
      <c r="K126" s="175" t="s">
        <v>2598</v>
      </c>
      <c r="L126" s="175" t="s">
        <v>2599</v>
      </c>
      <c r="M126" s="175" t="s">
        <v>1937</v>
      </c>
      <c r="N126" s="175" t="s">
        <v>1938</v>
      </c>
      <c r="O126" s="175" t="s">
        <v>1939</v>
      </c>
      <c r="P126" s="175" t="s">
        <v>2600</v>
      </c>
      <c r="Q126" s="175" t="s">
        <v>163</v>
      </c>
      <c r="R126" s="175" t="s">
        <v>484</v>
      </c>
      <c r="S126" s="175" t="s">
        <v>2601</v>
      </c>
      <c r="T126" s="175" t="s">
        <v>2602</v>
      </c>
      <c r="U126" s="175" t="s">
        <v>2603</v>
      </c>
      <c r="V126" s="175" t="s">
        <v>2604</v>
      </c>
      <c r="W126" s="175" t="s">
        <v>521</v>
      </c>
      <c r="X126" s="175" t="s">
        <v>2605</v>
      </c>
      <c r="Y126" s="175" t="s">
        <v>2606</v>
      </c>
      <c r="Z126" s="175" t="s">
        <v>2607</v>
      </c>
    </row>
    <row r="127" spans="1:26" s="164" customFormat="1" ht="30" customHeight="1" x14ac:dyDescent="0.25">
      <c r="A127" s="177"/>
      <c r="B127" s="178"/>
      <c r="C127" s="176"/>
      <c r="D127" s="174">
        <v>121</v>
      </c>
      <c r="E127" s="175" t="s">
        <v>506</v>
      </c>
      <c r="F127" s="175" t="s">
        <v>247</v>
      </c>
      <c r="G127" s="175" t="s">
        <v>2614</v>
      </c>
      <c r="H127" s="175" t="s">
        <v>2615</v>
      </c>
      <c r="I127" s="175" t="s">
        <v>2616</v>
      </c>
      <c r="J127" s="175" t="s">
        <v>2617</v>
      </c>
      <c r="K127" s="175" t="s">
        <v>2618</v>
      </c>
      <c r="L127" s="175" t="s">
        <v>2619</v>
      </c>
      <c r="M127" s="175" t="s">
        <v>1937</v>
      </c>
      <c r="N127" s="175" t="s">
        <v>1938</v>
      </c>
      <c r="O127" s="175" t="s">
        <v>1939</v>
      </c>
      <c r="P127" s="175" t="s">
        <v>2620</v>
      </c>
      <c r="Q127" s="175" t="s">
        <v>163</v>
      </c>
      <c r="R127" s="175" t="s">
        <v>164</v>
      </c>
      <c r="S127" s="175" t="s">
        <v>2621</v>
      </c>
      <c r="T127" s="175" t="s">
        <v>2622</v>
      </c>
      <c r="U127" s="175" t="s">
        <v>2623</v>
      </c>
      <c r="V127" s="175" t="s">
        <v>705</v>
      </c>
      <c r="W127" s="175" t="s">
        <v>673</v>
      </c>
      <c r="X127" s="175" t="s">
        <v>2624</v>
      </c>
      <c r="Y127" s="175" t="s">
        <v>2625</v>
      </c>
      <c r="Z127" s="175" t="s">
        <v>2626</v>
      </c>
    </row>
    <row r="128" spans="1:26" s="164" customFormat="1" ht="30" customHeight="1" x14ac:dyDescent="0.25">
      <c r="A128" s="177"/>
      <c r="B128" s="178"/>
      <c r="C128" s="176"/>
      <c r="D128" s="174">
        <v>122</v>
      </c>
      <c r="E128" s="175" t="s">
        <v>324</v>
      </c>
      <c r="F128" s="175" t="s">
        <v>154</v>
      </c>
      <c r="G128" s="175" t="s">
        <v>2631</v>
      </c>
      <c r="H128" s="175" t="s">
        <v>2236</v>
      </c>
      <c r="I128" s="175" t="s">
        <v>2632</v>
      </c>
      <c r="J128" s="175" t="s">
        <v>2633</v>
      </c>
      <c r="K128" s="175" t="s">
        <v>2634</v>
      </c>
      <c r="L128" s="175" t="s">
        <v>2635</v>
      </c>
      <c r="M128" s="175" t="s">
        <v>1937</v>
      </c>
      <c r="N128" s="175" t="s">
        <v>1938</v>
      </c>
      <c r="O128" s="175" t="s">
        <v>1939</v>
      </c>
      <c r="P128" s="175" t="s">
        <v>2636</v>
      </c>
      <c r="Q128" s="175" t="s">
        <v>163</v>
      </c>
      <c r="R128" s="175" t="s">
        <v>259</v>
      </c>
      <c r="S128" s="175" t="s">
        <v>2637</v>
      </c>
      <c r="T128" s="175" t="s">
        <v>2638</v>
      </c>
      <c r="U128" s="175" t="s">
        <v>2639</v>
      </c>
      <c r="V128" s="175" t="s">
        <v>2640</v>
      </c>
      <c r="W128" s="175" t="s">
        <v>1243</v>
      </c>
      <c r="X128" s="175" t="s">
        <v>2641</v>
      </c>
      <c r="Y128" s="175" t="s">
        <v>2642</v>
      </c>
      <c r="Z128" s="175" t="s">
        <v>2643</v>
      </c>
    </row>
    <row r="129" spans="1:26" s="164" customFormat="1" ht="30" customHeight="1" x14ac:dyDescent="0.25">
      <c r="A129" s="177"/>
      <c r="B129" s="178"/>
      <c r="C129" s="176"/>
      <c r="D129" s="174">
        <v>123</v>
      </c>
      <c r="E129" s="175" t="s">
        <v>2096</v>
      </c>
      <c r="F129" s="175" t="s">
        <v>247</v>
      </c>
      <c r="G129" s="175" t="s">
        <v>2644</v>
      </c>
      <c r="H129" s="175" t="s">
        <v>2645</v>
      </c>
      <c r="I129" s="175" t="s">
        <v>2646</v>
      </c>
      <c r="J129" s="175" t="s">
        <v>2647</v>
      </c>
      <c r="K129" s="175" t="s">
        <v>2648</v>
      </c>
      <c r="L129" s="175" t="s">
        <v>2649</v>
      </c>
      <c r="M129" s="175" t="s">
        <v>1937</v>
      </c>
      <c r="N129" s="175" t="s">
        <v>1938</v>
      </c>
      <c r="O129" s="175" t="s">
        <v>1939</v>
      </c>
      <c r="P129" s="175" t="s">
        <v>2650</v>
      </c>
      <c r="Q129" s="175" t="s">
        <v>163</v>
      </c>
      <c r="R129" s="175" t="s">
        <v>259</v>
      </c>
      <c r="S129" s="175" t="s">
        <v>2651</v>
      </c>
      <c r="T129" s="175" t="s">
        <v>2652</v>
      </c>
      <c r="U129" s="175" t="s">
        <v>2653</v>
      </c>
      <c r="V129" s="175" t="s">
        <v>2194</v>
      </c>
      <c r="W129" s="175" t="s">
        <v>521</v>
      </c>
      <c r="X129" s="175" t="s">
        <v>2654</v>
      </c>
      <c r="Y129" s="175" t="s">
        <v>2655</v>
      </c>
      <c r="Z129" s="175" t="s">
        <v>2656</v>
      </c>
    </row>
    <row r="130" spans="1:26" s="164" customFormat="1" ht="30" customHeight="1" x14ac:dyDescent="0.25">
      <c r="A130" s="177"/>
      <c r="B130" s="178"/>
      <c r="C130" s="176"/>
      <c r="D130" s="174">
        <v>124</v>
      </c>
      <c r="E130" s="175" t="s">
        <v>153</v>
      </c>
      <c r="F130" s="175" t="s">
        <v>154</v>
      </c>
      <c r="G130" s="175" t="s">
        <v>155</v>
      </c>
      <c r="H130" s="175" t="s">
        <v>2673</v>
      </c>
      <c r="I130" s="175" t="s">
        <v>2674</v>
      </c>
      <c r="J130" s="175" t="s">
        <v>2675</v>
      </c>
      <c r="K130" s="175" t="s">
        <v>2661</v>
      </c>
      <c r="L130" s="175" t="s">
        <v>2662</v>
      </c>
      <c r="M130" s="175" t="s">
        <v>2676</v>
      </c>
      <c r="N130" s="175" t="s">
        <v>2677</v>
      </c>
      <c r="O130" s="175" t="s">
        <v>2678</v>
      </c>
      <c r="P130" s="175" t="s">
        <v>2679</v>
      </c>
      <c r="Q130" s="175" t="s">
        <v>216</v>
      </c>
      <c r="R130" s="175" t="s">
        <v>164</v>
      </c>
      <c r="S130" s="175" t="s">
        <v>165</v>
      </c>
      <c r="T130" s="175" t="s">
        <v>2680</v>
      </c>
      <c r="U130" s="175" t="s">
        <v>2681</v>
      </c>
      <c r="V130" s="175" t="s">
        <v>2682</v>
      </c>
      <c r="W130" s="175" t="s">
        <v>2683</v>
      </c>
      <c r="X130" s="175" t="s">
        <v>2684</v>
      </c>
      <c r="Y130" s="175" t="s">
        <v>2685</v>
      </c>
      <c r="Z130" s="175" t="s">
        <v>2686</v>
      </c>
    </row>
    <row r="131" spans="1:26" s="164" customFormat="1" ht="30" customHeight="1" x14ac:dyDescent="0.25">
      <c r="A131" s="177"/>
      <c r="B131" s="178"/>
      <c r="C131" s="176"/>
      <c r="D131" s="174">
        <v>125</v>
      </c>
      <c r="E131" s="175" t="s">
        <v>204</v>
      </c>
      <c r="F131" s="175" t="s">
        <v>205</v>
      </c>
      <c r="G131" s="175" t="s">
        <v>2696</v>
      </c>
      <c r="H131" s="175" t="s">
        <v>2697</v>
      </c>
      <c r="I131" s="175" t="s">
        <v>2698</v>
      </c>
      <c r="J131" s="175" t="s">
        <v>2699</v>
      </c>
      <c r="K131" s="175" t="s">
        <v>2700</v>
      </c>
      <c r="L131" s="175" t="s">
        <v>2701</v>
      </c>
      <c r="M131" s="175" t="s">
        <v>2702</v>
      </c>
      <c r="N131" s="175" t="s">
        <v>2703</v>
      </c>
      <c r="O131" s="175" t="s">
        <v>2678</v>
      </c>
      <c r="P131" s="175" t="s">
        <v>2704</v>
      </c>
      <c r="Q131" s="175" t="s">
        <v>216</v>
      </c>
      <c r="R131" s="175" t="s">
        <v>164</v>
      </c>
      <c r="S131" s="175" t="s">
        <v>2705</v>
      </c>
      <c r="T131" s="175" t="s">
        <v>2706</v>
      </c>
      <c r="U131" s="175" t="s">
        <v>2707</v>
      </c>
      <c r="V131" s="175" t="s">
        <v>2708</v>
      </c>
      <c r="W131" s="175" t="s">
        <v>2709</v>
      </c>
      <c r="X131" s="175" t="s">
        <v>952</v>
      </c>
      <c r="Y131" s="175" t="s">
        <v>2710</v>
      </c>
      <c r="Z131" s="175" t="s">
        <v>224</v>
      </c>
    </row>
    <row r="132" spans="1:26" s="164" customFormat="1" ht="30" customHeight="1" x14ac:dyDescent="0.25">
      <c r="A132" s="177"/>
      <c r="B132" s="178"/>
      <c r="C132" s="176"/>
      <c r="D132" s="174">
        <v>126</v>
      </c>
      <c r="E132" s="175" t="s">
        <v>246</v>
      </c>
      <c r="F132" s="175" t="s">
        <v>247</v>
      </c>
      <c r="G132" s="175" t="s">
        <v>692</v>
      </c>
      <c r="H132" s="175" t="s">
        <v>2715</v>
      </c>
      <c r="I132" s="175" t="s">
        <v>2716</v>
      </c>
      <c r="J132" s="175" t="s">
        <v>2717</v>
      </c>
      <c r="K132" s="175" t="s">
        <v>2718</v>
      </c>
      <c r="L132" s="175" t="s">
        <v>2719</v>
      </c>
      <c r="M132" s="175" t="s">
        <v>2720</v>
      </c>
      <c r="N132" s="175" t="s">
        <v>2721</v>
      </c>
      <c r="O132" s="175" t="s">
        <v>2678</v>
      </c>
      <c r="P132" s="175" t="s">
        <v>2722</v>
      </c>
      <c r="Q132" s="175" t="s">
        <v>216</v>
      </c>
      <c r="R132" s="175" t="s">
        <v>164</v>
      </c>
      <c r="S132" s="175" t="s">
        <v>2723</v>
      </c>
      <c r="T132" s="175" t="s">
        <v>2724</v>
      </c>
      <c r="U132" s="175" t="s">
        <v>1137</v>
      </c>
      <c r="V132" s="175" t="s">
        <v>2725</v>
      </c>
      <c r="W132" s="175" t="s">
        <v>2726</v>
      </c>
      <c r="X132" s="175" t="s">
        <v>2727</v>
      </c>
      <c r="Y132" s="175" t="s">
        <v>2728</v>
      </c>
      <c r="Z132" s="175" t="s">
        <v>2729</v>
      </c>
    </row>
    <row r="133" spans="1:26" s="164" customFormat="1" ht="30" customHeight="1" x14ac:dyDescent="0.25">
      <c r="A133" s="177"/>
      <c r="B133" s="178"/>
      <c r="C133" s="176"/>
      <c r="D133" s="174">
        <v>127</v>
      </c>
      <c r="E133" s="175" t="s">
        <v>978</v>
      </c>
      <c r="F133" s="175" t="s">
        <v>154</v>
      </c>
      <c r="G133" s="175" t="s">
        <v>979</v>
      </c>
      <c r="H133" s="175" t="s">
        <v>2734</v>
      </c>
      <c r="I133" s="175" t="s">
        <v>2735</v>
      </c>
      <c r="J133" s="175" t="s">
        <v>2736</v>
      </c>
      <c r="K133" s="175" t="s">
        <v>2737</v>
      </c>
      <c r="L133" s="175" t="s">
        <v>2738</v>
      </c>
      <c r="M133" s="175" t="s">
        <v>2739</v>
      </c>
      <c r="N133" s="175" t="s">
        <v>2740</v>
      </c>
      <c r="O133" s="175" t="s">
        <v>2678</v>
      </c>
      <c r="P133" s="175" t="s">
        <v>2741</v>
      </c>
      <c r="Q133" s="175" t="s">
        <v>216</v>
      </c>
      <c r="R133" s="175" t="s">
        <v>259</v>
      </c>
      <c r="S133" s="175" t="s">
        <v>2742</v>
      </c>
      <c r="T133" s="175" t="s">
        <v>2743</v>
      </c>
      <c r="U133" s="175" t="s">
        <v>2744</v>
      </c>
      <c r="V133" s="175" t="s">
        <v>2745</v>
      </c>
      <c r="W133" s="175" t="s">
        <v>2746</v>
      </c>
      <c r="X133" s="175" t="s">
        <v>2747</v>
      </c>
      <c r="Y133" s="175" t="s">
        <v>2748</v>
      </c>
      <c r="Z133" s="175" t="s">
        <v>2749</v>
      </c>
    </row>
    <row r="134" spans="1:26" s="164" customFormat="1" ht="30" customHeight="1" x14ac:dyDescent="0.25">
      <c r="A134" s="177"/>
      <c r="B134" s="178"/>
      <c r="C134" s="176"/>
      <c r="D134" s="174">
        <v>128</v>
      </c>
      <c r="E134" s="175" t="s">
        <v>444</v>
      </c>
      <c r="F134" s="175" t="s">
        <v>247</v>
      </c>
      <c r="G134" s="175" t="s">
        <v>248</v>
      </c>
      <c r="H134" s="175" t="s">
        <v>2752</v>
      </c>
      <c r="I134" s="175" t="s">
        <v>2753</v>
      </c>
      <c r="J134" s="175" t="s">
        <v>2754</v>
      </c>
      <c r="K134" s="175" t="s">
        <v>2755</v>
      </c>
      <c r="L134" s="175" t="s">
        <v>2756</v>
      </c>
      <c r="M134" s="175" t="s">
        <v>2757</v>
      </c>
      <c r="N134" s="175" t="s">
        <v>2758</v>
      </c>
      <c r="O134" s="175" t="s">
        <v>2678</v>
      </c>
      <c r="P134" s="175" t="s">
        <v>2759</v>
      </c>
      <c r="Q134" s="175" t="s">
        <v>216</v>
      </c>
      <c r="R134" s="175" t="s">
        <v>259</v>
      </c>
      <c r="S134" s="175" t="s">
        <v>2760</v>
      </c>
      <c r="T134" s="175" t="s">
        <v>2761</v>
      </c>
      <c r="U134" s="175" t="s">
        <v>2762</v>
      </c>
      <c r="V134" s="175" t="s">
        <v>2763</v>
      </c>
      <c r="W134" s="175" t="s">
        <v>2764</v>
      </c>
      <c r="X134" s="175" t="s">
        <v>2765</v>
      </c>
      <c r="Y134" s="175" t="s">
        <v>2766</v>
      </c>
      <c r="Z134" s="175" t="s">
        <v>2767</v>
      </c>
    </row>
    <row r="135" spans="1:26" s="164" customFormat="1" ht="30" customHeight="1" x14ac:dyDescent="0.25">
      <c r="A135" s="177"/>
      <c r="B135" s="178"/>
      <c r="C135" s="176"/>
      <c r="D135" s="174">
        <v>129</v>
      </c>
      <c r="E135" s="175" t="s">
        <v>385</v>
      </c>
      <c r="F135" s="175" t="s">
        <v>205</v>
      </c>
      <c r="G135" s="175" t="s">
        <v>386</v>
      </c>
      <c r="H135" s="175" t="s">
        <v>2774</v>
      </c>
      <c r="I135" s="175" t="s">
        <v>2775</v>
      </c>
      <c r="J135" s="175" t="s">
        <v>2776</v>
      </c>
      <c r="K135" s="175" t="s">
        <v>2777</v>
      </c>
      <c r="L135" s="175" t="s">
        <v>2778</v>
      </c>
      <c r="M135" s="175" t="s">
        <v>2779</v>
      </c>
      <c r="N135" s="175" t="s">
        <v>2780</v>
      </c>
      <c r="O135" s="175" t="s">
        <v>2678</v>
      </c>
      <c r="P135" s="175" t="s">
        <v>2781</v>
      </c>
      <c r="Q135" s="175" t="s">
        <v>216</v>
      </c>
      <c r="R135" s="175" t="s">
        <v>164</v>
      </c>
      <c r="S135" s="175" t="s">
        <v>2782</v>
      </c>
      <c r="T135" s="175" t="s">
        <v>2783</v>
      </c>
      <c r="U135" s="175" t="s">
        <v>2784</v>
      </c>
      <c r="V135" s="175" t="s">
        <v>2785</v>
      </c>
      <c r="W135" s="175" t="s">
        <v>2786</v>
      </c>
      <c r="X135" s="175" t="s">
        <v>2787</v>
      </c>
      <c r="Y135" s="175" t="s">
        <v>2788</v>
      </c>
      <c r="Z135" s="175" t="s">
        <v>2789</v>
      </c>
    </row>
    <row r="136" spans="1:26" s="164" customFormat="1" ht="30" customHeight="1" x14ac:dyDescent="0.25">
      <c r="A136" s="177"/>
      <c r="B136" s="178"/>
      <c r="C136" s="176"/>
      <c r="D136" s="174">
        <v>130</v>
      </c>
      <c r="E136" s="175" t="s">
        <v>153</v>
      </c>
      <c r="F136" s="175" t="s">
        <v>325</v>
      </c>
      <c r="G136" s="175" t="s">
        <v>326</v>
      </c>
      <c r="H136" s="175" t="s">
        <v>2793</v>
      </c>
      <c r="I136" s="175" t="s">
        <v>2794</v>
      </c>
      <c r="J136" s="175" t="s">
        <v>2795</v>
      </c>
      <c r="K136" s="175" t="s">
        <v>2796</v>
      </c>
      <c r="L136" s="175" t="s">
        <v>2797</v>
      </c>
      <c r="M136" s="175" t="s">
        <v>2798</v>
      </c>
      <c r="N136" s="175" t="s">
        <v>2799</v>
      </c>
      <c r="O136" s="175" t="s">
        <v>2678</v>
      </c>
      <c r="P136" s="175" t="s">
        <v>2800</v>
      </c>
      <c r="Q136" s="175" t="s">
        <v>216</v>
      </c>
      <c r="R136" s="175" t="s">
        <v>259</v>
      </c>
      <c r="S136" s="175" t="s">
        <v>337</v>
      </c>
      <c r="T136" s="175" t="s">
        <v>2801</v>
      </c>
      <c r="U136" s="175" t="s">
        <v>2802</v>
      </c>
      <c r="V136" s="175" t="s">
        <v>2803</v>
      </c>
      <c r="W136" s="175" t="s">
        <v>2804</v>
      </c>
      <c r="X136" s="175" t="s">
        <v>2805</v>
      </c>
      <c r="Y136" s="175" t="s">
        <v>2806</v>
      </c>
      <c r="Z136" s="175" t="s">
        <v>2807</v>
      </c>
    </row>
    <row r="137" spans="1:26" s="164" customFormat="1" ht="30" customHeight="1" x14ac:dyDescent="0.25">
      <c r="A137" s="177"/>
      <c r="B137" s="178"/>
      <c r="C137" s="176"/>
      <c r="D137" s="174">
        <v>131</v>
      </c>
      <c r="E137" s="175" t="s">
        <v>385</v>
      </c>
      <c r="F137" s="175" t="s">
        <v>154</v>
      </c>
      <c r="G137" s="175" t="s">
        <v>355</v>
      </c>
      <c r="H137" s="175" t="s">
        <v>2814</v>
      </c>
      <c r="I137" s="175" t="s">
        <v>2815</v>
      </c>
      <c r="J137" s="175" t="s">
        <v>2816</v>
      </c>
      <c r="K137" s="175" t="s">
        <v>2817</v>
      </c>
      <c r="L137" s="175" t="s">
        <v>2818</v>
      </c>
      <c r="M137" s="175" t="s">
        <v>2819</v>
      </c>
      <c r="N137" s="175" t="s">
        <v>2820</v>
      </c>
      <c r="O137" s="175" t="s">
        <v>2678</v>
      </c>
      <c r="P137" s="175" t="s">
        <v>2821</v>
      </c>
      <c r="Q137" s="175" t="s">
        <v>216</v>
      </c>
      <c r="R137" s="175" t="s">
        <v>164</v>
      </c>
      <c r="S137" s="175" t="s">
        <v>1414</v>
      </c>
      <c r="T137" s="175" t="s">
        <v>2822</v>
      </c>
      <c r="U137" s="175" t="s">
        <v>2823</v>
      </c>
      <c r="V137" s="175" t="s">
        <v>2824</v>
      </c>
      <c r="W137" s="175" t="s">
        <v>2825</v>
      </c>
      <c r="X137" s="175" t="s">
        <v>2826</v>
      </c>
      <c r="Y137" s="175" t="s">
        <v>2827</v>
      </c>
      <c r="Z137" s="175" t="s">
        <v>2828</v>
      </c>
    </row>
    <row r="138" spans="1:26" s="164" customFormat="1" ht="30" customHeight="1" x14ac:dyDescent="0.25">
      <c r="A138" s="177"/>
      <c r="B138" s="178"/>
      <c r="C138" s="176"/>
      <c r="D138" s="174">
        <v>132</v>
      </c>
      <c r="E138" s="175" t="s">
        <v>472</v>
      </c>
      <c r="F138" s="175" t="s">
        <v>247</v>
      </c>
      <c r="G138" s="175" t="s">
        <v>999</v>
      </c>
      <c r="H138" s="175" t="s">
        <v>2832</v>
      </c>
      <c r="I138" s="175" t="s">
        <v>2833</v>
      </c>
      <c r="J138" s="175" t="s">
        <v>2834</v>
      </c>
      <c r="K138" s="175" t="s">
        <v>2835</v>
      </c>
      <c r="L138" s="175" t="s">
        <v>2836</v>
      </c>
      <c r="M138" s="175" t="s">
        <v>2837</v>
      </c>
      <c r="N138" s="175" t="s">
        <v>480</v>
      </c>
      <c r="O138" s="175" t="s">
        <v>2678</v>
      </c>
      <c r="P138" s="175" t="s">
        <v>2838</v>
      </c>
      <c r="Q138" s="175" t="s">
        <v>216</v>
      </c>
      <c r="R138" s="175" t="s">
        <v>259</v>
      </c>
      <c r="S138" s="175" t="s">
        <v>1007</v>
      </c>
      <c r="T138" s="175" t="s">
        <v>2839</v>
      </c>
      <c r="U138" s="175" t="s">
        <v>2840</v>
      </c>
      <c r="V138" s="175" t="s">
        <v>2841</v>
      </c>
      <c r="W138" s="175" t="s">
        <v>2842</v>
      </c>
      <c r="X138" s="175" t="s">
        <v>2843</v>
      </c>
      <c r="Y138" s="175" t="s">
        <v>2844</v>
      </c>
      <c r="Z138" s="175" t="s">
        <v>2845</v>
      </c>
    </row>
    <row r="139" spans="1:26" s="164" customFormat="1" ht="30" customHeight="1" x14ac:dyDescent="0.25">
      <c r="A139" s="177"/>
      <c r="B139" s="178"/>
      <c r="C139" s="176"/>
      <c r="D139" s="174">
        <v>133</v>
      </c>
      <c r="E139" s="175" t="s">
        <v>506</v>
      </c>
      <c r="F139" s="175" t="s">
        <v>247</v>
      </c>
      <c r="G139" s="175" t="s">
        <v>507</v>
      </c>
      <c r="H139" s="175" t="s">
        <v>2853</v>
      </c>
      <c r="I139" s="175" t="s">
        <v>2854</v>
      </c>
      <c r="J139" s="175" t="s">
        <v>2855</v>
      </c>
      <c r="K139" s="175" t="s">
        <v>2856</v>
      </c>
      <c r="L139" s="175" t="s">
        <v>2857</v>
      </c>
      <c r="M139" s="175" t="s">
        <v>2858</v>
      </c>
      <c r="N139" s="175" t="s">
        <v>2859</v>
      </c>
      <c r="O139" s="175" t="s">
        <v>2678</v>
      </c>
      <c r="P139" s="175" t="s">
        <v>2860</v>
      </c>
      <c r="Q139" s="175" t="s">
        <v>216</v>
      </c>
      <c r="R139" s="175" t="s">
        <v>164</v>
      </c>
      <c r="S139" s="175" t="s">
        <v>2861</v>
      </c>
      <c r="T139" s="175" t="s">
        <v>2862</v>
      </c>
      <c r="U139" s="175" t="s">
        <v>1137</v>
      </c>
      <c r="V139" s="175" t="s">
        <v>2863</v>
      </c>
      <c r="W139" s="175" t="s">
        <v>2864</v>
      </c>
      <c r="X139" s="175" t="s">
        <v>2865</v>
      </c>
      <c r="Y139" s="175" t="s">
        <v>2866</v>
      </c>
      <c r="Z139" s="175" t="s">
        <v>2867</v>
      </c>
    </row>
    <row r="140" spans="1:26" s="164" customFormat="1" ht="30" customHeight="1" x14ac:dyDescent="0.25">
      <c r="A140" s="177"/>
      <c r="B140" s="178"/>
      <c r="C140" s="176"/>
      <c r="D140" s="174">
        <v>134</v>
      </c>
      <c r="E140" s="175" t="s">
        <v>385</v>
      </c>
      <c r="F140" s="175" t="s">
        <v>570</v>
      </c>
      <c r="G140" s="175" t="s">
        <v>571</v>
      </c>
      <c r="H140" s="175" t="s">
        <v>2870</v>
      </c>
      <c r="I140" s="175" t="s">
        <v>2871</v>
      </c>
      <c r="J140" s="175" t="s">
        <v>2872</v>
      </c>
      <c r="K140" s="175" t="s">
        <v>2873</v>
      </c>
      <c r="L140" s="175" t="s">
        <v>2874</v>
      </c>
      <c r="M140" s="175" t="s">
        <v>2875</v>
      </c>
      <c r="N140" s="175" t="s">
        <v>2876</v>
      </c>
      <c r="O140" s="175" t="s">
        <v>2678</v>
      </c>
      <c r="P140" s="175" t="s">
        <v>2877</v>
      </c>
      <c r="Q140" s="175" t="s">
        <v>216</v>
      </c>
      <c r="R140" s="175" t="s">
        <v>259</v>
      </c>
      <c r="S140" s="175" t="s">
        <v>2878</v>
      </c>
      <c r="T140" s="175" t="s">
        <v>584</v>
      </c>
      <c r="U140" s="175" t="s">
        <v>2879</v>
      </c>
      <c r="V140" s="175" t="s">
        <v>2880</v>
      </c>
      <c r="W140" s="175" t="s">
        <v>2881</v>
      </c>
      <c r="X140" s="175" t="s">
        <v>2882</v>
      </c>
      <c r="Y140" s="175" t="s">
        <v>2883</v>
      </c>
      <c r="Z140" s="175" t="s">
        <v>2884</v>
      </c>
    </row>
    <row r="141" spans="1:26" s="164" customFormat="1" ht="30" customHeight="1" x14ac:dyDescent="0.25">
      <c r="A141" s="177"/>
      <c r="B141" s="178"/>
      <c r="C141" s="176"/>
      <c r="D141" s="174">
        <v>135</v>
      </c>
      <c r="E141" s="175" t="s">
        <v>600</v>
      </c>
      <c r="F141" s="175" t="s">
        <v>154</v>
      </c>
      <c r="G141" s="175" t="s">
        <v>601</v>
      </c>
      <c r="H141" s="175" t="s">
        <v>2890</v>
      </c>
      <c r="I141" s="175" t="s">
        <v>2891</v>
      </c>
      <c r="J141" s="175" t="s">
        <v>2892</v>
      </c>
      <c r="K141" s="175" t="s">
        <v>2893</v>
      </c>
      <c r="L141" s="175" t="s">
        <v>2894</v>
      </c>
      <c r="M141" s="175" t="s">
        <v>2895</v>
      </c>
      <c r="N141" s="175" t="s">
        <v>2896</v>
      </c>
      <c r="O141" s="175" t="s">
        <v>2678</v>
      </c>
      <c r="P141" s="175" t="s">
        <v>2897</v>
      </c>
      <c r="Q141" s="175" t="s">
        <v>216</v>
      </c>
      <c r="R141" s="175" t="s">
        <v>164</v>
      </c>
      <c r="S141" s="175" t="s">
        <v>2898</v>
      </c>
      <c r="T141" s="175" t="s">
        <v>614</v>
      </c>
      <c r="U141" s="175" t="s">
        <v>615</v>
      </c>
      <c r="V141" s="175" t="s">
        <v>2899</v>
      </c>
      <c r="W141" s="175" t="s">
        <v>2900</v>
      </c>
      <c r="X141" s="175" t="s">
        <v>2901</v>
      </c>
      <c r="Y141" s="175" t="s">
        <v>2902</v>
      </c>
      <c r="Z141" s="175" t="s">
        <v>2903</v>
      </c>
    </row>
    <row r="142" spans="1:26" s="164" customFormat="1" ht="30" customHeight="1" x14ac:dyDescent="0.25">
      <c r="A142" s="177"/>
      <c r="B142" s="178"/>
      <c r="C142" s="176"/>
      <c r="D142" s="174">
        <v>136</v>
      </c>
      <c r="E142" s="175" t="s">
        <v>534</v>
      </c>
      <c r="F142" s="175" t="s">
        <v>325</v>
      </c>
      <c r="G142" s="175" t="s">
        <v>535</v>
      </c>
      <c r="H142" s="175" t="s">
        <v>2904</v>
      </c>
      <c r="I142" s="175" t="s">
        <v>2905</v>
      </c>
      <c r="J142" s="175" t="s">
        <v>2906</v>
      </c>
      <c r="K142" s="175" t="s">
        <v>2907</v>
      </c>
      <c r="L142" s="175" t="s">
        <v>2908</v>
      </c>
      <c r="M142" s="175" t="s">
        <v>2909</v>
      </c>
      <c r="N142" s="175" t="s">
        <v>2910</v>
      </c>
      <c r="O142" s="175" t="s">
        <v>2678</v>
      </c>
      <c r="P142" s="175" t="s">
        <v>2911</v>
      </c>
      <c r="Q142" s="175" t="s">
        <v>216</v>
      </c>
      <c r="R142" s="175" t="s">
        <v>259</v>
      </c>
      <c r="S142" s="175" t="s">
        <v>2912</v>
      </c>
      <c r="T142" s="175" t="s">
        <v>2913</v>
      </c>
      <c r="U142" s="175" t="s">
        <v>550</v>
      </c>
      <c r="V142" s="175" t="s">
        <v>2914</v>
      </c>
      <c r="W142" s="175" t="s">
        <v>2915</v>
      </c>
      <c r="X142" s="175" t="s">
        <v>2916</v>
      </c>
      <c r="Y142" s="175" t="s">
        <v>2917</v>
      </c>
      <c r="Z142" s="175" t="s">
        <v>2918</v>
      </c>
    </row>
    <row r="143" spans="1:26" s="164" customFormat="1" ht="30" customHeight="1" x14ac:dyDescent="0.25">
      <c r="A143" s="177"/>
      <c r="B143" s="178"/>
      <c r="C143" s="176"/>
      <c r="D143" s="174">
        <v>137</v>
      </c>
      <c r="E143" s="175" t="s">
        <v>2920</v>
      </c>
      <c r="F143" s="175" t="s">
        <v>247</v>
      </c>
      <c r="G143" s="175" t="s">
        <v>740</v>
      </c>
      <c r="H143" s="175" t="s">
        <v>2921</v>
      </c>
      <c r="I143" s="175" t="s">
        <v>2922</v>
      </c>
      <c r="J143" s="175" t="s">
        <v>2923</v>
      </c>
      <c r="K143" s="175" t="s">
        <v>2924</v>
      </c>
      <c r="L143" s="175" t="s">
        <v>2925</v>
      </c>
      <c r="M143" s="175" t="s">
        <v>2926</v>
      </c>
      <c r="N143" s="175" t="s">
        <v>2927</v>
      </c>
      <c r="O143" s="175" t="s">
        <v>2678</v>
      </c>
      <c r="P143" s="175" t="s">
        <v>2928</v>
      </c>
      <c r="Q143" s="175" t="s">
        <v>216</v>
      </c>
      <c r="R143" s="175" t="s">
        <v>164</v>
      </c>
      <c r="S143" s="175" t="s">
        <v>2929</v>
      </c>
      <c r="T143" s="175" t="s">
        <v>753</v>
      </c>
      <c r="U143" s="175" t="s">
        <v>2930</v>
      </c>
      <c r="V143" s="175" t="s">
        <v>2931</v>
      </c>
      <c r="W143" s="175" t="s">
        <v>2932</v>
      </c>
      <c r="X143" s="175" t="s">
        <v>2933</v>
      </c>
      <c r="Y143" s="175" t="s">
        <v>2934</v>
      </c>
      <c r="Z143" s="175" t="s">
        <v>2935</v>
      </c>
    </row>
    <row r="144" spans="1:26" s="164" customFormat="1" ht="30" customHeight="1" x14ac:dyDescent="0.25">
      <c r="A144" s="177"/>
      <c r="B144" s="178"/>
      <c r="C144" s="176"/>
      <c r="D144" s="174">
        <v>138</v>
      </c>
      <c r="E144" s="175" t="s">
        <v>978</v>
      </c>
      <c r="F144" s="175" t="s">
        <v>247</v>
      </c>
      <c r="G144" s="175" t="s">
        <v>2938</v>
      </c>
      <c r="H144" s="175" t="s">
        <v>2939</v>
      </c>
      <c r="I144" s="175" t="s">
        <v>2940</v>
      </c>
      <c r="J144" s="175" t="s">
        <v>2941</v>
      </c>
      <c r="K144" s="175" t="s">
        <v>2942</v>
      </c>
      <c r="L144" s="175" t="s">
        <v>2943</v>
      </c>
      <c r="M144" s="175" t="s">
        <v>2944</v>
      </c>
      <c r="N144" s="175" t="s">
        <v>2945</v>
      </c>
      <c r="O144" s="175" t="s">
        <v>2678</v>
      </c>
      <c r="P144" s="175" t="s">
        <v>2946</v>
      </c>
      <c r="Q144" s="175" t="s">
        <v>216</v>
      </c>
      <c r="R144" s="175" t="s">
        <v>259</v>
      </c>
      <c r="S144" s="175" t="s">
        <v>2947</v>
      </c>
      <c r="T144" s="175" t="s">
        <v>2948</v>
      </c>
      <c r="U144" s="175" t="s">
        <v>2949</v>
      </c>
      <c r="V144" s="175" t="s">
        <v>2950</v>
      </c>
      <c r="W144" s="175" t="s">
        <v>2951</v>
      </c>
      <c r="X144" s="175" t="s">
        <v>2952</v>
      </c>
      <c r="Y144" s="175" t="s">
        <v>2953</v>
      </c>
      <c r="Z144" s="175" t="s">
        <v>1538</v>
      </c>
    </row>
    <row r="145" spans="1:26" s="164" customFormat="1" ht="30" customHeight="1" x14ac:dyDescent="0.25">
      <c r="A145" s="177"/>
      <c r="B145" s="178"/>
      <c r="C145" s="176"/>
      <c r="D145" s="174">
        <v>139</v>
      </c>
      <c r="E145" s="175" t="s">
        <v>506</v>
      </c>
      <c r="F145" s="175" t="s">
        <v>247</v>
      </c>
      <c r="G145" s="175" t="s">
        <v>2958</v>
      </c>
      <c r="H145" s="175" t="s">
        <v>2959</v>
      </c>
      <c r="I145" s="175" t="s">
        <v>2960</v>
      </c>
      <c r="J145" s="175" t="s">
        <v>2961</v>
      </c>
      <c r="K145" s="175" t="s">
        <v>2962</v>
      </c>
      <c r="L145" s="175" t="s">
        <v>2963</v>
      </c>
      <c r="M145" s="175" t="s">
        <v>2964</v>
      </c>
      <c r="N145" s="175" t="s">
        <v>2965</v>
      </c>
      <c r="O145" s="175" t="s">
        <v>2678</v>
      </c>
      <c r="P145" s="175" t="s">
        <v>2966</v>
      </c>
      <c r="Q145" s="175" t="s">
        <v>216</v>
      </c>
      <c r="R145" s="175" t="s">
        <v>164</v>
      </c>
      <c r="S145" s="175" t="s">
        <v>2967</v>
      </c>
      <c r="T145" s="175" t="s">
        <v>2968</v>
      </c>
      <c r="U145" s="175" t="s">
        <v>1780</v>
      </c>
      <c r="V145" s="175" t="s">
        <v>2969</v>
      </c>
      <c r="W145" s="175" t="s">
        <v>2970</v>
      </c>
      <c r="X145" s="175" t="s">
        <v>2971</v>
      </c>
      <c r="Y145" s="175" t="s">
        <v>2972</v>
      </c>
      <c r="Z145" s="175" t="s">
        <v>2973</v>
      </c>
    </row>
    <row r="146" spans="1:26" s="164" customFormat="1" ht="30" customHeight="1" x14ac:dyDescent="0.25">
      <c r="A146" s="177"/>
      <c r="B146" s="178"/>
      <c r="C146" s="176"/>
      <c r="D146" s="174">
        <v>140</v>
      </c>
      <c r="E146" s="175" t="s">
        <v>385</v>
      </c>
      <c r="F146" s="175" t="s">
        <v>325</v>
      </c>
      <c r="G146" s="175" t="s">
        <v>2979</v>
      </c>
      <c r="H146" s="175" t="s">
        <v>2980</v>
      </c>
      <c r="I146" s="175" t="s">
        <v>2981</v>
      </c>
      <c r="J146" s="175" t="s">
        <v>2982</v>
      </c>
      <c r="K146" s="175" t="s">
        <v>2983</v>
      </c>
      <c r="L146" s="175" t="s">
        <v>2984</v>
      </c>
      <c r="M146" s="175" t="s">
        <v>2985</v>
      </c>
      <c r="N146" s="175" t="s">
        <v>2986</v>
      </c>
      <c r="O146" s="175" t="s">
        <v>2678</v>
      </c>
      <c r="P146" s="175" t="s">
        <v>2987</v>
      </c>
      <c r="Q146" s="175" t="s">
        <v>216</v>
      </c>
      <c r="R146" s="175" t="s">
        <v>259</v>
      </c>
      <c r="S146" s="175" t="s">
        <v>2988</v>
      </c>
      <c r="T146" s="175" t="s">
        <v>2989</v>
      </c>
      <c r="U146" s="175" t="s">
        <v>1137</v>
      </c>
      <c r="V146" s="175" t="s">
        <v>2990</v>
      </c>
      <c r="W146" s="175" t="s">
        <v>2991</v>
      </c>
      <c r="X146" s="175" t="s">
        <v>2992</v>
      </c>
      <c r="Y146" s="175" t="s">
        <v>2993</v>
      </c>
      <c r="Z146" s="175" t="s">
        <v>2994</v>
      </c>
    </row>
    <row r="147" spans="1:26" s="164" customFormat="1" ht="30" customHeight="1" x14ac:dyDescent="0.25">
      <c r="A147" s="177"/>
      <c r="B147" s="178"/>
      <c r="C147" s="176"/>
      <c r="D147" s="174">
        <v>141</v>
      </c>
      <c r="E147" s="175" t="s">
        <v>385</v>
      </c>
      <c r="F147" s="175" t="s">
        <v>247</v>
      </c>
      <c r="G147" s="175" t="s">
        <v>3000</v>
      </c>
      <c r="H147" s="175" t="s">
        <v>3001</v>
      </c>
      <c r="I147" s="175" t="s">
        <v>3002</v>
      </c>
      <c r="J147" s="175" t="s">
        <v>3003</v>
      </c>
      <c r="K147" s="175" t="s">
        <v>3004</v>
      </c>
      <c r="L147" s="175" t="s">
        <v>3005</v>
      </c>
      <c r="M147" s="175" t="s">
        <v>3006</v>
      </c>
      <c r="N147" s="175" t="s">
        <v>3007</v>
      </c>
      <c r="O147" s="175" t="s">
        <v>2678</v>
      </c>
      <c r="P147" s="175" t="s">
        <v>3008</v>
      </c>
      <c r="Q147" s="175" t="s">
        <v>216</v>
      </c>
      <c r="R147" s="175" t="s">
        <v>259</v>
      </c>
      <c r="S147" s="175" t="s">
        <v>3009</v>
      </c>
      <c r="T147" s="175" t="s">
        <v>3010</v>
      </c>
      <c r="U147" s="175" t="s">
        <v>2341</v>
      </c>
      <c r="V147" s="175" t="s">
        <v>3011</v>
      </c>
      <c r="W147" s="175" t="s">
        <v>3012</v>
      </c>
      <c r="X147" s="175" t="s">
        <v>3013</v>
      </c>
      <c r="Y147" s="175" t="s">
        <v>3014</v>
      </c>
      <c r="Z147" s="175" t="s">
        <v>3015</v>
      </c>
    </row>
    <row r="148" spans="1:26" s="164" customFormat="1" ht="30" customHeight="1" x14ac:dyDescent="0.25">
      <c r="A148" s="177"/>
      <c r="B148" s="178"/>
      <c r="C148" s="176"/>
      <c r="D148" s="174">
        <v>142</v>
      </c>
      <c r="E148" s="175" t="s">
        <v>1787</v>
      </c>
      <c r="F148" s="175" t="s">
        <v>205</v>
      </c>
      <c r="G148" s="175" t="s">
        <v>3020</v>
      </c>
      <c r="H148" s="175" t="s">
        <v>3021</v>
      </c>
      <c r="I148" s="175" t="s">
        <v>3022</v>
      </c>
      <c r="J148" s="175" t="s">
        <v>3023</v>
      </c>
      <c r="K148" s="175" t="s">
        <v>3024</v>
      </c>
      <c r="L148" s="175" t="s">
        <v>3025</v>
      </c>
      <c r="M148" s="175" t="s">
        <v>3026</v>
      </c>
      <c r="N148" s="175" t="s">
        <v>3027</v>
      </c>
      <c r="O148" s="175" t="s">
        <v>2678</v>
      </c>
      <c r="P148" s="175" t="s">
        <v>3028</v>
      </c>
      <c r="Q148" s="175" t="s">
        <v>216</v>
      </c>
      <c r="R148" s="175" t="s">
        <v>164</v>
      </c>
      <c r="S148" s="175" t="s">
        <v>3029</v>
      </c>
      <c r="T148" s="175" t="s">
        <v>3030</v>
      </c>
      <c r="U148" s="175" t="s">
        <v>3031</v>
      </c>
      <c r="V148" s="175" t="s">
        <v>3032</v>
      </c>
      <c r="W148" s="175" t="s">
        <v>3033</v>
      </c>
      <c r="X148" s="175" t="s">
        <v>3034</v>
      </c>
      <c r="Y148" s="175" t="s">
        <v>3035</v>
      </c>
      <c r="Z148" s="175" t="s">
        <v>3036</v>
      </c>
    </row>
    <row r="149" spans="1:26" s="164" customFormat="1" ht="30" customHeight="1" x14ac:dyDescent="0.25">
      <c r="A149" s="177"/>
      <c r="B149" s="178"/>
      <c r="C149" s="176"/>
      <c r="D149" s="174">
        <v>143</v>
      </c>
      <c r="E149" s="175" t="s">
        <v>324</v>
      </c>
      <c r="F149" s="175" t="s">
        <v>154</v>
      </c>
      <c r="G149" s="175" t="s">
        <v>3040</v>
      </c>
      <c r="H149" s="175" t="s">
        <v>3041</v>
      </c>
      <c r="I149" s="175" t="s">
        <v>3042</v>
      </c>
      <c r="J149" s="175" t="s">
        <v>3043</v>
      </c>
      <c r="K149" s="175" t="s">
        <v>3044</v>
      </c>
      <c r="L149" s="175" t="s">
        <v>3045</v>
      </c>
      <c r="M149" s="175" t="s">
        <v>3046</v>
      </c>
      <c r="N149" s="175" t="s">
        <v>3047</v>
      </c>
      <c r="O149" s="175" t="s">
        <v>2678</v>
      </c>
      <c r="P149" s="175" t="s">
        <v>3048</v>
      </c>
      <c r="Q149" s="175" t="s">
        <v>216</v>
      </c>
      <c r="R149" s="175" t="s">
        <v>259</v>
      </c>
      <c r="S149" s="175" t="s">
        <v>2034</v>
      </c>
      <c r="T149" s="175" t="s">
        <v>3049</v>
      </c>
      <c r="U149" s="175" t="s">
        <v>3050</v>
      </c>
      <c r="V149" s="175" t="s">
        <v>3051</v>
      </c>
      <c r="W149" s="175" t="s">
        <v>3052</v>
      </c>
      <c r="X149" s="175" t="s">
        <v>3053</v>
      </c>
      <c r="Y149" s="175" t="s">
        <v>3054</v>
      </c>
      <c r="Z149" s="175" t="s">
        <v>3055</v>
      </c>
    </row>
    <row r="150" spans="1:26" s="164" customFormat="1" ht="30" customHeight="1" x14ac:dyDescent="0.25">
      <c r="A150" s="177"/>
      <c r="B150" s="178"/>
      <c r="C150" s="176"/>
      <c r="D150" s="174">
        <v>144</v>
      </c>
      <c r="E150" s="175" t="s">
        <v>385</v>
      </c>
      <c r="F150" s="175" t="s">
        <v>247</v>
      </c>
      <c r="G150" s="175" t="s">
        <v>3062</v>
      </c>
      <c r="H150" s="175" t="s">
        <v>3063</v>
      </c>
      <c r="I150" s="175" t="s">
        <v>3064</v>
      </c>
      <c r="J150" s="175" t="s">
        <v>3065</v>
      </c>
      <c r="K150" s="175" t="s">
        <v>3066</v>
      </c>
      <c r="L150" s="175" t="s">
        <v>3067</v>
      </c>
      <c r="M150" s="175" t="s">
        <v>3068</v>
      </c>
      <c r="N150" s="175" t="s">
        <v>3069</v>
      </c>
      <c r="O150" s="175" t="s">
        <v>2678</v>
      </c>
      <c r="P150" s="175" t="s">
        <v>3070</v>
      </c>
      <c r="Q150" s="175" t="s">
        <v>216</v>
      </c>
      <c r="R150" s="175" t="s">
        <v>164</v>
      </c>
      <c r="S150" s="175" t="s">
        <v>3071</v>
      </c>
      <c r="T150" s="175" t="s">
        <v>3072</v>
      </c>
      <c r="U150" s="175" t="s">
        <v>1137</v>
      </c>
      <c r="V150" s="175" t="s">
        <v>3073</v>
      </c>
      <c r="W150" s="175" t="s">
        <v>3074</v>
      </c>
      <c r="X150" s="175" t="s">
        <v>3075</v>
      </c>
      <c r="Y150" s="175" t="s">
        <v>3076</v>
      </c>
      <c r="Z150" s="175" t="s">
        <v>3077</v>
      </c>
    </row>
    <row r="151" spans="1:26" s="164" customFormat="1" ht="30" customHeight="1" x14ac:dyDescent="0.25">
      <c r="A151" s="177"/>
      <c r="B151" s="178"/>
      <c r="C151" s="176"/>
      <c r="D151" s="174">
        <v>145</v>
      </c>
      <c r="E151" s="175" t="s">
        <v>415</v>
      </c>
      <c r="F151" s="175" t="s">
        <v>247</v>
      </c>
      <c r="G151" s="175" t="s">
        <v>3082</v>
      </c>
      <c r="H151" s="175" t="s">
        <v>3083</v>
      </c>
      <c r="I151" s="175" t="s">
        <v>3084</v>
      </c>
      <c r="J151" s="175" t="s">
        <v>3085</v>
      </c>
      <c r="K151" s="175" t="s">
        <v>3086</v>
      </c>
      <c r="L151" s="175" t="s">
        <v>3087</v>
      </c>
      <c r="M151" s="175" t="s">
        <v>3088</v>
      </c>
      <c r="N151" s="175" t="s">
        <v>3089</v>
      </c>
      <c r="O151" s="175" t="s">
        <v>2678</v>
      </c>
      <c r="P151" s="175" t="s">
        <v>3090</v>
      </c>
      <c r="Q151" s="175" t="s">
        <v>216</v>
      </c>
      <c r="R151" s="175" t="s">
        <v>164</v>
      </c>
      <c r="S151" s="175" t="s">
        <v>3091</v>
      </c>
      <c r="T151" s="175" t="s">
        <v>3092</v>
      </c>
      <c r="U151" s="175" t="s">
        <v>3093</v>
      </c>
      <c r="V151" s="175" t="s">
        <v>3094</v>
      </c>
      <c r="W151" s="175" t="s">
        <v>3095</v>
      </c>
      <c r="X151" s="175" t="s">
        <v>3096</v>
      </c>
      <c r="Y151" s="175" t="s">
        <v>3097</v>
      </c>
      <c r="Z151" s="175" t="s">
        <v>3098</v>
      </c>
    </row>
    <row r="152" spans="1:26" s="164" customFormat="1" ht="30" customHeight="1" x14ac:dyDescent="0.25">
      <c r="A152" s="177"/>
      <c r="B152" s="178"/>
      <c r="C152" s="176"/>
      <c r="D152" s="174">
        <v>146</v>
      </c>
      <c r="E152" s="175" t="s">
        <v>506</v>
      </c>
      <c r="F152" s="175" t="s">
        <v>325</v>
      </c>
      <c r="G152" s="175" t="s">
        <v>3103</v>
      </c>
      <c r="H152" s="175" t="s">
        <v>3104</v>
      </c>
      <c r="I152" s="175" t="s">
        <v>3105</v>
      </c>
      <c r="J152" s="175" t="s">
        <v>3106</v>
      </c>
      <c r="K152" s="175" t="s">
        <v>3107</v>
      </c>
      <c r="L152" s="175" t="s">
        <v>3108</v>
      </c>
      <c r="M152" s="175" t="s">
        <v>3109</v>
      </c>
      <c r="N152" s="175" t="s">
        <v>3110</v>
      </c>
      <c r="O152" s="175" t="s">
        <v>2678</v>
      </c>
      <c r="P152" s="175" t="s">
        <v>3111</v>
      </c>
      <c r="Q152" s="175" t="s">
        <v>216</v>
      </c>
      <c r="R152" s="175" t="s">
        <v>164</v>
      </c>
      <c r="S152" s="175" t="s">
        <v>3112</v>
      </c>
      <c r="T152" s="175" t="s">
        <v>3113</v>
      </c>
      <c r="U152" s="175" t="s">
        <v>2341</v>
      </c>
      <c r="V152" s="175" t="s">
        <v>3114</v>
      </c>
      <c r="W152" s="175" t="s">
        <v>3115</v>
      </c>
      <c r="X152" s="175" t="s">
        <v>3116</v>
      </c>
      <c r="Y152" s="175" t="s">
        <v>3117</v>
      </c>
      <c r="Z152" s="175" t="s">
        <v>3118</v>
      </c>
    </row>
    <row r="153" spans="1:26" s="164" customFormat="1" ht="30" customHeight="1" x14ac:dyDescent="0.25">
      <c r="A153" s="177"/>
      <c r="B153" s="178"/>
      <c r="C153" s="176"/>
      <c r="D153" s="174">
        <v>147</v>
      </c>
      <c r="E153" s="175" t="s">
        <v>385</v>
      </c>
      <c r="F153" s="175" t="s">
        <v>570</v>
      </c>
      <c r="G153" s="175" t="s">
        <v>3121</v>
      </c>
      <c r="H153" s="175" t="s">
        <v>3122</v>
      </c>
      <c r="I153" s="175" t="s">
        <v>3123</v>
      </c>
      <c r="J153" s="175" t="s">
        <v>3124</v>
      </c>
      <c r="K153" s="175" t="s">
        <v>3125</v>
      </c>
      <c r="L153" s="175" t="s">
        <v>3126</v>
      </c>
      <c r="M153" s="175" t="s">
        <v>3127</v>
      </c>
      <c r="N153" s="175" t="s">
        <v>3128</v>
      </c>
      <c r="O153" s="175" t="s">
        <v>2678</v>
      </c>
      <c r="P153" s="175" t="s">
        <v>3129</v>
      </c>
      <c r="Q153" s="175" t="s">
        <v>216</v>
      </c>
      <c r="R153" s="175" t="s">
        <v>259</v>
      </c>
      <c r="S153" s="175" t="s">
        <v>3130</v>
      </c>
      <c r="T153" s="175" t="s">
        <v>3131</v>
      </c>
      <c r="U153" s="175" t="s">
        <v>3132</v>
      </c>
      <c r="V153" s="175" t="s">
        <v>3133</v>
      </c>
      <c r="W153" s="175" t="s">
        <v>3134</v>
      </c>
      <c r="X153" s="175" t="s">
        <v>3135</v>
      </c>
      <c r="Y153" s="175" t="s">
        <v>3136</v>
      </c>
      <c r="Z153" s="175" t="s">
        <v>3137</v>
      </c>
    </row>
    <row r="154" spans="1:26" s="164" customFormat="1" ht="30" customHeight="1" x14ac:dyDescent="0.25">
      <c r="A154" s="177"/>
      <c r="B154" s="178"/>
      <c r="C154" s="176"/>
      <c r="D154" s="174">
        <v>148</v>
      </c>
      <c r="E154" s="175" t="s">
        <v>324</v>
      </c>
      <c r="F154" s="175" t="s">
        <v>205</v>
      </c>
      <c r="G154" s="175" t="s">
        <v>3147</v>
      </c>
      <c r="H154" s="175" t="s">
        <v>3148</v>
      </c>
      <c r="I154" s="175" t="s">
        <v>3149</v>
      </c>
      <c r="J154" s="175" t="s">
        <v>3150</v>
      </c>
      <c r="K154" s="175" t="s">
        <v>3151</v>
      </c>
      <c r="L154" s="175" t="s">
        <v>3152</v>
      </c>
      <c r="M154" s="175" t="s">
        <v>3153</v>
      </c>
      <c r="N154" s="175" t="s">
        <v>3154</v>
      </c>
      <c r="O154" s="175" t="s">
        <v>2678</v>
      </c>
      <c r="P154" s="175" t="s">
        <v>3155</v>
      </c>
      <c r="Q154" s="175" t="s">
        <v>216</v>
      </c>
      <c r="R154" s="175" t="s">
        <v>259</v>
      </c>
      <c r="S154" s="175" t="s">
        <v>3156</v>
      </c>
      <c r="T154" s="175" t="s">
        <v>3157</v>
      </c>
      <c r="U154" s="175" t="s">
        <v>3158</v>
      </c>
      <c r="V154" s="175" t="s">
        <v>3159</v>
      </c>
      <c r="W154" s="175" t="s">
        <v>3160</v>
      </c>
      <c r="X154" s="175" t="s">
        <v>3161</v>
      </c>
      <c r="Y154" s="175" t="s">
        <v>3162</v>
      </c>
      <c r="Z154" s="175" t="s">
        <v>3163</v>
      </c>
    </row>
    <row r="155" spans="1:26" s="164" customFormat="1" ht="30" customHeight="1" x14ac:dyDescent="0.25">
      <c r="A155" s="177"/>
      <c r="B155" s="178"/>
      <c r="C155" s="176"/>
      <c r="D155" s="174">
        <v>149</v>
      </c>
      <c r="E155" s="175" t="s">
        <v>385</v>
      </c>
      <c r="F155" s="175" t="s">
        <v>247</v>
      </c>
      <c r="G155" s="175" t="s">
        <v>3166</v>
      </c>
      <c r="H155" s="175" t="s">
        <v>3167</v>
      </c>
      <c r="I155" s="175" t="s">
        <v>3168</v>
      </c>
      <c r="J155" s="175" t="s">
        <v>3169</v>
      </c>
      <c r="K155" s="175" t="s">
        <v>3170</v>
      </c>
      <c r="L155" s="175" t="s">
        <v>3171</v>
      </c>
      <c r="M155" s="175" t="s">
        <v>3172</v>
      </c>
      <c r="N155" s="175" t="s">
        <v>3173</v>
      </c>
      <c r="O155" s="175" t="s">
        <v>2678</v>
      </c>
      <c r="P155" s="175" t="s">
        <v>3174</v>
      </c>
      <c r="Q155" s="175" t="s">
        <v>216</v>
      </c>
      <c r="R155" s="175" t="s">
        <v>164</v>
      </c>
      <c r="S155" s="175" t="s">
        <v>3175</v>
      </c>
      <c r="T155" s="175" t="s">
        <v>3176</v>
      </c>
      <c r="U155" s="175" t="s">
        <v>3177</v>
      </c>
      <c r="V155" s="175" t="s">
        <v>3178</v>
      </c>
      <c r="W155" s="175" t="s">
        <v>3179</v>
      </c>
      <c r="X155" s="175" t="s">
        <v>3180</v>
      </c>
      <c r="Y155" s="175" t="s">
        <v>3181</v>
      </c>
      <c r="Z155" s="175" t="s">
        <v>3182</v>
      </c>
    </row>
    <row r="156" spans="1:26" s="164" customFormat="1" ht="30" customHeight="1" x14ac:dyDescent="0.25">
      <c r="A156" s="177"/>
      <c r="B156" s="178"/>
      <c r="C156" s="176"/>
      <c r="D156" s="174">
        <v>150</v>
      </c>
      <c r="E156" s="175" t="s">
        <v>739</v>
      </c>
      <c r="F156" s="175" t="s">
        <v>325</v>
      </c>
      <c r="G156" s="175" t="s">
        <v>3185</v>
      </c>
      <c r="H156" s="175" t="s">
        <v>3186</v>
      </c>
      <c r="I156" s="175" t="s">
        <v>3187</v>
      </c>
      <c r="J156" s="175" t="s">
        <v>3188</v>
      </c>
      <c r="K156" s="175" t="s">
        <v>3189</v>
      </c>
      <c r="L156" s="175" t="s">
        <v>3190</v>
      </c>
      <c r="M156" s="175" t="s">
        <v>3191</v>
      </c>
      <c r="N156" s="175" t="s">
        <v>3192</v>
      </c>
      <c r="O156" s="175" t="s">
        <v>2678</v>
      </c>
      <c r="P156" s="175" t="s">
        <v>3193</v>
      </c>
      <c r="Q156" s="175" t="s">
        <v>216</v>
      </c>
      <c r="R156" s="175" t="s">
        <v>259</v>
      </c>
      <c r="S156" s="175" t="s">
        <v>3194</v>
      </c>
      <c r="T156" s="175" t="s">
        <v>3195</v>
      </c>
      <c r="U156" s="175" t="s">
        <v>3196</v>
      </c>
      <c r="V156" s="175" t="s">
        <v>3197</v>
      </c>
      <c r="W156" s="175" t="s">
        <v>3198</v>
      </c>
      <c r="X156" s="175" t="s">
        <v>3199</v>
      </c>
      <c r="Y156" s="175" t="s">
        <v>3200</v>
      </c>
      <c r="Z156" s="175" t="s">
        <v>3201</v>
      </c>
    </row>
    <row r="157" spans="1:26" s="164" customFormat="1" ht="30" customHeight="1" x14ac:dyDescent="0.25">
      <c r="A157" s="177"/>
      <c r="B157" s="178"/>
      <c r="C157" s="176"/>
      <c r="D157" s="174">
        <v>151</v>
      </c>
      <c r="E157" s="175" t="s">
        <v>385</v>
      </c>
      <c r="F157" s="175" t="s">
        <v>154</v>
      </c>
      <c r="G157" s="175" t="s">
        <v>3205</v>
      </c>
      <c r="H157" s="175" t="s">
        <v>3206</v>
      </c>
      <c r="I157" s="175" t="s">
        <v>3207</v>
      </c>
      <c r="J157" s="175" t="s">
        <v>3208</v>
      </c>
      <c r="K157" s="175" t="s">
        <v>3209</v>
      </c>
      <c r="L157" s="175" t="s">
        <v>3210</v>
      </c>
      <c r="M157" s="175" t="s">
        <v>3211</v>
      </c>
      <c r="N157" s="175" t="s">
        <v>3212</v>
      </c>
      <c r="O157" s="175" t="s">
        <v>2678</v>
      </c>
      <c r="P157" s="175" t="s">
        <v>3213</v>
      </c>
      <c r="Q157" s="175" t="s">
        <v>216</v>
      </c>
      <c r="R157" s="175" t="s">
        <v>164</v>
      </c>
      <c r="S157" s="175" t="s">
        <v>3214</v>
      </c>
      <c r="T157" s="175" t="s">
        <v>3215</v>
      </c>
      <c r="U157" s="175" t="s">
        <v>1137</v>
      </c>
      <c r="V157" s="175" t="s">
        <v>2863</v>
      </c>
      <c r="W157" s="175" t="s">
        <v>3216</v>
      </c>
      <c r="X157" s="175" t="s">
        <v>3217</v>
      </c>
      <c r="Y157" s="175" t="s">
        <v>3218</v>
      </c>
      <c r="Z157" s="175" t="s">
        <v>3219</v>
      </c>
    </row>
    <row r="158" spans="1:26" s="164" customFormat="1" ht="30" customHeight="1" x14ac:dyDescent="0.25">
      <c r="A158" s="177"/>
      <c r="B158" s="178"/>
      <c r="C158" s="176"/>
      <c r="D158" s="174">
        <v>152</v>
      </c>
      <c r="E158" s="175" t="s">
        <v>324</v>
      </c>
      <c r="F158" s="175" t="s">
        <v>570</v>
      </c>
      <c r="G158" s="175" t="s">
        <v>3222</v>
      </c>
      <c r="H158" s="175" t="s">
        <v>3223</v>
      </c>
      <c r="I158" s="175" t="s">
        <v>3224</v>
      </c>
      <c r="J158" s="175" t="s">
        <v>3225</v>
      </c>
      <c r="K158" s="175" t="s">
        <v>3226</v>
      </c>
      <c r="L158" s="175" t="s">
        <v>3227</v>
      </c>
      <c r="M158" s="175" t="s">
        <v>3228</v>
      </c>
      <c r="N158" s="175" t="s">
        <v>3229</v>
      </c>
      <c r="O158" s="175" t="s">
        <v>2678</v>
      </c>
      <c r="P158" s="175" t="s">
        <v>3230</v>
      </c>
      <c r="Q158" s="175" t="s">
        <v>216</v>
      </c>
      <c r="R158" s="175" t="s">
        <v>259</v>
      </c>
      <c r="S158" s="175" t="s">
        <v>3231</v>
      </c>
      <c r="T158" s="175" t="s">
        <v>3232</v>
      </c>
      <c r="U158" s="175" t="s">
        <v>3233</v>
      </c>
      <c r="V158" s="175" t="s">
        <v>3234</v>
      </c>
      <c r="W158" s="175" t="s">
        <v>3235</v>
      </c>
      <c r="X158" s="175" t="s">
        <v>3236</v>
      </c>
      <c r="Y158" s="175" t="s">
        <v>3237</v>
      </c>
      <c r="Z158" s="175" t="s">
        <v>3238</v>
      </c>
    </row>
    <row r="159" spans="1:26" s="164" customFormat="1" ht="30" customHeight="1" x14ac:dyDescent="0.25">
      <c r="A159" s="177"/>
      <c r="B159" s="178"/>
      <c r="C159" s="176"/>
      <c r="D159" s="174">
        <v>153</v>
      </c>
      <c r="E159" s="175" t="s">
        <v>765</v>
      </c>
      <c r="F159" s="175" t="s">
        <v>247</v>
      </c>
      <c r="G159" s="175" t="s">
        <v>766</v>
      </c>
      <c r="H159" s="175" t="s">
        <v>3244</v>
      </c>
      <c r="I159" s="175" t="s">
        <v>3245</v>
      </c>
      <c r="J159" s="175" t="s">
        <v>3246</v>
      </c>
      <c r="K159" s="175" t="s">
        <v>3247</v>
      </c>
      <c r="L159" s="175" t="s">
        <v>3248</v>
      </c>
      <c r="M159" s="175" t="s">
        <v>3249</v>
      </c>
      <c r="N159" s="175" t="s">
        <v>3250</v>
      </c>
      <c r="O159" s="175" t="s">
        <v>2678</v>
      </c>
      <c r="P159" s="175" t="s">
        <v>3251</v>
      </c>
      <c r="Q159" s="175" t="s">
        <v>216</v>
      </c>
      <c r="R159" s="175" t="s">
        <v>164</v>
      </c>
      <c r="S159" s="175" t="s">
        <v>3252</v>
      </c>
      <c r="T159" s="175" t="s">
        <v>3253</v>
      </c>
      <c r="U159" s="175" t="s">
        <v>780</v>
      </c>
      <c r="V159" s="175" t="s">
        <v>3254</v>
      </c>
      <c r="W159" s="175" t="s">
        <v>3255</v>
      </c>
      <c r="X159" s="175" t="s">
        <v>3256</v>
      </c>
      <c r="Y159" s="175" t="s">
        <v>3257</v>
      </c>
      <c r="Z159" s="175" t="s">
        <v>3258</v>
      </c>
    </row>
    <row r="160" spans="1:26" s="164" customFormat="1" ht="30" customHeight="1" x14ac:dyDescent="0.25">
      <c r="A160" s="177"/>
      <c r="B160" s="178"/>
      <c r="C160" s="176"/>
      <c r="D160" s="174">
        <v>154</v>
      </c>
      <c r="E160" s="175" t="s">
        <v>246</v>
      </c>
      <c r="F160" s="175" t="s">
        <v>247</v>
      </c>
      <c r="G160" s="175" t="s">
        <v>248</v>
      </c>
      <c r="H160" s="175" t="s">
        <v>3277</v>
      </c>
      <c r="I160" s="175" t="s">
        <v>3278</v>
      </c>
      <c r="J160" s="175" t="s">
        <v>3279</v>
      </c>
      <c r="K160" s="175" t="s">
        <v>3264</v>
      </c>
      <c r="L160" s="175" t="s">
        <v>3265</v>
      </c>
      <c r="M160" s="175" t="s">
        <v>3280</v>
      </c>
      <c r="N160" s="175" t="s">
        <v>3281</v>
      </c>
      <c r="O160" s="175" t="s">
        <v>3282</v>
      </c>
      <c r="P160" s="175" t="s">
        <v>3283</v>
      </c>
      <c r="Q160" s="175" t="s">
        <v>3284</v>
      </c>
      <c r="R160" s="175" t="s">
        <v>164</v>
      </c>
      <c r="S160" s="175" t="s">
        <v>260</v>
      </c>
      <c r="T160" s="175" t="s">
        <v>3285</v>
      </c>
      <c r="U160" s="175" t="s">
        <v>3286</v>
      </c>
      <c r="V160" s="175" t="s">
        <v>3287</v>
      </c>
      <c r="W160" s="175" t="s">
        <v>3288</v>
      </c>
      <c r="X160" s="175" t="s">
        <v>3289</v>
      </c>
      <c r="Y160" s="175" t="s">
        <v>3290</v>
      </c>
      <c r="Z160" s="175" t="s">
        <v>3291</v>
      </c>
    </row>
    <row r="161" spans="1:26" s="164" customFormat="1" ht="30" customHeight="1" x14ac:dyDescent="0.25">
      <c r="A161" s="177"/>
      <c r="B161" s="178"/>
      <c r="C161" s="176"/>
      <c r="D161" s="174">
        <v>155</v>
      </c>
      <c r="E161" s="175" t="s">
        <v>153</v>
      </c>
      <c r="F161" s="175" t="s">
        <v>154</v>
      </c>
      <c r="G161" s="175" t="s">
        <v>3301</v>
      </c>
      <c r="H161" s="175" t="s">
        <v>3302</v>
      </c>
      <c r="I161" s="175" t="s">
        <v>3303</v>
      </c>
      <c r="J161" s="175" t="s">
        <v>3304</v>
      </c>
      <c r="K161" s="175" t="s">
        <v>3305</v>
      </c>
      <c r="L161" s="175" t="s">
        <v>3306</v>
      </c>
      <c r="M161" s="175" t="s">
        <v>3307</v>
      </c>
      <c r="N161" s="175" t="s">
        <v>3308</v>
      </c>
      <c r="O161" s="175" t="s">
        <v>3282</v>
      </c>
      <c r="P161" s="175" t="s">
        <v>3309</v>
      </c>
      <c r="Q161" s="175" t="s">
        <v>3284</v>
      </c>
      <c r="R161" s="175" t="s">
        <v>164</v>
      </c>
      <c r="S161" s="175" t="s">
        <v>3310</v>
      </c>
      <c r="T161" s="175" t="s">
        <v>3311</v>
      </c>
      <c r="U161" s="175" t="s">
        <v>3312</v>
      </c>
      <c r="V161" s="175" t="s">
        <v>3313</v>
      </c>
      <c r="W161" s="175" t="s">
        <v>3314</v>
      </c>
      <c r="X161" s="175" t="s">
        <v>3315</v>
      </c>
      <c r="Y161" s="175" t="s">
        <v>3316</v>
      </c>
      <c r="Z161" s="175" t="s">
        <v>3317</v>
      </c>
    </row>
    <row r="162" spans="1:26" s="164" customFormat="1" ht="30" customHeight="1" x14ac:dyDescent="0.25">
      <c r="A162" s="177"/>
      <c r="B162" s="178"/>
      <c r="C162" s="176"/>
      <c r="D162" s="174">
        <v>156</v>
      </c>
      <c r="E162" s="175" t="s">
        <v>204</v>
      </c>
      <c r="F162" s="175" t="s">
        <v>205</v>
      </c>
      <c r="G162" s="175" t="s">
        <v>3318</v>
      </c>
      <c r="H162" s="175" t="s">
        <v>3319</v>
      </c>
      <c r="I162" s="175" t="s">
        <v>3320</v>
      </c>
      <c r="J162" s="175" t="s">
        <v>3321</v>
      </c>
      <c r="K162" s="175" t="s">
        <v>3322</v>
      </c>
      <c r="L162" s="175" t="s">
        <v>3323</v>
      </c>
      <c r="M162" s="175" t="s">
        <v>3324</v>
      </c>
      <c r="N162" s="175" t="s">
        <v>3325</v>
      </c>
      <c r="O162" s="175" t="s">
        <v>3282</v>
      </c>
      <c r="P162" s="175" t="s">
        <v>3326</v>
      </c>
      <c r="Q162" s="175" t="s">
        <v>3284</v>
      </c>
      <c r="R162" s="175" t="s">
        <v>259</v>
      </c>
      <c r="S162" s="175" t="s">
        <v>3327</v>
      </c>
      <c r="T162" s="175" t="s">
        <v>3328</v>
      </c>
      <c r="U162" s="175" t="s">
        <v>3329</v>
      </c>
      <c r="V162" s="175" t="s">
        <v>3330</v>
      </c>
      <c r="W162" s="175" t="s">
        <v>3331</v>
      </c>
      <c r="X162" s="175" t="s">
        <v>3332</v>
      </c>
      <c r="Y162" s="175" t="s">
        <v>3333</v>
      </c>
      <c r="Z162" s="175" t="s">
        <v>3334</v>
      </c>
    </row>
    <row r="163" spans="1:26" s="164" customFormat="1" ht="30" customHeight="1" x14ac:dyDescent="0.25">
      <c r="A163" s="177"/>
      <c r="B163" s="178"/>
      <c r="C163" s="176"/>
      <c r="D163" s="174">
        <v>157</v>
      </c>
      <c r="E163" s="175" t="s">
        <v>444</v>
      </c>
      <c r="F163" s="175" t="s">
        <v>247</v>
      </c>
      <c r="G163" s="175" t="s">
        <v>3335</v>
      </c>
      <c r="H163" s="175" t="s">
        <v>3336</v>
      </c>
      <c r="I163" s="175" t="s">
        <v>3337</v>
      </c>
      <c r="J163" s="175" t="s">
        <v>3338</v>
      </c>
      <c r="K163" s="175" t="s">
        <v>3339</v>
      </c>
      <c r="L163" s="175" t="s">
        <v>3340</v>
      </c>
      <c r="M163" s="175" t="s">
        <v>3341</v>
      </c>
      <c r="N163" s="175" t="s">
        <v>3342</v>
      </c>
      <c r="O163" s="175" t="s">
        <v>3282</v>
      </c>
      <c r="P163" s="175" t="s">
        <v>3343</v>
      </c>
      <c r="Q163" s="175" t="s">
        <v>3284</v>
      </c>
      <c r="R163" s="175" t="s">
        <v>259</v>
      </c>
      <c r="S163" s="175" t="s">
        <v>3344</v>
      </c>
      <c r="T163" s="175" t="s">
        <v>3345</v>
      </c>
      <c r="U163" s="175" t="s">
        <v>3346</v>
      </c>
      <c r="V163" s="175" t="s">
        <v>3347</v>
      </c>
      <c r="W163" s="175" t="s">
        <v>2541</v>
      </c>
      <c r="X163" s="175" t="s">
        <v>3348</v>
      </c>
      <c r="Y163" s="175" t="s">
        <v>3349</v>
      </c>
      <c r="Z163" s="175" t="s">
        <v>3350</v>
      </c>
    </row>
    <row r="164" spans="1:26" s="164" customFormat="1" ht="30" customHeight="1" x14ac:dyDescent="0.25">
      <c r="A164" s="177"/>
      <c r="B164" s="178"/>
      <c r="C164" s="176"/>
      <c r="D164" s="174">
        <v>158</v>
      </c>
      <c r="E164" s="175" t="s">
        <v>385</v>
      </c>
      <c r="F164" s="175" t="s">
        <v>154</v>
      </c>
      <c r="G164" s="175" t="s">
        <v>718</v>
      </c>
      <c r="H164" s="175" t="s">
        <v>3351</v>
      </c>
      <c r="I164" s="175" t="s">
        <v>3352</v>
      </c>
      <c r="J164" s="175" t="s">
        <v>3353</v>
      </c>
      <c r="K164" s="175" t="s">
        <v>3354</v>
      </c>
      <c r="L164" s="175" t="s">
        <v>3355</v>
      </c>
      <c r="M164" s="175" t="s">
        <v>3356</v>
      </c>
      <c r="N164" s="175" t="s">
        <v>725</v>
      </c>
      <c r="O164" s="175" t="s">
        <v>3282</v>
      </c>
      <c r="P164" s="175" t="s">
        <v>3357</v>
      </c>
      <c r="Q164" s="175" t="s">
        <v>3284</v>
      </c>
      <c r="R164" s="175" t="s">
        <v>259</v>
      </c>
      <c r="S164" s="175" t="s">
        <v>1414</v>
      </c>
      <c r="T164" s="175" t="s">
        <v>3358</v>
      </c>
      <c r="U164" s="175" t="s">
        <v>3359</v>
      </c>
      <c r="V164" s="175" t="s">
        <v>3360</v>
      </c>
      <c r="W164" s="175" t="s">
        <v>3361</v>
      </c>
      <c r="X164" s="175" t="s">
        <v>3362</v>
      </c>
      <c r="Y164" s="175" t="s">
        <v>3363</v>
      </c>
      <c r="Z164" s="175" t="s">
        <v>3364</v>
      </c>
    </row>
    <row r="165" spans="1:26" s="164" customFormat="1" ht="30" customHeight="1" x14ac:dyDescent="0.25">
      <c r="A165" s="177"/>
      <c r="B165" s="178"/>
      <c r="C165" s="176"/>
      <c r="D165" s="174">
        <v>159</v>
      </c>
      <c r="E165" s="175" t="s">
        <v>506</v>
      </c>
      <c r="F165" s="175" t="s">
        <v>247</v>
      </c>
      <c r="G165" s="175" t="s">
        <v>3365</v>
      </c>
      <c r="H165" s="175" t="s">
        <v>3366</v>
      </c>
      <c r="I165" s="175" t="s">
        <v>3367</v>
      </c>
      <c r="J165" s="175" t="s">
        <v>3368</v>
      </c>
      <c r="K165" s="175" t="s">
        <v>3369</v>
      </c>
      <c r="L165" s="175" t="s">
        <v>3370</v>
      </c>
      <c r="M165" s="175" t="s">
        <v>3371</v>
      </c>
      <c r="N165" s="175" t="s">
        <v>3372</v>
      </c>
      <c r="O165" s="175" t="s">
        <v>3282</v>
      </c>
      <c r="P165" s="175" t="s">
        <v>3373</v>
      </c>
      <c r="Q165" s="175" t="s">
        <v>3284</v>
      </c>
      <c r="R165" s="175" t="s">
        <v>164</v>
      </c>
      <c r="S165" s="175" t="s">
        <v>3374</v>
      </c>
      <c r="T165" s="175" t="s">
        <v>3375</v>
      </c>
      <c r="U165" s="175" t="s">
        <v>3376</v>
      </c>
      <c r="V165" s="175" t="s">
        <v>3377</v>
      </c>
      <c r="W165" s="175" t="s">
        <v>3378</v>
      </c>
      <c r="X165" s="175" t="s">
        <v>3379</v>
      </c>
      <c r="Y165" s="175" t="s">
        <v>3380</v>
      </c>
      <c r="Z165" s="175" t="s">
        <v>3381</v>
      </c>
    </row>
    <row r="166" spans="1:26" s="164" customFormat="1" ht="30" customHeight="1" x14ac:dyDescent="0.25">
      <c r="A166" s="177"/>
      <c r="B166" s="178"/>
      <c r="C166" s="176"/>
      <c r="D166" s="174">
        <v>160</v>
      </c>
      <c r="E166" s="175" t="s">
        <v>385</v>
      </c>
      <c r="F166" s="175" t="s">
        <v>205</v>
      </c>
      <c r="G166" s="175" t="s">
        <v>3382</v>
      </c>
      <c r="H166" s="175" t="s">
        <v>3383</v>
      </c>
      <c r="I166" s="175" t="s">
        <v>3384</v>
      </c>
      <c r="J166" s="175" t="s">
        <v>3385</v>
      </c>
      <c r="K166" s="175" t="s">
        <v>3386</v>
      </c>
      <c r="L166" s="175" t="s">
        <v>3387</v>
      </c>
      <c r="M166" s="175" t="s">
        <v>3388</v>
      </c>
      <c r="N166" s="175" t="s">
        <v>3389</v>
      </c>
      <c r="O166" s="175" t="s">
        <v>3282</v>
      </c>
      <c r="P166" s="175" t="s">
        <v>3390</v>
      </c>
      <c r="Q166" s="175" t="s">
        <v>3284</v>
      </c>
      <c r="R166" s="175" t="s">
        <v>259</v>
      </c>
      <c r="S166" s="175" t="s">
        <v>517</v>
      </c>
      <c r="T166" s="175" t="s">
        <v>3391</v>
      </c>
      <c r="U166" s="175" t="s">
        <v>3392</v>
      </c>
      <c r="V166" s="175" t="s">
        <v>3393</v>
      </c>
      <c r="W166" s="175" t="s">
        <v>1965</v>
      </c>
      <c r="X166" s="175" t="s">
        <v>3394</v>
      </c>
      <c r="Y166" s="175" t="s">
        <v>3395</v>
      </c>
      <c r="Z166" s="175" t="s">
        <v>3396</v>
      </c>
    </row>
    <row r="167" spans="1:26" s="164" customFormat="1" ht="30" customHeight="1" x14ac:dyDescent="0.25">
      <c r="A167" s="177"/>
      <c r="B167" s="178"/>
      <c r="C167" s="176"/>
      <c r="D167" s="174">
        <v>161</v>
      </c>
      <c r="E167" s="175" t="s">
        <v>444</v>
      </c>
      <c r="F167" s="175" t="s">
        <v>154</v>
      </c>
      <c r="G167" s="175" t="s">
        <v>445</v>
      </c>
      <c r="H167" s="175" t="s">
        <v>3397</v>
      </c>
      <c r="I167" s="175" t="s">
        <v>3398</v>
      </c>
      <c r="J167" s="175" t="s">
        <v>3399</v>
      </c>
      <c r="K167" s="175" t="s">
        <v>3400</v>
      </c>
      <c r="L167" s="175" t="s">
        <v>3401</v>
      </c>
      <c r="M167" s="175" t="s">
        <v>3402</v>
      </c>
      <c r="N167" s="175" t="s">
        <v>3403</v>
      </c>
      <c r="O167" s="175" t="s">
        <v>3282</v>
      </c>
      <c r="P167" s="175" t="s">
        <v>3404</v>
      </c>
      <c r="Q167" s="175" t="s">
        <v>3284</v>
      </c>
      <c r="R167" s="175" t="s">
        <v>259</v>
      </c>
      <c r="S167" s="175" t="s">
        <v>3405</v>
      </c>
      <c r="T167" s="175" t="s">
        <v>3406</v>
      </c>
      <c r="U167" s="175" t="s">
        <v>3407</v>
      </c>
      <c r="V167" s="175" t="s">
        <v>3408</v>
      </c>
      <c r="W167" s="175" t="s">
        <v>893</v>
      </c>
      <c r="X167" s="175" t="s">
        <v>3409</v>
      </c>
      <c r="Y167" s="175" t="s">
        <v>3410</v>
      </c>
      <c r="Z167" s="175" t="s">
        <v>3411</v>
      </c>
    </row>
    <row r="168" spans="1:26" s="164" customFormat="1" ht="30" customHeight="1" x14ac:dyDescent="0.25">
      <c r="A168" s="177"/>
      <c r="B168" s="178"/>
      <c r="C168" s="176"/>
      <c r="D168" s="174">
        <v>162</v>
      </c>
      <c r="E168" s="175" t="s">
        <v>324</v>
      </c>
      <c r="F168" s="175" t="s">
        <v>325</v>
      </c>
      <c r="G168" s="175" t="s">
        <v>3412</v>
      </c>
      <c r="H168" s="175" t="s">
        <v>3413</v>
      </c>
      <c r="I168" s="175" t="s">
        <v>3414</v>
      </c>
      <c r="J168" s="175" t="s">
        <v>3415</v>
      </c>
      <c r="K168" s="175" t="s">
        <v>3416</v>
      </c>
      <c r="L168" s="175" t="s">
        <v>3417</v>
      </c>
      <c r="M168" s="175" t="s">
        <v>3418</v>
      </c>
      <c r="N168" s="175" t="s">
        <v>3419</v>
      </c>
      <c r="O168" s="175" t="s">
        <v>3282</v>
      </c>
      <c r="P168" s="175" t="s">
        <v>3420</v>
      </c>
      <c r="Q168" s="175" t="s">
        <v>3284</v>
      </c>
      <c r="R168" s="175" t="s">
        <v>164</v>
      </c>
      <c r="S168" s="175" t="s">
        <v>3421</v>
      </c>
      <c r="T168" s="175" t="s">
        <v>3422</v>
      </c>
      <c r="U168" s="175" t="s">
        <v>3423</v>
      </c>
      <c r="V168" s="175" t="s">
        <v>3424</v>
      </c>
      <c r="W168" s="175" t="s">
        <v>458</v>
      </c>
      <c r="X168" s="175" t="s">
        <v>3425</v>
      </c>
      <c r="Y168" s="175" t="s">
        <v>3426</v>
      </c>
      <c r="Z168" s="175" t="s">
        <v>3427</v>
      </c>
    </row>
    <row r="169" spans="1:26" s="164" customFormat="1" ht="30" customHeight="1" x14ac:dyDescent="0.25">
      <c r="A169" s="177"/>
      <c r="B169" s="178"/>
      <c r="C169" s="176"/>
      <c r="D169" s="174">
        <v>163</v>
      </c>
      <c r="E169" s="175" t="s">
        <v>385</v>
      </c>
      <c r="F169" s="175" t="s">
        <v>570</v>
      </c>
      <c r="G169" s="175" t="s">
        <v>3428</v>
      </c>
      <c r="H169" s="175" t="s">
        <v>3429</v>
      </c>
      <c r="I169" s="175" t="s">
        <v>3430</v>
      </c>
      <c r="J169" s="175" t="s">
        <v>3431</v>
      </c>
      <c r="K169" s="175" t="s">
        <v>3432</v>
      </c>
      <c r="L169" s="175" t="s">
        <v>3433</v>
      </c>
      <c r="M169" s="175" t="s">
        <v>3434</v>
      </c>
      <c r="N169" s="175" t="s">
        <v>3435</v>
      </c>
      <c r="O169" s="175" t="s">
        <v>3282</v>
      </c>
      <c r="P169" s="175" t="s">
        <v>3436</v>
      </c>
      <c r="Q169" s="175" t="s">
        <v>3284</v>
      </c>
      <c r="R169" s="175" t="s">
        <v>259</v>
      </c>
      <c r="S169" s="175" t="s">
        <v>3437</v>
      </c>
      <c r="T169" s="175" t="s">
        <v>3438</v>
      </c>
      <c r="U169" s="175" t="s">
        <v>3439</v>
      </c>
      <c r="V169" s="175" t="s">
        <v>3440</v>
      </c>
      <c r="W169" s="175" t="s">
        <v>1628</v>
      </c>
      <c r="X169" s="175" t="s">
        <v>3441</v>
      </c>
      <c r="Y169" s="175" t="s">
        <v>3442</v>
      </c>
      <c r="Z169" s="175" t="s">
        <v>3443</v>
      </c>
    </row>
    <row r="170" spans="1:26" s="164" customFormat="1" ht="30" customHeight="1" x14ac:dyDescent="0.25">
      <c r="A170" s="177"/>
      <c r="B170" s="178"/>
      <c r="C170" s="176"/>
      <c r="D170" s="174">
        <v>164</v>
      </c>
      <c r="E170" s="175" t="s">
        <v>739</v>
      </c>
      <c r="F170" s="175" t="s">
        <v>205</v>
      </c>
      <c r="G170" s="175" t="s">
        <v>3444</v>
      </c>
      <c r="H170" s="175" t="s">
        <v>3445</v>
      </c>
      <c r="I170" s="175" t="s">
        <v>3446</v>
      </c>
      <c r="J170" s="175" t="s">
        <v>3447</v>
      </c>
      <c r="K170" s="175" t="s">
        <v>3448</v>
      </c>
      <c r="L170" s="175" t="s">
        <v>3449</v>
      </c>
      <c r="M170" s="175" t="s">
        <v>3450</v>
      </c>
      <c r="N170" s="175" t="s">
        <v>3451</v>
      </c>
      <c r="O170" s="175" t="s">
        <v>3282</v>
      </c>
      <c r="P170" s="175" t="s">
        <v>3452</v>
      </c>
      <c r="Q170" s="175" t="s">
        <v>3284</v>
      </c>
      <c r="R170" s="175" t="s">
        <v>259</v>
      </c>
      <c r="S170" s="175" t="s">
        <v>3453</v>
      </c>
      <c r="T170" s="175" t="s">
        <v>3454</v>
      </c>
      <c r="U170" s="175" t="s">
        <v>3455</v>
      </c>
      <c r="V170" s="175" t="s">
        <v>3456</v>
      </c>
      <c r="W170" s="175" t="s">
        <v>3457</v>
      </c>
      <c r="X170" s="175" t="s">
        <v>3458</v>
      </c>
      <c r="Y170" s="175" t="s">
        <v>3459</v>
      </c>
      <c r="Z170" s="175" t="s">
        <v>3460</v>
      </c>
    </row>
    <row r="171" spans="1:26" s="164" customFormat="1" ht="30" customHeight="1" x14ac:dyDescent="0.25">
      <c r="A171" s="177"/>
      <c r="B171" s="178"/>
      <c r="C171" s="176"/>
      <c r="D171" s="174">
        <v>165</v>
      </c>
      <c r="E171" s="175" t="s">
        <v>415</v>
      </c>
      <c r="F171" s="175" t="s">
        <v>247</v>
      </c>
      <c r="G171" s="175" t="s">
        <v>3461</v>
      </c>
      <c r="H171" s="175" t="s">
        <v>3462</v>
      </c>
      <c r="I171" s="175" t="s">
        <v>3463</v>
      </c>
      <c r="J171" s="175" t="s">
        <v>3464</v>
      </c>
      <c r="K171" s="175" t="s">
        <v>3465</v>
      </c>
      <c r="L171" s="175" t="s">
        <v>3466</v>
      </c>
      <c r="M171" s="175" t="s">
        <v>3467</v>
      </c>
      <c r="N171" s="175" t="s">
        <v>3468</v>
      </c>
      <c r="O171" s="175" t="s">
        <v>3282</v>
      </c>
      <c r="P171" s="175" t="s">
        <v>3469</v>
      </c>
      <c r="Q171" s="175" t="s">
        <v>3284</v>
      </c>
      <c r="R171" s="175" t="s">
        <v>259</v>
      </c>
      <c r="S171" s="175" t="s">
        <v>3470</v>
      </c>
      <c r="T171" s="175" t="s">
        <v>3471</v>
      </c>
      <c r="U171" s="175" t="s">
        <v>3472</v>
      </c>
      <c r="V171" s="175" t="s">
        <v>3473</v>
      </c>
      <c r="W171" s="175" t="s">
        <v>2524</v>
      </c>
      <c r="X171" s="175" t="s">
        <v>3474</v>
      </c>
      <c r="Y171" s="175" t="s">
        <v>3475</v>
      </c>
      <c r="Z171" s="175" t="s">
        <v>3476</v>
      </c>
    </row>
    <row r="172" spans="1:26" s="164" customFormat="1" ht="30" customHeight="1" x14ac:dyDescent="0.25">
      <c r="A172" s="177"/>
      <c r="B172" s="178"/>
      <c r="C172" s="176"/>
      <c r="D172" s="174">
        <v>166</v>
      </c>
      <c r="E172" s="175" t="s">
        <v>204</v>
      </c>
      <c r="F172" s="175" t="s">
        <v>570</v>
      </c>
      <c r="G172" s="175" t="s">
        <v>3477</v>
      </c>
      <c r="H172" s="175" t="s">
        <v>3478</v>
      </c>
      <c r="I172" s="175" t="s">
        <v>3479</v>
      </c>
      <c r="J172" s="175" t="s">
        <v>3480</v>
      </c>
      <c r="K172" s="175" t="s">
        <v>3481</v>
      </c>
      <c r="L172" s="175" t="s">
        <v>3482</v>
      </c>
      <c r="M172" s="175" t="s">
        <v>3483</v>
      </c>
      <c r="N172" s="175" t="s">
        <v>3484</v>
      </c>
      <c r="O172" s="175" t="s">
        <v>3282</v>
      </c>
      <c r="P172" s="175" t="s">
        <v>3485</v>
      </c>
      <c r="Q172" s="175" t="s">
        <v>3284</v>
      </c>
      <c r="R172" s="175" t="s">
        <v>164</v>
      </c>
      <c r="S172" s="175" t="s">
        <v>3486</v>
      </c>
      <c r="T172" s="175" t="s">
        <v>3487</v>
      </c>
      <c r="U172" s="175" t="s">
        <v>3488</v>
      </c>
      <c r="V172" s="175" t="s">
        <v>753</v>
      </c>
      <c r="W172" s="175" t="s">
        <v>3489</v>
      </c>
      <c r="X172" s="175" t="s">
        <v>3490</v>
      </c>
      <c r="Y172" s="175" t="s">
        <v>3491</v>
      </c>
      <c r="Z172" s="175" t="s">
        <v>3492</v>
      </c>
    </row>
    <row r="173" spans="1:26" s="164" customFormat="1" ht="30" customHeight="1" x14ac:dyDescent="0.25">
      <c r="A173" s="177"/>
      <c r="B173" s="178"/>
      <c r="C173" s="176"/>
      <c r="D173" s="174">
        <v>167</v>
      </c>
      <c r="E173" s="175" t="s">
        <v>324</v>
      </c>
      <c r="F173" s="175" t="s">
        <v>205</v>
      </c>
      <c r="G173" s="175" t="s">
        <v>3493</v>
      </c>
      <c r="H173" s="175" t="s">
        <v>3494</v>
      </c>
      <c r="I173" s="175" t="s">
        <v>3495</v>
      </c>
      <c r="J173" s="175" t="s">
        <v>3496</v>
      </c>
      <c r="K173" s="175" t="s">
        <v>3497</v>
      </c>
      <c r="L173" s="175" t="s">
        <v>3498</v>
      </c>
      <c r="M173" s="175" t="s">
        <v>3499</v>
      </c>
      <c r="N173" s="175" t="s">
        <v>3500</v>
      </c>
      <c r="O173" s="175" t="s">
        <v>3282</v>
      </c>
      <c r="P173" s="175" t="s">
        <v>3501</v>
      </c>
      <c r="Q173" s="175" t="s">
        <v>3284</v>
      </c>
      <c r="R173" s="175" t="s">
        <v>259</v>
      </c>
      <c r="S173" s="175" t="s">
        <v>3502</v>
      </c>
      <c r="T173" s="175" t="s">
        <v>3503</v>
      </c>
      <c r="U173" s="175" t="s">
        <v>3504</v>
      </c>
      <c r="V173" s="175" t="s">
        <v>3505</v>
      </c>
      <c r="W173" s="175" t="s">
        <v>3506</v>
      </c>
      <c r="X173" s="175" t="s">
        <v>3507</v>
      </c>
      <c r="Y173" s="175" t="s">
        <v>3508</v>
      </c>
      <c r="Z173" s="175" t="s">
        <v>3509</v>
      </c>
    </row>
    <row r="174" spans="1:26" s="164" customFormat="1" ht="30" customHeight="1" x14ac:dyDescent="0.25">
      <c r="A174" s="177"/>
      <c r="B174" s="178"/>
      <c r="C174" s="176"/>
      <c r="D174" s="174">
        <v>168</v>
      </c>
      <c r="E174" s="175" t="s">
        <v>385</v>
      </c>
      <c r="F174" s="175" t="s">
        <v>154</v>
      </c>
      <c r="G174" s="175" t="s">
        <v>3510</v>
      </c>
      <c r="H174" s="175" t="s">
        <v>3511</v>
      </c>
      <c r="I174" s="175" t="s">
        <v>3512</v>
      </c>
      <c r="J174" s="175" t="s">
        <v>3513</v>
      </c>
      <c r="K174" s="175" t="s">
        <v>3514</v>
      </c>
      <c r="L174" s="175" t="s">
        <v>3515</v>
      </c>
      <c r="M174" s="175" t="s">
        <v>3516</v>
      </c>
      <c r="N174" s="175" t="s">
        <v>3517</v>
      </c>
      <c r="O174" s="175" t="s">
        <v>3282</v>
      </c>
      <c r="P174" s="175" t="s">
        <v>3518</v>
      </c>
      <c r="Q174" s="175" t="s">
        <v>3284</v>
      </c>
      <c r="R174" s="175" t="s">
        <v>164</v>
      </c>
      <c r="S174" s="175" t="s">
        <v>3519</v>
      </c>
      <c r="T174" s="175" t="s">
        <v>3520</v>
      </c>
      <c r="U174" s="175" t="s">
        <v>3521</v>
      </c>
      <c r="V174" s="175" t="s">
        <v>3522</v>
      </c>
      <c r="W174" s="175" t="s">
        <v>1051</v>
      </c>
      <c r="X174" s="175" t="s">
        <v>3523</v>
      </c>
      <c r="Y174" s="175" t="s">
        <v>3524</v>
      </c>
      <c r="Z174" s="175" t="s">
        <v>3525</v>
      </c>
    </row>
    <row r="175" spans="1:26" s="164" customFormat="1" ht="30" customHeight="1" x14ac:dyDescent="0.25">
      <c r="A175" s="177"/>
      <c r="B175" s="178"/>
      <c r="C175" s="176"/>
      <c r="D175" s="174">
        <v>169</v>
      </c>
      <c r="E175" s="175" t="s">
        <v>506</v>
      </c>
      <c r="F175" s="175" t="s">
        <v>325</v>
      </c>
      <c r="G175" s="175" t="s">
        <v>3526</v>
      </c>
      <c r="H175" s="175" t="s">
        <v>3527</v>
      </c>
      <c r="I175" s="175" t="s">
        <v>3528</v>
      </c>
      <c r="J175" s="175" t="s">
        <v>3529</v>
      </c>
      <c r="K175" s="175" t="s">
        <v>3530</v>
      </c>
      <c r="L175" s="175" t="s">
        <v>3531</v>
      </c>
      <c r="M175" s="175" t="s">
        <v>3532</v>
      </c>
      <c r="N175" s="175" t="s">
        <v>3533</v>
      </c>
      <c r="O175" s="175" t="s">
        <v>3282</v>
      </c>
      <c r="P175" s="175" t="s">
        <v>3534</v>
      </c>
      <c r="Q175" s="175" t="s">
        <v>3284</v>
      </c>
      <c r="R175" s="175" t="s">
        <v>484</v>
      </c>
      <c r="S175" s="175" t="s">
        <v>3535</v>
      </c>
      <c r="T175" s="175" t="s">
        <v>3536</v>
      </c>
      <c r="U175" s="175" t="s">
        <v>3537</v>
      </c>
      <c r="V175" s="175" t="s">
        <v>3538</v>
      </c>
      <c r="W175" s="175" t="s">
        <v>3539</v>
      </c>
      <c r="X175" s="175" t="s">
        <v>3540</v>
      </c>
      <c r="Y175" s="175" t="s">
        <v>3541</v>
      </c>
      <c r="Z175" s="175" t="s">
        <v>3542</v>
      </c>
    </row>
    <row r="176" spans="1:26" s="164" customFormat="1" ht="30" customHeight="1" x14ac:dyDescent="0.25">
      <c r="A176" s="177"/>
      <c r="B176" s="178"/>
      <c r="C176" s="176"/>
      <c r="D176" s="174">
        <v>170</v>
      </c>
      <c r="E176" s="175" t="s">
        <v>385</v>
      </c>
      <c r="F176" s="175" t="s">
        <v>247</v>
      </c>
      <c r="G176" s="175" t="s">
        <v>3543</v>
      </c>
      <c r="H176" s="175" t="s">
        <v>3544</v>
      </c>
      <c r="I176" s="175" t="s">
        <v>3545</v>
      </c>
      <c r="J176" s="175" t="s">
        <v>3546</v>
      </c>
      <c r="K176" s="175" t="s">
        <v>3547</v>
      </c>
      <c r="L176" s="175" t="s">
        <v>3548</v>
      </c>
      <c r="M176" s="175" t="s">
        <v>3549</v>
      </c>
      <c r="N176" s="175" t="s">
        <v>3550</v>
      </c>
      <c r="O176" s="175" t="s">
        <v>3282</v>
      </c>
      <c r="P176" s="175" t="s">
        <v>3551</v>
      </c>
      <c r="Q176" s="175" t="s">
        <v>3284</v>
      </c>
      <c r="R176" s="175" t="s">
        <v>164</v>
      </c>
      <c r="S176" s="175" t="s">
        <v>3552</v>
      </c>
      <c r="T176" s="175" t="s">
        <v>3553</v>
      </c>
      <c r="U176" s="175" t="s">
        <v>3554</v>
      </c>
      <c r="V176" s="175" t="s">
        <v>3555</v>
      </c>
      <c r="W176" s="175" t="s">
        <v>221</v>
      </c>
      <c r="X176" s="175" t="s">
        <v>3556</v>
      </c>
      <c r="Y176" s="175" t="s">
        <v>3557</v>
      </c>
      <c r="Z176" s="175" t="s">
        <v>3558</v>
      </c>
    </row>
    <row r="177" spans="1:26" s="164" customFormat="1" ht="30" customHeight="1" x14ac:dyDescent="0.25">
      <c r="A177" s="177"/>
      <c r="B177" s="178"/>
      <c r="C177" s="176"/>
      <c r="D177" s="174">
        <v>171</v>
      </c>
      <c r="E177" s="175" t="s">
        <v>959</v>
      </c>
      <c r="F177" s="175" t="s">
        <v>154</v>
      </c>
      <c r="G177" s="175" t="s">
        <v>3559</v>
      </c>
      <c r="H177" s="175" t="s">
        <v>3560</v>
      </c>
      <c r="I177" s="175" t="s">
        <v>3561</v>
      </c>
      <c r="J177" s="175" t="s">
        <v>3562</v>
      </c>
      <c r="K177" s="175" t="s">
        <v>3563</v>
      </c>
      <c r="L177" s="175" t="s">
        <v>3564</v>
      </c>
      <c r="M177" s="175" t="s">
        <v>3565</v>
      </c>
      <c r="N177" s="175" t="s">
        <v>3566</v>
      </c>
      <c r="O177" s="175" t="s">
        <v>3282</v>
      </c>
      <c r="P177" s="175" t="s">
        <v>3567</v>
      </c>
      <c r="Q177" s="175" t="s">
        <v>3284</v>
      </c>
      <c r="R177" s="175" t="s">
        <v>164</v>
      </c>
      <c r="S177" s="175" t="s">
        <v>3568</v>
      </c>
      <c r="T177" s="175" t="s">
        <v>3569</v>
      </c>
      <c r="U177" s="175" t="s">
        <v>3570</v>
      </c>
      <c r="V177" s="175" t="s">
        <v>3571</v>
      </c>
      <c r="W177" s="175" t="s">
        <v>3572</v>
      </c>
      <c r="X177" s="175" t="s">
        <v>3573</v>
      </c>
      <c r="Y177" s="175" t="s">
        <v>3574</v>
      </c>
      <c r="Z177" s="175" t="s">
        <v>3575</v>
      </c>
    </row>
    <row r="178" spans="1:26" s="164" customFormat="1" ht="30" customHeight="1" x14ac:dyDescent="0.25">
      <c r="A178" s="177"/>
      <c r="B178" s="178"/>
      <c r="C178" s="176"/>
      <c r="D178" s="174">
        <v>172</v>
      </c>
      <c r="E178" s="175" t="s">
        <v>385</v>
      </c>
      <c r="F178" s="175" t="s">
        <v>205</v>
      </c>
      <c r="G178" s="175" t="s">
        <v>3576</v>
      </c>
      <c r="H178" s="175" t="s">
        <v>3577</v>
      </c>
      <c r="I178" s="175" t="s">
        <v>3578</v>
      </c>
      <c r="J178" s="175" t="s">
        <v>3579</v>
      </c>
      <c r="K178" s="175" t="s">
        <v>3580</v>
      </c>
      <c r="L178" s="175" t="s">
        <v>3581</v>
      </c>
      <c r="M178" s="175" t="s">
        <v>3582</v>
      </c>
      <c r="N178" s="175" t="s">
        <v>3583</v>
      </c>
      <c r="O178" s="175" t="s">
        <v>3282</v>
      </c>
      <c r="P178" s="175" t="s">
        <v>3584</v>
      </c>
      <c r="Q178" s="175" t="s">
        <v>3284</v>
      </c>
      <c r="R178" s="175" t="s">
        <v>259</v>
      </c>
      <c r="S178" s="175" t="s">
        <v>3585</v>
      </c>
      <c r="T178" s="175" t="s">
        <v>3586</v>
      </c>
      <c r="U178" s="175" t="s">
        <v>3587</v>
      </c>
      <c r="V178" s="175" t="s">
        <v>3588</v>
      </c>
      <c r="W178" s="175" t="s">
        <v>1571</v>
      </c>
      <c r="X178" s="175" t="s">
        <v>3589</v>
      </c>
      <c r="Y178" s="175" t="s">
        <v>3590</v>
      </c>
      <c r="Z178" s="175" t="s">
        <v>3591</v>
      </c>
    </row>
    <row r="179" spans="1:26" s="164" customFormat="1" ht="30" customHeight="1" x14ac:dyDescent="0.25">
      <c r="A179" s="177"/>
      <c r="B179" s="178"/>
      <c r="C179" s="176"/>
      <c r="D179" s="174">
        <v>173</v>
      </c>
      <c r="E179" s="175" t="s">
        <v>739</v>
      </c>
      <c r="F179" s="175" t="s">
        <v>325</v>
      </c>
      <c r="G179" s="175" t="s">
        <v>3592</v>
      </c>
      <c r="H179" s="175" t="s">
        <v>3593</v>
      </c>
      <c r="I179" s="175" t="s">
        <v>3594</v>
      </c>
      <c r="J179" s="175" t="s">
        <v>3595</v>
      </c>
      <c r="K179" s="175" t="s">
        <v>3596</v>
      </c>
      <c r="L179" s="175" t="s">
        <v>3597</v>
      </c>
      <c r="M179" s="175" t="s">
        <v>3598</v>
      </c>
      <c r="N179" s="175" t="s">
        <v>3599</v>
      </c>
      <c r="O179" s="175" t="s">
        <v>3282</v>
      </c>
      <c r="P179" s="175" t="s">
        <v>3600</v>
      </c>
      <c r="Q179" s="175" t="s">
        <v>3284</v>
      </c>
      <c r="R179" s="175" t="s">
        <v>259</v>
      </c>
      <c r="S179" s="175" t="s">
        <v>3601</v>
      </c>
      <c r="T179" s="175" t="s">
        <v>3602</v>
      </c>
      <c r="U179" s="175" t="s">
        <v>3603</v>
      </c>
      <c r="V179" s="175" t="s">
        <v>3604</v>
      </c>
      <c r="W179" s="175" t="s">
        <v>3605</v>
      </c>
      <c r="X179" s="175" t="s">
        <v>3606</v>
      </c>
      <c r="Y179" s="175" t="s">
        <v>3607</v>
      </c>
      <c r="Z179" s="175" t="s">
        <v>3608</v>
      </c>
    </row>
    <row r="180" spans="1:26" s="164" customFormat="1" ht="30" customHeight="1" x14ac:dyDescent="0.25">
      <c r="A180" s="177"/>
      <c r="B180" s="178"/>
      <c r="C180" s="176"/>
      <c r="D180" s="174">
        <v>174</v>
      </c>
      <c r="E180" s="175" t="s">
        <v>978</v>
      </c>
      <c r="F180" s="175" t="s">
        <v>154</v>
      </c>
      <c r="G180" s="175" t="s">
        <v>3609</v>
      </c>
      <c r="H180" s="175" t="s">
        <v>3610</v>
      </c>
      <c r="I180" s="175" t="s">
        <v>3611</v>
      </c>
      <c r="J180" s="175" t="s">
        <v>3612</v>
      </c>
      <c r="K180" s="175" t="s">
        <v>3613</v>
      </c>
      <c r="L180" s="175" t="s">
        <v>3614</v>
      </c>
      <c r="M180" s="175" t="s">
        <v>3615</v>
      </c>
      <c r="N180" s="175" t="s">
        <v>3616</v>
      </c>
      <c r="O180" s="175" t="s">
        <v>3282</v>
      </c>
      <c r="P180" s="175" t="s">
        <v>3617</v>
      </c>
      <c r="Q180" s="175" t="s">
        <v>3284</v>
      </c>
      <c r="R180" s="175" t="s">
        <v>484</v>
      </c>
      <c r="S180" s="175" t="s">
        <v>3618</v>
      </c>
      <c r="T180" s="175" t="s">
        <v>3619</v>
      </c>
      <c r="U180" s="175" t="s">
        <v>3620</v>
      </c>
      <c r="V180" s="175" t="s">
        <v>3621</v>
      </c>
      <c r="W180" s="175" t="s">
        <v>2744</v>
      </c>
      <c r="X180" s="175" t="s">
        <v>3622</v>
      </c>
      <c r="Y180" s="175" t="s">
        <v>3623</v>
      </c>
      <c r="Z180" s="175" t="s">
        <v>3624</v>
      </c>
    </row>
    <row r="181" spans="1:26" s="164" customFormat="1" ht="30" customHeight="1" x14ac:dyDescent="0.25">
      <c r="A181" s="177"/>
      <c r="B181" s="178"/>
      <c r="C181" s="176"/>
      <c r="D181" s="174">
        <v>175</v>
      </c>
      <c r="E181" s="175" t="s">
        <v>472</v>
      </c>
      <c r="F181" s="175" t="s">
        <v>247</v>
      </c>
      <c r="G181" s="175" t="s">
        <v>3625</v>
      </c>
      <c r="H181" s="175" t="s">
        <v>3626</v>
      </c>
      <c r="I181" s="175" t="s">
        <v>3627</v>
      </c>
      <c r="J181" s="175" t="s">
        <v>3628</v>
      </c>
      <c r="K181" s="175" t="s">
        <v>3629</v>
      </c>
      <c r="L181" s="175" t="s">
        <v>3630</v>
      </c>
      <c r="M181" s="175" t="s">
        <v>3631</v>
      </c>
      <c r="N181" s="175" t="s">
        <v>3632</v>
      </c>
      <c r="O181" s="175" t="s">
        <v>3282</v>
      </c>
      <c r="P181" s="175" t="s">
        <v>3633</v>
      </c>
      <c r="Q181" s="175" t="s">
        <v>3284</v>
      </c>
      <c r="R181" s="175" t="s">
        <v>484</v>
      </c>
      <c r="S181" s="175" t="s">
        <v>3634</v>
      </c>
      <c r="T181" s="175" t="s">
        <v>3635</v>
      </c>
      <c r="U181" s="175" t="s">
        <v>3636</v>
      </c>
      <c r="V181" s="175" t="s">
        <v>3637</v>
      </c>
      <c r="W181" s="175" t="s">
        <v>3638</v>
      </c>
      <c r="X181" s="175" t="s">
        <v>3639</v>
      </c>
      <c r="Y181" s="175" t="s">
        <v>3640</v>
      </c>
      <c r="Z181" s="175" t="s">
        <v>3641</v>
      </c>
    </row>
    <row r="182" spans="1:26" s="164" customFormat="1" ht="30" customHeight="1" x14ac:dyDescent="0.25">
      <c r="A182" s="177"/>
      <c r="B182" s="178"/>
      <c r="C182" s="176"/>
      <c r="D182" s="174">
        <v>176</v>
      </c>
      <c r="E182" s="175" t="s">
        <v>798</v>
      </c>
      <c r="F182" s="175" t="s">
        <v>325</v>
      </c>
      <c r="G182" s="175" t="s">
        <v>3642</v>
      </c>
      <c r="H182" s="175" t="s">
        <v>3643</v>
      </c>
      <c r="I182" s="175" t="s">
        <v>3644</v>
      </c>
      <c r="J182" s="175" t="s">
        <v>3645</v>
      </c>
      <c r="K182" s="175" t="s">
        <v>3646</v>
      </c>
      <c r="L182" s="175" t="s">
        <v>3647</v>
      </c>
      <c r="M182" s="175" t="s">
        <v>3648</v>
      </c>
      <c r="N182" s="175" t="s">
        <v>3649</v>
      </c>
      <c r="O182" s="175" t="s">
        <v>3282</v>
      </c>
      <c r="P182" s="175" t="s">
        <v>3650</v>
      </c>
      <c r="Q182" s="175" t="s">
        <v>3284</v>
      </c>
      <c r="R182" s="175" t="s">
        <v>484</v>
      </c>
      <c r="S182" s="175" t="s">
        <v>534</v>
      </c>
      <c r="T182" s="175" t="s">
        <v>3651</v>
      </c>
      <c r="U182" s="175" t="s">
        <v>3652</v>
      </c>
      <c r="V182" s="175" t="s">
        <v>3653</v>
      </c>
      <c r="W182" s="175" t="s">
        <v>3654</v>
      </c>
      <c r="X182" s="175" t="s">
        <v>3655</v>
      </c>
      <c r="Y182" s="175" t="s">
        <v>3656</v>
      </c>
      <c r="Z182" s="175" t="s">
        <v>3657</v>
      </c>
    </row>
    <row r="183" spans="1:26" s="164" customFormat="1" ht="30" customHeight="1" x14ac:dyDescent="0.25">
      <c r="A183" s="177"/>
      <c r="B183" s="178"/>
      <c r="C183" s="176"/>
      <c r="D183" s="174">
        <v>177</v>
      </c>
      <c r="E183" s="175" t="s">
        <v>444</v>
      </c>
      <c r="F183" s="175" t="s">
        <v>247</v>
      </c>
      <c r="G183" s="175" t="s">
        <v>3658</v>
      </c>
      <c r="H183" s="175" t="s">
        <v>3659</v>
      </c>
      <c r="I183" s="175" t="s">
        <v>3660</v>
      </c>
      <c r="J183" s="175" t="s">
        <v>3661</v>
      </c>
      <c r="K183" s="175" t="s">
        <v>3662</v>
      </c>
      <c r="L183" s="175" t="s">
        <v>3663</v>
      </c>
      <c r="M183" s="175" t="s">
        <v>3664</v>
      </c>
      <c r="N183" s="175" t="s">
        <v>3665</v>
      </c>
      <c r="O183" s="175" t="s">
        <v>3282</v>
      </c>
      <c r="P183" s="175" t="s">
        <v>3666</v>
      </c>
      <c r="Q183" s="175" t="s">
        <v>3284</v>
      </c>
      <c r="R183" s="175" t="s">
        <v>259</v>
      </c>
      <c r="S183" s="175" t="s">
        <v>3667</v>
      </c>
      <c r="T183" s="175" t="s">
        <v>3668</v>
      </c>
      <c r="U183" s="175" t="s">
        <v>3669</v>
      </c>
      <c r="V183" s="175" t="s">
        <v>3670</v>
      </c>
      <c r="W183" s="175" t="s">
        <v>2107</v>
      </c>
      <c r="X183" s="175" t="s">
        <v>3671</v>
      </c>
      <c r="Y183" s="175" t="s">
        <v>3672</v>
      </c>
      <c r="Z183" s="175" t="s">
        <v>3673</v>
      </c>
    </row>
    <row r="184" spans="1:26" s="164" customFormat="1" ht="30" customHeight="1" x14ac:dyDescent="0.25">
      <c r="A184" s="177"/>
      <c r="B184" s="178"/>
      <c r="C184" s="176"/>
      <c r="D184" s="174">
        <v>178</v>
      </c>
      <c r="E184" s="175" t="s">
        <v>506</v>
      </c>
      <c r="F184" s="175" t="s">
        <v>3674</v>
      </c>
      <c r="G184" s="175" t="s">
        <v>3675</v>
      </c>
      <c r="H184" s="175" t="s">
        <v>3676</v>
      </c>
      <c r="I184" s="175" t="s">
        <v>3677</v>
      </c>
      <c r="J184" s="175" t="s">
        <v>3678</v>
      </c>
      <c r="K184" s="175" t="s">
        <v>3679</v>
      </c>
      <c r="L184" s="175" t="s">
        <v>3680</v>
      </c>
      <c r="M184" s="175" t="s">
        <v>3681</v>
      </c>
      <c r="N184" s="175" t="s">
        <v>3682</v>
      </c>
      <c r="O184" s="175" t="s">
        <v>3282</v>
      </c>
      <c r="P184" s="175" t="s">
        <v>3683</v>
      </c>
      <c r="Q184" s="175" t="s">
        <v>3284</v>
      </c>
      <c r="R184" s="175" t="s">
        <v>259</v>
      </c>
      <c r="S184" s="175" t="s">
        <v>3684</v>
      </c>
      <c r="T184" s="175" t="s">
        <v>3685</v>
      </c>
      <c r="U184" s="175" t="s">
        <v>3686</v>
      </c>
      <c r="V184" s="175" t="s">
        <v>3687</v>
      </c>
      <c r="W184" s="175" t="s">
        <v>3688</v>
      </c>
      <c r="X184" s="175" t="s">
        <v>3689</v>
      </c>
      <c r="Y184" s="175" t="s">
        <v>3690</v>
      </c>
      <c r="Z184" s="175" t="s">
        <v>3691</v>
      </c>
    </row>
    <row r="185" spans="1:26" s="164" customFormat="1" ht="30" customHeight="1" x14ac:dyDescent="0.25">
      <c r="A185" s="177"/>
      <c r="B185" s="178"/>
      <c r="C185" s="176"/>
      <c r="D185" s="174">
        <v>179</v>
      </c>
      <c r="E185" s="175" t="s">
        <v>324</v>
      </c>
      <c r="F185" s="175" t="s">
        <v>247</v>
      </c>
      <c r="G185" s="175" t="s">
        <v>3692</v>
      </c>
      <c r="H185" s="175" t="s">
        <v>3693</v>
      </c>
      <c r="I185" s="175" t="s">
        <v>3694</v>
      </c>
      <c r="J185" s="175" t="s">
        <v>3695</v>
      </c>
      <c r="K185" s="175" t="s">
        <v>3696</v>
      </c>
      <c r="L185" s="175" t="s">
        <v>3697</v>
      </c>
      <c r="M185" s="175" t="s">
        <v>3698</v>
      </c>
      <c r="N185" s="175" t="s">
        <v>3699</v>
      </c>
      <c r="O185" s="175" t="s">
        <v>3282</v>
      </c>
      <c r="P185" s="175" t="s">
        <v>3700</v>
      </c>
      <c r="Q185" s="175" t="s">
        <v>3284</v>
      </c>
      <c r="R185" s="175" t="s">
        <v>164</v>
      </c>
      <c r="S185" s="175" t="s">
        <v>3701</v>
      </c>
      <c r="T185" s="175" t="s">
        <v>3702</v>
      </c>
      <c r="U185" s="175" t="s">
        <v>3703</v>
      </c>
      <c r="V185" s="175" t="s">
        <v>3424</v>
      </c>
      <c r="W185" s="175" t="s">
        <v>2524</v>
      </c>
      <c r="X185" s="175" t="s">
        <v>3704</v>
      </c>
      <c r="Y185" s="175" t="s">
        <v>3705</v>
      </c>
      <c r="Z185" s="175" t="s">
        <v>3706</v>
      </c>
    </row>
    <row r="186" spans="1:26" s="164" customFormat="1" ht="30" customHeight="1" x14ac:dyDescent="0.25">
      <c r="A186" s="177"/>
      <c r="B186" s="178"/>
      <c r="C186" s="176"/>
      <c r="D186" s="174">
        <v>180</v>
      </c>
      <c r="E186" s="175" t="s">
        <v>324</v>
      </c>
      <c r="F186" s="175" t="s">
        <v>570</v>
      </c>
      <c r="G186" s="175" t="s">
        <v>3707</v>
      </c>
      <c r="H186" s="175" t="s">
        <v>3708</v>
      </c>
      <c r="I186" s="175" t="s">
        <v>3709</v>
      </c>
      <c r="J186" s="175" t="s">
        <v>3710</v>
      </c>
      <c r="K186" s="175" t="s">
        <v>3711</v>
      </c>
      <c r="L186" s="175" t="s">
        <v>3712</v>
      </c>
      <c r="M186" s="175" t="s">
        <v>3713</v>
      </c>
      <c r="N186" s="175" t="s">
        <v>3714</v>
      </c>
      <c r="O186" s="175" t="s">
        <v>3282</v>
      </c>
      <c r="P186" s="175" t="s">
        <v>3715</v>
      </c>
      <c r="Q186" s="175" t="s">
        <v>3284</v>
      </c>
      <c r="R186" s="175" t="s">
        <v>259</v>
      </c>
      <c r="S186" s="175" t="s">
        <v>3716</v>
      </c>
      <c r="T186" s="175" t="s">
        <v>3717</v>
      </c>
      <c r="U186" s="175" t="s">
        <v>3718</v>
      </c>
      <c r="V186" s="175" t="s">
        <v>3719</v>
      </c>
      <c r="W186" s="175" t="s">
        <v>3720</v>
      </c>
      <c r="X186" s="175" t="s">
        <v>3721</v>
      </c>
      <c r="Y186" s="175" t="s">
        <v>3722</v>
      </c>
      <c r="Z186" s="175" t="s">
        <v>3723</v>
      </c>
    </row>
    <row r="187" spans="1:26" s="164" customFormat="1" ht="30" customHeight="1" x14ac:dyDescent="0.25">
      <c r="A187" s="177"/>
      <c r="B187" s="178"/>
      <c r="C187" s="176"/>
      <c r="D187" s="174">
        <v>181</v>
      </c>
      <c r="E187" s="175" t="s">
        <v>385</v>
      </c>
      <c r="F187" s="175" t="s">
        <v>154</v>
      </c>
      <c r="G187" s="175" t="s">
        <v>3724</v>
      </c>
      <c r="H187" s="175" t="s">
        <v>3725</v>
      </c>
      <c r="I187" s="175" t="s">
        <v>3726</v>
      </c>
      <c r="J187" s="175" t="s">
        <v>3727</v>
      </c>
      <c r="K187" s="175" t="s">
        <v>3728</v>
      </c>
      <c r="L187" s="175" t="s">
        <v>3729</v>
      </c>
      <c r="M187" s="175" t="s">
        <v>3730</v>
      </c>
      <c r="N187" s="175" t="s">
        <v>3731</v>
      </c>
      <c r="O187" s="175" t="s">
        <v>3282</v>
      </c>
      <c r="P187" s="175" t="s">
        <v>3732</v>
      </c>
      <c r="Q187" s="175" t="s">
        <v>3284</v>
      </c>
      <c r="R187" s="175" t="s">
        <v>259</v>
      </c>
      <c r="S187" s="175" t="s">
        <v>3733</v>
      </c>
      <c r="T187" s="175" t="s">
        <v>3734</v>
      </c>
      <c r="U187" s="175" t="s">
        <v>3735</v>
      </c>
      <c r="V187" s="175" t="s">
        <v>3736</v>
      </c>
      <c r="W187" s="175" t="s">
        <v>521</v>
      </c>
      <c r="X187" s="175" t="s">
        <v>3737</v>
      </c>
      <c r="Y187" s="175" t="s">
        <v>3738</v>
      </c>
      <c r="Z187" s="175" t="s">
        <v>3739</v>
      </c>
    </row>
    <row r="188" spans="1:26" s="164" customFormat="1" ht="30" customHeight="1" x14ac:dyDescent="0.25">
      <c r="A188" s="177"/>
      <c r="B188" s="178"/>
      <c r="C188" s="176"/>
      <c r="D188" s="174">
        <v>182</v>
      </c>
      <c r="E188" s="175" t="s">
        <v>978</v>
      </c>
      <c r="F188" s="175" t="s">
        <v>205</v>
      </c>
      <c r="G188" s="175" t="s">
        <v>3740</v>
      </c>
      <c r="H188" s="175" t="s">
        <v>3741</v>
      </c>
      <c r="I188" s="175" t="s">
        <v>3742</v>
      </c>
      <c r="J188" s="175" t="s">
        <v>3743</v>
      </c>
      <c r="K188" s="175" t="s">
        <v>3744</v>
      </c>
      <c r="L188" s="175" t="s">
        <v>3745</v>
      </c>
      <c r="M188" s="175" t="s">
        <v>3746</v>
      </c>
      <c r="N188" s="175" t="s">
        <v>3747</v>
      </c>
      <c r="O188" s="175" t="s">
        <v>3282</v>
      </c>
      <c r="P188" s="175" t="s">
        <v>3748</v>
      </c>
      <c r="Q188" s="175" t="s">
        <v>3284</v>
      </c>
      <c r="R188" s="175" t="s">
        <v>484</v>
      </c>
      <c r="S188" s="175" t="s">
        <v>3749</v>
      </c>
      <c r="T188" s="175" t="s">
        <v>3750</v>
      </c>
      <c r="U188" s="175" t="s">
        <v>3751</v>
      </c>
      <c r="V188" s="175" t="s">
        <v>3752</v>
      </c>
      <c r="W188" s="175" t="s">
        <v>3753</v>
      </c>
      <c r="X188" s="175" t="s">
        <v>3754</v>
      </c>
      <c r="Y188" s="175" t="s">
        <v>3755</v>
      </c>
      <c r="Z188" s="175" t="s">
        <v>3756</v>
      </c>
    </row>
    <row r="189" spans="1:26" s="164" customFormat="1" ht="30" customHeight="1" x14ac:dyDescent="0.25">
      <c r="A189" s="177"/>
      <c r="B189" s="178"/>
      <c r="C189" s="176"/>
      <c r="D189" s="174">
        <v>183</v>
      </c>
      <c r="E189" s="175" t="s">
        <v>3757</v>
      </c>
      <c r="F189" s="175" t="s">
        <v>247</v>
      </c>
      <c r="G189" s="175" t="s">
        <v>3758</v>
      </c>
      <c r="H189" s="175" t="s">
        <v>3759</v>
      </c>
      <c r="I189" s="175" t="s">
        <v>3760</v>
      </c>
      <c r="J189" s="175" t="s">
        <v>3761</v>
      </c>
      <c r="K189" s="175" t="s">
        <v>3762</v>
      </c>
      <c r="L189" s="175" t="s">
        <v>3763</v>
      </c>
      <c r="M189" s="175" t="s">
        <v>3764</v>
      </c>
      <c r="N189" s="175" t="s">
        <v>3765</v>
      </c>
      <c r="O189" s="175" t="s">
        <v>3282</v>
      </c>
      <c r="P189" s="175" t="s">
        <v>3766</v>
      </c>
      <c r="Q189" s="175" t="s">
        <v>3284</v>
      </c>
      <c r="R189" s="175" t="s">
        <v>484</v>
      </c>
      <c r="S189" s="175" t="s">
        <v>3767</v>
      </c>
      <c r="T189" s="175" t="s">
        <v>3768</v>
      </c>
      <c r="U189" s="175" t="s">
        <v>3769</v>
      </c>
      <c r="V189" s="175" t="s">
        <v>3770</v>
      </c>
      <c r="W189" s="175" t="s">
        <v>3771</v>
      </c>
      <c r="X189" s="175" t="s">
        <v>3772</v>
      </c>
      <c r="Y189" s="175" t="s">
        <v>3773</v>
      </c>
      <c r="Z189" s="175" t="s">
        <v>3774</v>
      </c>
    </row>
    <row r="190" spans="1:26" s="164" customFormat="1" ht="30" customHeight="1" x14ac:dyDescent="0.25">
      <c r="A190" s="177"/>
      <c r="B190" s="178"/>
      <c r="C190" s="176"/>
      <c r="D190" s="174">
        <v>184</v>
      </c>
      <c r="E190" s="175" t="s">
        <v>153</v>
      </c>
      <c r="F190" s="175" t="s">
        <v>4255</v>
      </c>
      <c r="G190" s="175" t="s">
        <v>4256</v>
      </c>
      <c r="H190" s="175" t="s">
        <v>4257</v>
      </c>
      <c r="I190" s="175" t="s">
        <v>4258</v>
      </c>
      <c r="J190" s="175" t="s">
        <v>4259</v>
      </c>
      <c r="K190" s="175" t="s">
        <v>4235</v>
      </c>
      <c r="L190" s="175" t="s">
        <v>4236</v>
      </c>
      <c r="M190" s="175" t="s">
        <v>4260</v>
      </c>
      <c r="N190" s="175" t="s">
        <v>4261</v>
      </c>
      <c r="O190" s="175" t="s">
        <v>4262</v>
      </c>
      <c r="P190" s="175" t="s">
        <v>4263</v>
      </c>
      <c r="Q190" s="175" t="s">
        <v>4264</v>
      </c>
      <c r="R190" s="175" t="s">
        <v>259</v>
      </c>
      <c r="S190" s="175" t="s">
        <v>4265</v>
      </c>
      <c r="T190" s="175" t="s">
        <v>4266</v>
      </c>
      <c r="U190" s="175" t="s">
        <v>4267</v>
      </c>
      <c r="V190" s="175" t="s">
        <v>4268</v>
      </c>
      <c r="W190" s="175" t="s">
        <v>4269</v>
      </c>
      <c r="X190" s="175" t="s">
        <v>4270</v>
      </c>
      <c r="Y190" s="175" t="s">
        <v>4271</v>
      </c>
      <c r="Z190" s="175" t="s">
        <v>4272</v>
      </c>
    </row>
    <row r="191" spans="1:26" s="164" customFormat="1" ht="30" customHeight="1" x14ac:dyDescent="0.25">
      <c r="A191" s="177"/>
      <c r="B191" s="178"/>
      <c r="C191" s="176"/>
      <c r="D191" s="174">
        <v>185</v>
      </c>
      <c r="E191" s="175" t="s">
        <v>246</v>
      </c>
      <c r="F191" s="175" t="s">
        <v>247</v>
      </c>
      <c r="G191" s="175" t="s">
        <v>248</v>
      </c>
      <c r="H191" s="175" t="s">
        <v>4284</v>
      </c>
      <c r="I191" s="175" t="s">
        <v>4285</v>
      </c>
      <c r="J191" s="175" t="s">
        <v>4286</v>
      </c>
      <c r="K191" s="175" t="s">
        <v>4287</v>
      </c>
      <c r="L191" s="175" t="s">
        <v>4288</v>
      </c>
      <c r="M191" s="175" t="s">
        <v>4289</v>
      </c>
      <c r="N191" s="175" t="s">
        <v>4290</v>
      </c>
      <c r="O191" s="175" t="s">
        <v>4262</v>
      </c>
      <c r="P191" s="175" t="s">
        <v>4263</v>
      </c>
      <c r="Q191" s="175" t="s">
        <v>4264</v>
      </c>
      <c r="R191" s="175" t="s">
        <v>259</v>
      </c>
      <c r="S191" s="175" t="s">
        <v>260</v>
      </c>
      <c r="T191" s="175" t="s">
        <v>4291</v>
      </c>
      <c r="U191" s="175" t="s">
        <v>4292</v>
      </c>
      <c r="V191" s="175" t="s">
        <v>4293</v>
      </c>
      <c r="W191" s="175" t="s">
        <v>4294</v>
      </c>
      <c r="X191" s="175" t="s">
        <v>4295</v>
      </c>
      <c r="Y191" s="175" t="s">
        <v>4296</v>
      </c>
      <c r="Z191" s="175" t="s">
        <v>4297</v>
      </c>
    </row>
    <row r="192" spans="1:26" s="164" customFormat="1" ht="30" customHeight="1" x14ac:dyDescent="0.25">
      <c r="A192" s="177"/>
      <c r="B192" s="178"/>
      <c r="C192" s="176"/>
      <c r="D192" s="174">
        <v>186</v>
      </c>
      <c r="E192" s="175" t="s">
        <v>4298</v>
      </c>
      <c r="F192" s="175" t="s">
        <v>4299</v>
      </c>
      <c r="G192" s="175" t="s">
        <v>4300</v>
      </c>
      <c r="H192" s="175" t="s">
        <v>4301</v>
      </c>
      <c r="I192" s="175" t="s">
        <v>4302</v>
      </c>
      <c r="J192" s="175" t="s">
        <v>4303</v>
      </c>
      <c r="K192" s="175" t="s">
        <v>4304</v>
      </c>
      <c r="L192" s="175" t="s">
        <v>4305</v>
      </c>
      <c r="M192" s="175" t="s">
        <v>4306</v>
      </c>
      <c r="N192" s="175" t="s">
        <v>4307</v>
      </c>
      <c r="O192" s="175" t="s">
        <v>4262</v>
      </c>
      <c r="P192" s="175" t="s">
        <v>4263</v>
      </c>
      <c r="Q192" s="175" t="s">
        <v>4264</v>
      </c>
      <c r="R192" s="175" t="s">
        <v>259</v>
      </c>
      <c r="S192" s="175" t="s">
        <v>4308</v>
      </c>
      <c r="T192" s="175" t="s">
        <v>4309</v>
      </c>
      <c r="U192" s="175" t="s">
        <v>4310</v>
      </c>
      <c r="V192" s="175" t="s">
        <v>4311</v>
      </c>
      <c r="W192" s="175" t="s">
        <v>4312</v>
      </c>
      <c r="X192" s="175" t="s">
        <v>4313</v>
      </c>
      <c r="Y192" s="175" t="s">
        <v>4314</v>
      </c>
      <c r="Z192" s="175" t="s">
        <v>4315</v>
      </c>
    </row>
    <row r="193" spans="1:26" s="164" customFormat="1" ht="30" customHeight="1" x14ac:dyDescent="0.25">
      <c r="A193" s="177"/>
      <c r="B193" s="178"/>
      <c r="C193" s="176"/>
      <c r="D193" s="174">
        <v>187</v>
      </c>
      <c r="E193" s="175" t="s">
        <v>600</v>
      </c>
      <c r="F193" s="175" t="s">
        <v>154</v>
      </c>
      <c r="G193" s="175" t="s">
        <v>4316</v>
      </c>
      <c r="H193" s="175" t="s">
        <v>4317</v>
      </c>
      <c r="I193" s="175" t="s">
        <v>4318</v>
      </c>
      <c r="J193" s="175" t="s">
        <v>4319</v>
      </c>
      <c r="K193" s="175" t="s">
        <v>4320</v>
      </c>
      <c r="L193" s="175" t="s">
        <v>4321</v>
      </c>
      <c r="M193" s="175" t="s">
        <v>4322</v>
      </c>
      <c r="N193" s="175" t="s">
        <v>4323</v>
      </c>
      <c r="O193" s="175" t="s">
        <v>4262</v>
      </c>
      <c r="P193" s="175" t="s">
        <v>4263</v>
      </c>
      <c r="Q193" s="175" t="s">
        <v>4264</v>
      </c>
      <c r="R193" s="175" t="s">
        <v>259</v>
      </c>
      <c r="S193" s="175" t="s">
        <v>4281</v>
      </c>
      <c r="T193" s="175" t="s">
        <v>4324</v>
      </c>
      <c r="U193" s="175" t="s">
        <v>4325</v>
      </c>
      <c r="V193" s="175" t="s">
        <v>4326</v>
      </c>
      <c r="W193" s="175" t="s">
        <v>4327</v>
      </c>
      <c r="X193" s="175" t="s">
        <v>4328</v>
      </c>
      <c r="Y193" s="175" t="s">
        <v>4329</v>
      </c>
      <c r="Z193" s="175" t="s">
        <v>4330</v>
      </c>
    </row>
    <row r="194" spans="1:26" s="164" customFormat="1" ht="30" customHeight="1" x14ac:dyDescent="0.25">
      <c r="A194" s="177"/>
      <c r="B194" s="178"/>
      <c r="C194" s="176"/>
      <c r="D194" s="174">
        <v>188</v>
      </c>
      <c r="E194" s="175" t="s">
        <v>153</v>
      </c>
      <c r="F194" s="175" t="s">
        <v>154</v>
      </c>
      <c r="G194" s="175" t="s">
        <v>4331</v>
      </c>
      <c r="H194" s="175" t="s">
        <v>4332</v>
      </c>
      <c r="I194" s="175" t="s">
        <v>4333</v>
      </c>
      <c r="J194" s="175" t="s">
        <v>4334</v>
      </c>
      <c r="K194" s="175" t="s">
        <v>4335</v>
      </c>
      <c r="L194" s="175" t="s">
        <v>4336</v>
      </c>
      <c r="M194" s="175" t="s">
        <v>4337</v>
      </c>
      <c r="N194" s="175" t="s">
        <v>4338</v>
      </c>
      <c r="O194" s="175" t="s">
        <v>4262</v>
      </c>
      <c r="P194" s="175" t="s">
        <v>4263</v>
      </c>
      <c r="Q194" s="175" t="s">
        <v>4264</v>
      </c>
      <c r="R194" s="175" t="s">
        <v>259</v>
      </c>
      <c r="S194" s="175" t="s">
        <v>4339</v>
      </c>
      <c r="T194" s="175" t="s">
        <v>4340</v>
      </c>
      <c r="U194" s="175" t="s">
        <v>4341</v>
      </c>
      <c r="V194" s="175" t="s">
        <v>4342</v>
      </c>
      <c r="W194" s="175" t="s">
        <v>4343</v>
      </c>
      <c r="X194" s="175" t="s">
        <v>4344</v>
      </c>
      <c r="Y194" s="175" t="s">
        <v>4345</v>
      </c>
      <c r="Z194" s="175" t="s">
        <v>4346</v>
      </c>
    </row>
    <row r="195" spans="1:26" s="164" customFormat="1" ht="30" customHeight="1" x14ac:dyDescent="0.25">
      <c r="A195" s="177"/>
      <c r="B195" s="178"/>
      <c r="C195" s="176"/>
      <c r="D195" s="174">
        <v>189</v>
      </c>
      <c r="E195" s="175" t="s">
        <v>4347</v>
      </c>
      <c r="F195" s="175" t="s">
        <v>247</v>
      </c>
      <c r="G195" s="175" t="s">
        <v>4348</v>
      </c>
      <c r="H195" s="175" t="s">
        <v>4349</v>
      </c>
      <c r="I195" s="175" t="s">
        <v>4350</v>
      </c>
      <c r="J195" s="175" t="s">
        <v>4351</v>
      </c>
      <c r="K195" s="175" t="s">
        <v>4352</v>
      </c>
      <c r="L195" s="175" t="s">
        <v>4353</v>
      </c>
      <c r="M195" s="175" t="s">
        <v>4354</v>
      </c>
      <c r="N195" s="175" t="s">
        <v>4355</v>
      </c>
      <c r="O195" s="175" t="s">
        <v>4262</v>
      </c>
      <c r="P195" s="175" t="s">
        <v>4263</v>
      </c>
      <c r="Q195" s="175" t="s">
        <v>4264</v>
      </c>
      <c r="R195" s="175" t="s">
        <v>259</v>
      </c>
      <c r="S195" s="175" t="s">
        <v>4356</v>
      </c>
      <c r="T195" s="175" t="s">
        <v>4357</v>
      </c>
      <c r="U195" s="175" t="s">
        <v>4358</v>
      </c>
      <c r="V195" s="175" t="s">
        <v>4359</v>
      </c>
      <c r="W195" s="175" t="s">
        <v>4360</v>
      </c>
      <c r="X195" s="175" t="s">
        <v>4361</v>
      </c>
      <c r="Y195" s="175" t="s">
        <v>4362</v>
      </c>
      <c r="Z195" s="175" t="s">
        <v>4363</v>
      </c>
    </row>
    <row r="196" spans="1:26" s="164" customFormat="1" ht="30" customHeight="1" x14ac:dyDescent="0.25">
      <c r="A196" s="177"/>
      <c r="B196" s="178"/>
      <c r="C196" s="176"/>
      <c r="D196" s="174">
        <v>190</v>
      </c>
      <c r="E196" s="175" t="s">
        <v>4364</v>
      </c>
      <c r="F196" s="175" t="s">
        <v>325</v>
      </c>
      <c r="G196" s="175" t="s">
        <v>4365</v>
      </c>
      <c r="H196" s="175" t="s">
        <v>4366</v>
      </c>
      <c r="I196" s="175" t="s">
        <v>4367</v>
      </c>
      <c r="J196" s="175" t="s">
        <v>4368</v>
      </c>
      <c r="K196" s="175" t="s">
        <v>4369</v>
      </c>
      <c r="L196" s="175" t="s">
        <v>4370</v>
      </c>
      <c r="M196" s="175" t="s">
        <v>4371</v>
      </c>
      <c r="N196" s="175" t="s">
        <v>4372</v>
      </c>
      <c r="O196" s="175" t="s">
        <v>4262</v>
      </c>
      <c r="P196" s="175" t="s">
        <v>4263</v>
      </c>
      <c r="Q196" s="175" t="s">
        <v>4264</v>
      </c>
      <c r="R196" s="175" t="s">
        <v>259</v>
      </c>
      <c r="S196" s="175" t="s">
        <v>4373</v>
      </c>
      <c r="T196" s="175" t="s">
        <v>4374</v>
      </c>
      <c r="U196" s="175" t="s">
        <v>4375</v>
      </c>
      <c r="V196" s="175" t="s">
        <v>4376</v>
      </c>
      <c r="W196" s="175" t="s">
        <v>4377</v>
      </c>
      <c r="X196" s="175" t="s">
        <v>4378</v>
      </c>
      <c r="Y196" s="175" t="s">
        <v>4379</v>
      </c>
      <c r="Z196" s="175" t="s">
        <v>4380</v>
      </c>
    </row>
    <row r="197" spans="1:26" s="164" customFormat="1" ht="30" customHeight="1" x14ac:dyDescent="0.25">
      <c r="A197" s="177"/>
      <c r="B197" s="178"/>
      <c r="C197" s="176"/>
      <c r="D197" s="174">
        <v>191</v>
      </c>
      <c r="E197" s="175" t="s">
        <v>978</v>
      </c>
      <c r="F197" s="175" t="s">
        <v>154</v>
      </c>
      <c r="G197" s="175" t="s">
        <v>979</v>
      </c>
      <c r="H197" s="175" t="s">
        <v>4381</v>
      </c>
      <c r="I197" s="175" t="s">
        <v>4382</v>
      </c>
      <c r="J197" s="175" t="s">
        <v>4383</v>
      </c>
      <c r="K197" s="175" t="s">
        <v>4384</v>
      </c>
      <c r="L197" s="175" t="s">
        <v>4385</v>
      </c>
      <c r="M197" s="175" t="s">
        <v>4386</v>
      </c>
      <c r="N197" s="175" t="s">
        <v>4387</v>
      </c>
      <c r="O197" s="175" t="s">
        <v>4262</v>
      </c>
      <c r="P197" s="175" t="s">
        <v>4263</v>
      </c>
      <c r="Q197" s="175" t="s">
        <v>4264</v>
      </c>
      <c r="R197" s="175" t="s">
        <v>259</v>
      </c>
      <c r="S197" s="175" t="s">
        <v>4388</v>
      </c>
      <c r="T197" s="175" t="s">
        <v>4389</v>
      </c>
      <c r="U197" s="175" t="s">
        <v>4390</v>
      </c>
      <c r="V197" s="175" t="s">
        <v>4391</v>
      </c>
      <c r="W197" s="175" t="s">
        <v>4392</v>
      </c>
      <c r="X197" s="175" t="s">
        <v>4393</v>
      </c>
      <c r="Y197" s="175" t="s">
        <v>4394</v>
      </c>
      <c r="Z197" s="175" t="s">
        <v>4395</v>
      </c>
    </row>
    <row r="198" spans="1:26" s="164" customFormat="1" ht="30" customHeight="1" x14ac:dyDescent="0.25">
      <c r="A198" s="177"/>
      <c r="B198" s="178"/>
      <c r="C198" s="176"/>
      <c r="D198" s="174">
        <v>192</v>
      </c>
      <c r="E198" s="175" t="s">
        <v>472</v>
      </c>
      <c r="F198" s="175" t="s">
        <v>247</v>
      </c>
      <c r="G198" s="175" t="s">
        <v>999</v>
      </c>
      <c r="H198" s="175" t="s">
        <v>4396</v>
      </c>
      <c r="I198" s="175" t="s">
        <v>4397</v>
      </c>
      <c r="J198" s="175" t="s">
        <v>4398</v>
      </c>
      <c r="K198" s="175" t="s">
        <v>4399</v>
      </c>
      <c r="L198" s="175" t="s">
        <v>4400</v>
      </c>
      <c r="M198" s="175" t="s">
        <v>4401</v>
      </c>
      <c r="N198" s="175" t="s">
        <v>4402</v>
      </c>
      <c r="O198" s="175" t="s">
        <v>4262</v>
      </c>
      <c r="P198" s="175" t="s">
        <v>4263</v>
      </c>
      <c r="Q198" s="175" t="s">
        <v>4264</v>
      </c>
      <c r="R198" s="175" t="s">
        <v>259</v>
      </c>
      <c r="S198" s="175" t="s">
        <v>1007</v>
      </c>
      <c r="T198" s="175" t="s">
        <v>4403</v>
      </c>
      <c r="U198" s="175" t="s">
        <v>4404</v>
      </c>
      <c r="V198" s="175" t="s">
        <v>4405</v>
      </c>
      <c r="W198" s="175" t="s">
        <v>4406</v>
      </c>
      <c r="X198" s="175" t="s">
        <v>4407</v>
      </c>
      <c r="Y198" s="175" t="s">
        <v>4408</v>
      </c>
      <c r="Z198" s="175" t="s">
        <v>4409</v>
      </c>
    </row>
    <row r="199" spans="1:26" s="164" customFormat="1" ht="30" customHeight="1" x14ac:dyDescent="0.25">
      <c r="A199" s="177"/>
      <c r="B199" s="178"/>
      <c r="C199" s="176"/>
      <c r="D199" s="174">
        <v>193</v>
      </c>
      <c r="E199" s="175" t="s">
        <v>506</v>
      </c>
      <c r="F199" s="175" t="s">
        <v>247</v>
      </c>
      <c r="G199" s="175" t="s">
        <v>692</v>
      </c>
      <c r="H199" s="175" t="s">
        <v>4410</v>
      </c>
      <c r="I199" s="175" t="s">
        <v>4411</v>
      </c>
      <c r="J199" s="175" t="s">
        <v>4412</v>
      </c>
      <c r="K199" s="175" t="s">
        <v>4413</v>
      </c>
      <c r="L199" s="175" t="s">
        <v>4414</v>
      </c>
      <c r="M199" s="175" t="s">
        <v>4415</v>
      </c>
      <c r="N199" s="175" t="s">
        <v>4416</v>
      </c>
      <c r="O199" s="175" t="s">
        <v>4262</v>
      </c>
      <c r="P199" s="175" t="s">
        <v>4263</v>
      </c>
      <c r="Q199" s="175" t="s">
        <v>4264</v>
      </c>
      <c r="R199" s="175" t="s">
        <v>259</v>
      </c>
      <c r="S199" s="175" t="s">
        <v>4417</v>
      </c>
      <c r="T199" s="175" t="s">
        <v>4418</v>
      </c>
      <c r="U199" s="175" t="s">
        <v>4419</v>
      </c>
      <c r="V199" s="175" t="s">
        <v>4420</v>
      </c>
      <c r="W199" s="175" t="s">
        <v>4421</v>
      </c>
      <c r="X199" s="175" t="s">
        <v>4422</v>
      </c>
      <c r="Y199" s="175" t="s">
        <v>4423</v>
      </c>
      <c r="Z199" s="175" t="s">
        <v>4424</v>
      </c>
    </row>
    <row r="200" spans="1:26" s="164" customFormat="1" ht="30" customHeight="1" x14ac:dyDescent="0.25">
      <c r="A200" s="177"/>
      <c r="B200" s="178"/>
      <c r="C200" s="176"/>
      <c r="D200" s="174">
        <v>194</v>
      </c>
      <c r="E200" s="175" t="s">
        <v>444</v>
      </c>
      <c r="F200" s="175" t="s">
        <v>247</v>
      </c>
      <c r="G200" s="175" t="s">
        <v>4425</v>
      </c>
      <c r="H200" s="175" t="s">
        <v>4426</v>
      </c>
      <c r="I200" s="175" t="s">
        <v>4427</v>
      </c>
      <c r="J200" s="175" t="s">
        <v>4428</v>
      </c>
      <c r="K200" s="175" t="s">
        <v>4429</v>
      </c>
      <c r="L200" s="175" t="s">
        <v>4430</v>
      </c>
      <c r="M200" s="175" t="s">
        <v>4431</v>
      </c>
      <c r="N200" s="175" t="s">
        <v>4432</v>
      </c>
      <c r="O200" s="175" t="s">
        <v>4262</v>
      </c>
      <c r="P200" s="175" t="s">
        <v>4263</v>
      </c>
      <c r="Q200" s="175" t="s">
        <v>4264</v>
      </c>
      <c r="R200" s="175" t="s">
        <v>259</v>
      </c>
      <c r="S200" s="175" t="s">
        <v>4433</v>
      </c>
      <c r="T200" s="175" t="s">
        <v>4434</v>
      </c>
      <c r="U200" s="175" t="s">
        <v>4435</v>
      </c>
      <c r="V200" s="175" t="s">
        <v>4436</v>
      </c>
      <c r="W200" s="175" t="s">
        <v>4437</v>
      </c>
      <c r="X200" s="175" t="s">
        <v>4438</v>
      </c>
      <c r="Y200" s="175" t="s">
        <v>4439</v>
      </c>
      <c r="Z200" s="175" t="s">
        <v>4440</v>
      </c>
    </row>
    <row r="201" spans="1:26" s="164" customFormat="1" ht="30" customHeight="1" x14ac:dyDescent="0.25">
      <c r="A201" s="177"/>
      <c r="B201" s="178"/>
      <c r="C201" s="176"/>
      <c r="D201" s="174">
        <v>195</v>
      </c>
      <c r="E201" s="175" t="s">
        <v>4298</v>
      </c>
      <c r="F201" s="175" t="s">
        <v>4441</v>
      </c>
      <c r="G201" s="175" t="s">
        <v>4442</v>
      </c>
      <c r="H201" s="175" t="s">
        <v>4443</v>
      </c>
      <c r="I201" s="175" t="s">
        <v>4444</v>
      </c>
      <c r="J201" s="175" t="s">
        <v>4445</v>
      </c>
      <c r="K201" s="175" t="s">
        <v>4446</v>
      </c>
      <c r="L201" s="175" t="s">
        <v>4447</v>
      </c>
      <c r="M201" s="175" t="s">
        <v>4448</v>
      </c>
      <c r="N201" s="175" t="s">
        <v>4449</v>
      </c>
      <c r="O201" s="175" t="s">
        <v>4262</v>
      </c>
      <c r="P201" s="175" t="s">
        <v>4263</v>
      </c>
      <c r="Q201" s="175" t="s">
        <v>4264</v>
      </c>
      <c r="R201" s="175" t="s">
        <v>259</v>
      </c>
      <c r="S201" s="175" t="s">
        <v>4450</v>
      </c>
      <c r="T201" s="175" t="s">
        <v>4451</v>
      </c>
      <c r="U201" s="175" t="s">
        <v>4452</v>
      </c>
      <c r="V201" s="175" t="s">
        <v>4453</v>
      </c>
      <c r="W201" s="175" t="s">
        <v>4454</v>
      </c>
      <c r="X201" s="175" t="s">
        <v>4455</v>
      </c>
      <c r="Y201" s="175" t="s">
        <v>4456</v>
      </c>
      <c r="Z201" s="175" t="s">
        <v>4457</v>
      </c>
    </row>
    <row r="202" spans="1:26" s="164" customFormat="1" ht="30" customHeight="1" x14ac:dyDescent="0.25">
      <c r="A202" s="177"/>
      <c r="B202" s="178"/>
      <c r="C202" s="176"/>
      <c r="D202" s="174">
        <v>196</v>
      </c>
      <c r="E202" s="175" t="s">
        <v>4298</v>
      </c>
      <c r="F202" s="175" t="s">
        <v>4441</v>
      </c>
      <c r="G202" s="175" t="s">
        <v>4458</v>
      </c>
      <c r="H202" s="175" t="s">
        <v>4459</v>
      </c>
      <c r="I202" s="175" t="s">
        <v>4460</v>
      </c>
      <c r="J202" s="175" t="s">
        <v>4461</v>
      </c>
      <c r="K202" s="175" t="s">
        <v>4462</v>
      </c>
      <c r="L202" s="175" t="s">
        <v>4463</v>
      </c>
      <c r="M202" s="175" t="s">
        <v>4464</v>
      </c>
      <c r="N202" s="175" t="s">
        <v>4465</v>
      </c>
      <c r="O202" s="175" t="s">
        <v>4262</v>
      </c>
      <c r="P202" s="175" t="s">
        <v>4263</v>
      </c>
      <c r="Q202" s="175" t="s">
        <v>4264</v>
      </c>
      <c r="R202" s="175" t="s">
        <v>259</v>
      </c>
      <c r="S202" s="175" t="s">
        <v>4466</v>
      </c>
      <c r="T202" s="175" t="s">
        <v>4467</v>
      </c>
      <c r="U202" s="175" t="s">
        <v>4468</v>
      </c>
      <c r="V202" s="175" t="s">
        <v>4469</v>
      </c>
      <c r="W202" s="175" t="s">
        <v>4294</v>
      </c>
      <c r="X202" s="175" t="s">
        <v>4470</v>
      </c>
      <c r="Y202" s="175" t="s">
        <v>4471</v>
      </c>
      <c r="Z202" s="175" t="s">
        <v>4472</v>
      </c>
    </row>
    <row r="203" spans="1:26" s="164" customFormat="1" ht="30" customHeight="1" x14ac:dyDescent="0.25">
      <c r="A203" s="177"/>
      <c r="B203" s="178"/>
      <c r="C203" s="176"/>
      <c r="D203" s="174">
        <v>197</v>
      </c>
      <c r="E203" s="175" t="s">
        <v>153</v>
      </c>
      <c r="F203" s="175" t="s">
        <v>247</v>
      </c>
      <c r="G203" s="175" t="s">
        <v>4473</v>
      </c>
      <c r="H203" s="175" t="s">
        <v>4474</v>
      </c>
      <c r="I203" s="175" t="s">
        <v>4475</v>
      </c>
      <c r="J203" s="175" t="s">
        <v>4476</v>
      </c>
      <c r="K203" s="175" t="s">
        <v>4477</v>
      </c>
      <c r="L203" s="175" t="s">
        <v>4478</v>
      </c>
      <c r="M203" s="175" t="s">
        <v>4479</v>
      </c>
      <c r="N203" s="175" t="s">
        <v>4480</v>
      </c>
      <c r="O203" s="175" t="s">
        <v>4262</v>
      </c>
      <c r="P203" s="175" t="s">
        <v>4263</v>
      </c>
      <c r="Q203" s="175" t="s">
        <v>4264</v>
      </c>
      <c r="R203" s="175" t="s">
        <v>259</v>
      </c>
      <c r="S203" s="175" t="s">
        <v>4481</v>
      </c>
      <c r="T203" s="175" t="s">
        <v>4482</v>
      </c>
      <c r="U203" s="175" t="s">
        <v>4483</v>
      </c>
      <c r="V203" s="175" t="s">
        <v>4484</v>
      </c>
      <c r="W203" s="175" t="s">
        <v>4485</v>
      </c>
      <c r="X203" s="175" t="s">
        <v>4486</v>
      </c>
      <c r="Y203" s="175" t="s">
        <v>4487</v>
      </c>
      <c r="Z203" s="175" t="s">
        <v>4488</v>
      </c>
    </row>
    <row r="204" spans="1:26" s="164" customFormat="1" ht="30" customHeight="1" x14ac:dyDescent="0.25">
      <c r="A204" s="177"/>
      <c r="B204" s="178"/>
      <c r="C204" s="176"/>
      <c r="D204" s="174">
        <v>198</v>
      </c>
      <c r="E204" s="175" t="s">
        <v>4347</v>
      </c>
      <c r="F204" s="175" t="s">
        <v>4299</v>
      </c>
      <c r="G204" s="175" t="s">
        <v>4489</v>
      </c>
      <c r="H204" s="175" t="s">
        <v>4490</v>
      </c>
      <c r="I204" s="175" t="s">
        <v>4491</v>
      </c>
      <c r="J204" s="175" t="s">
        <v>4492</v>
      </c>
      <c r="K204" s="175" t="s">
        <v>4493</v>
      </c>
      <c r="L204" s="175" t="s">
        <v>4494</v>
      </c>
      <c r="M204" s="175" t="s">
        <v>4495</v>
      </c>
      <c r="N204" s="175" t="s">
        <v>4496</v>
      </c>
      <c r="O204" s="175" t="s">
        <v>4262</v>
      </c>
      <c r="P204" s="175" t="s">
        <v>4263</v>
      </c>
      <c r="Q204" s="175" t="s">
        <v>4264</v>
      </c>
      <c r="R204" s="175" t="s">
        <v>259</v>
      </c>
      <c r="S204" s="175" t="s">
        <v>4497</v>
      </c>
      <c r="T204" s="175" t="s">
        <v>4498</v>
      </c>
      <c r="U204" s="175" t="s">
        <v>4499</v>
      </c>
      <c r="V204" s="175" t="s">
        <v>4500</v>
      </c>
      <c r="W204" s="175" t="s">
        <v>4501</v>
      </c>
      <c r="X204" s="175" t="s">
        <v>4502</v>
      </c>
      <c r="Y204" s="175" t="s">
        <v>4503</v>
      </c>
      <c r="Z204" s="175" t="s">
        <v>4504</v>
      </c>
    </row>
    <row r="205" spans="1:26" s="164" customFormat="1" ht="30" customHeight="1" x14ac:dyDescent="0.25">
      <c r="A205" s="177"/>
      <c r="B205" s="178"/>
      <c r="C205" s="176"/>
      <c r="D205" s="174">
        <v>199</v>
      </c>
      <c r="E205" s="175" t="s">
        <v>4505</v>
      </c>
      <c r="F205" s="175" t="s">
        <v>247</v>
      </c>
      <c r="G205" s="175" t="s">
        <v>4506</v>
      </c>
      <c r="H205" s="175" t="s">
        <v>4507</v>
      </c>
      <c r="I205" s="175" t="s">
        <v>4508</v>
      </c>
      <c r="J205" s="175" t="s">
        <v>4509</v>
      </c>
      <c r="K205" s="175" t="s">
        <v>4510</v>
      </c>
      <c r="L205" s="175" t="s">
        <v>4511</v>
      </c>
      <c r="M205" s="175" t="s">
        <v>4512</v>
      </c>
      <c r="N205" s="175" t="s">
        <v>4513</v>
      </c>
      <c r="O205" s="175" t="s">
        <v>4262</v>
      </c>
      <c r="P205" s="175" t="s">
        <v>4263</v>
      </c>
      <c r="Q205" s="175" t="s">
        <v>4264</v>
      </c>
      <c r="R205" s="175" t="s">
        <v>259</v>
      </c>
      <c r="S205" s="175" t="s">
        <v>4514</v>
      </c>
      <c r="T205" s="175" t="s">
        <v>4515</v>
      </c>
      <c r="U205" s="175" t="s">
        <v>4516</v>
      </c>
      <c r="V205" s="175" t="s">
        <v>4517</v>
      </c>
      <c r="W205" s="175" t="s">
        <v>4518</v>
      </c>
      <c r="X205" s="175" t="s">
        <v>4519</v>
      </c>
      <c r="Y205" s="175" t="s">
        <v>4520</v>
      </c>
      <c r="Z205" s="175" t="s">
        <v>4521</v>
      </c>
    </row>
    <row r="206" spans="1:26" s="164" customFormat="1" ht="30" customHeight="1" x14ac:dyDescent="0.25">
      <c r="A206" s="177"/>
      <c r="B206" s="178"/>
      <c r="C206" s="176"/>
      <c r="D206" s="174">
        <v>200</v>
      </c>
      <c r="E206" s="175" t="s">
        <v>4522</v>
      </c>
      <c r="F206" s="175" t="s">
        <v>247</v>
      </c>
      <c r="G206" s="175" t="s">
        <v>4523</v>
      </c>
      <c r="H206" s="175" t="s">
        <v>4524</v>
      </c>
      <c r="I206" s="175" t="s">
        <v>4525</v>
      </c>
      <c r="J206" s="175" t="s">
        <v>4526</v>
      </c>
      <c r="K206" s="175" t="s">
        <v>4527</v>
      </c>
      <c r="L206" s="175" t="s">
        <v>4528</v>
      </c>
      <c r="M206" s="175" t="s">
        <v>4529</v>
      </c>
      <c r="N206" s="175" t="s">
        <v>4530</v>
      </c>
      <c r="O206" s="175" t="s">
        <v>4262</v>
      </c>
      <c r="P206" s="175" t="s">
        <v>4263</v>
      </c>
      <c r="Q206" s="175" t="s">
        <v>4264</v>
      </c>
      <c r="R206" s="175" t="s">
        <v>259</v>
      </c>
      <c r="S206" s="175" t="s">
        <v>4531</v>
      </c>
      <c r="T206" s="175" t="s">
        <v>4532</v>
      </c>
      <c r="U206" s="175" t="s">
        <v>4533</v>
      </c>
      <c r="V206" s="175" t="s">
        <v>4534</v>
      </c>
      <c r="W206" s="175" t="s">
        <v>4535</v>
      </c>
      <c r="X206" s="175" t="s">
        <v>4536</v>
      </c>
      <c r="Y206" s="175" t="s">
        <v>4537</v>
      </c>
      <c r="Z206" s="175" t="s">
        <v>4538</v>
      </c>
    </row>
    <row r="207" spans="1:26" s="164" customFormat="1" ht="30" customHeight="1" x14ac:dyDescent="0.25">
      <c r="A207" s="177"/>
      <c r="B207" s="178"/>
      <c r="C207" s="176"/>
      <c r="D207" s="174">
        <v>201</v>
      </c>
      <c r="E207" s="175" t="s">
        <v>765</v>
      </c>
      <c r="F207" s="175" t="s">
        <v>247</v>
      </c>
      <c r="G207" s="175" t="s">
        <v>4539</v>
      </c>
      <c r="H207" s="175" t="s">
        <v>4540</v>
      </c>
      <c r="I207" s="175" t="s">
        <v>4541</v>
      </c>
      <c r="J207" s="175" t="s">
        <v>4542</v>
      </c>
      <c r="K207" s="175" t="s">
        <v>4543</v>
      </c>
      <c r="L207" s="175" t="s">
        <v>4544</v>
      </c>
      <c r="M207" s="175" t="s">
        <v>4545</v>
      </c>
      <c r="N207" s="175" t="s">
        <v>4546</v>
      </c>
      <c r="O207" s="175" t="s">
        <v>4262</v>
      </c>
      <c r="P207" s="175" t="s">
        <v>4263</v>
      </c>
      <c r="Q207" s="175" t="s">
        <v>4264</v>
      </c>
      <c r="R207" s="175" t="s">
        <v>259</v>
      </c>
      <c r="S207" s="175" t="s">
        <v>4547</v>
      </c>
      <c r="T207" s="175" t="s">
        <v>4548</v>
      </c>
      <c r="U207" s="175" t="s">
        <v>4549</v>
      </c>
      <c r="V207" s="175" t="s">
        <v>4550</v>
      </c>
      <c r="W207" s="175" t="s">
        <v>4551</v>
      </c>
      <c r="X207" s="175" t="s">
        <v>4552</v>
      </c>
      <c r="Y207" s="175" t="s">
        <v>4553</v>
      </c>
      <c r="Z207" s="175" t="s">
        <v>4554</v>
      </c>
    </row>
    <row r="208" spans="1:26" s="164" customFormat="1" ht="30" customHeight="1" x14ac:dyDescent="0.25">
      <c r="A208" s="177"/>
      <c r="B208" s="178"/>
      <c r="C208" s="176"/>
      <c r="D208" s="174">
        <v>202</v>
      </c>
      <c r="E208" s="175" t="s">
        <v>324</v>
      </c>
      <c r="F208" s="175" t="s">
        <v>570</v>
      </c>
      <c r="G208" s="175" t="s">
        <v>4555</v>
      </c>
      <c r="H208" s="175" t="s">
        <v>4556</v>
      </c>
      <c r="I208" s="175" t="s">
        <v>4557</v>
      </c>
      <c r="J208" s="175" t="s">
        <v>4558</v>
      </c>
      <c r="K208" s="175" t="s">
        <v>4559</v>
      </c>
      <c r="L208" s="175" t="s">
        <v>4560</v>
      </c>
      <c r="M208" s="175" t="s">
        <v>4561</v>
      </c>
      <c r="N208" s="175" t="s">
        <v>4562</v>
      </c>
      <c r="O208" s="175" t="s">
        <v>4262</v>
      </c>
      <c r="P208" s="175" t="s">
        <v>4263</v>
      </c>
      <c r="Q208" s="175" t="s">
        <v>4264</v>
      </c>
      <c r="R208" s="175" t="s">
        <v>259</v>
      </c>
      <c r="S208" s="175" t="s">
        <v>4563</v>
      </c>
      <c r="T208" s="175" t="s">
        <v>4564</v>
      </c>
      <c r="U208" s="175" t="s">
        <v>4390</v>
      </c>
      <c r="V208" s="175" t="s">
        <v>4565</v>
      </c>
      <c r="W208" s="175" t="s">
        <v>4566</v>
      </c>
      <c r="X208" s="175" t="s">
        <v>4567</v>
      </c>
      <c r="Y208" s="175" t="s">
        <v>4568</v>
      </c>
      <c r="Z208" s="175" t="s">
        <v>4569</v>
      </c>
    </row>
    <row r="209" spans="1:26" s="164" customFormat="1" ht="30" customHeight="1" x14ac:dyDescent="0.25">
      <c r="A209" s="177"/>
      <c r="B209" s="178"/>
      <c r="C209" s="176"/>
      <c r="D209" s="174">
        <v>203</v>
      </c>
      <c r="E209" s="175" t="s">
        <v>4570</v>
      </c>
      <c r="F209" s="175" t="s">
        <v>205</v>
      </c>
      <c r="G209" s="175" t="s">
        <v>4571</v>
      </c>
      <c r="H209" s="175" t="s">
        <v>4572</v>
      </c>
      <c r="I209" s="175" t="s">
        <v>4573</v>
      </c>
      <c r="J209" s="175" t="s">
        <v>4574</v>
      </c>
      <c r="K209" s="175" t="s">
        <v>4575</v>
      </c>
      <c r="L209" s="175" t="s">
        <v>4576</v>
      </c>
      <c r="M209" s="175" t="s">
        <v>4577</v>
      </c>
      <c r="N209" s="175" t="s">
        <v>4578</v>
      </c>
      <c r="O209" s="175" t="s">
        <v>4262</v>
      </c>
      <c r="P209" s="175" t="s">
        <v>4263</v>
      </c>
      <c r="Q209" s="175" t="s">
        <v>4264</v>
      </c>
      <c r="R209" s="175" t="s">
        <v>259</v>
      </c>
      <c r="S209" s="175" t="s">
        <v>4579</v>
      </c>
      <c r="T209" s="175" t="s">
        <v>4434</v>
      </c>
      <c r="U209" s="175" t="s">
        <v>4580</v>
      </c>
      <c r="V209" s="175" t="s">
        <v>4581</v>
      </c>
      <c r="W209" s="175" t="s">
        <v>4582</v>
      </c>
      <c r="X209" s="175" t="s">
        <v>4583</v>
      </c>
      <c r="Y209" s="175" t="s">
        <v>4314</v>
      </c>
      <c r="Z209" s="175" t="s">
        <v>4584</v>
      </c>
    </row>
    <row r="210" spans="1:26" s="164" customFormat="1" ht="30" customHeight="1" x14ac:dyDescent="0.25">
      <c r="A210" s="177"/>
      <c r="B210" s="178"/>
      <c r="C210" s="176"/>
      <c r="D210" s="174">
        <v>204</v>
      </c>
      <c r="E210" s="175" t="s">
        <v>506</v>
      </c>
      <c r="F210" s="175" t="s">
        <v>325</v>
      </c>
      <c r="G210" s="175" t="s">
        <v>4585</v>
      </c>
      <c r="H210" s="175" t="s">
        <v>4586</v>
      </c>
      <c r="I210" s="175" t="s">
        <v>4587</v>
      </c>
      <c r="J210" s="175" t="s">
        <v>4588</v>
      </c>
      <c r="K210" s="175" t="s">
        <v>4589</v>
      </c>
      <c r="L210" s="175" t="s">
        <v>4590</v>
      </c>
      <c r="M210" s="175" t="s">
        <v>4591</v>
      </c>
      <c r="N210" s="175" t="s">
        <v>4592</v>
      </c>
      <c r="O210" s="175" t="s">
        <v>4262</v>
      </c>
      <c r="P210" s="175" t="s">
        <v>4263</v>
      </c>
      <c r="Q210" s="175" t="s">
        <v>4264</v>
      </c>
      <c r="R210" s="175" t="s">
        <v>259</v>
      </c>
      <c r="S210" s="175" t="s">
        <v>4593</v>
      </c>
      <c r="T210" s="175" t="s">
        <v>4594</v>
      </c>
      <c r="U210" s="175" t="s">
        <v>4595</v>
      </c>
      <c r="V210" s="175" t="s">
        <v>4484</v>
      </c>
      <c r="W210" s="175" t="s">
        <v>4596</v>
      </c>
      <c r="X210" s="175" t="s">
        <v>4597</v>
      </c>
      <c r="Y210" s="175" t="s">
        <v>4598</v>
      </c>
      <c r="Z210" s="175" t="s">
        <v>4599</v>
      </c>
    </row>
    <row r="211" spans="1:26" s="164" customFormat="1" ht="30" customHeight="1" x14ac:dyDescent="0.25">
      <c r="A211" s="177"/>
      <c r="B211" s="178"/>
      <c r="C211" s="176"/>
      <c r="D211" s="174">
        <v>205</v>
      </c>
      <c r="E211" s="175" t="s">
        <v>798</v>
      </c>
      <c r="F211" s="175" t="s">
        <v>247</v>
      </c>
      <c r="G211" s="175" t="s">
        <v>4600</v>
      </c>
      <c r="H211" s="175" t="s">
        <v>4601</v>
      </c>
      <c r="I211" s="175" t="s">
        <v>4602</v>
      </c>
      <c r="J211" s="175" t="s">
        <v>4603</v>
      </c>
      <c r="K211" s="175" t="s">
        <v>4604</v>
      </c>
      <c r="L211" s="175" t="s">
        <v>4605</v>
      </c>
      <c r="M211" s="175" t="s">
        <v>4606</v>
      </c>
      <c r="N211" s="175" t="s">
        <v>4607</v>
      </c>
      <c r="O211" s="175" t="s">
        <v>4262</v>
      </c>
      <c r="P211" s="175" t="s">
        <v>4263</v>
      </c>
      <c r="Q211" s="175" t="s">
        <v>4264</v>
      </c>
      <c r="R211" s="175" t="s">
        <v>259</v>
      </c>
      <c r="S211" s="175" t="s">
        <v>534</v>
      </c>
      <c r="T211" s="175" t="s">
        <v>4608</v>
      </c>
      <c r="U211" s="175" t="s">
        <v>4609</v>
      </c>
      <c r="V211" s="175" t="s">
        <v>4610</v>
      </c>
      <c r="W211" s="175" t="s">
        <v>4611</v>
      </c>
      <c r="X211" s="175" t="s">
        <v>4612</v>
      </c>
      <c r="Y211" s="175" t="s">
        <v>4613</v>
      </c>
      <c r="Z211" s="175" t="s">
        <v>4614</v>
      </c>
    </row>
    <row r="212" spans="1:26" s="164" customFormat="1" ht="30" customHeight="1" x14ac:dyDescent="0.25">
      <c r="A212" s="177"/>
      <c r="B212" s="178"/>
      <c r="C212" s="176"/>
      <c r="D212" s="174">
        <v>206</v>
      </c>
      <c r="E212" s="175" t="s">
        <v>3988</v>
      </c>
      <c r="F212" s="175" t="s">
        <v>247</v>
      </c>
      <c r="G212" s="175" t="s">
        <v>4615</v>
      </c>
      <c r="H212" s="175" t="s">
        <v>4616</v>
      </c>
      <c r="I212" s="175" t="s">
        <v>4617</v>
      </c>
      <c r="J212" s="175" t="s">
        <v>4618</v>
      </c>
      <c r="K212" s="175" t="s">
        <v>4619</v>
      </c>
      <c r="L212" s="175" t="s">
        <v>4620</v>
      </c>
      <c r="M212" s="175" t="s">
        <v>4621</v>
      </c>
      <c r="N212" s="175" t="s">
        <v>4622</v>
      </c>
      <c r="O212" s="175" t="s">
        <v>4262</v>
      </c>
      <c r="P212" s="175" t="s">
        <v>4263</v>
      </c>
      <c r="Q212" s="175" t="s">
        <v>4264</v>
      </c>
      <c r="R212" s="175" t="s">
        <v>259</v>
      </c>
      <c r="S212" s="175" t="s">
        <v>3996</v>
      </c>
      <c r="T212" s="175" t="s">
        <v>4389</v>
      </c>
      <c r="U212" s="175" t="s">
        <v>4623</v>
      </c>
      <c r="V212" s="175" t="s">
        <v>4624</v>
      </c>
      <c r="W212" s="175" t="s">
        <v>4625</v>
      </c>
      <c r="X212" s="175" t="s">
        <v>4626</v>
      </c>
      <c r="Y212" s="175" t="s">
        <v>4627</v>
      </c>
      <c r="Z212" s="175" t="s">
        <v>4628</v>
      </c>
    </row>
    <row r="213" spans="1:26" s="164" customFormat="1" ht="30" customHeight="1" x14ac:dyDescent="0.25">
      <c r="A213" s="177"/>
      <c r="B213" s="178"/>
      <c r="C213" s="176"/>
      <c r="D213" s="174">
        <v>207</v>
      </c>
      <c r="E213" s="175" t="s">
        <v>385</v>
      </c>
      <c r="F213" s="175" t="s">
        <v>154</v>
      </c>
      <c r="G213" s="175" t="s">
        <v>4629</v>
      </c>
      <c r="H213" s="175" t="s">
        <v>4630</v>
      </c>
      <c r="I213" s="175" t="s">
        <v>4631</v>
      </c>
      <c r="J213" s="175" t="s">
        <v>4632</v>
      </c>
      <c r="K213" s="175" t="s">
        <v>4633</v>
      </c>
      <c r="L213" s="175" t="s">
        <v>4634</v>
      </c>
      <c r="M213" s="175" t="s">
        <v>4635</v>
      </c>
      <c r="N213" s="175" t="s">
        <v>4636</v>
      </c>
      <c r="O213" s="175" t="s">
        <v>4262</v>
      </c>
      <c r="P213" s="175" t="s">
        <v>4263</v>
      </c>
      <c r="Q213" s="175" t="s">
        <v>4264</v>
      </c>
      <c r="R213" s="175" t="s">
        <v>259</v>
      </c>
      <c r="S213" s="175" t="s">
        <v>4637</v>
      </c>
      <c r="T213" s="175" t="s">
        <v>4638</v>
      </c>
      <c r="U213" s="175" t="s">
        <v>4390</v>
      </c>
      <c r="V213" s="175" t="s">
        <v>4639</v>
      </c>
      <c r="W213" s="175" t="s">
        <v>4640</v>
      </c>
      <c r="X213" s="175" t="s">
        <v>4641</v>
      </c>
      <c r="Y213" s="175" t="s">
        <v>4642</v>
      </c>
      <c r="Z213" s="175" t="s">
        <v>4643</v>
      </c>
    </row>
    <row r="214" spans="1:26" s="164" customFormat="1" ht="30" customHeight="1" x14ac:dyDescent="0.25">
      <c r="A214" s="177"/>
      <c r="B214" s="178"/>
      <c r="C214" s="176"/>
      <c r="D214" s="174">
        <v>208</v>
      </c>
      <c r="E214" s="175" t="s">
        <v>4644</v>
      </c>
      <c r="F214" s="175" t="s">
        <v>247</v>
      </c>
      <c r="G214" s="175" t="s">
        <v>4645</v>
      </c>
      <c r="H214" s="175" t="s">
        <v>4646</v>
      </c>
      <c r="I214" s="175" t="s">
        <v>4647</v>
      </c>
      <c r="J214" s="175" t="s">
        <v>4648</v>
      </c>
      <c r="K214" s="175" t="s">
        <v>4649</v>
      </c>
      <c r="L214" s="175" t="s">
        <v>4650</v>
      </c>
      <c r="M214" s="175" t="s">
        <v>4651</v>
      </c>
      <c r="N214" s="175" t="s">
        <v>4652</v>
      </c>
      <c r="O214" s="175" t="s">
        <v>4262</v>
      </c>
      <c r="P214" s="175" t="s">
        <v>4263</v>
      </c>
      <c r="Q214" s="175" t="s">
        <v>4264</v>
      </c>
      <c r="R214" s="175" t="s">
        <v>259</v>
      </c>
      <c r="S214" s="175" t="s">
        <v>4653</v>
      </c>
      <c r="T214" s="175" t="s">
        <v>4654</v>
      </c>
      <c r="U214" s="175" t="s">
        <v>4655</v>
      </c>
      <c r="V214" s="175" t="s">
        <v>4565</v>
      </c>
      <c r="W214" s="175" t="s">
        <v>4656</v>
      </c>
      <c r="X214" s="175" t="s">
        <v>4657</v>
      </c>
      <c r="Y214" s="175" t="s">
        <v>4658</v>
      </c>
      <c r="Z214" s="175" t="s">
        <v>4659</v>
      </c>
    </row>
    <row r="215" spans="1:26" s="164" customFormat="1" ht="30" customHeight="1" x14ac:dyDescent="0.25">
      <c r="A215" s="177"/>
      <c r="B215" s="178"/>
      <c r="C215" s="176"/>
      <c r="D215" s="174">
        <v>209</v>
      </c>
      <c r="E215" s="175" t="s">
        <v>4505</v>
      </c>
      <c r="F215" s="175" t="s">
        <v>247</v>
      </c>
      <c r="G215" s="175" t="s">
        <v>4660</v>
      </c>
      <c r="H215" s="175" t="s">
        <v>4661</v>
      </c>
      <c r="I215" s="175" t="s">
        <v>4662</v>
      </c>
      <c r="J215" s="175" t="s">
        <v>4663</v>
      </c>
      <c r="K215" s="175" t="s">
        <v>4664</v>
      </c>
      <c r="L215" s="175" t="s">
        <v>4665</v>
      </c>
      <c r="M215" s="175" t="s">
        <v>4666</v>
      </c>
      <c r="N215" s="175" t="s">
        <v>4667</v>
      </c>
      <c r="O215" s="175" t="s">
        <v>4262</v>
      </c>
      <c r="P215" s="175" t="s">
        <v>4263</v>
      </c>
      <c r="Q215" s="175" t="s">
        <v>4264</v>
      </c>
      <c r="R215" s="175" t="s">
        <v>259</v>
      </c>
      <c r="S215" s="175" t="s">
        <v>4668</v>
      </c>
      <c r="T215" s="175" t="s">
        <v>4669</v>
      </c>
      <c r="U215" s="175" t="s">
        <v>4670</v>
      </c>
      <c r="V215" s="175" t="s">
        <v>4671</v>
      </c>
      <c r="W215" s="175" t="s">
        <v>4672</v>
      </c>
      <c r="X215" s="175" t="s">
        <v>4657</v>
      </c>
      <c r="Y215" s="175" t="s">
        <v>4673</v>
      </c>
      <c r="Z215" s="175" t="s">
        <v>4674</v>
      </c>
    </row>
    <row r="216" spans="1:26" s="164" customFormat="1" ht="30" customHeight="1" x14ac:dyDescent="0.25">
      <c r="A216" s="177"/>
      <c r="B216" s="178"/>
      <c r="C216" s="176"/>
      <c r="D216" s="174">
        <v>210</v>
      </c>
      <c r="E216" s="175" t="s">
        <v>4347</v>
      </c>
      <c r="F216" s="175" t="s">
        <v>4675</v>
      </c>
      <c r="G216" s="175" t="s">
        <v>4676</v>
      </c>
      <c r="H216" s="175" t="s">
        <v>4677</v>
      </c>
      <c r="I216" s="175" t="s">
        <v>4678</v>
      </c>
      <c r="J216" s="175" t="s">
        <v>4679</v>
      </c>
      <c r="K216" s="175" t="s">
        <v>4680</v>
      </c>
      <c r="L216" s="175" t="s">
        <v>4681</v>
      </c>
      <c r="M216" s="175" t="s">
        <v>4682</v>
      </c>
      <c r="N216" s="175" t="s">
        <v>4683</v>
      </c>
      <c r="O216" s="175" t="s">
        <v>4262</v>
      </c>
      <c r="P216" s="175" t="s">
        <v>4263</v>
      </c>
      <c r="Q216" s="175" t="s">
        <v>4264</v>
      </c>
      <c r="R216" s="175" t="s">
        <v>259</v>
      </c>
      <c r="S216" s="175" t="s">
        <v>4684</v>
      </c>
      <c r="T216" s="175" t="s">
        <v>4685</v>
      </c>
      <c r="U216" s="175" t="s">
        <v>4686</v>
      </c>
      <c r="V216" s="175" t="s">
        <v>4687</v>
      </c>
      <c r="W216" s="175" t="s">
        <v>4688</v>
      </c>
      <c r="X216" s="175" t="s">
        <v>4689</v>
      </c>
      <c r="Y216" s="175" t="s">
        <v>4690</v>
      </c>
      <c r="Z216" s="175" t="s">
        <v>4691</v>
      </c>
    </row>
    <row r="217" spans="1:26" s="164" customFormat="1" ht="30" customHeight="1" x14ac:dyDescent="0.25">
      <c r="A217" s="177"/>
      <c r="B217" s="178"/>
      <c r="C217" s="176"/>
      <c r="D217" s="174">
        <v>211</v>
      </c>
      <c r="E217" s="175" t="s">
        <v>2096</v>
      </c>
      <c r="F217" s="175" t="s">
        <v>3674</v>
      </c>
      <c r="G217" s="175" t="s">
        <v>4692</v>
      </c>
      <c r="H217" s="175" t="s">
        <v>4693</v>
      </c>
      <c r="I217" s="175" t="s">
        <v>4694</v>
      </c>
      <c r="J217" s="175" t="s">
        <v>4695</v>
      </c>
      <c r="K217" s="175" t="s">
        <v>4696</v>
      </c>
      <c r="L217" s="175" t="s">
        <v>4697</v>
      </c>
      <c r="M217" s="175" t="s">
        <v>4698</v>
      </c>
      <c r="N217" s="175" t="s">
        <v>4699</v>
      </c>
      <c r="O217" s="175" t="s">
        <v>4262</v>
      </c>
      <c r="P217" s="175" t="s">
        <v>4263</v>
      </c>
      <c r="Q217" s="175" t="s">
        <v>4264</v>
      </c>
      <c r="R217" s="175" t="s">
        <v>259</v>
      </c>
      <c r="S217" s="175" t="s">
        <v>4700</v>
      </c>
      <c r="T217" s="175" t="s">
        <v>4701</v>
      </c>
      <c r="U217" s="175" t="s">
        <v>4702</v>
      </c>
      <c r="V217" s="175" t="s">
        <v>4469</v>
      </c>
      <c r="W217" s="175" t="s">
        <v>4703</v>
      </c>
      <c r="X217" s="175" t="s">
        <v>4704</v>
      </c>
      <c r="Y217" s="175" t="s">
        <v>4705</v>
      </c>
      <c r="Z217" s="175" t="s">
        <v>4706</v>
      </c>
    </row>
    <row r="218" spans="1:26" s="164" customFormat="1" ht="30" customHeight="1" x14ac:dyDescent="0.25">
      <c r="A218" s="177"/>
      <c r="B218" s="178"/>
      <c r="C218" s="176"/>
      <c r="D218" s="174">
        <v>212</v>
      </c>
      <c r="E218" s="175" t="s">
        <v>324</v>
      </c>
      <c r="F218" s="175" t="s">
        <v>247</v>
      </c>
      <c r="G218" s="175" t="s">
        <v>4707</v>
      </c>
      <c r="H218" s="175" t="s">
        <v>4708</v>
      </c>
      <c r="I218" s="175" t="s">
        <v>4709</v>
      </c>
      <c r="J218" s="175" t="s">
        <v>4710</v>
      </c>
      <c r="K218" s="175" t="s">
        <v>4711</v>
      </c>
      <c r="L218" s="175" t="s">
        <v>4712</v>
      </c>
      <c r="M218" s="175" t="s">
        <v>4713</v>
      </c>
      <c r="N218" s="175" t="s">
        <v>4714</v>
      </c>
      <c r="O218" s="175" t="s">
        <v>4262</v>
      </c>
      <c r="P218" s="175" t="s">
        <v>4263</v>
      </c>
      <c r="Q218" s="175" t="s">
        <v>4264</v>
      </c>
      <c r="R218" s="175" t="s">
        <v>259</v>
      </c>
      <c r="S218" s="175" t="s">
        <v>4715</v>
      </c>
      <c r="T218" s="175" t="s">
        <v>4716</v>
      </c>
      <c r="U218" s="175" t="s">
        <v>4390</v>
      </c>
      <c r="V218" s="175" t="s">
        <v>4565</v>
      </c>
      <c r="W218" s="175" t="s">
        <v>4717</v>
      </c>
      <c r="X218" s="175" t="s">
        <v>4657</v>
      </c>
      <c r="Y218" s="175" t="s">
        <v>4718</v>
      </c>
      <c r="Z218" s="175" t="s">
        <v>4719</v>
      </c>
    </row>
    <row r="219" spans="1:26" s="164" customFormat="1" ht="30" customHeight="1" x14ac:dyDescent="0.25">
      <c r="A219" s="177"/>
      <c r="B219" s="178"/>
      <c r="C219" s="176"/>
      <c r="D219" s="174">
        <v>213</v>
      </c>
      <c r="E219" s="175" t="s">
        <v>4720</v>
      </c>
      <c r="F219" s="175" t="s">
        <v>247</v>
      </c>
      <c r="G219" s="175" t="s">
        <v>4721</v>
      </c>
      <c r="H219" s="175" t="s">
        <v>4722</v>
      </c>
      <c r="I219" s="175" t="s">
        <v>4723</v>
      </c>
      <c r="J219" s="175" t="s">
        <v>4724</v>
      </c>
      <c r="K219" s="175" t="s">
        <v>4725</v>
      </c>
      <c r="L219" s="175" t="s">
        <v>4726</v>
      </c>
      <c r="M219" s="175" t="s">
        <v>4727</v>
      </c>
      <c r="N219" s="175" t="s">
        <v>4728</v>
      </c>
      <c r="O219" s="175" t="s">
        <v>4262</v>
      </c>
      <c r="P219" s="175" t="s">
        <v>4263</v>
      </c>
      <c r="Q219" s="175" t="s">
        <v>4264</v>
      </c>
      <c r="R219" s="175" t="s">
        <v>259</v>
      </c>
      <c r="S219" s="175" t="s">
        <v>4729</v>
      </c>
      <c r="T219" s="175" t="s">
        <v>4730</v>
      </c>
      <c r="U219" s="175" t="s">
        <v>4731</v>
      </c>
      <c r="V219" s="175" t="s">
        <v>4732</v>
      </c>
      <c r="W219" s="175" t="s">
        <v>4733</v>
      </c>
      <c r="X219" s="175" t="s">
        <v>4734</v>
      </c>
      <c r="Y219" s="175" t="s">
        <v>4735</v>
      </c>
      <c r="Z219" s="175" t="s">
        <v>4736</v>
      </c>
    </row>
    <row r="220" spans="1:26" s="164" customFormat="1" ht="30" customHeight="1" x14ac:dyDescent="0.25">
      <c r="A220" s="177"/>
      <c r="B220" s="178"/>
      <c r="C220" s="176"/>
      <c r="D220" s="174">
        <v>214</v>
      </c>
      <c r="E220" s="175" t="s">
        <v>153</v>
      </c>
      <c r="F220" s="175" t="s">
        <v>154</v>
      </c>
      <c r="G220" s="175" t="s">
        <v>155</v>
      </c>
      <c r="H220" s="175" t="s">
        <v>3794</v>
      </c>
      <c r="I220" s="175" t="s">
        <v>3795</v>
      </c>
      <c r="J220" s="175" t="s">
        <v>3796</v>
      </c>
      <c r="K220" s="175" t="s">
        <v>3780</v>
      </c>
      <c r="L220" s="175" t="s">
        <v>3781</v>
      </c>
      <c r="M220" s="175" t="s">
        <v>3797</v>
      </c>
      <c r="N220" s="175" t="s">
        <v>3798</v>
      </c>
      <c r="O220" s="175" t="s">
        <v>3799</v>
      </c>
      <c r="P220" s="175" t="s">
        <v>3800</v>
      </c>
      <c r="Q220" s="175" t="s">
        <v>3801</v>
      </c>
      <c r="R220" s="175" t="s">
        <v>164</v>
      </c>
      <c r="S220" s="175" t="s">
        <v>165</v>
      </c>
      <c r="T220" s="175" t="s">
        <v>166</v>
      </c>
      <c r="U220" s="175" t="s">
        <v>3802</v>
      </c>
      <c r="V220" s="175" t="s">
        <v>168</v>
      </c>
      <c r="W220" s="175" t="s">
        <v>1944</v>
      </c>
      <c r="X220" s="175" t="s">
        <v>3803</v>
      </c>
      <c r="Y220" s="175" t="s">
        <v>3804</v>
      </c>
      <c r="Z220" s="175" t="s">
        <v>3805</v>
      </c>
    </row>
    <row r="221" spans="1:26" s="164" customFormat="1" ht="30" customHeight="1" x14ac:dyDescent="0.25">
      <c r="A221" s="177"/>
      <c r="B221" s="178"/>
      <c r="C221" s="176"/>
      <c r="D221" s="174">
        <v>215</v>
      </c>
      <c r="E221" s="175" t="s">
        <v>204</v>
      </c>
      <c r="F221" s="175" t="s">
        <v>205</v>
      </c>
      <c r="G221" s="175" t="s">
        <v>206</v>
      </c>
      <c r="H221" s="175" t="s">
        <v>3817</v>
      </c>
      <c r="I221" s="175" t="s">
        <v>3818</v>
      </c>
      <c r="J221" s="175" t="s">
        <v>3819</v>
      </c>
      <c r="K221" s="175" t="s">
        <v>3820</v>
      </c>
      <c r="L221" s="175" t="s">
        <v>3821</v>
      </c>
      <c r="M221" s="175" t="s">
        <v>3822</v>
      </c>
      <c r="N221" s="175" t="s">
        <v>3823</v>
      </c>
      <c r="O221" s="175" t="s">
        <v>3799</v>
      </c>
      <c r="P221" s="175" t="s">
        <v>3824</v>
      </c>
      <c r="Q221" s="175" t="s">
        <v>3825</v>
      </c>
      <c r="R221" s="175" t="s">
        <v>164</v>
      </c>
      <c r="S221" s="175" t="s">
        <v>3826</v>
      </c>
      <c r="T221" s="175" t="s">
        <v>950</v>
      </c>
      <c r="U221" s="175" t="s">
        <v>951</v>
      </c>
      <c r="V221" s="175" t="s">
        <v>220</v>
      </c>
      <c r="W221" s="175" t="s">
        <v>221</v>
      </c>
      <c r="X221" s="175" t="s">
        <v>3827</v>
      </c>
      <c r="Y221" s="175" t="s">
        <v>3828</v>
      </c>
      <c r="Z221" s="175" t="s">
        <v>3829</v>
      </c>
    </row>
    <row r="222" spans="1:26" s="164" customFormat="1" ht="30" customHeight="1" x14ac:dyDescent="0.25">
      <c r="A222" s="177"/>
      <c r="B222" s="178"/>
      <c r="C222" s="176"/>
      <c r="D222" s="174">
        <v>216</v>
      </c>
      <c r="E222" s="175" t="s">
        <v>246</v>
      </c>
      <c r="F222" s="175" t="s">
        <v>247</v>
      </c>
      <c r="G222" s="175" t="s">
        <v>248</v>
      </c>
      <c r="H222" s="175" t="s">
        <v>3830</v>
      </c>
      <c r="I222" s="175" t="s">
        <v>3831</v>
      </c>
      <c r="J222" s="175" t="s">
        <v>3832</v>
      </c>
      <c r="K222" s="175" t="s">
        <v>3833</v>
      </c>
      <c r="L222" s="175" t="s">
        <v>3834</v>
      </c>
      <c r="M222" s="175" t="s">
        <v>3835</v>
      </c>
      <c r="N222" s="175" t="s">
        <v>3836</v>
      </c>
      <c r="O222" s="175" t="s">
        <v>3799</v>
      </c>
      <c r="P222" s="175" t="s">
        <v>3837</v>
      </c>
      <c r="Q222" s="175" t="s">
        <v>3838</v>
      </c>
      <c r="R222" s="175" t="s">
        <v>259</v>
      </c>
      <c r="S222" s="175" t="s">
        <v>260</v>
      </c>
      <c r="T222" s="175" t="s">
        <v>3839</v>
      </c>
      <c r="U222" s="175" t="s">
        <v>3840</v>
      </c>
      <c r="V222" s="175" t="s">
        <v>429</v>
      </c>
      <c r="W222" s="175" t="s">
        <v>893</v>
      </c>
      <c r="X222" s="175" t="s">
        <v>3841</v>
      </c>
      <c r="Y222" s="175" t="s">
        <v>3842</v>
      </c>
      <c r="Z222" s="175" t="s">
        <v>3843</v>
      </c>
    </row>
    <row r="223" spans="1:26" s="164" customFormat="1" ht="30" customHeight="1" x14ac:dyDescent="0.25">
      <c r="A223" s="177"/>
      <c r="B223" s="178"/>
      <c r="C223" s="176"/>
      <c r="D223" s="174">
        <v>217</v>
      </c>
      <c r="E223" s="175" t="s">
        <v>978</v>
      </c>
      <c r="F223" s="175" t="s">
        <v>154</v>
      </c>
      <c r="G223" s="175" t="s">
        <v>291</v>
      </c>
      <c r="H223" s="175" t="s">
        <v>3844</v>
      </c>
      <c r="I223" s="175" t="s">
        <v>3845</v>
      </c>
      <c r="J223" s="175" t="s">
        <v>3846</v>
      </c>
      <c r="K223" s="175" t="s">
        <v>3847</v>
      </c>
      <c r="L223" s="175" t="s">
        <v>3848</v>
      </c>
      <c r="M223" s="175" t="s">
        <v>3849</v>
      </c>
      <c r="N223" s="175" t="s">
        <v>3850</v>
      </c>
      <c r="O223" s="175" t="s">
        <v>3799</v>
      </c>
      <c r="P223" s="175" t="s">
        <v>3851</v>
      </c>
      <c r="Q223" s="175" t="s">
        <v>3852</v>
      </c>
      <c r="R223" s="175" t="s">
        <v>259</v>
      </c>
      <c r="S223" s="175" t="s">
        <v>3853</v>
      </c>
      <c r="T223" s="175" t="s">
        <v>3854</v>
      </c>
      <c r="U223" s="175" t="s">
        <v>304</v>
      </c>
      <c r="V223" s="175" t="s">
        <v>991</v>
      </c>
      <c r="W223" s="175" t="s">
        <v>306</v>
      </c>
      <c r="X223" s="175" t="s">
        <v>3855</v>
      </c>
      <c r="Y223" s="175" t="s">
        <v>3856</v>
      </c>
      <c r="Z223" s="175" t="s">
        <v>3857</v>
      </c>
    </row>
    <row r="224" spans="1:26" s="164" customFormat="1" ht="30" customHeight="1" x14ac:dyDescent="0.25">
      <c r="A224" s="177"/>
      <c r="B224" s="178"/>
      <c r="C224" s="176"/>
      <c r="D224" s="174">
        <v>218</v>
      </c>
      <c r="E224" s="175" t="s">
        <v>324</v>
      </c>
      <c r="F224" s="175" t="s">
        <v>325</v>
      </c>
      <c r="G224" s="175" t="s">
        <v>326</v>
      </c>
      <c r="H224" s="175" t="s">
        <v>3858</v>
      </c>
      <c r="I224" s="175" t="s">
        <v>3859</v>
      </c>
      <c r="J224" s="175" t="s">
        <v>3860</v>
      </c>
      <c r="K224" s="175" t="s">
        <v>3861</v>
      </c>
      <c r="L224" s="175" t="s">
        <v>3862</v>
      </c>
      <c r="M224" s="175" t="s">
        <v>3863</v>
      </c>
      <c r="N224" s="175" t="s">
        <v>868</v>
      </c>
      <c r="O224" s="175" t="s">
        <v>3799</v>
      </c>
      <c r="P224" s="175" t="s">
        <v>3864</v>
      </c>
      <c r="Q224" s="175" t="s">
        <v>3865</v>
      </c>
      <c r="R224" s="175" t="s">
        <v>259</v>
      </c>
      <c r="S224" s="175" t="s">
        <v>337</v>
      </c>
      <c r="T224" s="175" t="s">
        <v>3866</v>
      </c>
      <c r="U224" s="175" t="s">
        <v>3867</v>
      </c>
      <c r="V224" s="175" t="s">
        <v>3868</v>
      </c>
      <c r="W224" s="175" t="s">
        <v>3869</v>
      </c>
      <c r="X224" s="175" t="s">
        <v>3870</v>
      </c>
      <c r="Y224" s="175" t="s">
        <v>3871</v>
      </c>
      <c r="Z224" s="175" t="s">
        <v>3872</v>
      </c>
    </row>
    <row r="225" spans="1:26" s="164" customFormat="1" ht="30" customHeight="1" x14ac:dyDescent="0.25">
      <c r="A225" s="177"/>
      <c r="B225" s="178"/>
      <c r="C225" s="176"/>
      <c r="D225" s="174">
        <v>219</v>
      </c>
      <c r="E225" s="175" t="s">
        <v>385</v>
      </c>
      <c r="F225" s="175" t="s">
        <v>154</v>
      </c>
      <c r="G225" s="175" t="s">
        <v>355</v>
      </c>
      <c r="H225" s="175" t="s">
        <v>3873</v>
      </c>
      <c r="I225" s="175" t="s">
        <v>3874</v>
      </c>
      <c r="J225" s="175" t="s">
        <v>3875</v>
      </c>
      <c r="K225" s="175" t="s">
        <v>3876</v>
      </c>
      <c r="L225" s="175" t="s">
        <v>3877</v>
      </c>
      <c r="M225" s="175" t="s">
        <v>3878</v>
      </c>
      <c r="N225" s="175" t="s">
        <v>725</v>
      </c>
      <c r="O225" s="175" t="s">
        <v>3799</v>
      </c>
      <c r="P225" s="175" t="s">
        <v>3879</v>
      </c>
      <c r="Q225" s="175" t="s">
        <v>3825</v>
      </c>
      <c r="R225" s="175" t="s">
        <v>164</v>
      </c>
      <c r="S225" s="175" t="s">
        <v>3880</v>
      </c>
      <c r="T225" s="175" t="s">
        <v>3881</v>
      </c>
      <c r="U225" s="175" t="s">
        <v>3882</v>
      </c>
      <c r="V225" s="175" t="s">
        <v>3883</v>
      </c>
      <c r="W225" s="175" t="s">
        <v>1497</v>
      </c>
      <c r="X225" s="175" t="s">
        <v>3884</v>
      </c>
      <c r="Y225" s="175" t="s">
        <v>3885</v>
      </c>
      <c r="Z225" s="175" t="s">
        <v>3886</v>
      </c>
    </row>
    <row r="226" spans="1:26" s="164" customFormat="1" ht="30" customHeight="1" x14ac:dyDescent="0.25">
      <c r="A226" s="177"/>
      <c r="B226" s="178"/>
      <c r="C226" s="176"/>
      <c r="D226" s="174">
        <v>220</v>
      </c>
      <c r="E226" s="175" t="s">
        <v>385</v>
      </c>
      <c r="F226" s="175" t="s">
        <v>205</v>
      </c>
      <c r="G226" s="175" t="s">
        <v>386</v>
      </c>
      <c r="H226" s="175" t="s">
        <v>3887</v>
      </c>
      <c r="I226" s="175" t="s">
        <v>3888</v>
      </c>
      <c r="J226" s="175" t="s">
        <v>389</v>
      </c>
      <c r="K226" s="175" t="s">
        <v>3889</v>
      </c>
      <c r="L226" s="175" t="s">
        <v>3890</v>
      </c>
      <c r="M226" s="175" t="s">
        <v>3891</v>
      </c>
      <c r="N226" s="175" t="s">
        <v>3892</v>
      </c>
      <c r="O226" s="175" t="s">
        <v>3799</v>
      </c>
      <c r="P226" s="175" t="s">
        <v>3893</v>
      </c>
      <c r="Q226" s="175" t="s">
        <v>3825</v>
      </c>
      <c r="R226" s="175" t="s">
        <v>164</v>
      </c>
      <c r="S226" s="175" t="s">
        <v>3894</v>
      </c>
      <c r="T226" s="175" t="s">
        <v>1474</v>
      </c>
      <c r="U226" s="175" t="s">
        <v>3895</v>
      </c>
      <c r="V226" s="175" t="s">
        <v>3896</v>
      </c>
      <c r="W226" s="175" t="s">
        <v>400</v>
      </c>
      <c r="X226" s="175" t="s">
        <v>3897</v>
      </c>
      <c r="Y226" s="175" t="s">
        <v>3898</v>
      </c>
      <c r="Z226" s="175" t="s">
        <v>3899</v>
      </c>
    </row>
    <row r="227" spans="1:26" s="164" customFormat="1" ht="30" customHeight="1" x14ac:dyDescent="0.25">
      <c r="A227" s="177"/>
      <c r="B227" s="178"/>
      <c r="C227" s="176"/>
      <c r="D227" s="174">
        <v>221</v>
      </c>
      <c r="E227" s="175" t="s">
        <v>415</v>
      </c>
      <c r="F227" s="175" t="s">
        <v>247</v>
      </c>
      <c r="G227" s="175" t="s">
        <v>416</v>
      </c>
      <c r="H227" s="175" t="s">
        <v>417</v>
      </c>
      <c r="I227" s="175" t="s">
        <v>3900</v>
      </c>
      <c r="J227" s="175" t="s">
        <v>3901</v>
      </c>
      <c r="K227" s="175" t="s">
        <v>3902</v>
      </c>
      <c r="L227" s="175" t="s">
        <v>3903</v>
      </c>
      <c r="M227" s="175" t="s">
        <v>3904</v>
      </c>
      <c r="N227" s="175" t="s">
        <v>3905</v>
      </c>
      <c r="O227" s="175" t="s">
        <v>3799</v>
      </c>
      <c r="P227" s="175" t="s">
        <v>3906</v>
      </c>
      <c r="Q227" s="175" t="s">
        <v>3801</v>
      </c>
      <c r="R227" s="175" t="s">
        <v>164</v>
      </c>
      <c r="S227" s="175" t="s">
        <v>426</v>
      </c>
      <c r="T227" s="175" t="s">
        <v>427</v>
      </c>
      <c r="U227" s="175" t="s">
        <v>428</v>
      </c>
      <c r="V227" s="175" t="s">
        <v>429</v>
      </c>
      <c r="W227" s="175" t="s">
        <v>3907</v>
      </c>
      <c r="X227" s="175" t="s">
        <v>3908</v>
      </c>
      <c r="Y227" s="175" t="s">
        <v>3909</v>
      </c>
      <c r="Z227" s="175" t="s">
        <v>433</v>
      </c>
    </row>
    <row r="228" spans="1:26" s="164" customFormat="1" ht="30" customHeight="1" x14ac:dyDescent="0.25">
      <c r="A228" s="177"/>
      <c r="B228" s="178"/>
      <c r="C228" s="176"/>
      <c r="D228" s="174">
        <v>222</v>
      </c>
      <c r="E228" s="175" t="s">
        <v>444</v>
      </c>
      <c r="F228" s="175" t="s">
        <v>154</v>
      </c>
      <c r="G228" s="175" t="s">
        <v>445</v>
      </c>
      <c r="H228" s="175" t="s">
        <v>3910</v>
      </c>
      <c r="I228" s="175" t="s">
        <v>3911</v>
      </c>
      <c r="J228" s="175" t="s">
        <v>3912</v>
      </c>
      <c r="K228" s="175" t="s">
        <v>3913</v>
      </c>
      <c r="L228" s="175" t="s">
        <v>3914</v>
      </c>
      <c r="M228" s="175" t="s">
        <v>3915</v>
      </c>
      <c r="N228" s="175" t="s">
        <v>3916</v>
      </c>
      <c r="O228" s="175" t="s">
        <v>3799</v>
      </c>
      <c r="P228" s="175" t="s">
        <v>3917</v>
      </c>
      <c r="Q228" s="175" t="s">
        <v>3838</v>
      </c>
      <c r="R228" s="175" t="s">
        <v>259</v>
      </c>
      <c r="S228" s="175" t="s">
        <v>455</v>
      </c>
      <c r="T228" s="175" t="s">
        <v>3918</v>
      </c>
      <c r="U228" s="175" t="s">
        <v>457</v>
      </c>
      <c r="V228" s="175" t="s">
        <v>3919</v>
      </c>
      <c r="W228" s="175" t="s">
        <v>893</v>
      </c>
      <c r="X228" s="175" t="s">
        <v>3920</v>
      </c>
      <c r="Y228" s="175" t="s">
        <v>3921</v>
      </c>
      <c r="Z228" s="175" t="s">
        <v>3922</v>
      </c>
    </row>
    <row r="229" spans="1:26" s="164" customFormat="1" ht="30" customHeight="1" x14ac:dyDescent="0.25">
      <c r="A229" s="177"/>
      <c r="B229" s="178"/>
      <c r="C229" s="176"/>
      <c r="D229" s="174">
        <v>223</v>
      </c>
      <c r="E229" s="175" t="s">
        <v>472</v>
      </c>
      <c r="F229" s="175" t="s">
        <v>247</v>
      </c>
      <c r="G229" s="175" t="s">
        <v>999</v>
      </c>
      <c r="H229" s="175" t="s">
        <v>3923</v>
      </c>
      <c r="I229" s="175" t="s">
        <v>3924</v>
      </c>
      <c r="J229" s="175" t="s">
        <v>3925</v>
      </c>
      <c r="K229" s="175" t="s">
        <v>3926</v>
      </c>
      <c r="L229" s="175" t="s">
        <v>3927</v>
      </c>
      <c r="M229" s="175" t="s">
        <v>3928</v>
      </c>
      <c r="N229" s="175" t="s">
        <v>3929</v>
      </c>
      <c r="O229" s="175" t="s">
        <v>3799</v>
      </c>
      <c r="P229" s="175" t="s">
        <v>3930</v>
      </c>
      <c r="Q229" s="175" t="s">
        <v>3931</v>
      </c>
      <c r="R229" s="175" t="s">
        <v>484</v>
      </c>
      <c r="S229" s="175" t="s">
        <v>472</v>
      </c>
      <c r="T229" s="175" t="s">
        <v>3932</v>
      </c>
      <c r="U229" s="175" t="s">
        <v>487</v>
      </c>
      <c r="V229" s="175" t="s">
        <v>488</v>
      </c>
      <c r="W229" s="175" t="s">
        <v>3933</v>
      </c>
      <c r="X229" s="175" t="s">
        <v>3934</v>
      </c>
      <c r="Y229" s="175" t="s">
        <v>3935</v>
      </c>
      <c r="Z229" s="175" t="s">
        <v>3936</v>
      </c>
    </row>
    <row r="230" spans="1:26" s="164" customFormat="1" ht="30" customHeight="1" x14ac:dyDescent="0.25">
      <c r="A230" s="177"/>
      <c r="B230" s="178"/>
      <c r="C230" s="176"/>
      <c r="D230" s="174">
        <v>224</v>
      </c>
      <c r="E230" s="175" t="s">
        <v>506</v>
      </c>
      <c r="F230" s="175" t="s">
        <v>247</v>
      </c>
      <c r="G230" s="175" t="s">
        <v>507</v>
      </c>
      <c r="H230" s="175" t="s">
        <v>3937</v>
      </c>
      <c r="I230" s="175" t="s">
        <v>3938</v>
      </c>
      <c r="J230" s="175" t="s">
        <v>3939</v>
      </c>
      <c r="K230" s="175" t="s">
        <v>3940</v>
      </c>
      <c r="L230" s="175" t="s">
        <v>3941</v>
      </c>
      <c r="M230" s="175" t="s">
        <v>3942</v>
      </c>
      <c r="N230" s="175" t="s">
        <v>3943</v>
      </c>
      <c r="O230" s="175" t="s">
        <v>3799</v>
      </c>
      <c r="P230" s="175" t="s">
        <v>3944</v>
      </c>
      <c r="Q230" s="175" t="s">
        <v>3945</v>
      </c>
      <c r="R230" s="175" t="s">
        <v>164</v>
      </c>
      <c r="S230" s="175" t="s">
        <v>3946</v>
      </c>
      <c r="T230" s="175" t="s">
        <v>3947</v>
      </c>
      <c r="U230" s="175" t="s">
        <v>519</v>
      </c>
      <c r="V230" s="175" t="s">
        <v>2385</v>
      </c>
      <c r="W230" s="175" t="s">
        <v>521</v>
      </c>
      <c r="X230" s="175" t="s">
        <v>3948</v>
      </c>
      <c r="Y230" s="175" t="s">
        <v>3949</v>
      </c>
      <c r="Z230" s="175" t="s">
        <v>1093</v>
      </c>
    </row>
    <row r="231" spans="1:26" s="164" customFormat="1" ht="30" customHeight="1" x14ac:dyDescent="0.25">
      <c r="A231" s="177"/>
      <c r="B231" s="178"/>
      <c r="C231" s="176"/>
      <c r="D231" s="174">
        <v>225</v>
      </c>
      <c r="E231" s="175" t="s">
        <v>798</v>
      </c>
      <c r="F231" s="175" t="s">
        <v>325</v>
      </c>
      <c r="G231" s="175" t="s">
        <v>535</v>
      </c>
      <c r="H231" s="175" t="s">
        <v>3950</v>
      </c>
      <c r="I231" s="175" t="s">
        <v>3951</v>
      </c>
      <c r="J231" s="175" t="s">
        <v>3952</v>
      </c>
      <c r="K231" s="175" t="s">
        <v>3953</v>
      </c>
      <c r="L231" s="175" t="s">
        <v>3954</v>
      </c>
      <c r="M231" s="175" t="s">
        <v>3955</v>
      </c>
      <c r="N231" s="175" t="s">
        <v>3956</v>
      </c>
      <c r="O231" s="175" t="s">
        <v>3799</v>
      </c>
      <c r="P231" s="175" t="s">
        <v>3957</v>
      </c>
      <c r="Q231" s="175" t="s">
        <v>3958</v>
      </c>
      <c r="R231" s="175" t="s">
        <v>484</v>
      </c>
      <c r="S231" s="175" t="s">
        <v>534</v>
      </c>
      <c r="T231" s="175" t="s">
        <v>3959</v>
      </c>
      <c r="U231" s="175" t="s">
        <v>548</v>
      </c>
      <c r="V231" s="175" t="s">
        <v>3960</v>
      </c>
      <c r="W231" s="175" t="s">
        <v>550</v>
      </c>
      <c r="X231" s="175" t="s">
        <v>3961</v>
      </c>
      <c r="Y231" s="175" t="s">
        <v>3962</v>
      </c>
      <c r="Z231" s="175" t="s">
        <v>3963</v>
      </c>
    </row>
    <row r="232" spans="1:26" s="164" customFormat="1" ht="30" customHeight="1" x14ac:dyDescent="0.25">
      <c r="A232" s="177"/>
      <c r="B232" s="178"/>
      <c r="C232" s="176"/>
      <c r="D232" s="174">
        <v>226</v>
      </c>
      <c r="E232" s="175" t="s">
        <v>385</v>
      </c>
      <c r="F232" s="175" t="s">
        <v>570</v>
      </c>
      <c r="G232" s="175" t="s">
        <v>571</v>
      </c>
      <c r="H232" s="175" t="s">
        <v>3964</v>
      </c>
      <c r="I232" s="175" t="s">
        <v>3965</v>
      </c>
      <c r="J232" s="175" t="s">
        <v>574</v>
      </c>
      <c r="K232" s="175" t="s">
        <v>3966</v>
      </c>
      <c r="L232" s="175" t="s">
        <v>3967</v>
      </c>
      <c r="M232" s="175" t="s">
        <v>3968</v>
      </c>
      <c r="N232" s="175" t="s">
        <v>1431</v>
      </c>
      <c r="O232" s="175" t="s">
        <v>3799</v>
      </c>
      <c r="P232" s="175" t="s">
        <v>3969</v>
      </c>
      <c r="Q232" s="175" t="s">
        <v>3825</v>
      </c>
      <c r="R232" s="175" t="s">
        <v>164</v>
      </c>
      <c r="S232" s="175" t="s">
        <v>2878</v>
      </c>
      <c r="T232" s="175" t="s">
        <v>3970</v>
      </c>
      <c r="U232" s="175" t="s">
        <v>3971</v>
      </c>
      <c r="V232" s="175" t="s">
        <v>584</v>
      </c>
      <c r="W232" s="175" t="s">
        <v>3972</v>
      </c>
      <c r="X232" s="175" t="s">
        <v>3973</v>
      </c>
      <c r="Y232" s="175" t="s">
        <v>3974</v>
      </c>
      <c r="Z232" s="175" t="s">
        <v>3975</v>
      </c>
    </row>
    <row r="233" spans="1:26" s="164" customFormat="1" ht="30" customHeight="1" x14ac:dyDescent="0.25">
      <c r="A233" s="177"/>
      <c r="B233" s="178"/>
      <c r="C233" s="176"/>
      <c r="D233" s="174">
        <v>227</v>
      </c>
      <c r="E233" s="175" t="s">
        <v>959</v>
      </c>
      <c r="F233" s="175" t="s">
        <v>154</v>
      </c>
      <c r="G233" s="175" t="s">
        <v>601</v>
      </c>
      <c r="H233" s="175" t="s">
        <v>3976</v>
      </c>
      <c r="I233" s="175" t="s">
        <v>3977</v>
      </c>
      <c r="J233" s="175" t="s">
        <v>3978</v>
      </c>
      <c r="K233" s="175" t="s">
        <v>3979</v>
      </c>
      <c r="L233" s="175" t="s">
        <v>3980</v>
      </c>
      <c r="M233" s="175" t="s">
        <v>3981</v>
      </c>
      <c r="N233" s="175" t="s">
        <v>3982</v>
      </c>
      <c r="O233" s="175" t="s">
        <v>3799</v>
      </c>
      <c r="P233" s="175" t="s">
        <v>3983</v>
      </c>
      <c r="Q233" s="175" t="s">
        <v>3825</v>
      </c>
      <c r="R233" s="175" t="s">
        <v>164</v>
      </c>
      <c r="S233" s="175" t="s">
        <v>2898</v>
      </c>
      <c r="T233" s="175" t="s">
        <v>3984</v>
      </c>
      <c r="U233" s="175" t="s">
        <v>1241</v>
      </c>
      <c r="V233" s="175" t="s">
        <v>614</v>
      </c>
      <c r="W233" s="175" t="s">
        <v>615</v>
      </c>
      <c r="X233" s="175" t="s">
        <v>3985</v>
      </c>
      <c r="Y233" s="175" t="s">
        <v>3986</v>
      </c>
      <c r="Z233" s="175" t="s">
        <v>3987</v>
      </c>
    </row>
    <row r="234" spans="1:26" s="164" customFormat="1" ht="30" customHeight="1" x14ac:dyDescent="0.25">
      <c r="A234" s="177"/>
      <c r="B234" s="178"/>
      <c r="C234" s="176"/>
      <c r="D234" s="174">
        <v>228</v>
      </c>
      <c r="E234" s="175" t="s">
        <v>3988</v>
      </c>
      <c r="F234" s="175" t="s">
        <v>247</v>
      </c>
      <c r="G234" s="175" t="s">
        <v>628</v>
      </c>
      <c r="H234" s="175" t="s">
        <v>3989</v>
      </c>
      <c r="I234" s="175" t="s">
        <v>3990</v>
      </c>
      <c r="J234" s="175" t="s">
        <v>631</v>
      </c>
      <c r="K234" s="175" t="s">
        <v>3991</v>
      </c>
      <c r="L234" s="175" t="s">
        <v>3992</v>
      </c>
      <c r="M234" s="175" t="s">
        <v>3993</v>
      </c>
      <c r="N234" s="175" t="s">
        <v>3994</v>
      </c>
      <c r="O234" s="175" t="s">
        <v>3799</v>
      </c>
      <c r="P234" s="175" t="s">
        <v>3995</v>
      </c>
      <c r="Q234" s="175" t="s">
        <v>3852</v>
      </c>
      <c r="R234" s="175" t="s">
        <v>484</v>
      </c>
      <c r="S234" s="175" t="s">
        <v>3996</v>
      </c>
      <c r="T234" s="175" t="s">
        <v>639</v>
      </c>
      <c r="U234" s="175" t="s">
        <v>640</v>
      </c>
      <c r="V234" s="175" t="s">
        <v>3997</v>
      </c>
      <c r="W234" s="175" t="s">
        <v>3998</v>
      </c>
      <c r="X234" s="175" t="s">
        <v>3999</v>
      </c>
      <c r="Y234" s="175" t="s">
        <v>4000</v>
      </c>
      <c r="Z234" s="175" t="s">
        <v>4001</v>
      </c>
    </row>
    <row r="235" spans="1:26" s="164" customFormat="1" ht="30" customHeight="1" x14ac:dyDescent="0.25">
      <c r="A235" s="177"/>
      <c r="B235" s="178"/>
      <c r="C235" s="176"/>
      <c r="D235" s="174">
        <v>229</v>
      </c>
      <c r="E235" s="175" t="s">
        <v>246</v>
      </c>
      <c r="F235" s="175" t="s">
        <v>247</v>
      </c>
      <c r="G235" s="175" t="s">
        <v>659</v>
      </c>
      <c r="H235" s="175" t="s">
        <v>4002</v>
      </c>
      <c r="I235" s="175" t="s">
        <v>4003</v>
      </c>
      <c r="J235" s="175" t="s">
        <v>4004</v>
      </c>
      <c r="K235" s="175" t="s">
        <v>4005</v>
      </c>
      <c r="L235" s="175" t="s">
        <v>4006</v>
      </c>
      <c r="M235" s="175" t="s">
        <v>4007</v>
      </c>
      <c r="N235" s="175" t="s">
        <v>4008</v>
      </c>
      <c r="O235" s="175" t="s">
        <v>3799</v>
      </c>
      <c r="P235" s="175" t="s">
        <v>4009</v>
      </c>
      <c r="Q235" s="175" t="s">
        <v>3931</v>
      </c>
      <c r="R235" s="175" t="s">
        <v>259</v>
      </c>
      <c r="S235" s="175" t="s">
        <v>4010</v>
      </c>
      <c r="T235" s="175" t="s">
        <v>670</v>
      </c>
      <c r="U235" s="175" t="s">
        <v>671</v>
      </c>
      <c r="V235" s="175" t="s">
        <v>4011</v>
      </c>
      <c r="W235" s="175" t="s">
        <v>2107</v>
      </c>
      <c r="X235" s="175" t="s">
        <v>4012</v>
      </c>
      <c r="Y235" s="175" t="s">
        <v>4013</v>
      </c>
      <c r="Z235" s="175" t="s">
        <v>4014</v>
      </c>
    </row>
    <row r="236" spans="1:26" s="164" customFormat="1" ht="30" customHeight="1" x14ac:dyDescent="0.25">
      <c r="A236" s="177"/>
      <c r="B236" s="178"/>
      <c r="C236" s="176"/>
      <c r="D236" s="174">
        <v>230</v>
      </c>
      <c r="E236" s="175" t="s">
        <v>506</v>
      </c>
      <c r="F236" s="175" t="s">
        <v>247</v>
      </c>
      <c r="G236" s="175" t="s">
        <v>692</v>
      </c>
      <c r="H236" s="175" t="s">
        <v>4015</v>
      </c>
      <c r="I236" s="175" t="s">
        <v>4016</v>
      </c>
      <c r="J236" s="175" t="s">
        <v>4017</v>
      </c>
      <c r="K236" s="175" t="s">
        <v>4018</v>
      </c>
      <c r="L236" s="175" t="s">
        <v>4019</v>
      </c>
      <c r="M236" s="175" t="s">
        <v>4020</v>
      </c>
      <c r="N236" s="175" t="s">
        <v>4021</v>
      </c>
      <c r="O236" s="175" t="s">
        <v>3799</v>
      </c>
      <c r="P236" s="175" t="s">
        <v>4022</v>
      </c>
      <c r="Q236" s="175" t="s">
        <v>3945</v>
      </c>
      <c r="R236" s="175" t="s">
        <v>164</v>
      </c>
      <c r="S236" s="175" t="s">
        <v>4023</v>
      </c>
      <c r="T236" s="175" t="s">
        <v>4024</v>
      </c>
      <c r="U236" s="175" t="s">
        <v>704</v>
      </c>
      <c r="V236" s="175" t="s">
        <v>705</v>
      </c>
      <c r="W236" s="175" t="s">
        <v>521</v>
      </c>
      <c r="X236" s="175" t="s">
        <v>4025</v>
      </c>
      <c r="Y236" s="175" t="s">
        <v>4026</v>
      </c>
      <c r="Z236" s="175" t="s">
        <v>4027</v>
      </c>
    </row>
    <row r="237" spans="1:26" s="164" customFormat="1" ht="30" customHeight="1" x14ac:dyDescent="0.25">
      <c r="A237" s="177"/>
      <c r="B237" s="178"/>
      <c r="C237" s="176"/>
      <c r="D237" s="174">
        <v>231</v>
      </c>
      <c r="E237" s="175" t="s">
        <v>385</v>
      </c>
      <c r="F237" s="175" t="s">
        <v>205</v>
      </c>
      <c r="G237" s="175" t="s">
        <v>4028</v>
      </c>
      <c r="H237" s="175" t="s">
        <v>3351</v>
      </c>
      <c r="I237" s="175" t="s">
        <v>4029</v>
      </c>
      <c r="J237" s="175" t="s">
        <v>3353</v>
      </c>
      <c r="K237" s="175" t="s">
        <v>4030</v>
      </c>
      <c r="L237" s="175" t="s">
        <v>4031</v>
      </c>
      <c r="M237" s="175" t="s">
        <v>4032</v>
      </c>
      <c r="N237" s="175" t="s">
        <v>4033</v>
      </c>
      <c r="O237" s="175" t="s">
        <v>3799</v>
      </c>
      <c r="P237" s="175" t="s">
        <v>4034</v>
      </c>
      <c r="Q237" s="175" t="s">
        <v>4035</v>
      </c>
      <c r="R237" s="175" t="s">
        <v>259</v>
      </c>
      <c r="S237" s="175" t="s">
        <v>4036</v>
      </c>
      <c r="T237" s="175" t="s">
        <v>4037</v>
      </c>
      <c r="U237" s="175" t="s">
        <v>730</v>
      </c>
      <c r="V237" s="175" t="s">
        <v>4038</v>
      </c>
      <c r="W237" s="175" t="s">
        <v>1497</v>
      </c>
      <c r="X237" s="175" t="s">
        <v>4039</v>
      </c>
      <c r="Y237" s="175" t="s">
        <v>4040</v>
      </c>
      <c r="Z237" s="175" t="s">
        <v>4041</v>
      </c>
    </row>
    <row r="238" spans="1:26" s="164" customFormat="1" ht="30" customHeight="1" x14ac:dyDescent="0.25">
      <c r="A238" s="177"/>
      <c r="B238" s="178"/>
      <c r="C238" s="176"/>
      <c r="D238" s="174">
        <v>232</v>
      </c>
      <c r="E238" s="175" t="s">
        <v>739</v>
      </c>
      <c r="F238" s="175" t="s">
        <v>325</v>
      </c>
      <c r="G238" s="175" t="s">
        <v>740</v>
      </c>
      <c r="H238" s="175" t="s">
        <v>4042</v>
      </c>
      <c r="I238" s="175" t="s">
        <v>4043</v>
      </c>
      <c r="J238" s="175" t="s">
        <v>4044</v>
      </c>
      <c r="K238" s="175" t="s">
        <v>4045</v>
      </c>
      <c r="L238" s="175" t="s">
        <v>4046</v>
      </c>
      <c r="M238" s="175" t="s">
        <v>4047</v>
      </c>
      <c r="N238" s="175" t="s">
        <v>926</v>
      </c>
      <c r="O238" s="175" t="s">
        <v>3799</v>
      </c>
      <c r="P238" s="175" t="s">
        <v>4048</v>
      </c>
      <c r="Q238" s="175" t="s">
        <v>4049</v>
      </c>
      <c r="R238" s="175" t="s">
        <v>164</v>
      </c>
      <c r="S238" s="175" t="s">
        <v>4050</v>
      </c>
      <c r="T238" s="175" t="s">
        <v>929</v>
      </c>
      <c r="U238" s="175" t="s">
        <v>4051</v>
      </c>
      <c r="V238" s="175" t="s">
        <v>753</v>
      </c>
      <c r="W238" s="175" t="s">
        <v>754</v>
      </c>
      <c r="X238" s="175" t="s">
        <v>4052</v>
      </c>
      <c r="Y238" s="175" t="s">
        <v>4053</v>
      </c>
      <c r="Z238" s="175" t="s">
        <v>4054</v>
      </c>
    </row>
    <row r="239" spans="1:26" s="164" customFormat="1" ht="30" customHeight="1" x14ac:dyDescent="0.25">
      <c r="A239" s="177"/>
      <c r="B239" s="178"/>
      <c r="C239" s="176"/>
      <c r="D239" s="174">
        <v>233</v>
      </c>
      <c r="E239" s="175" t="s">
        <v>765</v>
      </c>
      <c r="F239" s="175" t="s">
        <v>154</v>
      </c>
      <c r="G239" s="175" t="s">
        <v>766</v>
      </c>
      <c r="H239" s="175" t="s">
        <v>3252</v>
      </c>
      <c r="I239" s="175" t="s">
        <v>4055</v>
      </c>
      <c r="J239" s="175" t="s">
        <v>4056</v>
      </c>
      <c r="K239" s="175" t="s">
        <v>4057</v>
      </c>
      <c r="L239" s="175" t="s">
        <v>4058</v>
      </c>
      <c r="M239" s="175" t="s">
        <v>4059</v>
      </c>
      <c r="N239" s="175" t="s">
        <v>1147</v>
      </c>
      <c r="O239" s="175" t="s">
        <v>3799</v>
      </c>
      <c r="P239" s="175" t="s">
        <v>4060</v>
      </c>
      <c r="Q239" s="175" t="s">
        <v>3801</v>
      </c>
      <c r="R239" s="175" t="s">
        <v>164</v>
      </c>
      <c r="S239" s="175" t="s">
        <v>776</v>
      </c>
      <c r="T239" s="175" t="s">
        <v>4061</v>
      </c>
      <c r="U239" s="175" t="s">
        <v>778</v>
      </c>
      <c r="V239" s="175" t="s">
        <v>779</v>
      </c>
      <c r="W239" s="175" t="s">
        <v>780</v>
      </c>
      <c r="X239" s="175" t="s">
        <v>4062</v>
      </c>
      <c r="Y239" s="175" t="s">
        <v>4063</v>
      </c>
      <c r="Z239" s="175" t="s">
        <v>4064</v>
      </c>
    </row>
    <row r="240" spans="1:26" s="164" customFormat="1" ht="30" customHeight="1" x14ac:dyDescent="0.25">
      <c r="A240" s="177"/>
      <c r="B240" s="178"/>
      <c r="C240" s="176"/>
      <c r="D240" s="174">
        <v>234</v>
      </c>
      <c r="E240" s="175" t="s">
        <v>836</v>
      </c>
      <c r="F240" s="175" t="s">
        <v>570</v>
      </c>
      <c r="G240" s="175" t="s">
        <v>4065</v>
      </c>
      <c r="H240" s="175" t="s">
        <v>4066</v>
      </c>
      <c r="I240" s="175" t="s">
        <v>4067</v>
      </c>
      <c r="J240" s="175" t="s">
        <v>4068</v>
      </c>
      <c r="K240" s="175" t="s">
        <v>4069</v>
      </c>
      <c r="L240" s="175" t="s">
        <v>4070</v>
      </c>
      <c r="M240" s="175" t="s">
        <v>4071</v>
      </c>
      <c r="N240" s="175" t="s">
        <v>4072</v>
      </c>
      <c r="O240" s="175" t="s">
        <v>3799</v>
      </c>
      <c r="P240" s="175" t="s">
        <v>4073</v>
      </c>
      <c r="Q240" s="175" t="s">
        <v>3865</v>
      </c>
      <c r="R240" s="175" t="s">
        <v>164</v>
      </c>
      <c r="S240" s="175" t="s">
        <v>4074</v>
      </c>
      <c r="T240" s="175" t="s">
        <v>4075</v>
      </c>
      <c r="U240" s="175" t="s">
        <v>4076</v>
      </c>
      <c r="V240" s="175" t="s">
        <v>4077</v>
      </c>
      <c r="W240" s="175" t="s">
        <v>893</v>
      </c>
      <c r="X240" s="175" t="s">
        <v>4078</v>
      </c>
      <c r="Y240" s="175" t="s">
        <v>4079</v>
      </c>
      <c r="Z240" s="175" t="s">
        <v>4080</v>
      </c>
    </row>
    <row r="241" spans="1:26" s="164" customFormat="1" ht="30" customHeight="1" x14ac:dyDescent="0.25">
      <c r="A241" s="177"/>
      <c r="B241" s="178"/>
      <c r="C241" s="176"/>
      <c r="D241" s="174">
        <v>235</v>
      </c>
      <c r="E241" s="175" t="s">
        <v>415</v>
      </c>
      <c r="F241" s="175" t="s">
        <v>205</v>
      </c>
      <c r="G241" s="175" t="s">
        <v>4081</v>
      </c>
      <c r="H241" s="175" t="s">
        <v>4082</v>
      </c>
      <c r="I241" s="175" t="s">
        <v>4083</v>
      </c>
      <c r="J241" s="175" t="s">
        <v>4084</v>
      </c>
      <c r="K241" s="175" t="s">
        <v>4085</v>
      </c>
      <c r="L241" s="175" t="s">
        <v>4086</v>
      </c>
      <c r="M241" s="175" t="s">
        <v>4087</v>
      </c>
      <c r="N241" s="175" t="s">
        <v>4088</v>
      </c>
      <c r="O241" s="175" t="s">
        <v>3799</v>
      </c>
      <c r="P241" s="175" t="s">
        <v>4089</v>
      </c>
      <c r="Q241" s="175" t="s">
        <v>3838</v>
      </c>
      <c r="R241" s="175" t="s">
        <v>259</v>
      </c>
      <c r="S241" s="175" t="s">
        <v>4090</v>
      </c>
      <c r="T241" s="175" t="s">
        <v>4091</v>
      </c>
      <c r="U241" s="175" t="s">
        <v>4092</v>
      </c>
      <c r="V241" s="175" t="s">
        <v>4093</v>
      </c>
      <c r="W241" s="175" t="s">
        <v>4094</v>
      </c>
      <c r="X241" s="175" t="s">
        <v>4095</v>
      </c>
      <c r="Y241" s="175" t="s">
        <v>4096</v>
      </c>
      <c r="Z241" s="175" t="s">
        <v>4097</v>
      </c>
    </row>
    <row r="242" spans="1:26" s="164" customFormat="1" ht="30" customHeight="1" x14ac:dyDescent="0.25">
      <c r="A242" s="177"/>
      <c r="B242" s="178"/>
      <c r="C242" s="176"/>
      <c r="D242" s="174">
        <v>236</v>
      </c>
      <c r="E242" s="175" t="s">
        <v>324</v>
      </c>
      <c r="F242" s="175" t="s">
        <v>205</v>
      </c>
      <c r="G242" s="175" t="s">
        <v>4098</v>
      </c>
      <c r="H242" s="175" t="s">
        <v>4099</v>
      </c>
      <c r="I242" s="175" t="s">
        <v>4100</v>
      </c>
      <c r="J242" s="175" t="s">
        <v>4101</v>
      </c>
      <c r="K242" s="175" t="s">
        <v>4102</v>
      </c>
      <c r="L242" s="175" t="s">
        <v>4103</v>
      </c>
      <c r="M242" s="175" t="s">
        <v>4104</v>
      </c>
      <c r="N242" s="175" t="s">
        <v>4105</v>
      </c>
      <c r="O242" s="175" t="s">
        <v>3799</v>
      </c>
      <c r="P242" s="175" t="s">
        <v>4106</v>
      </c>
      <c r="Q242" s="175" t="s">
        <v>3852</v>
      </c>
      <c r="R242" s="175" t="s">
        <v>259</v>
      </c>
      <c r="S242" s="175" t="s">
        <v>4107</v>
      </c>
      <c r="T242" s="175" t="s">
        <v>4108</v>
      </c>
      <c r="U242" s="175" t="s">
        <v>4109</v>
      </c>
      <c r="V242" s="175" t="s">
        <v>4110</v>
      </c>
      <c r="W242" s="175" t="s">
        <v>521</v>
      </c>
      <c r="X242" s="175" t="s">
        <v>4111</v>
      </c>
      <c r="Y242" s="175" t="s">
        <v>4112</v>
      </c>
      <c r="Z242" s="175" t="s">
        <v>4113</v>
      </c>
    </row>
    <row r="243" spans="1:26" s="164" customFormat="1" ht="30" customHeight="1" x14ac:dyDescent="0.25">
      <c r="A243" s="177"/>
      <c r="B243" s="178"/>
      <c r="C243" s="176"/>
      <c r="D243" s="174">
        <v>237</v>
      </c>
      <c r="E243" s="175" t="s">
        <v>472</v>
      </c>
      <c r="F243" s="175" t="s">
        <v>154</v>
      </c>
      <c r="G243" s="175" t="s">
        <v>4114</v>
      </c>
      <c r="H243" s="175" t="s">
        <v>4115</v>
      </c>
      <c r="I243" s="175" t="s">
        <v>4116</v>
      </c>
      <c r="J243" s="175" t="s">
        <v>4117</v>
      </c>
      <c r="K243" s="175" t="s">
        <v>4118</v>
      </c>
      <c r="L243" s="175" t="s">
        <v>4119</v>
      </c>
      <c r="M243" s="175" t="s">
        <v>4120</v>
      </c>
      <c r="N243" s="175" t="s">
        <v>4121</v>
      </c>
      <c r="O243" s="175" t="s">
        <v>3799</v>
      </c>
      <c r="P243" s="175" t="s">
        <v>4122</v>
      </c>
      <c r="Q243" s="175" t="s">
        <v>4123</v>
      </c>
      <c r="R243" s="175" t="s">
        <v>484</v>
      </c>
      <c r="S243" s="175" t="s">
        <v>4124</v>
      </c>
      <c r="T243" s="175" t="s">
        <v>4125</v>
      </c>
      <c r="U243" s="175" t="s">
        <v>4126</v>
      </c>
      <c r="V243" s="175" t="s">
        <v>4127</v>
      </c>
      <c r="W243" s="175" t="s">
        <v>4128</v>
      </c>
      <c r="X243" s="175" t="s">
        <v>4129</v>
      </c>
      <c r="Y243" s="175" t="s">
        <v>4130</v>
      </c>
      <c r="Z243" s="175" t="s">
        <v>4131</v>
      </c>
    </row>
    <row r="244" spans="1:26" s="164" customFormat="1" ht="30" customHeight="1" x14ac:dyDescent="0.25">
      <c r="A244" s="177"/>
      <c r="B244" s="178"/>
      <c r="C244" s="176"/>
      <c r="D244" s="174">
        <v>238</v>
      </c>
      <c r="E244" s="175" t="s">
        <v>978</v>
      </c>
      <c r="F244" s="175" t="s">
        <v>325</v>
      </c>
      <c r="G244" s="175" t="s">
        <v>4132</v>
      </c>
      <c r="H244" s="175" t="s">
        <v>4133</v>
      </c>
      <c r="I244" s="175" t="s">
        <v>4134</v>
      </c>
      <c r="J244" s="175" t="s">
        <v>4135</v>
      </c>
      <c r="K244" s="175" t="s">
        <v>4136</v>
      </c>
      <c r="L244" s="175" t="s">
        <v>4137</v>
      </c>
      <c r="M244" s="175" t="s">
        <v>4138</v>
      </c>
      <c r="N244" s="175" t="s">
        <v>4139</v>
      </c>
      <c r="O244" s="175" t="s">
        <v>3799</v>
      </c>
      <c r="P244" s="175" t="s">
        <v>4140</v>
      </c>
      <c r="Q244" s="175" t="s">
        <v>3958</v>
      </c>
      <c r="R244" s="175" t="s">
        <v>259</v>
      </c>
      <c r="S244" s="175" t="s">
        <v>4141</v>
      </c>
      <c r="T244" s="175" t="s">
        <v>4142</v>
      </c>
      <c r="U244" s="175" t="s">
        <v>4143</v>
      </c>
      <c r="V244" s="175" t="s">
        <v>4144</v>
      </c>
      <c r="W244" s="175" t="s">
        <v>4145</v>
      </c>
      <c r="X244" s="175" t="s">
        <v>4146</v>
      </c>
      <c r="Y244" s="175" t="s">
        <v>4147</v>
      </c>
      <c r="Z244" s="175" t="s">
        <v>4148</v>
      </c>
    </row>
    <row r="245" spans="1:26" s="164" customFormat="1" ht="30" customHeight="1" x14ac:dyDescent="0.25">
      <c r="A245" s="177"/>
      <c r="B245" s="178"/>
      <c r="C245" s="176"/>
      <c r="D245" s="174">
        <v>239</v>
      </c>
      <c r="E245" s="175" t="s">
        <v>739</v>
      </c>
      <c r="F245" s="175" t="s">
        <v>154</v>
      </c>
      <c r="G245" s="175" t="s">
        <v>4149</v>
      </c>
      <c r="H245" s="175" t="s">
        <v>4150</v>
      </c>
      <c r="I245" s="175" t="s">
        <v>4151</v>
      </c>
      <c r="J245" s="175" t="s">
        <v>4152</v>
      </c>
      <c r="K245" s="175" t="s">
        <v>4153</v>
      </c>
      <c r="L245" s="175" t="s">
        <v>4154</v>
      </c>
      <c r="M245" s="175" t="s">
        <v>4155</v>
      </c>
      <c r="N245" s="175" t="s">
        <v>4156</v>
      </c>
      <c r="O245" s="175" t="s">
        <v>3799</v>
      </c>
      <c r="P245" s="175" t="s">
        <v>4157</v>
      </c>
      <c r="Q245" s="175" t="s">
        <v>4158</v>
      </c>
      <c r="R245" s="175" t="s">
        <v>259</v>
      </c>
      <c r="S245" s="175" t="s">
        <v>4159</v>
      </c>
      <c r="T245" s="175" t="s">
        <v>4160</v>
      </c>
      <c r="U245" s="175" t="s">
        <v>4161</v>
      </c>
      <c r="V245" s="175" t="s">
        <v>4162</v>
      </c>
      <c r="W245" s="175" t="s">
        <v>4163</v>
      </c>
      <c r="X245" s="175" t="s">
        <v>4164</v>
      </c>
      <c r="Y245" s="175" t="s">
        <v>3921</v>
      </c>
      <c r="Z245" s="175" t="s">
        <v>4165</v>
      </c>
    </row>
    <row r="246" spans="1:26" s="164" customFormat="1" ht="30" customHeight="1" x14ac:dyDescent="0.25">
      <c r="A246" s="177"/>
      <c r="B246" s="178"/>
      <c r="C246" s="176"/>
      <c r="D246" s="174">
        <v>240</v>
      </c>
      <c r="E246" s="175" t="s">
        <v>959</v>
      </c>
      <c r="F246" s="175" t="s">
        <v>570</v>
      </c>
      <c r="G246" s="175" t="s">
        <v>4166</v>
      </c>
      <c r="H246" s="175" t="s">
        <v>4167</v>
      </c>
      <c r="I246" s="175" t="s">
        <v>4168</v>
      </c>
      <c r="J246" s="175" t="s">
        <v>4169</v>
      </c>
      <c r="K246" s="175" t="s">
        <v>4170</v>
      </c>
      <c r="L246" s="175" t="s">
        <v>4171</v>
      </c>
      <c r="M246" s="175" t="s">
        <v>4172</v>
      </c>
      <c r="N246" s="175" t="s">
        <v>4173</v>
      </c>
      <c r="O246" s="175" t="s">
        <v>3799</v>
      </c>
      <c r="P246" s="175" t="s">
        <v>4174</v>
      </c>
      <c r="Q246" s="175" t="s">
        <v>3825</v>
      </c>
      <c r="R246" s="175" t="s">
        <v>259</v>
      </c>
      <c r="S246" s="175" t="s">
        <v>4175</v>
      </c>
      <c r="T246" s="175" t="s">
        <v>4176</v>
      </c>
      <c r="U246" s="175" t="s">
        <v>4177</v>
      </c>
      <c r="V246" s="175" t="s">
        <v>4178</v>
      </c>
      <c r="W246" s="175" t="s">
        <v>1780</v>
      </c>
      <c r="X246" s="175" t="s">
        <v>4179</v>
      </c>
      <c r="Y246" s="175" t="s">
        <v>4180</v>
      </c>
      <c r="Z246" s="175" t="s">
        <v>4181</v>
      </c>
    </row>
    <row r="247" spans="1:26" s="164" customFormat="1" ht="30" customHeight="1" x14ac:dyDescent="0.25">
      <c r="A247" s="177"/>
      <c r="B247" s="178"/>
      <c r="C247" s="176"/>
      <c r="D247" s="174">
        <v>241</v>
      </c>
      <c r="E247" s="175" t="s">
        <v>444</v>
      </c>
      <c r="F247" s="175" t="s">
        <v>205</v>
      </c>
      <c r="G247" s="175" t="s">
        <v>4182</v>
      </c>
      <c r="H247" s="175" t="s">
        <v>4183</v>
      </c>
      <c r="I247" s="175" t="s">
        <v>4184</v>
      </c>
      <c r="J247" s="175" t="s">
        <v>4185</v>
      </c>
      <c r="K247" s="175" t="s">
        <v>4186</v>
      </c>
      <c r="L247" s="175" t="s">
        <v>4187</v>
      </c>
      <c r="M247" s="175" t="s">
        <v>4188</v>
      </c>
      <c r="N247" s="175" t="s">
        <v>4189</v>
      </c>
      <c r="O247" s="175" t="s">
        <v>3799</v>
      </c>
      <c r="P247" s="175" t="s">
        <v>4190</v>
      </c>
      <c r="Q247" s="175" t="s">
        <v>4191</v>
      </c>
      <c r="R247" s="175" t="s">
        <v>164</v>
      </c>
      <c r="S247" s="175" t="s">
        <v>4192</v>
      </c>
      <c r="T247" s="175" t="s">
        <v>4193</v>
      </c>
      <c r="U247" s="175" t="s">
        <v>4194</v>
      </c>
      <c r="V247" s="175" t="s">
        <v>1227</v>
      </c>
      <c r="W247" s="175" t="s">
        <v>521</v>
      </c>
      <c r="X247" s="175" t="s">
        <v>4195</v>
      </c>
      <c r="Y247" s="175" t="s">
        <v>4196</v>
      </c>
      <c r="Z247" s="175" t="s">
        <v>4197</v>
      </c>
    </row>
    <row r="248" spans="1:26" s="164" customFormat="1" ht="30" customHeight="1" x14ac:dyDescent="0.25">
      <c r="A248" s="177"/>
      <c r="B248" s="178"/>
      <c r="C248" s="176"/>
      <c r="D248" s="174">
        <v>242</v>
      </c>
      <c r="E248" s="175" t="s">
        <v>798</v>
      </c>
      <c r="F248" s="175" t="s">
        <v>154</v>
      </c>
      <c r="G248" s="175" t="s">
        <v>4198</v>
      </c>
      <c r="H248" s="175" t="s">
        <v>4199</v>
      </c>
      <c r="I248" s="175" t="s">
        <v>4200</v>
      </c>
      <c r="J248" s="175" t="s">
        <v>4201</v>
      </c>
      <c r="K248" s="175" t="s">
        <v>4202</v>
      </c>
      <c r="L248" s="175" t="s">
        <v>4203</v>
      </c>
      <c r="M248" s="175" t="s">
        <v>4204</v>
      </c>
      <c r="N248" s="175" t="s">
        <v>4205</v>
      </c>
      <c r="O248" s="175" t="s">
        <v>3799</v>
      </c>
      <c r="P248" s="175" t="s">
        <v>4206</v>
      </c>
      <c r="Q248" s="175" t="s">
        <v>4123</v>
      </c>
      <c r="R248" s="175" t="s">
        <v>484</v>
      </c>
      <c r="S248" s="175" t="s">
        <v>4207</v>
      </c>
      <c r="T248" s="175" t="s">
        <v>4208</v>
      </c>
      <c r="U248" s="175" t="s">
        <v>4209</v>
      </c>
      <c r="V248" s="175" t="s">
        <v>1165</v>
      </c>
      <c r="W248" s="175" t="s">
        <v>4210</v>
      </c>
      <c r="X248" s="175" t="s">
        <v>4211</v>
      </c>
      <c r="Y248" s="175" t="s">
        <v>4212</v>
      </c>
      <c r="Z248" s="175" t="s">
        <v>4213</v>
      </c>
    </row>
    <row r="249" spans="1:26" s="164" customFormat="1" ht="30" customHeight="1" x14ac:dyDescent="0.25">
      <c r="A249" s="177"/>
      <c r="B249" s="178"/>
      <c r="C249" s="176"/>
      <c r="D249" s="174">
        <v>243</v>
      </c>
      <c r="E249" s="175" t="s">
        <v>765</v>
      </c>
      <c r="F249" s="175" t="s">
        <v>325</v>
      </c>
      <c r="G249" s="175" t="s">
        <v>4214</v>
      </c>
      <c r="H249" s="175" t="s">
        <v>4215</v>
      </c>
      <c r="I249" s="175" t="s">
        <v>4216</v>
      </c>
      <c r="J249" s="175" t="s">
        <v>4217</v>
      </c>
      <c r="K249" s="175" t="s">
        <v>4218</v>
      </c>
      <c r="L249" s="175" t="s">
        <v>4219</v>
      </c>
      <c r="M249" s="175" t="s">
        <v>4220</v>
      </c>
      <c r="N249" s="175" t="s">
        <v>4221</v>
      </c>
      <c r="O249" s="175" t="s">
        <v>3799</v>
      </c>
      <c r="P249" s="175" t="s">
        <v>4222</v>
      </c>
      <c r="Q249" s="175" t="s">
        <v>3801</v>
      </c>
      <c r="R249" s="175" t="s">
        <v>259</v>
      </c>
      <c r="S249" s="175" t="s">
        <v>4223</v>
      </c>
      <c r="T249" s="175" t="s">
        <v>4224</v>
      </c>
      <c r="U249" s="175" t="s">
        <v>4225</v>
      </c>
      <c r="V249" s="175" t="s">
        <v>4226</v>
      </c>
      <c r="W249" s="175" t="s">
        <v>4227</v>
      </c>
      <c r="X249" s="175" t="s">
        <v>4228</v>
      </c>
      <c r="Y249" s="175" t="s">
        <v>4229</v>
      </c>
      <c r="Z249" s="175" t="s">
        <v>4230</v>
      </c>
    </row>
  </sheetData>
  <mergeCells count="1">
    <mergeCell ref="B4:C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57774-873B-455E-B0B4-25C9C2F985CB}">
  <dimension ref="A1:Z47"/>
  <sheetViews>
    <sheetView zoomScaleNormal="100" workbookViewId="0">
      <selection activeCell="R7" sqref="R7"/>
    </sheetView>
  </sheetViews>
  <sheetFormatPr baseColWidth="10" defaultColWidth="9" defaultRowHeight="15.75" x14ac:dyDescent="0.25"/>
  <cols>
    <col min="1" max="1" width="25" style="213" customWidth="1"/>
    <col min="2" max="2" width="33" style="213" customWidth="1"/>
    <col min="3" max="3" width="67.5" style="213" customWidth="1"/>
    <col min="4" max="4" width="4" style="213" customWidth="1"/>
    <col min="5" max="5" width="13.625" style="213" customWidth="1"/>
    <col min="6" max="6" width="4" style="213" customWidth="1"/>
    <col min="7" max="7" width="13.625" style="213" customWidth="1"/>
    <col min="8" max="8" width="4" style="213" customWidth="1"/>
    <col min="9" max="9" width="13.625" style="213" customWidth="1"/>
    <col min="10" max="10" width="4" style="213" customWidth="1"/>
    <col min="11" max="11" width="13.625" style="213" customWidth="1"/>
    <col min="12" max="12" width="4" style="213" customWidth="1"/>
    <col min="13" max="13" width="13.625" style="213" customWidth="1"/>
    <col min="14" max="14" width="4" style="213" customWidth="1"/>
    <col min="15" max="15" width="13.625" style="213" customWidth="1"/>
    <col min="16" max="16" width="4" style="213" customWidth="1"/>
    <col min="17" max="17" width="13.625" style="213" customWidth="1"/>
    <col min="18" max="18" width="22" style="213" customWidth="1"/>
    <col min="19" max="19" width="60.25" style="213" customWidth="1"/>
    <col min="20" max="20" width="11.25" style="213" customWidth="1"/>
    <col min="21" max="21" width="16.5" style="213" customWidth="1"/>
    <col min="22" max="22" width="55" style="213" customWidth="1"/>
    <col min="23" max="23" width="14.25" style="213" customWidth="1"/>
    <col min="24" max="24" width="44" style="213" customWidth="1"/>
    <col min="25" max="25" width="27.75" style="213" customWidth="1"/>
    <col min="26" max="26" width="46.75" style="213" customWidth="1"/>
    <col min="27" max="16384" width="9" style="213"/>
  </cols>
  <sheetData>
    <row r="1" spans="1:26" ht="26.1" customHeight="1" x14ac:dyDescent="0.25">
      <c r="A1" s="263" t="s">
        <v>4857</v>
      </c>
      <c r="B1" s="264"/>
      <c r="C1" s="264"/>
      <c r="D1" s="264"/>
      <c r="E1" s="264"/>
      <c r="F1" s="264"/>
      <c r="G1" s="264"/>
      <c r="H1" s="264"/>
      <c r="I1" s="264"/>
      <c r="J1" s="264"/>
      <c r="K1" s="264"/>
      <c r="L1" s="264"/>
      <c r="M1" s="264"/>
      <c r="N1" s="264"/>
      <c r="O1" s="264"/>
      <c r="P1" s="264"/>
      <c r="Q1" s="264"/>
      <c r="R1" s="264"/>
      <c r="S1" s="264"/>
      <c r="T1" s="264"/>
      <c r="U1" s="263" t="s">
        <v>4858</v>
      </c>
      <c r="V1" s="264"/>
      <c r="W1" s="264"/>
      <c r="X1" s="265" t="s">
        <v>4859</v>
      </c>
      <c r="Y1" s="264"/>
      <c r="Z1" s="264"/>
    </row>
    <row r="2" spans="1:26" ht="30" customHeight="1" x14ac:dyDescent="0.25">
      <c r="A2" s="266" t="s">
        <v>4860</v>
      </c>
      <c r="B2" s="267" t="s">
        <v>4861</v>
      </c>
      <c r="C2" s="267"/>
      <c r="D2" s="267"/>
      <c r="E2" s="267"/>
      <c r="F2" s="267"/>
      <c r="G2" s="267"/>
      <c r="H2" s="267"/>
      <c r="I2" s="267"/>
      <c r="J2" s="267"/>
      <c r="K2" s="267"/>
      <c r="L2" s="267"/>
      <c r="M2" s="267"/>
      <c r="N2" s="267"/>
      <c r="O2" s="267"/>
      <c r="P2" s="267"/>
      <c r="Q2" s="267"/>
      <c r="R2" s="269"/>
      <c r="S2" s="268"/>
      <c r="T2" s="268"/>
      <c r="U2" s="268"/>
      <c r="V2" s="268"/>
      <c r="W2" s="268"/>
      <c r="X2" s="270"/>
      <c r="Y2" s="270"/>
      <c r="Z2" s="270"/>
    </row>
    <row r="3" spans="1:26" ht="30" customHeight="1" x14ac:dyDescent="0.25">
      <c r="A3" s="266" t="s">
        <v>4863</v>
      </c>
      <c r="B3" s="267" t="s">
        <v>4864</v>
      </c>
      <c r="C3" s="267"/>
      <c r="D3" s="267"/>
      <c r="E3" s="267"/>
      <c r="F3" s="267"/>
      <c r="G3" s="267"/>
      <c r="H3" s="267"/>
      <c r="I3" s="267"/>
      <c r="J3" s="267"/>
      <c r="K3" s="267"/>
      <c r="L3" s="267"/>
      <c r="M3" s="267"/>
      <c r="N3" s="267"/>
      <c r="O3" s="267"/>
      <c r="P3" s="267"/>
      <c r="Q3" s="267"/>
      <c r="R3" s="268"/>
      <c r="S3" s="268"/>
      <c r="T3" s="268"/>
      <c r="U3" s="268"/>
      <c r="V3" s="268"/>
      <c r="W3" s="268"/>
      <c r="X3" s="268"/>
      <c r="Y3" s="268"/>
      <c r="Z3" s="268"/>
    </row>
    <row r="4" spans="1:26" ht="30" customHeight="1" x14ac:dyDescent="0.25">
      <c r="A4" s="266" t="s">
        <v>4865</v>
      </c>
      <c r="B4" s="267" t="s">
        <v>4866</v>
      </c>
      <c r="C4" s="267"/>
      <c r="D4" s="267"/>
      <c r="E4" s="267"/>
      <c r="F4" s="267"/>
      <c r="G4" s="267"/>
      <c r="H4" s="267"/>
      <c r="I4" s="267"/>
      <c r="J4" s="267"/>
      <c r="K4" s="267"/>
      <c r="L4" s="267"/>
      <c r="M4" s="267"/>
      <c r="N4" s="267"/>
      <c r="O4" s="267"/>
      <c r="P4" s="267"/>
      <c r="Q4" s="267"/>
      <c r="R4" s="269" t="s">
        <v>4862</v>
      </c>
      <c r="S4" s="268"/>
      <c r="T4" s="268"/>
      <c r="U4" s="268"/>
      <c r="V4" s="268"/>
      <c r="W4" s="268"/>
      <c r="X4" s="268"/>
      <c r="Y4" s="268"/>
      <c r="Z4" s="268"/>
    </row>
    <row r="5" spans="1:26" ht="30" customHeight="1" x14ac:dyDescent="0.25">
      <c r="A5" s="266" t="s">
        <v>4867</v>
      </c>
      <c r="B5" s="267" t="s">
        <v>4868</v>
      </c>
      <c r="C5" s="267"/>
      <c r="D5" s="267"/>
      <c r="E5" s="267"/>
      <c r="F5" s="267"/>
      <c r="G5" s="267"/>
      <c r="H5" s="267"/>
      <c r="I5" s="267"/>
      <c r="J5" s="267"/>
      <c r="K5" s="267"/>
      <c r="L5" s="267"/>
      <c r="M5" s="267"/>
      <c r="N5" s="267"/>
      <c r="O5" s="267"/>
      <c r="P5" s="267"/>
      <c r="Q5" s="267"/>
      <c r="R5" s="268"/>
      <c r="S5" s="268"/>
      <c r="T5" s="268"/>
      <c r="U5" s="268"/>
      <c r="V5" s="268"/>
      <c r="W5" s="268"/>
      <c r="X5" s="268"/>
      <c r="Y5" s="268"/>
      <c r="Z5" s="268"/>
    </row>
    <row r="6" spans="1:26" ht="30" customHeight="1" x14ac:dyDescent="0.25">
      <c r="A6" s="266" t="s">
        <v>4869</v>
      </c>
      <c r="B6" s="267" t="s">
        <v>4870</v>
      </c>
      <c r="C6" s="267"/>
      <c r="D6" s="267"/>
      <c r="E6" s="267"/>
      <c r="F6" s="267"/>
      <c r="G6" s="267"/>
      <c r="H6" s="267"/>
      <c r="I6" s="267"/>
      <c r="J6" s="267"/>
      <c r="K6" s="267"/>
      <c r="L6" s="267"/>
      <c r="M6" s="267"/>
      <c r="N6" s="267"/>
      <c r="O6" s="267"/>
      <c r="P6" s="267"/>
      <c r="Q6" s="267"/>
      <c r="R6" s="268"/>
      <c r="S6" s="268"/>
      <c r="T6" s="268"/>
      <c r="U6" s="268"/>
      <c r="V6" s="268"/>
      <c r="W6" s="268"/>
      <c r="X6" s="268"/>
      <c r="Y6" s="268"/>
      <c r="Z6" s="268"/>
    </row>
    <row r="7" spans="1:26" ht="30" customHeight="1" x14ac:dyDescent="0.25">
      <c r="A7" s="266" t="s">
        <v>4871</v>
      </c>
      <c r="B7" s="267" t="s">
        <v>4872</v>
      </c>
      <c r="C7" s="267"/>
      <c r="D7" s="267"/>
      <c r="E7" s="267"/>
      <c r="F7" s="267"/>
      <c r="G7" s="267"/>
      <c r="H7" s="267"/>
      <c r="I7" s="267"/>
      <c r="J7" s="267"/>
      <c r="K7" s="267"/>
      <c r="L7" s="267"/>
      <c r="M7" s="267"/>
      <c r="N7" s="267"/>
      <c r="O7" s="267"/>
      <c r="P7" s="267"/>
      <c r="Q7" s="267"/>
      <c r="R7" s="268"/>
      <c r="S7" s="268"/>
      <c r="T7" s="268"/>
      <c r="U7" s="268"/>
      <c r="V7" s="268"/>
      <c r="W7" s="268"/>
      <c r="X7" s="268"/>
      <c r="Y7" s="268"/>
      <c r="Z7" s="268"/>
    </row>
    <row r="8" spans="1:26" ht="18.75" x14ac:dyDescent="0.25">
      <c r="A8" s="271"/>
      <c r="B8" s="271"/>
      <c r="C8" s="271"/>
      <c r="D8" s="271"/>
      <c r="E8" s="271"/>
      <c r="F8" s="271"/>
      <c r="G8" s="271"/>
      <c r="H8" s="271"/>
      <c r="I8" s="271"/>
      <c r="J8" s="271"/>
      <c r="K8" s="271"/>
      <c r="L8" s="271"/>
      <c r="M8" s="271"/>
      <c r="N8" s="271"/>
      <c r="O8" s="271"/>
      <c r="P8" s="271"/>
      <c r="Q8" s="271"/>
      <c r="R8" s="271"/>
      <c r="S8" s="271"/>
      <c r="T8" s="271"/>
      <c r="U8" s="263" t="s">
        <v>4858</v>
      </c>
      <c r="V8" s="264"/>
      <c r="W8" s="271"/>
      <c r="X8" s="265" t="s">
        <v>4859</v>
      </c>
      <c r="Y8" s="264"/>
      <c r="Z8" s="264"/>
    </row>
    <row r="9" spans="1:26" ht="33.950000000000003" customHeight="1" x14ac:dyDescent="0.25">
      <c r="A9" s="272" t="s">
        <v>4873</v>
      </c>
      <c r="B9" s="273" t="s">
        <v>4874</v>
      </c>
      <c r="C9" s="274" t="s">
        <v>4875</v>
      </c>
      <c r="D9" s="828" t="s">
        <v>4876</v>
      </c>
      <c r="E9" s="276" t="s">
        <v>5419</v>
      </c>
      <c r="F9" s="828" t="s">
        <v>4876</v>
      </c>
      <c r="G9" s="276" t="s">
        <v>5420</v>
      </c>
      <c r="H9" s="828" t="s">
        <v>4876</v>
      </c>
      <c r="I9" s="276" t="s">
        <v>5421</v>
      </c>
      <c r="J9" s="828" t="s">
        <v>4876</v>
      </c>
      <c r="K9" s="276" t="s">
        <v>5422</v>
      </c>
      <c r="L9" s="828" t="s">
        <v>4876</v>
      </c>
      <c r="M9" s="276" t="s">
        <v>5423</v>
      </c>
      <c r="N9" s="828" t="s">
        <v>4876</v>
      </c>
      <c r="O9" s="276" t="s">
        <v>5424</v>
      </c>
      <c r="P9" s="828" t="s">
        <v>4876</v>
      </c>
      <c r="Q9" s="276" t="s">
        <v>5425</v>
      </c>
      <c r="R9" s="274" t="s">
        <v>3273</v>
      </c>
      <c r="S9" s="274" t="s">
        <v>4877</v>
      </c>
      <c r="T9" s="277"/>
      <c r="U9" s="278" t="s">
        <v>4878</v>
      </c>
      <c r="V9" s="279" t="s">
        <v>4879</v>
      </c>
      <c r="W9" s="277"/>
      <c r="X9" s="278" t="s">
        <v>4880</v>
      </c>
      <c r="Y9" s="278" t="s">
        <v>4860</v>
      </c>
      <c r="Z9" s="278" t="s">
        <v>4881</v>
      </c>
    </row>
    <row r="10" spans="1:26" ht="39.950000000000003" customHeight="1" x14ac:dyDescent="0.25">
      <c r="A10" s="280" t="s">
        <v>4882</v>
      </c>
      <c r="B10" s="277" t="str">
        <f>IF(SUM(COUNTIF(D10,"x"),COUNTIF(F10,"x"),COUNTIF(H10,"x"),COUNTIF(J10,"x"),COUNTIF(L10,"x"),COUNTIF(N10,"x"),COUNTIF(P10,"x"))=0,"",IF(SUM(COUNTIF(D10,"x"),COUNTIF(F10,"x"),COUNTIF(H10,"x"),COUNTIF(J10,"x"),COUNTIF(L10,"x"),COUNTIF(N10,"x"),COUNTIF(P10,"x"))&gt;1,"⚠ choisir 1 seule case",IF(LOWER(D10)="x",E10,IF(LOWER(F10)="x",G10,IF(LOWER(H10)="x",I10,IF(LOWER(J10)="x",K10,IF(LOWER(L10)="x",M10,IF(LOWER(N10)="x",O10,IF(LOWER(P10)="x",Q10,"")))))))))</f>
        <v>Maternelle</v>
      </c>
      <c r="C10" s="281" t="s">
        <v>4883</v>
      </c>
      <c r="D10" s="828" t="s">
        <v>4876</v>
      </c>
      <c r="E10" s="829" t="s">
        <v>836</v>
      </c>
      <c r="F10" s="828"/>
      <c r="G10" s="829" t="s">
        <v>324</v>
      </c>
      <c r="H10" s="828"/>
      <c r="I10" s="829" t="s">
        <v>4884</v>
      </c>
      <c r="J10" s="828"/>
      <c r="K10" s="830" t="s">
        <v>4885</v>
      </c>
      <c r="L10" s="828"/>
      <c r="M10" s="830" t="s">
        <v>4886</v>
      </c>
      <c r="N10" s="828"/>
      <c r="O10" s="829" t="s">
        <v>4887</v>
      </c>
      <c r="P10" s="828"/>
      <c r="Q10" s="817" t="s">
        <v>4888</v>
      </c>
      <c r="R10" s="277" t="str">
        <f>IF(B10="","À cocher",IF(LEFT(B10,1)="⚠",B10,"OK"))</f>
        <v>OK</v>
      </c>
      <c r="S10" s="268" t="str">
        <f>IF(B10="Primaire","OK : public cohérent avec la situation.","Vérifier : le contexte parle d'une école primaire.")</f>
        <v>Vérifier : le contexte parle d'une école primaire.</v>
      </c>
      <c r="T10" s="268"/>
      <c r="U10" s="277" t="s">
        <v>4889</v>
      </c>
      <c r="V10" s="268" t="s">
        <v>4890</v>
      </c>
      <c r="W10" s="271"/>
      <c r="X10" s="283" t="s">
        <v>4891</v>
      </c>
      <c r="Y10" s="166" t="s">
        <v>4892</v>
      </c>
      <c r="Z10" s="197" t="s">
        <v>4893</v>
      </c>
    </row>
    <row r="11" spans="1:26" ht="39.950000000000003" customHeight="1" x14ac:dyDescent="0.25">
      <c r="A11" s="280" t="s">
        <v>4894</v>
      </c>
      <c r="B11" s="824" t="s">
        <v>4895</v>
      </c>
      <c r="C11" s="822" t="s">
        <v>5426</v>
      </c>
      <c r="D11" s="814"/>
      <c r="E11" s="815"/>
      <c r="F11" s="816"/>
      <c r="G11" s="815"/>
      <c r="H11" s="816"/>
      <c r="I11" s="815"/>
      <c r="J11" s="816"/>
      <c r="K11" s="815"/>
      <c r="L11" s="816"/>
      <c r="M11" s="815"/>
      <c r="N11" s="816"/>
      <c r="O11" s="815"/>
      <c r="P11" s="816"/>
      <c r="Q11" s="815"/>
      <c r="R11" s="277" t="str">
        <f>IF(TRIM(B11&amp;"")="","À renseigner","OK")</f>
        <v>OK</v>
      </c>
      <c r="S11" s="268" t="str">
        <f>IF(TRIM(B11&amp;"")="","Exemple attendu : plat principal clair, pas seulement une famille de produit.","OK si le plat est précis et productible.")</f>
        <v>OK si le plat est précis et productible.</v>
      </c>
      <c r="T11" s="268"/>
      <c r="U11" s="277" t="s">
        <v>4896</v>
      </c>
      <c r="V11" s="268" t="s">
        <v>4897</v>
      </c>
      <c r="W11" s="271"/>
      <c r="X11" s="284" t="s">
        <v>4898</v>
      </c>
      <c r="Y11" s="166" t="s">
        <v>4899</v>
      </c>
      <c r="Z11" s="197" t="s">
        <v>4900</v>
      </c>
    </row>
    <row r="12" spans="1:26" ht="39.950000000000003" customHeight="1" x14ac:dyDescent="0.25">
      <c r="A12" s="280" t="s">
        <v>4901</v>
      </c>
      <c r="B12" s="277" t="str">
        <f>IF(SUM(COUNTIF(D12,"x"),COUNTIF(F12,"x"))=0,"",IF(SUM(COUNTIF(D12,"x"),COUNTIF(F12,"x"))&gt;1,"⚠ choisir 1 seule case",IF(LOWER(D12)="x",E12,IF(LOWER(F12)="x",G12,""))))</f>
        <v>Oui</v>
      </c>
      <c r="C12" s="281" t="s">
        <v>5428</v>
      </c>
      <c r="D12" s="828" t="s">
        <v>4876</v>
      </c>
      <c r="E12" s="829" t="s">
        <v>4902</v>
      </c>
      <c r="F12" s="828"/>
      <c r="G12" s="818" t="s">
        <v>4903</v>
      </c>
      <c r="H12" s="816"/>
      <c r="I12" s="815"/>
      <c r="J12" s="816"/>
      <c r="K12" s="815"/>
      <c r="L12" s="816"/>
      <c r="M12" s="815"/>
      <c r="N12" s="816"/>
      <c r="O12" s="815"/>
      <c r="P12" s="816"/>
      <c r="Q12" s="815"/>
      <c r="R12" s="277" t="str">
        <f>IF(B12="","À cocher",IF(LEFT(B12,1)="⚠",B12,"OK"))</f>
        <v>OK</v>
      </c>
      <c r="S12" s="268" t="str">
        <f>IF(B12="Oui","Prévoir une variante sans porc si le public l'exige.","OK si le plat ne contient pas de porc.")</f>
        <v>Prévoir une variante sans porc si le public l'exige.</v>
      </c>
      <c r="T12" s="268"/>
      <c r="U12" s="277" t="s">
        <v>4904</v>
      </c>
      <c r="V12" s="268" t="s">
        <v>4905</v>
      </c>
      <c r="W12" s="271"/>
      <c r="X12" s="285" t="s">
        <v>4906</v>
      </c>
      <c r="Y12" s="166" t="s">
        <v>4907</v>
      </c>
      <c r="Z12" s="197" t="s">
        <v>4908</v>
      </c>
    </row>
    <row r="13" spans="1:26" ht="39.950000000000003" customHeight="1" x14ac:dyDescent="0.25">
      <c r="A13" s="280" t="s">
        <v>4909</v>
      </c>
      <c r="B13" s="277" t="str">
        <f>IF(SUM(COUNTIF(D13,"x"),COUNTIF(F13,"x"))=0,"",IF(SUM(COUNTIF(D13,"x"),COUNTIF(F13,"x"))&gt;1,"⚠ choisir 1 seule case",IF(LOWER(D13)="x",E13,IF(LOWER(F13)="x",G13,""))))</f>
        <v>Oui</v>
      </c>
      <c r="C13" s="281" t="s">
        <v>5427</v>
      </c>
      <c r="D13" s="828" t="s">
        <v>4876</v>
      </c>
      <c r="E13" s="829" t="s">
        <v>4902</v>
      </c>
      <c r="F13" s="828"/>
      <c r="G13" s="818" t="s">
        <v>4903</v>
      </c>
      <c r="H13" s="816"/>
      <c r="I13" s="815"/>
      <c r="J13" s="816"/>
      <c r="K13" s="815"/>
      <c r="L13" s="816"/>
      <c r="M13" s="815"/>
      <c r="N13" s="816"/>
      <c r="O13" s="815"/>
      <c r="P13" s="816"/>
      <c r="Q13" s="815"/>
      <c r="R13" s="277" t="str">
        <f>IF(B13="","À cocher",IF(LEFT(B13,1)="⚠",B13,"OK"))</f>
        <v>OK</v>
      </c>
      <c r="S13" s="268" t="str">
        <f>IF(B13="Oui","La variante doit être nommée dans le menu ou prévue en production.","OK si aucune variante n'est nécessaire.")</f>
        <v>La variante doit être nommée dans le menu ou prévue en production.</v>
      </c>
      <c r="T13" s="268"/>
      <c r="U13" s="277" t="s">
        <v>4910</v>
      </c>
      <c r="V13" s="268" t="s">
        <v>4911</v>
      </c>
      <c r="W13" s="271"/>
      <c r="X13" s="285" t="s">
        <v>4912</v>
      </c>
      <c r="Y13" s="166" t="s">
        <v>4907</v>
      </c>
      <c r="Z13" s="197" t="s">
        <v>4913</v>
      </c>
    </row>
    <row r="14" spans="1:26" ht="39.950000000000003" customHeight="1" x14ac:dyDescent="0.25">
      <c r="A14" s="280" t="s">
        <v>4914</v>
      </c>
      <c r="B14" s="824" t="s">
        <v>499</v>
      </c>
      <c r="C14" s="817" t="s">
        <v>4915</v>
      </c>
      <c r="D14" s="814"/>
      <c r="E14" s="815"/>
      <c r="F14" s="816"/>
      <c r="G14" s="815"/>
      <c r="H14" s="816"/>
      <c r="I14" s="815"/>
      <c r="J14" s="816"/>
      <c r="K14" s="815"/>
      <c r="L14" s="816"/>
      <c r="M14" s="815"/>
      <c r="N14" s="816"/>
      <c r="O14" s="815"/>
      <c r="P14" s="816"/>
      <c r="Q14" s="815"/>
      <c r="R14" s="277" t="str">
        <f>IF(TRIM(B14&amp;"")="","À renseigner","OK")</f>
        <v>OK</v>
      </c>
      <c r="S14" s="268" t="str">
        <f>IF(TRIM(B14&amp;"")="","Exemple : haricots verts, carottes Vichy, riz, pommes vapeur.","Vérifier couleur, saison et cuisson.")</f>
        <v>Vérifier couleur, saison et cuisson.</v>
      </c>
      <c r="T14" s="268"/>
      <c r="U14" s="197"/>
      <c r="V14" s="197"/>
      <c r="W14" s="271"/>
      <c r="X14" s="285" t="s">
        <v>4916</v>
      </c>
      <c r="Y14" s="166" t="s">
        <v>4917</v>
      </c>
      <c r="Z14" s="197" t="s">
        <v>4918</v>
      </c>
    </row>
    <row r="15" spans="1:26" ht="39.950000000000003" customHeight="1" x14ac:dyDescent="0.25">
      <c r="A15" s="280" t="s">
        <v>4919</v>
      </c>
      <c r="B15" s="824" t="s">
        <v>174</v>
      </c>
      <c r="C15" s="817" t="s">
        <v>4920</v>
      </c>
      <c r="D15" s="814"/>
      <c r="E15" s="815"/>
      <c r="F15" s="816"/>
      <c r="G15" s="815"/>
      <c r="H15" s="816"/>
      <c r="I15" s="815"/>
      <c r="J15" s="816"/>
      <c r="K15" s="815"/>
      <c r="L15" s="816"/>
      <c r="M15" s="815"/>
      <c r="N15" s="816"/>
      <c r="O15" s="815"/>
      <c r="P15" s="816"/>
      <c r="Q15" s="815"/>
      <c r="R15" s="277" t="str">
        <f>IF(TRIM(B15&amp;"")="","À renseigner","OK")</f>
        <v>OK</v>
      </c>
      <c r="S15" s="268" t="str">
        <f>IF(TRIM(B15&amp;"")="","Exemple : vert, orange, blanc, rouge, brun.","La couleur aide à rendre l'assiette lisible.")</f>
        <v>La couleur aide à rendre l'assiette lisible.</v>
      </c>
      <c r="T15" s="268"/>
      <c r="U15" s="278" t="s">
        <v>4878</v>
      </c>
      <c r="V15" s="279" t="s">
        <v>4921</v>
      </c>
      <c r="W15" s="271"/>
      <c r="X15" s="286" t="s">
        <v>4922</v>
      </c>
      <c r="Y15" s="166" t="s">
        <v>4923</v>
      </c>
      <c r="Z15" s="197" t="s">
        <v>4924</v>
      </c>
    </row>
    <row r="16" spans="1:26" ht="39.950000000000003" customHeight="1" x14ac:dyDescent="0.25">
      <c r="A16" s="280" t="s">
        <v>6</v>
      </c>
      <c r="B16" s="277" t="str">
        <f>IF(SUM(COUNTIF(D16,"x"),COUNTIF(F16,"x"),COUNTIF(H16,"x"),COUNTIF(J16,"x"),COUNTIF(L16,"x"))=0,"",IF(SUM(COUNTIF(D16,"x"),COUNTIF(F16,"x"),COUNTIF(H16,"x"),COUNTIF(J16,"x"),COUNTIF(L16,"x"))&gt;1,"⚠ choisir 1 seule case",IF(LOWER(D16)="x",E16,IF(LOWER(F16)="x",G16,IF(LOWER(H16)="x",I16,IF(LOWER(J16)="x",K16,IF(LOWER(L16)="x",M16,"")))))))</f>
        <v>Printemps</v>
      </c>
      <c r="C16" s="281" t="s">
        <v>5429</v>
      </c>
      <c r="D16" s="828" t="s">
        <v>4876</v>
      </c>
      <c r="E16" s="829" t="s">
        <v>325</v>
      </c>
      <c r="F16" s="828"/>
      <c r="G16" s="829" t="s">
        <v>570</v>
      </c>
      <c r="H16" s="828"/>
      <c r="I16" s="829" t="s">
        <v>205</v>
      </c>
      <c r="J16" s="828"/>
      <c r="K16" s="830" t="s">
        <v>154</v>
      </c>
      <c r="L16" s="828"/>
      <c r="M16" s="817" t="s">
        <v>247</v>
      </c>
      <c r="N16" s="816"/>
      <c r="O16" s="815"/>
      <c r="P16" s="816"/>
      <c r="Q16" s="815"/>
      <c r="R16" s="277" t="str">
        <f>IF(B16="","À cocher",IF(LEFT(B16,1)="⚠",B16,"OK"))</f>
        <v>OK</v>
      </c>
      <c r="S16" s="268" t="str">
        <f>IF(B16="","Choisir une saison ou Toute saison.",IF(B16="Toute saison","OK si le produit est disponible régulièrement.","Vérifier cohérence produit/saison."))</f>
        <v>Vérifier cohérence produit/saison.</v>
      </c>
      <c r="T16" s="268"/>
      <c r="U16" s="277" t="s">
        <v>4889</v>
      </c>
      <c r="V16" s="268" t="s">
        <v>4925</v>
      </c>
      <c r="W16" s="271"/>
      <c r="X16" s="287" t="s">
        <v>4926</v>
      </c>
      <c r="Y16" s="166" t="s">
        <v>4927</v>
      </c>
      <c r="Z16" s="197" t="s">
        <v>4928</v>
      </c>
    </row>
    <row r="17" spans="1:26" ht="39.950000000000003" customHeight="1" x14ac:dyDescent="0.25">
      <c r="A17" s="280" t="s">
        <v>4929</v>
      </c>
      <c r="B17" s="277" t="str">
        <f>IF(SUM(COUNTIF(D17,"x"),COUNTIF(F17,"x"),COUNTIF(H17,"x"),COUNTIF(J17,"x"))=0,"",IF(SUM(COUNTIF(D17,"x"),COUNTIF(F17,"x"),COUNTIF(H17,"x"),COUNTIF(J17,"x"))&gt;1,"⚠ choisir 1 seule case",IF(LOWER(D17)="x",E17,IF(LOWER(F17)="x",G17,IF(LOWER(H17)="x",I17,IF(LOWER(J17)="x",K17,""))))))</f>
        <v>Avec le plat</v>
      </c>
      <c r="C17" s="281" t="s">
        <v>5430</v>
      </c>
      <c r="D17" s="828" t="s">
        <v>4876</v>
      </c>
      <c r="E17" s="829" t="s">
        <v>4930</v>
      </c>
      <c r="F17" s="828"/>
      <c r="G17" s="829" t="s">
        <v>4931</v>
      </c>
      <c r="H17" s="828"/>
      <c r="I17" s="829" t="s">
        <v>4932</v>
      </c>
      <c r="J17" s="828"/>
      <c r="K17" s="830" t="s">
        <v>4933</v>
      </c>
      <c r="L17" s="831"/>
      <c r="M17" s="815"/>
      <c r="N17" s="816"/>
      <c r="O17" s="815"/>
      <c r="P17" s="816"/>
      <c r="Q17" s="815"/>
      <c r="R17" s="277" t="str">
        <f>IF(B17="","À cocher",IF(LEFT(B17,1)="⚠",B17,"OK"))</f>
        <v>OK</v>
      </c>
      <c r="S17" s="268" t="str">
        <f>IF(B17="Aucune","OK si le plat reste appétent sans sauce.",IF(B17="","Choisir la destination de la sauce.","OK : destination sauce visible."))</f>
        <v>OK : destination sauce visible.</v>
      </c>
      <c r="T17" s="268"/>
      <c r="U17" s="277" t="s">
        <v>4896</v>
      </c>
      <c r="V17" s="268" t="s">
        <v>4934</v>
      </c>
      <c r="W17" s="271"/>
      <c r="X17" s="287" t="s">
        <v>4935</v>
      </c>
      <c r="Y17" s="166" t="s">
        <v>4936</v>
      </c>
      <c r="Z17" s="197" t="s">
        <v>4937</v>
      </c>
    </row>
    <row r="18" spans="1:26" ht="39.950000000000003" customHeight="1" x14ac:dyDescent="0.25">
      <c r="A18" s="280" t="s">
        <v>4938</v>
      </c>
      <c r="B18" s="824" t="s">
        <v>231</v>
      </c>
      <c r="C18" s="817" t="s">
        <v>5436</v>
      </c>
      <c r="D18" s="814"/>
      <c r="E18" s="815"/>
      <c r="F18" s="816"/>
      <c r="G18" s="815"/>
      <c r="H18" s="816"/>
      <c r="I18" s="815"/>
      <c r="J18" s="816"/>
      <c r="K18" s="815"/>
      <c r="L18" s="816"/>
      <c r="M18" s="815"/>
      <c r="N18" s="816"/>
      <c r="O18" s="815"/>
      <c r="P18" s="816"/>
      <c r="Q18" s="815"/>
      <c r="R18" s="277" t="str">
        <f>IF(TRIM(B18&amp;"")="","À renseigner","OK")</f>
        <v>OK</v>
      </c>
      <c r="S18" s="268" t="str">
        <f>IF(TRIM(B18&amp;"")="","Écrire une sauce, un jus, ou « aucune ».","OK si la sauce est compatible avec plat + légume.")</f>
        <v>OK si la sauce est compatible avec plat + légume.</v>
      </c>
      <c r="T18" s="268"/>
      <c r="U18" s="277" t="s">
        <v>4904</v>
      </c>
      <c r="V18" s="268" t="s">
        <v>4939</v>
      </c>
      <c r="W18" s="271"/>
      <c r="X18" s="288" t="s">
        <v>4940</v>
      </c>
      <c r="Y18" s="166" t="s">
        <v>4936</v>
      </c>
      <c r="Z18" s="197" t="s">
        <v>4941</v>
      </c>
    </row>
    <row r="19" spans="1:26" ht="39.950000000000003" customHeight="1" x14ac:dyDescent="0.25">
      <c r="A19" s="280" t="s">
        <v>4942</v>
      </c>
      <c r="B19" s="824" t="s">
        <v>2024</v>
      </c>
      <c r="C19" s="817" t="s">
        <v>5435</v>
      </c>
      <c r="D19" s="814"/>
      <c r="E19" s="815"/>
      <c r="F19" s="816"/>
      <c r="G19" s="815"/>
      <c r="H19" s="816"/>
      <c r="I19" s="815"/>
      <c r="J19" s="816"/>
      <c r="K19" s="815"/>
      <c r="L19" s="816"/>
      <c r="M19" s="815"/>
      <c r="N19" s="816"/>
      <c r="O19" s="815"/>
      <c r="P19" s="816"/>
      <c r="Q19" s="815"/>
      <c r="R19" s="277" t="str">
        <f>IF(TRIM(B19&amp;"")="","À renseigner","OK")</f>
        <v>OK</v>
      </c>
      <c r="S19" s="268" t="str">
        <f>IF(TRIM(B19&amp;"")="","Choisir une cuisson réaliste en restauration collective.","OK si la cuisson tient en volume.")</f>
        <v>OK si la cuisson tient en volume.</v>
      </c>
      <c r="T19" s="268"/>
      <c r="U19" s="277" t="s">
        <v>4910</v>
      </c>
      <c r="V19" s="268" t="s">
        <v>4943</v>
      </c>
      <c r="W19" s="271"/>
      <c r="X19" s="289" t="s">
        <v>4944</v>
      </c>
      <c r="Y19" s="166" t="s">
        <v>4899</v>
      </c>
      <c r="Z19" s="197" t="s">
        <v>4945</v>
      </c>
    </row>
    <row r="20" spans="1:26" ht="39.950000000000003" customHeight="1" x14ac:dyDescent="0.25">
      <c r="A20" s="280" t="s">
        <v>4946</v>
      </c>
      <c r="B20" s="825"/>
      <c r="C20" s="817" t="s">
        <v>5434</v>
      </c>
      <c r="D20" s="814"/>
      <c r="E20" s="815"/>
      <c r="F20" s="816"/>
      <c r="G20" s="815"/>
      <c r="H20" s="816"/>
      <c r="I20" s="815"/>
      <c r="J20" s="816"/>
      <c r="K20" s="815"/>
      <c r="L20" s="816"/>
      <c r="M20" s="815"/>
      <c r="N20" s="816"/>
      <c r="O20" s="815"/>
      <c r="P20" s="816"/>
      <c r="Q20" s="815"/>
      <c r="R20" s="290" t="str">
        <f>IF(TRIM(B20&amp;"")="","À renseigner","OK")</f>
        <v>À renseigner</v>
      </c>
      <c r="S20" s="268" t="str">
        <f>IF(B21="A","Suggestion : crudité simple.",IF(B21="B","Suggestion : cuidité ou féculent froid simple.",IF(B21="C","Suggestion : entrée avec protéine/laitage léger.",IF(B21="D","Suggestion : entrée plaisir à limiter et justifier.","Choisir d'abord une lettre en B22."))))</f>
        <v>Suggestion : crudité simple.</v>
      </c>
      <c r="T20" s="268"/>
      <c r="U20" s="271"/>
      <c r="V20" s="271"/>
      <c r="W20" s="271"/>
      <c r="X20" s="291" t="s">
        <v>4947</v>
      </c>
      <c r="Y20" s="166" t="s">
        <v>4948</v>
      </c>
      <c r="Z20" s="197" t="s">
        <v>4949</v>
      </c>
    </row>
    <row r="21" spans="1:26" ht="39.950000000000003" customHeight="1" x14ac:dyDescent="0.25">
      <c r="A21" s="280" t="s">
        <v>4950</v>
      </c>
      <c r="B21" s="277" t="str">
        <f>IF(SUM(COUNTIF(D21,"x"),COUNTIF(F21,"x"),COUNTIF(H21,"x"),COUNTIF(J21,"x"))=0,"",IF(SUM(COUNTIF(D21,"x"),COUNTIF(F21,"x"),COUNTIF(H21,"x"),COUNTIF(J21,"x"))&gt;1,"⚠ choisir 1 seule case",IF(LOWER(D21)="x",E21,IF(LOWER(F21)="x",G21,IF(LOWER(H21)="x",I21,IF(LOWER(J21)="x",K21,""))))))</f>
        <v>A</v>
      </c>
      <c r="C21" s="823" t="s">
        <v>5432</v>
      </c>
      <c r="D21" s="820" t="s">
        <v>4876</v>
      </c>
      <c r="E21" s="819" t="s">
        <v>4889</v>
      </c>
      <c r="F21" s="820"/>
      <c r="G21" s="819" t="s">
        <v>4896</v>
      </c>
      <c r="H21" s="820"/>
      <c r="I21" s="819" t="s">
        <v>4904</v>
      </c>
      <c r="J21" s="820"/>
      <c r="K21" s="819" t="s">
        <v>4910</v>
      </c>
      <c r="L21" s="277"/>
      <c r="M21" s="815"/>
      <c r="N21" s="816"/>
      <c r="O21" s="815"/>
      <c r="P21" s="816"/>
      <c r="Q21" s="815"/>
      <c r="R21" s="277" t="str">
        <f>IF(B21="","À cocher",IF(LEFT(B21,1)="⚠",B21,"OK"))</f>
        <v>OK</v>
      </c>
      <c r="S21" s="268" t="str">
        <f>IF(B21="","Choisir A/B/C/D puis écrire l'entrée en B21.",IF(LEFT(B21,1)="⚠",B21,"Voir T:U pour choisir le type d'entrée."))</f>
        <v>Voir T:U pour choisir le type d'entrée.</v>
      </c>
      <c r="T21" s="268"/>
      <c r="U21" s="271"/>
      <c r="V21" s="271"/>
      <c r="W21" s="271"/>
      <c r="X21" s="292" t="s">
        <v>4951</v>
      </c>
      <c r="Y21" s="166" t="s">
        <v>4907</v>
      </c>
      <c r="Z21" s="197" t="s">
        <v>4952</v>
      </c>
    </row>
    <row r="22" spans="1:26" ht="39.950000000000003" customHeight="1" x14ac:dyDescent="0.25">
      <c r="A22" s="280" t="s">
        <v>56</v>
      </c>
      <c r="B22" s="825"/>
      <c r="C22" s="817" t="s">
        <v>5433</v>
      </c>
      <c r="D22" s="814"/>
      <c r="E22" s="827"/>
      <c r="F22" s="816"/>
      <c r="G22" s="827"/>
      <c r="H22" s="816"/>
      <c r="I22" s="827"/>
      <c r="J22" s="816"/>
      <c r="K22" s="827"/>
      <c r="L22" s="816"/>
      <c r="M22" s="815"/>
      <c r="N22" s="816"/>
      <c r="O22" s="815"/>
      <c r="P22" s="816"/>
      <c r="Q22" s="815"/>
      <c r="R22" s="290" t="str">
        <f>IF(TRIM(B22&amp;"")="","À renseigner","OK")</f>
        <v>À renseigner</v>
      </c>
      <c r="S22" s="268" t="str">
        <f>IF(B23="A","Suggestion : fruit cru de saison.",IF(B23="B","Suggestion : compote ou fruit cuit.",IF(B23="C","Suggestion : yaourt, fromage blanc, petit-suisse.",IF(B23="D","Suggestion : dessert plaisir à limiter et justifier.","Choisir d'abord une lettre en B24."))))</f>
        <v>Suggestion : fruit cru de saison.</v>
      </c>
      <c r="T22" s="268"/>
      <c r="U22" s="271"/>
      <c r="V22" s="271"/>
      <c r="W22" s="271"/>
      <c r="X22" s="293" t="s">
        <v>4953</v>
      </c>
      <c r="Y22" s="166" t="s">
        <v>4954</v>
      </c>
      <c r="Z22" s="197" t="s">
        <v>4955</v>
      </c>
    </row>
    <row r="23" spans="1:26" ht="39.950000000000003" customHeight="1" x14ac:dyDescent="0.25">
      <c r="A23" s="280" t="s">
        <v>4956</v>
      </c>
      <c r="B23" s="277" t="str">
        <f>IF(SUM(COUNTIF(D23,"x"),COUNTIF(F23,"x"),COUNTIF(H23,"x"),COUNTIF(J23,"x"))=0,"",IF(SUM(COUNTIF(D23,"x"),COUNTIF(F23,"x"),COUNTIF(H23,"x"),COUNTIF(J23,"x"))&gt;1,"⚠ choisir 1 seule case",IF(LOWER(D23)="x",E23,IF(LOWER(F23)="x",G23,IF(LOWER(H23)="x",I23,IF(LOWER(J23)="x",K23,""))))))</f>
        <v>A</v>
      </c>
      <c r="C23" s="823" t="s">
        <v>5431</v>
      </c>
      <c r="D23" s="826" t="s">
        <v>4876</v>
      </c>
      <c r="E23" s="819" t="s">
        <v>4889</v>
      </c>
      <c r="F23" s="820"/>
      <c r="G23" s="819" t="s">
        <v>4896</v>
      </c>
      <c r="H23" s="820"/>
      <c r="I23" s="819" t="s">
        <v>4904</v>
      </c>
      <c r="J23" s="820"/>
      <c r="K23" s="819" t="s">
        <v>4910</v>
      </c>
      <c r="L23" s="277"/>
      <c r="M23" s="815"/>
      <c r="N23" s="816"/>
      <c r="O23" s="815"/>
      <c r="P23" s="816"/>
      <c r="Q23" s="815"/>
      <c r="R23" s="277" t="str">
        <f>IF(B23="","À cocher",IF(LEFT(B23,1)="⚠",B23,"OK"))</f>
        <v>OK</v>
      </c>
      <c r="S23" s="268" t="str">
        <f>IF(B23="","Choisir A/B/C/D puis écrire le dessert en B23.",IF(LEFT(B23,1)="⚠",B23,"Voir T:U pour choisir le type de dessert."))</f>
        <v>Voir T:U pour choisir le type de dessert.</v>
      </c>
      <c r="T23" s="268"/>
      <c r="U23" s="271"/>
      <c r="V23" s="271"/>
      <c r="W23" s="271"/>
      <c r="X23" s="294" t="s">
        <v>4957</v>
      </c>
      <c r="Y23" s="166" t="s">
        <v>4948</v>
      </c>
      <c r="Z23" s="197" t="s">
        <v>4958</v>
      </c>
    </row>
    <row r="24" spans="1:26" ht="39.950000000000003" customHeight="1" x14ac:dyDescent="0.25">
      <c r="A24" s="838" t="s">
        <v>5437</v>
      </c>
      <c r="B24" s="1571"/>
      <c r="C24" s="1572"/>
      <c r="D24" s="1572"/>
      <c r="E24" s="1573"/>
      <c r="F24" s="269" t="s">
        <v>4959</v>
      </c>
      <c r="G24" s="268"/>
      <c r="H24" s="277"/>
      <c r="I24" s="268"/>
      <c r="J24" s="277"/>
      <c r="K24" s="268"/>
      <c r="L24" s="277"/>
      <c r="M24" s="268"/>
      <c r="N24" s="277"/>
      <c r="O24" s="268"/>
      <c r="P24" s="277"/>
      <c r="Q24" s="268"/>
      <c r="R24" s="290" t="str">
        <f>IF(TRIM(B24&amp;"")="","À renseigner","OK")</f>
        <v>À renseigner</v>
      </c>
      <c r="S24" s="268" t="str">
        <f>IF(TRIM(B24&amp;"")="","Écrire : fromage/laitage OU « non nécessaire car déjà couvert » OU « à vérifier avec le formateur ».","OK : réponse présente.")</f>
        <v>Écrire : fromage/laitage OU « non nécessaire car déjà couvert » OU « à vérifier avec le formateur ».</v>
      </c>
      <c r="T24" s="268"/>
      <c r="U24" s="271"/>
      <c r="V24" s="271"/>
      <c r="W24" s="271"/>
      <c r="X24" s="295" t="s">
        <v>4960</v>
      </c>
      <c r="Y24" s="166" t="s">
        <v>4961</v>
      </c>
      <c r="Z24" s="197" t="s">
        <v>4962</v>
      </c>
    </row>
    <row r="25" spans="1:26" ht="39.950000000000003" customHeight="1" x14ac:dyDescent="0.25">
      <c r="A25" s="838" t="s">
        <v>5438</v>
      </c>
      <c r="B25" s="1571"/>
      <c r="C25" s="1572"/>
      <c r="D25" s="1572"/>
      <c r="E25" s="1573"/>
      <c r="F25" s="269" t="s">
        <v>4963</v>
      </c>
      <c r="G25" s="268"/>
      <c r="H25" s="277"/>
      <c r="I25" s="268"/>
      <c r="J25" s="277"/>
      <c r="K25" s="268"/>
      <c r="L25" s="277"/>
      <c r="M25" s="268"/>
      <c r="N25" s="277"/>
      <c r="O25" s="268"/>
      <c r="P25" s="277"/>
      <c r="Q25" s="268"/>
      <c r="R25" s="290" t="str">
        <f>IF(TRIM(B25&amp;"")="","À renseigner","OK")</f>
        <v>À renseigner</v>
      </c>
      <c r="S25" s="268" t="str">
        <f>IF(TRIM(B25&amp;"")="","Phrase courte attendue : ce menu est cohérent car…","OK si la phrase justifie au moins équilibre + production.")</f>
        <v>Phrase courte attendue : ce menu est cohérent car…</v>
      </c>
      <c r="T25" s="268"/>
      <c r="U25" s="271"/>
      <c r="V25" s="271"/>
      <c r="W25" s="271"/>
      <c r="X25" s="296" t="s">
        <v>4964</v>
      </c>
      <c r="Y25" s="166" t="s">
        <v>4899</v>
      </c>
      <c r="Z25" s="197" t="s">
        <v>4965</v>
      </c>
    </row>
    <row r="26" spans="1:26" ht="39.950000000000003" customHeight="1" x14ac:dyDescent="0.25">
      <c r="A26" s="197"/>
      <c r="B26" s="197"/>
      <c r="C26" s="197"/>
      <c r="E26" s="197"/>
      <c r="F26" s="268"/>
      <c r="G26" s="268"/>
      <c r="H26" s="268"/>
      <c r="I26" s="268"/>
      <c r="J26" s="268"/>
      <c r="K26" s="268"/>
      <c r="L26" s="268"/>
      <c r="M26" s="268"/>
      <c r="N26" s="268"/>
      <c r="O26" s="268"/>
      <c r="P26" s="197"/>
      <c r="Q26" s="268"/>
      <c r="R26" s="197"/>
      <c r="S26" s="197"/>
      <c r="T26" s="268"/>
      <c r="U26" s="271"/>
      <c r="V26" s="271"/>
      <c r="W26" s="271"/>
    </row>
    <row r="27" spans="1:26" ht="33.950000000000003" customHeight="1" x14ac:dyDescent="0.25">
      <c r="A27" s="263" t="s">
        <v>4966</v>
      </c>
      <c r="B27" s="263"/>
      <c r="C27" s="263"/>
      <c r="D27" s="263"/>
      <c r="E27" s="263"/>
      <c r="F27" s="263"/>
      <c r="G27" s="263"/>
      <c r="H27" s="263"/>
      <c r="I27" s="263"/>
      <c r="J27" s="263"/>
      <c r="K27" s="263"/>
      <c r="L27" s="263"/>
      <c r="M27" s="263"/>
      <c r="N27" s="263"/>
      <c r="O27" s="263"/>
      <c r="P27" s="263"/>
      <c r="Q27" s="263"/>
      <c r="R27" s="263"/>
      <c r="S27" s="263"/>
      <c r="T27" s="277"/>
      <c r="U27" s="271"/>
      <c r="V27" s="271"/>
      <c r="W27" s="271"/>
    </row>
    <row r="28" spans="1:26" ht="33.950000000000003" customHeight="1" x14ac:dyDescent="0.25">
      <c r="A28" s="266" t="s">
        <v>4967</v>
      </c>
      <c r="B28" s="297" t="s">
        <v>4968</v>
      </c>
      <c r="C28" s="297" t="s">
        <v>4969</v>
      </c>
      <c r="D28" s="833" t="s">
        <v>4876</v>
      </c>
      <c r="E28" s="298" t="s">
        <v>4902</v>
      </c>
      <c r="F28" s="275" t="s">
        <v>4876</v>
      </c>
      <c r="G28" s="298" t="s">
        <v>4903</v>
      </c>
      <c r="H28" s="834" t="s">
        <v>4876</v>
      </c>
      <c r="I28" s="298" t="s">
        <v>4970</v>
      </c>
      <c r="J28" s="297"/>
      <c r="K28" s="297" t="s">
        <v>4971</v>
      </c>
      <c r="L28" s="297"/>
      <c r="M28" s="297"/>
      <c r="N28" s="297"/>
      <c r="O28" s="297"/>
      <c r="P28" s="278"/>
      <c r="Q28" s="278" t="s">
        <v>3273</v>
      </c>
      <c r="R28" s="299"/>
      <c r="S28" s="299"/>
      <c r="T28" s="277"/>
      <c r="U28" s="271"/>
      <c r="V28" s="271"/>
      <c r="W28" s="271"/>
    </row>
    <row r="29" spans="1:26" ht="39.950000000000003" customHeight="1" x14ac:dyDescent="0.25">
      <c r="A29" s="280" t="s">
        <v>4972</v>
      </c>
      <c r="B29" s="277" t="str">
        <f t="shared" ref="B29:B38" si="0">IF(SUM(COUNTIF(D29,"x"),COUNTIF(F29,"x"),COUNTIF(H29,"x"))=0,"",IF(SUM(COUNTIF(D29,"x"),COUNTIF(F29,"x"),COUNTIF(H29,"x"))&gt;1,"⚠ choisir 1 seule case",IF(LOWER(D29)="x",E29,IF(LOWER(F29)="x",G29,IF(LOWER(H29)="x",I29,"")))))</f>
        <v>Oui</v>
      </c>
      <c r="C29" s="280" t="s">
        <v>4973</v>
      </c>
      <c r="D29" s="833" t="s">
        <v>4876</v>
      </c>
      <c r="E29" s="837" t="s">
        <v>4902</v>
      </c>
      <c r="F29" s="832"/>
      <c r="G29" s="836" t="s">
        <v>4903</v>
      </c>
      <c r="H29" s="834"/>
      <c r="I29" s="835" t="s">
        <v>4970</v>
      </c>
      <c r="J29" s="271" t="s">
        <v>4974</v>
      </c>
      <c r="K29" s="271"/>
      <c r="L29" s="268"/>
      <c r="M29" s="271"/>
      <c r="N29" s="268"/>
      <c r="O29" s="271"/>
      <c r="P29" s="268"/>
      <c r="Q29" s="166" t="str">
        <f t="shared" ref="Q29:Q38" si="1">IF(B29="","À cocher",IF(LEFT(B29,1)="⚠",B29,IF(B29="Oui","OK",IF(B29="Non","Correction",IF(B29="À vérifier","À vérifier","")))))</f>
        <v>OK</v>
      </c>
      <c r="R29" s="282" t="str">
        <f t="shared" ref="R29:R38" si="2">IF(B29="Oui","OK",IF(B29="Non",$J29,IF(B29="À vérifier","À vérifier avec le formateur : "&amp;$J29,IF(B29="","Contrôle non rempli",B29))))</f>
        <v>OK</v>
      </c>
      <c r="S29" s="271"/>
      <c r="T29" s="268"/>
      <c r="U29" s="271"/>
      <c r="V29" s="271"/>
      <c r="W29" s="271"/>
    </row>
    <row r="30" spans="1:26" ht="39.950000000000003" customHeight="1" x14ac:dyDescent="0.25">
      <c r="A30" s="280" t="s">
        <v>4975</v>
      </c>
      <c r="B30" s="277" t="str">
        <f t="shared" si="0"/>
        <v>Oui</v>
      </c>
      <c r="C30" s="280" t="s">
        <v>4976</v>
      </c>
      <c r="D30" s="833" t="s">
        <v>4876</v>
      </c>
      <c r="E30" s="837" t="s">
        <v>4902</v>
      </c>
      <c r="F30" s="832"/>
      <c r="G30" s="836" t="s">
        <v>4903</v>
      </c>
      <c r="H30" s="834"/>
      <c r="I30" s="835" t="s">
        <v>4970</v>
      </c>
      <c r="J30" s="271" t="s">
        <v>4977</v>
      </c>
      <c r="K30" s="271"/>
      <c r="L30" s="268"/>
      <c r="M30" s="271"/>
      <c r="N30" s="268"/>
      <c r="O30" s="271"/>
      <c r="P30" s="268"/>
      <c r="Q30" s="166" t="str">
        <f t="shared" si="1"/>
        <v>OK</v>
      </c>
      <c r="R30" s="282" t="str">
        <f t="shared" si="2"/>
        <v>OK</v>
      </c>
      <c r="S30" s="271"/>
      <c r="T30" s="268"/>
      <c r="U30" s="271"/>
      <c r="V30" s="271"/>
      <c r="W30" s="271"/>
    </row>
    <row r="31" spans="1:26" ht="39.950000000000003" customHeight="1" x14ac:dyDescent="0.25">
      <c r="A31" s="280" t="s">
        <v>4978</v>
      </c>
      <c r="B31" s="277" t="str">
        <f t="shared" si="0"/>
        <v>Oui</v>
      </c>
      <c r="C31" s="280" t="s">
        <v>4979</v>
      </c>
      <c r="D31" s="833" t="s">
        <v>4876</v>
      </c>
      <c r="E31" s="837" t="s">
        <v>4902</v>
      </c>
      <c r="F31" s="832"/>
      <c r="G31" s="836" t="s">
        <v>4903</v>
      </c>
      <c r="H31" s="834"/>
      <c r="I31" s="835" t="s">
        <v>4970</v>
      </c>
      <c r="J31" s="271" t="s">
        <v>4980</v>
      </c>
      <c r="K31" s="271"/>
      <c r="L31" s="268"/>
      <c r="M31" s="271"/>
      <c r="N31" s="268"/>
      <c r="O31" s="271"/>
      <c r="P31" s="268"/>
      <c r="Q31" s="166" t="str">
        <f t="shared" si="1"/>
        <v>OK</v>
      </c>
      <c r="R31" s="282" t="str">
        <f t="shared" si="2"/>
        <v>OK</v>
      </c>
      <c r="S31" s="271"/>
      <c r="T31" s="268"/>
      <c r="U31" s="271"/>
      <c r="V31" s="271"/>
      <c r="W31" s="271"/>
    </row>
    <row r="32" spans="1:26" ht="39.950000000000003" customHeight="1" x14ac:dyDescent="0.25">
      <c r="A32" s="280" t="s">
        <v>4981</v>
      </c>
      <c r="B32" s="277" t="str">
        <f t="shared" si="0"/>
        <v>Oui</v>
      </c>
      <c r="C32" s="280" t="s">
        <v>4982</v>
      </c>
      <c r="D32" s="833" t="s">
        <v>4876</v>
      </c>
      <c r="E32" s="837" t="s">
        <v>4902</v>
      </c>
      <c r="F32" s="832"/>
      <c r="G32" s="836" t="s">
        <v>4903</v>
      </c>
      <c r="H32" s="834"/>
      <c r="I32" s="835" t="s">
        <v>4970</v>
      </c>
      <c r="J32" s="271" t="s">
        <v>4983</v>
      </c>
      <c r="K32" s="271"/>
      <c r="L32" s="268"/>
      <c r="M32" s="271"/>
      <c r="N32" s="268"/>
      <c r="O32" s="271"/>
      <c r="P32" s="268"/>
      <c r="Q32" s="166" t="str">
        <f t="shared" si="1"/>
        <v>OK</v>
      </c>
      <c r="R32" s="282" t="str">
        <f t="shared" si="2"/>
        <v>OK</v>
      </c>
      <c r="S32" s="271"/>
      <c r="T32" s="268"/>
      <c r="U32" s="271"/>
      <c r="V32" s="271"/>
      <c r="W32" s="271"/>
    </row>
    <row r="33" spans="1:26" ht="39.950000000000003" customHeight="1" x14ac:dyDescent="0.25">
      <c r="A33" s="280" t="s">
        <v>4984</v>
      </c>
      <c r="B33" s="277" t="str">
        <f t="shared" si="0"/>
        <v>Oui</v>
      </c>
      <c r="C33" s="280" t="s">
        <v>4985</v>
      </c>
      <c r="D33" s="833" t="s">
        <v>4876</v>
      </c>
      <c r="E33" s="837" t="s">
        <v>4902</v>
      </c>
      <c r="F33" s="832"/>
      <c r="G33" s="836" t="s">
        <v>4903</v>
      </c>
      <c r="H33" s="834"/>
      <c r="I33" s="835" t="s">
        <v>4970</v>
      </c>
      <c r="J33" s="271" t="s">
        <v>4986</v>
      </c>
      <c r="K33" s="271"/>
      <c r="L33" s="268"/>
      <c r="M33" s="271"/>
      <c r="N33" s="268"/>
      <c r="O33" s="271"/>
      <c r="P33" s="268"/>
      <c r="Q33" s="166" t="str">
        <f t="shared" si="1"/>
        <v>OK</v>
      </c>
      <c r="R33" s="282" t="str">
        <f t="shared" si="2"/>
        <v>OK</v>
      </c>
      <c r="S33" s="271"/>
      <c r="T33" s="268"/>
      <c r="U33" s="271"/>
      <c r="V33" s="271"/>
      <c r="W33" s="271"/>
    </row>
    <row r="34" spans="1:26" ht="39.950000000000003" customHeight="1" x14ac:dyDescent="0.25">
      <c r="A34" s="280" t="s">
        <v>4987</v>
      </c>
      <c r="B34" s="277" t="str">
        <f t="shared" si="0"/>
        <v>Oui</v>
      </c>
      <c r="C34" s="280" t="s">
        <v>4988</v>
      </c>
      <c r="D34" s="833" t="s">
        <v>4876</v>
      </c>
      <c r="E34" s="837" t="s">
        <v>4902</v>
      </c>
      <c r="F34" s="832"/>
      <c r="G34" s="836" t="s">
        <v>4903</v>
      </c>
      <c r="H34" s="834"/>
      <c r="I34" s="835" t="s">
        <v>4970</v>
      </c>
      <c r="J34" s="271" t="s">
        <v>4989</v>
      </c>
      <c r="K34" s="271"/>
      <c r="L34" s="268"/>
      <c r="M34" s="271"/>
      <c r="N34" s="268"/>
      <c r="O34" s="271"/>
      <c r="P34" s="268"/>
      <c r="Q34" s="166" t="str">
        <f t="shared" si="1"/>
        <v>OK</v>
      </c>
      <c r="R34" s="282" t="str">
        <f t="shared" si="2"/>
        <v>OK</v>
      </c>
      <c r="S34" s="271"/>
      <c r="T34" s="268"/>
      <c r="U34" s="271"/>
      <c r="V34" s="271"/>
      <c r="W34" s="271"/>
    </row>
    <row r="35" spans="1:26" ht="39.950000000000003" customHeight="1" x14ac:dyDescent="0.25">
      <c r="A35" s="280" t="s">
        <v>4990</v>
      </c>
      <c r="B35" s="277" t="str">
        <f t="shared" si="0"/>
        <v>Oui</v>
      </c>
      <c r="C35" s="280" t="s">
        <v>4991</v>
      </c>
      <c r="D35" s="833" t="s">
        <v>4876</v>
      </c>
      <c r="E35" s="837" t="s">
        <v>4902</v>
      </c>
      <c r="F35" s="832"/>
      <c r="G35" s="836" t="s">
        <v>4903</v>
      </c>
      <c r="H35" s="834"/>
      <c r="I35" s="835" t="s">
        <v>4970</v>
      </c>
      <c r="J35" s="271" t="s">
        <v>4992</v>
      </c>
      <c r="K35" s="271"/>
      <c r="L35" s="268"/>
      <c r="M35" s="271"/>
      <c r="N35" s="268"/>
      <c r="O35" s="271"/>
      <c r="P35" s="268"/>
      <c r="Q35" s="166" t="str">
        <f t="shared" si="1"/>
        <v>OK</v>
      </c>
      <c r="R35" s="282" t="str">
        <f t="shared" si="2"/>
        <v>OK</v>
      </c>
      <c r="S35" s="271"/>
      <c r="T35" s="268"/>
      <c r="U35" s="271"/>
      <c r="V35" s="271"/>
      <c r="W35" s="271"/>
    </row>
    <row r="36" spans="1:26" ht="39.950000000000003" customHeight="1" x14ac:dyDescent="0.25">
      <c r="A36" s="280" t="s">
        <v>4993</v>
      </c>
      <c r="B36" s="277" t="str">
        <f t="shared" si="0"/>
        <v>Oui</v>
      </c>
      <c r="C36" s="280" t="s">
        <v>4994</v>
      </c>
      <c r="D36" s="833" t="s">
        <v>4876</v>
      </c>
      <c r="E36" s="837" t="s">
        <v>4902</v>
      </c>
      <c r="F36" s="832"/>
      <c r="G36" s="836" t="s">
        <v>4903</v>
      </c>
      <c r="H36" s="834"/>
      <c r="I36" s="835" t="s">
        <v>4970</v>
      </c>
      <c r="J36" s="271" t="s">
        <v>4995</v>
      </c>
      <c r="K36" s="271"/>
      <c r="L36" s="268"/>
      <c r="M36" s="271"/>
      <c r="N36" s="268"/>
      <c r="O36" s="271"/>
      <c r="P36" s="268"/>
      <c r="Q36" s="166" t="str">
        <f t="shared" si="1"/>
        <v>OK</v>
      </c>
      <c r="R36" s="282" t="str">
        <f t="shared" si="2"/>
        <v>OK</v>
      </c>
      <c r="S36" s="271"/>
      <c r="T36" s="268"/>
      <c r="U36" s="271"/>
      <c r="V36" s="271"/>
      <c r="W36" s="271"/>
    </row>
    <row r="37" spans="1:26" ht="39.950000000000003" customHeight="1" x14ac:dyDescent="0.25">
      <c r="A37" s="280" t="s">
        <v>4996</v>
      </c>
      <c r="B37" s="277" t="str">
        <f t="shared" si="0"/>
        <v>Oui</v>
      </c>
      <c r="C37" s="280" t="s">
        <v>4997</v>
      </c>
      <c r="D37" s="833" t="s">
        <v>4876</v>
      </c>
      <c r="E37" s="837" t="s">
        <v>4902</v>
      </c>
      <c r="F37" s="832"/>
      <c r="G37" s="836" t="s">
        <v>4903</v>
      </c>
      <c r="H37" s="834"/>
      <c r="I37" s="835" t="s">
        <v>4970</v>
      </c>
      <c r="J37" s="271" t="s">
        <v>4998</v>
      </c>
      <c r="K37" s="271"/>
      <c r="L37" s="268"/>
      <c r="M37" s="271"/>
      <c r="N37" s="268"/>
      <c r="O37" s="271"/>
      <c r="P37" s="268"/>
      <c r="Q37" s="166" t="str">
        <f t="shared" si="1"/>
        <v>OK</v>
      </c>
      <c r="R37" s="282" t="str">
        <f t="shared" si="2"/>
        <v>OK</v>
      </c>
      <c r="S37" s="271"/>
      <c r="T37" s="268"/>
      <c r="U37" s="271"/>
      <c r="V37" s="271"/>
      <c r="W37" s="271"/>
    </row>
    <row r="38" spans="1:26" ht="39.950000000000003" customHeight="1" x14ac:dyDescent="0.25">
      <c r="A38" s="280" t="s">
        <v>4999</v>
      </c>
      <c r="B38" s="277" t="str">
        <f t="shared" si="0"/>
        <v>Oui</v>
      </c>
      <c r="C38" s="280" t="s">
        <v>5000</v>
      </c>
      <c r="D38" s="833" t="s">
        <v>4876</v>
      </c>
      <c r="E38" s="837" t="s">
        <v>4902</v>
      </c>
      <c r="F38" s="832"/>
      <c r="G38" s="836" t="s">
        <v>4903</v>
      </c>
      <c r="H38" s="834"/>
      <c r="I38" s="835" t="s">
        <v>4970</v>
      </c>
      <c r="J38" s="271" t="s">
        <v>5001</v>
      </c>
      <c r="K38" s="271"/>
      <c r="L38" s="268"/>
      <c r="M38" s="271"/>
      <c r="N38" s="268"/>
      <c r="O38" s="271"/>
      <c r="P38" s="268"/>
      <c r="Q38" s="166" t="str">
        <f t="shared" si="1"/>
        <v>OK</v>
      </c>
      <c r="R38" s="282" t="str">
        <f t="shared" si="2"/>
        <v>OK</v>
      </c>
      <c r="S38" s="271"/>
      <c r="T38" s="268"/>
      <c r="U38" s="271"/>
      <c r="V38" s="271"/>
      <c r="W38" s="271"/>
    </row>
    <row r="39" spans="1:26" ht="33.950000000000003" customHeight="1" x14ac:dyDescent="0.25">
      <c r="A39" s="268"/>
      <c r="B39" s="197"/>
      <c r="C39" s="197"/>
      <c r="D39" s="271"/>
      <c r="E39" s="271"/>
      <c r="F39" s="271"/>
      <c r="G39" s="271"/>
      <c r="H39" s="271"/>
      <c r="I39" s="271"/>
      <c r="J39" s="271"/>
      <c r="K39" s="271"/>
      <c r="L39" s="271"/>
      <c r="M39" s="271"/>
      <c r="N39" s="271"/>
      <c r="O39" s="271"/>
      <c r="P39" s="271"/>
      <c r="Q39" s="271"/>
      <c r="R39" s="270"/>
      <c r="S39" s="268"/>
      <c r="T39" s="268"/>
      <c r="U39" s="271"/>
      <c r="V39" s="271"/>
      <c r="W39" s="271"/>
    </row>
    <row r="40" spans="1:26" ht="33.950000000000003" customHeight="1" x14ac:dyDescent="0.25">
      <c r="A40" s="263" t="s">
        <v>5002</v>
      </c>
      <c r="B40" s="263"/>
      <c r="C40" s="263"/>
      <c r="D40" s="271"/>
      <c r="E40" s="271"/>
      <c r="F40" s="271"/>
      <c r="G40" s="271"/>
      <c r="H40" s="271"/>
      <c r="I40" s="271"/>
      <c r="J40" s="271"/>
      <c r="K40" s="271"/>
      <c r="L40" s="271"/>
      <c r="M40" s="271"/>
      <c r="N40" s="271"/>
      <c r="O40" s="271"/>
      <c r="P40" s="271"/>
      <c r="Q40" s="271"/>
      <c r="R40" s="268"/>
      <c r="S40" s="268"/>
      <c r="T40" s="268"/>
      <c r="U40" s="271"/>
      <c r="V40" s="271"/>
      <c r="W40" s="271"/>
    </row>
    <row r="41" spans="1:26" ht="33.950000000000003" customHeight="1" x14ac:dyDescent="0.25">
      <c r="A41" s="266" t="s">
        <v>5003</v>
      </c>
      <c r="B41" s="297" t="s">
        <v>4968</v>
      </c>
      <c r="C41" s="297" t="s">
        <v>5004</v>
      </c>
      <c r="D41" s="271"/>
      <c r="E41" s="271"/>
      <c r="F41" s="271"/>
      <c r="G41" s="271"/>
      <c r="H41" s="271"/>
      <c r="I41" s="271"/>
      <c r="J41" s="271"/>
      <c r="K41" s="271"/>
      <c r="L41" s="271"/>
      <c r="M41" s="271"/>
      <c r="N41" s="271"/>
      <c r="O41" s="271"/>
      <c r="P41" s="271"/>
      <c r="Q41" s="271"/>
      <c r="R41" s="268"/>
      <c r="S41" s="268"/>
      <c r="T41" s="268"/>
      <c r="U41" s="271"/>
      <c r="V41" s="271"/>
      <c r="W41" s="271"/>
    </row>
    <row r="42" spans="1:26" ht="33.950000000000003" customHeight="1" x14ac:dyDescent="0.25">
      <c r="A42" s="300" t="s">
        <v>5005</v>
      </c>
      <c r="B42" s="277">
        <f>COUNTIF($B$29:$B$38,"Oui")</f>
        <v>10</v>
      </c>
      <c r="C42" s="301" t="s">
        <v>5006</v>
      </c>
      <c r="D42" s="271"/>
      <c r="E42" s="271"/>
      <c r="F42" s="271"/>
      <c r="G42" s="271"/>
      <c r="H42" s="271"/>
      <c r="I42" s="271"/>
      <c r="J42" s="271"/>
      <c r="K42" s="271"/>
      <c r="L42" s="271"/>
      <c r="M42" s="271"/>
      <c r="N42" s="271"/>
      <c r="O42" s="271"/>
      <c r="P42" s="271"/>
      <c r="Q42" s="271"/>
      <c r="R42" s="268"/>
      <c r="S42" s="268"/>
      <c r="T42" s="268"/>
      <c r="U42" s="271"/>
      <c r="V42" s="271"/>
      <c r="W42" s="271"/>
    </row>
    <row r="43" spans="1:26" ht="33.950000000000003" customHeight="1" x14ac:dyDescent="0.25">
      <c r="A43" s="300" t="s">
        <v>5007</v>
      </c>
      <c r="B43" s="277">
        <f>COUNTIF($B$29:$B$38,"Non")+COUNTIF($B$29:$B$38,"À vérifier")+COUNTBLANK($B$29:$B$38)</f>
        <v>0</v>
      </c>
      <c r="C43" s="268" t="s">
        <v>5008</v>
      </c>
      <c r="D43" s="271"/>
      <c r="E43" s="271"/>
      <c r="F43" s="271"/>
      <c r="G43" s="271"/>
      <c r="H43" s="271"/>
      <c r="I43" s="271"/>
      <c r="J43" s="271"/>
      <c r="K43" s="271"/>
      <c r="L43" s="271"/>
      <c r="M43" s="271"/>
      <c r="N43" s="271"/>
      <c r="O43" s="271"/>
      <c r="P43" s="271"/>
      <c r="Q43" s="271"/>
      <c r="R43" s="268"/>
      <c r="S43" s="268"/>
      <c r="T43" s="268"/>
      <c r="U43" s="271"/>
      <c r="V43" s="271"/>
      <c r="W43" s="271"/>
    </row>
    <row r="44" spans="1:26" ht="33.950000000000003" customHeight="1" x14ac:dyDescent="0.25">
      <c r="A44" s="300" t="s">
        <v>5009</v>
      </c>
      <c r="B44" s="277" t="str">
        <f>IF($B$43&gt;0,"À corriger / compléter avant validation",IF($B$42&gt;=8,"Menu prêt à relire par le formateur","Contrôle insuffisant"))</f>
        <v>Menu prêt à relire par le formateur</v>
      </c>
      <c r="C44" s="268" t="s">
        <v>5010</v>
      </c>
      <c r="D44" s="271"/>
      <c r="E44" s="271"/>
      <c r="F44" s="271"/>
      <c r="G44" s="271"/>
      <c r="H44" s="271"/>
      <c r="I44" s="271"/>
      <c r="J44" s="271"/>
      <c r="K44" s="271"/>
      <c r="L44" s="271"/>
      <c r="M44" s="271"/>
      <c r="N44" s="271"/>
      <c r="O44" s="271"/>
      <c r="P44" s="271"/>
      <c r="Q44" s="271"/>
      <c r="R44" s="268"/>
      <c r="S44" s="268"/>
      <c r="T44" s="268"/>
      <c r="U44" s="271"/>
      <c r="V44" s="271"/>
      <c r="W44" s="271"/>
    </row>
    <row r="45" spans="1:26" x14ac:dyDescent="0.25">
      <c r="T45" s="271"/>
      <c r="U45" s="271"/>
      <c r="V45" s="271"/>
      <c r="W45" s="271"/>
    </row>
    <row r="46" spans="1:26" x14ac:dyDescent="0.25">
      <c r="A46" s="302" t="s">
        <v>5011</v>
      </c>
      <c r="B46" s="303" t="s">
        <v>5012</v>
      </c>
      <c r="C46" s="304"/>
      <c r="D46" s="304"/>
      <c r="E46" s="304"/>
      <c r="F46" s="304"/>
      <c r="G46" s="304"/>
      <c r="H46" s="304"/>
      <c r="I46" s="304"/>
      <c r="J46" s="304"/>
      <c r="K46" s="304"/>
      <c r="L46" s="304"/>
      <c r="M46" s="304"/>
      <c r="N46" s="304"/>
      <c r="O46" s="304"/>
      <c r="P46" s="304"/>
      <c r="Q46" s="304"/>
      <c r="R46" s="304"/>
      <c r="S46" s="304"/>
      <c r="T46" s="304"/>
      <c r="U46" s="304"/>
      <c r="V46" s="304"/>
      <c r="W46" s="304"/>
      <c r="X46" s="304"/>
      <c r="Y46" s="304"/>
      <c r="Z46" s="304"/>
    </row>
    <row r="47" spans="1:26" x14ac:dyDescent="0.25">
      <c r="A47" s="302" t="s">
        <v>5013</v>
      </c>
      <c r="B47" s="303" t="s">
        <v>5014</v>
      </c>
      <c r="C47" s="304"/>
      <c r="D47" s="304"/>
      <c r="E47" s="304"/>
      <c r="F47" s="304"/>
      <c r="G47" s="304"/>
      <c r="H47" s="304"/>
      <c r="I47" s="304"/>
      <c r="J47" s="304"/>
      <c r="K47" s="304"/>
      <c r="L47" s="304"/>
      <c r="M47" s="304"/>
      <c r="N47" s="304"/>
      <c r="O47" s="304"/>
      <c r="P47" s="304"/>
      <c r="Q47" s="304"/>
      <c r="R47" s="304"/>
      <c r="S47" s="304"/>
      <c r="T47" s="304"/>
      <c r="U47" s="304"/>
      <c r="V47" s="304"/>
      <c r="W47" s="304"/>
      <c r="X47" s="304"/>
      <c r="Y47" s="304"/>
      <c r="Z47" s="304"/>
    </row>
  </sheetData>
  <mergeCells count="2">
    <mergeCell ref="B24:E24"/>
    <mergeCell ref="B25:E25"/>
  </mergeCells>
  <conditionalFormatting sqref="R10:R26 Q29:Q38 R39:R44">
    <cfRule type="expression" dxfId="4" priority="1">
      <formula>LEFT(Q10,1)="⚠"</formula>
    </cfRule>
    <cfRule type="expression" dxfId="3" priority="2">
      <formula>Q10="OK"</formula>
    </cfRule>
  </conditionalFormatting>
  <conditionalFormatting sqref="S10:T26 T27:T38 R29:R38 S39:T44">
    <cfRule type="expression" dxfId="2" priority="3">
      <formula>OR(ISNUMBER(SEARCH("corriger",LOWER(R10))),ISNUMBER(SEARCH("vérifier",LOWER(R10))))</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EB8A9-CF6A-4A48-B2B0-3B2C71C59C08}">
  <dimension ref="A1:AL177"/>
  <sheetViews>
    <sheetView zoomScaleNormal="100" workbookViewId="0">
      <selection activeCell="A3" sqref="A3"/>
    </sheetView>
  </sheetViews>
  <sheetFormatPr baseColWidth="10" defaultColWidth="9" defaultRowHeight="15.75" x14ac:dyDescent="0.25"/>
  <cols>
    <col min="1" max="1" width="26.75" style="842" customWidth="1"/>
    <col min="2" max="2" width="19" style="842" customWidth="1"/>
    <col min="3" max="4" width="12" style="842" customWidth="1"/>
    <col min="5" max="5" width="20" style="842" customWidth="1"/>
    <col min="6" max="8" width="0.875" style="842" customWidth="1"/>
    <col min="9" max="9" width="28" style="842" customWidth="1"/>
    <col min="10" max="12" width="0.875" style="842" customWidth="1"/>
    <col min="13" max="13" width="30" style="842" customWidth="1"/>
    <col min="14" max="16" width="0.875" style="842" customWidth="1"/>
    <col min="17" max="17" width="28" style="842" customWidth="1"/>
    <col min="18" max="20" width="0.875" style="842" customWidth="1"/>
    <col min="21" max="21" width="30" style="842" customWidth="1"/>
    <col min="22" max="24" width="0.875" style="842" customWidth="1"/>
    <col min="25" max="25" width="28" style="842" customWidth="1"/>
    <col min="26" max="28" width="0.875" style="842" customWidth="1"/>
    <col min="29" max="29" width="28" style="842" customWidth="1"/>
    <col min="30" max="32" width="0.875" style="842" customWidth="1"/>
    <col min="33" max="33" width="26" style="842" customWidth="1"/>
    <col min="34" max="34" width="34" style="842" customWidth="1"/>
    <col min="35" max="35" width="9" style="842"/>
    <col min="36" max="36" width="27.625" style="842" customWidth="1"/>
    <col min="37" max="37" width="9" style="842"/>
    <col min="38" max="38" width="27.625" style="842" customWidth="1"/>
    <col min="39" max="16384" width="9" style="842"/>
  </cols>
  <sheetData>
    <row r="1" spans="1:38" ht="30" customHeight="1" x14ac:dyDescent="0.25">
      <c r="A1" s="840"/>
      <c r="B1" s="840"/>
      <c r="C1" s="840"/>
      <c r="D1" s="840"/>
      <c r="E1" s="840" t="s">
        <v>6579</v>
      </c>
      <c r="F1" s="840"/>
      <c r="G1" s="840"/>
      <c r="H1" s="840"/>
      <c r="I1" s="840"/>
      <c r="J1" s="840"/>
      <c r="K1" s="840"/>
      <c r="L1" s="840"/>
      <c r="M1" s="840"/>
      <c r="N1" s="840"/>
      <c r="O1" s="840"/>
      <c r="P1" s="840"/>
      <c r="Q1" s="840"/>
      <c r="R1" s="840"/>
      <c r="S1" s="840"/>
      <c r="T1" s="840"/>
      <c r="U1" s="840"/>
      <c r="V1" s="840"/>
      <c r="W1" s="840"/>
      <c r="X1" s="840"/>
      <c r="Y1" s="840"/>
      <c r="Z1" s="840"/>
      <c r="AA1" s="840"/>
      <c r="AB1" s="840"/>
      <c r="AC1" s="840"/>
      <c r="AD1" s="840"/>
      <c r="AE1" s="840"/>
      <c r="AF1" s="840"/>
      <c r="AG1" s="840"/>
      <c r="AH1" s="840"/>
      <c r="AI1" s="841"/>
      <c r="AJ1" s="841"/>
      <c r="AK1" s="841"/>
      <c r="AL1" s="841"/>
    </row>
    <row r="2" spans="1:38" x14ac:dyDescent="0.25">
      <c r="A2" s="213"/>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row>
    <row r="3" spans="1:38" ht="30" customHeight="1" x14ac:dyDescent="0.25">
      <c r="B3" s="844"/>
      <c r="C3" s="844" t="s">
        <v>5439</v>
      </c>
      <c r="D3" s="845" t="s">
        <v>6584</v>
      </c>
      <c r="E3" s="874"/>
      <c r="F3" s="874"/>
      <c r="G3" s="874"/>
      <c r="H3" s="874"/>
      <c r="I3" s="874"/>
      <c r="J3" s="874"/>
      <c r="K3" s="874"/>
      <c r="L3" s="874"/>
      <c r="M3" s="874"/>
      <c r="N3" s="874"/>
      <c r="O3" s="874"/>
      <c r="P3" s="874"/>
      <c r="Q3" s="874"/>
      <c r="R3" s="874"/>
      <c r="S3" s="874"/>
      <c r="T3" s="874"/>
      <c r="U3" s="874"/>
      <c r="V3" s="874"/>
      <c r="W3" s="874"/>
      <c r="X3" s="874"/>
      <c r="Y3" s="874"/>
      <c r="Z3" s="874"/>
      <c r="AA3" s="874"/>
      <c r="AB3" s="874"/>
      <c r="AC3" s="874"/>
      <c r="AD3" s="874"/>
      <c r="AE3" s="874"/>
      <c r="AF3" s="874"/>
      <c r="AG3" s="874"/>
      <c r="AH3" s="874"/>
      <c r="AI3" s="213"/>
      <c r="AJ3" s="213"/>
      <c r="AK3" s="213"/>
      <c r="AL3" s="213"/>
    </row>
    <row r="4" spans="1:38" ht="30" customHeight="1" x14ac:dyDescent="0.25">
      <c r="B4" s="844"/>
      <c r="C4" s="844" t="s">
        <v>5532</v>
      </c>
      <c r="D4" s="874" t="s">
        <v>5533</v>
      </c>
      <c r="E4" s="874"/>
      <c r="F4" s="874"/>
      <c r="G4" s="874"/>
      <c r="H4" s="874"/>
      <c r="I4" s="874"/>
      <c r="J4" s="874"/>
      <c r="K4" s="874"/>
      <c r="L4" s="874"/>
      <c r="M4" s="874"/>
      <c r="N4" s="874"/>
      <c r="O4" s="874"/>
      <c r="P4" s="874"/>
      <c r="Q4" s="874"/>
      <c r="R4" s="874"/>
      <c r="S4" s="874"/>
      <c r="T4" s="874"/>
      <c r="U4" s="874"/>
      <c r="V4" s="874"/>
      <c r="W4" s="874"/>
      <c r="X4" s="874"/>
      <c r="Y4" s="874"/>
      <c r="Z4" s="874"/>
      <c r="AA4" s="874"/>
      <c r="AB4" s="874"/>
      <c r="AC4" s="874"/>
      <c r="AD4" s="874"/>
      <c r="AE4" s="874"/>
      <c r="AF4" s="874"/>
      <c r="AG4" s="874"/>
      <c r="AH4" s="874"/>
      <c r="AI4" s="213"/>
      <c r="AJ4" s="213"/>
      <c r="AK4" s="213"/>
      <c r="AL4" s="213"/>
    </row>
    <row r="5" spans="1:38" ht="30" customHeight="1" x14ac:dyDescent="0.25">
      <c r="B5" s="844"/>
      <c r="C5" s="844" t="s">
        <v>5443</v>
      </c>
      <c r="D5" s="874" t="s">
        <v>5534</v>
      </c>
      <c r="E5" s="874"/>
      <c r="F5" s="874"/>
      <c r="G5" s="874"/>
      <c r="H5" s="874"/>
      <c r="I5" s="874"/>
      <c r="J5" s="874"/>
      <c r="K5" s="874"/>
      <c r="L5" s="874"/>
      <c r="M5" s="874"/>
      <c r="N5" s="874"/>
      <c r="O5" s="874"/>
      <c r="P5" s="874"/>
      <c r="Q5" s="874"/>
      <c r="R5" s="874"/>
      <c r="S5" s="874"/>
      <c r="T5" s="874"/>
      <c r="U5" s="874"/>
      <c r="V5" s="874"/>
      <c r="W5" s="874"/>
      <c r="X5" s="874"/>
      <c r="Y5" s="874"/>
      <c r="Z5" s="874"/>
      <c r="AA5" s="874"/>
      <c r="AB5" s="874"/>
      <c r="AC5" s="874"/>
      <c r="AD5" s="874"/>
      <c r="AE5" s="874"/>
      <c r="AF5" s="874"/>
      <c r="AG5" s="874"/>
      <c r="AH5" s="874"/>
      <c r="AI5" s="213"/>
      <c r="AJ5" s="213"/>
      <c r="AK5" s="213"/>
      <c r="AL5" s="213"/>
    </row>
    <row r="6" spans="1:38" ht="30" customHeight="1" x14ac:dyDescent="0.25">
      <c r="B6" s="847"/>
      <c r="C6" s="847" t="s">
        <v>5445</v>
      </c>
      <c r="D6" s="875" t="s">
        <v>5535</v>
      </c>
      <c r="E6" s="875"/>
      <c r="F6" s="875"/>
      <c r="G6" s="875"/>
      <c r="H6" s="875"/>
      <c r="I6" s="875"/>
      <c r="J6" s="875"/>
      <c r="K6" s="875"/>
      <c r="L6" s="875"/>
      <c r="M6" s="875"/>
      <c r="N6" s="875"/>
      <c r="O6" s="875"/>
      <c r="P6" s="875"/>
      <c r="Q6" s="875"/>
      <c r="R6" s="875"/>
      <c r="S6" s="875"/>
      <c r="T6" s="875"/>
      <c r="U6" s="875"/>
      <c r="V6" s="875"/>
      <c r="W6" s="875"/>
      <c r="X6" s="875"/>
      <c r="Y6" s="875"/>
      <c r="Z6" s="875"/>
      <c r="AA6" s="875"/>
      <c r="AB6" s="875"/>
      <c r="AC6" s="875"/>
      <c r="AD6" s="875"/>
      <c r="AE6" s="875"/>
      <c r="AF6" s="875"/>
      <c r="AG6" s="875"/>
      <c r="AH6" s="875"/>
      <c r="AI6" s="213"/>
      <c r="AJ6" s="213"/>
      <c r="AK6" s="213"/>
      <c r="AL6" s="213"/>
    </row>
    <row r="7" spans="1:38" ht="30" customHeight="1" x14ac:dyDescent="0.25">
      <c r="A7" s="230" t="s">
        <v>5254</v>
      </c>
      <c r="B7" s="230" t="s">
        <v>5447</v>
      </c>
      <c r="C7" s="230" t="s">
        <v>5448</v>
      </c>
      <c r="D7" s="230" t="s">
        <v>5449</v>
      </c>
      <c r="E7" s="230" t="s">
        <v>5</v>
      </c>
      <c r="F7" s="230"/>
      <c r="G7" s="230"/>
      <c r="H7" s="230"/>
      <c r="I7" s="230" t="s">
        <v>5450</v>
      </c>
      <c r="J7" s="230"/>
      <c r="K7" s="230"/>
      <c r="L7" s="230"/>
      <c r="M7" s="230" t="s">
        <v>5451</v>
      </c>
      <c r="N7" s="230"/>
      <c r="O7" s="230"/>
      <c r="P7" s="230"/>
      <c r="Q7" s="230" t="s">
        <v>5452</v>
      </c>
      <c r="R7" s="230"/>
      <c r="S7" s="230"/>
      <c r="T7" s="230"/>
      <c r="U7" s="230" t="s">
        <v>5453</v>
      </c>
      <c r="V7" s="230"/>
      <c r="W7" s="230"/>
      <c r="X7" s="230"/>
      <c r="Y7" s="230" t="s">
        <v>5129</v>
      </c>
      <c r="Z7" s="230"/>
      <c r="AA7" s="230"/>
      <c r="AB7" s="230"/>
      <c r="AC7" s="230" t="s">
        <v>5454</v>
      </c>
      <c r="AD7" s="230"/>
      <c r="AE7" s="230"/>
      <c r="AF7" s="230"/>
      <c r="AG7" s="230" t="s">
        <v>5455</v>
      </c>
      <c r="AH7" s="230" t="s">
        <v>5457</v>
      </c>
      <c r="AI7" s="213"/>
      <c r="AJ7" s="811" t="s">
        <v>5582</v>
      </c>
      <c r="AK7" s="213"/>
      <c r="AL7" s="811" t="s">
        <v>5582</v>
      </c>
    </row>
    <row r="8" spans="1:38" ht="9.9499999999999993" customHeight="1" x14ac:dyDescent="0.25">
      <c r="A8" s="270"/>
      <c r="B8" s="270"/>
      <c r="C8" s="270"/>
      <c r="D8" s="270"/>
      <c r="E8" s="270"/>
      <c r="F8" s="270"/>
      <c r="G8" s="270"/>
      <c r="H8" s="270"/>
      <c r="I8" s="270"/>
      <c r="J8" s="270"/>
      <c r="K8" s="270"/>
      <c r="L8" s="270"/>
      <c r="M8" s="270"/>
      <c r="N8" s="270"/>
      <c r="O8" s="850"/>
      <c r="P8" s="850"/>
      <c r="Q8" s="876"/>
      <c r="R8" s="850"/>
      <c r="S8" s="850"/>
      <c r="T8" s="850"/>
      <c r="U8" s="876"/>
      <c r="V8" s="850"/>
      <c r="W8" s="850"/>
      <c r="X8" s="850"/>
      <c r="Y8" s="876"/>
      <c r="Z8" s="850"/>
      <c r="AA8" s="850"/>
      <c r="AB8" s="850"/>
      <c r="AC8" s="876"/>
      <c r="AD8" s="850"/>
      <c r="AE8" s="850"/>
      <c r="AF8" s="850"/>
      <c r="AG8" s="876"/>
      <c r="AH8" s="876"/>
      <c r="AI8" s="213"/>
      <c r="AJ8" s="213"/>
      <c r="AK8" s="213"/>
      <c r="AL8" s="213"/>
    </row>
    <row r="9" spans="1:38" ht="9.9499999999999993" customHeight="1" x14ac:dyDescent="0.25">
      <c r="A9" s="1616">
        <v>1</v>
      </c>
      <c r="B9" s="1617">
        <v>1</v>
      </c>
      <c r="C9" s="1574" t="s">
        <v>5458</v>
      </c>
      <c r="D9" s="1574" t="s">
        <v>5459</v>
      </c>
      <c r="E9" s="1574" t="s">
        <v>153</v>
      </c>
      <c r="F9" s="849"/>
      <c r="G9" s="849"/>
      <c r="H9" s="849"/>
      <c r="I9" s="1610" t="s">
        <v>5346</v>
      </c>
      <c r="J9" s="849"/>
      <c r="K9" s="849"/>
      <c r="L9" s="849"/>
      <c r="M9" s="1592" t="s">
        <v>5359</v>
      </c>
      <c r="N9" s="849"/>
      <c r="O9" s="849"/>
      <c r="P9" s="849"/>
      <c r="Q9" s="1574"/>
      <c r="R9" s="849"/>
      <c r="S9" s="849"/>
      <c r="T9" s="849"/>
      <c r="U9" s="1586" t="s">
        <v>5380</v>
      </c>
      <c r="V9" s="849"/>
      <c r="W9" s="849"/>
      <c r="X9" s="849"/>
      <c r="Y9" s="1604" t="s">
        <v>5386</v>
      </c>
      <c r="Z9" s="849"/>
      <c r="AA9" s="849"/>
      <c r="AB9" s="849"/>
      <c r="AC9" s="1610" t="s">
        <v>5394</v>
      </c>
      <c r="AD9" s="849"/>
      <c r="AE9" s="849"/>
      <c r="AF9" s="849"/>
      <c r="AG9" s="1574" t="s">
        <v>5536</v>
      </c>
      <c r="AH9" s="1598" t="s">
        <v>5537</v>
      </c>
      <c r="AI9" s="213"/>
      <c r="AJ9" s="1610" t="s">
        <v>5346</v>
      </c>
      <c r="AK9" s="213"/>
      <c r="AL9" s="1574" t="s">
        <v>798</v>
      </c>
    </row>
    <row r="10" spans="1:38" ht="9.9499999999999993" customHeight="1" x14ac:dyDescent="0.25">
      <c r="A10" s="1616"/>
      <c r="B10" s="1617"/>
      <c r="C10" s="1575"/>
      <c r="D10" s="1575"/>
      <c r="E10" s="1575"/>
      <c r="F10" s="850"/>
      <c r="G10" s="851"/>
      <c r="H10" s="850"/>
      <c r="I10" s="1611"/>
      <c r="J10" s="850"/>
      <c r="K10" s="851"/>
      <c r="L10" s="850"/>
      <c r="M10" s="1593"/>
      <c r="N10" s="850"/>
      <c r="O10" s="851"/>
      <c r="P10" s="850"/>
      <c r="Q10" s="1575"/>
      <c r="R10" s="850"/>
      <c r="S10" s="851"/>
      <c r="T10" s="850"/>
      <c r="U10" s="1587"/>
      <c r="V10" s="850"/>
      <c r="W10" s="851"/>
      <c r="X10" s="850"/>
      <c r="Y10" s="1605"/>
      <c r="Z10" s="850"/>
      <c r="AA10" s="851"/>
      <c r="AB10" s="850"/>
      <c r="AC10" s="1611"/>
      <c r="AD10" s="850"/>
      <c r="AE10" s="851"/>
      <c r="AF10" s="850"/>
      <c r="AG10" s="1575"/>
      <c r="AH10" s="1599"/>
      <c r="AI10" s="213"/>
      <c r="AJ10" s="1611"/>
      <c r="AK10" s="213"/>
      <c r="AL10" s="1575"/>
    </row>
    <row r="11" spans="1:38" ht="9.9499999999999993" customHeight="1" x14ac:dyDescent="0.25">
      <c r="A11" s="1616"/>
      <c r="B11" s="1617"/>
      <c r="C11" s="1576"/>
      <c r="D11" s="1576"/>
      <c r="E11" s="1576"/>
      <c r="F11" s="849"/>
      <c r="G11" s="849"/>
      <c r="H11" s="849"/>
      <c r="I11" s="1612"/>
      <c r="J11" s="849"/>
      <c r="K11" s="849"/>
      <c r="L11" s="849"/>
      <c r="M11" s="1594"/>
      <c r="N11" s="849"/>
      <c r="O11" s="849"/>
      <c r="P11" s="849"/>
      <c r="Q11" s="1576"/>
      <c r="R11" s="849"/>
      <c r="S11" s="849"/>
      <c r="T11" s="849"/>
      <c r="U11" s="1588"/>
      <c r="V11" s="849"/>
      <c r="W11" s="849"/>
      <c r="X11" s="849"/>
      <c r="Y11" s="1606"/>
      <c r="Z11" s="849"/>
      <c r="AA11" s="849"/>
      <c r="AB11" s="849"/>
      <c r="AC11" s="1612"/>
      <c r="AD11" s="849"/>
      <c r="AE11" s="849"/>
      <c r="AF11" s="849"/>
      <c r="AG11" s="1576"/>
      <c r="AH11" s="1600"/>
      <c r="AI11" s="213"/>
      <c r="AJ11" s="1612"/>
      <c r="AK11" s="213"/>
      <c r="AL11" s="1576"/>
    </row>
    <row r="12" spans="1:38" ht="9.9499999999999993" customHeight="1" x14ac:dyDescent="0.25">
      <c r="A12" s="270"/>
      <c r="B12" s="270"/>
      <c r="C12" s="270"/>
      <c r="D12" s="270"/>
      <c r="E12" s="270"/>
      <c r="F12" s="270"/>
      <c r="G12" s="270"/>
      <c r="H12" s="270"/>
      <c r="I12" s="270"/>
      <c r="J12" s="270"/>
      <c r="K12" s="270"/>
      <c r="L12" s="270"/>
      <c r="M12" s="270"/>
      <c r="N12" s="270"/>
      <c r="O12" s="850"/>
      <c r="P12" s="850"/>
      <c r="Q12" s="876"/>
      <c r="R12" s="850"/>
      <c r="S12" s="850"/>
      <c r="T12" s="850"/>
      <c r="U12" s="876"/>
      <c r="V12" s="850"/>
      <c r="W12" s="850"/>
      <c r="X12" s="850"/>
      <c r="Y12" s="876"/>
      <c r="Z12" s="850"/>
      <c r="AA12" s="850"/>
      <c r="AB12" s="850"/>
      <c r="AC12" s="876"/>
      <c r="AD12" s="850"/>
      <c r="AE12" s="850"/>
      <c r="AF12" s="850"/>
      <c r="AG12" s="876"/>
      <c r="AH12" s="876"/>
      <c r="AI12" s="213"/>
      <c r="AJ12" s="213"/>
      <c r="AK12" s="213"/>
      <c r="AL12" s="213"/>
    </row>
    <row r="13" spans="1:38" ht="9.9499999999999993" customHeight="1" x14ac:dyDescent="0.25">
      <c r="A13" s="1616">
        <v>2</v>
      </c>
      <c r="B13" s="1617">
        <v>1</v>
      </c>
      <c r="C13" s="1574" t="s">
        <v>5463</v>
      </c>
      <c r="D13" s="1574" t="s">
        <v>5459</v>
      </c>
      <c r="E13" s="1574" t="s">
        <v>153</v>
      </c>
      <c r="F13" s="849"/>
      <c r="G13" s="849"/>
      <c r="H13" s="849"/>
      <c r="I13" s="1586" t="s">
        <v>5355</v>
      </c>
      <c r="J13" s="849"/>
      <c r="K13" s="849"/>
      <c r="L13" s="849"/>
      <c r="M13" s="1601" t="s">
        <v>5363</v>
      </c>
      <c r="N13" s="849"/>
      <c r="O13" s="849"/>
      <c r="P13" s="849"/>
      <c r="Q13" s="1574"/>
      <c r="R13" s="849"/>
      <c r="S13" s="849"/>
      <c r="T13" s="849"/>
      <c r="U13" s="1613" t="s">
        <v>5383</v>
      </c>
      <c r="V13" s="849"/>
      <c r="W13" s="849"/>
      <c r="X13" s="849"/>
      <c r="Y13" s="1604" t="s">
        <v>5386</v>
      </c>
      <c r="Z13" s="849"/>
      <c r="AA13" s="849"/>
      <c r="AB13" s="849"/>
      <c r="AC13" s="1610" t="s">
        <v>5394</v>
      </c>
      <c r="AD13" s="849"/>
      <c r="AE13" s="849"/>
      <c r="AF13" s="849"/>
      <c r="AG13" s="1574" t="s">
        <v>5536</v>
      </c>
      <c r="AH13" s="1595" t="s">
        <v>5538</v>
      </c>
      <c r="AI13" s="213"/>
      <c r="AJ13" s="1610" t="s">
        <v>5394</v>
      </c>
      <c r="AK13" s="213"/>
      <c r="AL13" s="1574" t="s">
        <v>5583</v>
      </c>
    </row>
    <row r="14" spans="1:38" ht="9.9499999999999993" customHeight="1" x14ac:dyDescent="0.25">
      <c r="A14" s="1616"/>
      <c r="B14" s="1617"/>
      <c r="C14" s="1575"/>
      <c r="D14" s="1575"/>
      <c r="E14" s="1575"/>
      <c r="F14" s="850"/>
      <c r="G14" s="851"/>
      <c r="H14" s="850"/>
      <c r="I14" s="1587"/>
      <c r="J14" s="850"/>
      <c r="K14" s="851"/>
      <c r="L14" s="850"/>
      <c r="M14" s="1602"/>
      <c r="N14" s="850"/>
      <c r="O14" s="851"/>
      <c r="P14" s="850"/>
      <c r="Q14" s="1575"/>
      <c r="R14" s="850"/>
      <c r="S14" s="851"/>
      <c r="T14" s="850"/>
      <c r="U14" s="1614"/>
      <c r="V14" s="850"/>
      <c r="W14" s="851"/>
      <c r="X14" s="850"/>
      <c r="Y14" s="1605"/>
      <c r="Z14" s="850"/>
      <c r="AA14" s="851"/>
      <c r="AB14" s="850"/>
      <c r="AC14" s="1611"/>
      <c r="AD14" s="850"/>
      <c r="AE14" s="851"/>
      <c r="AF14" s="850"/>
      <c r="AG14" s="1575"/>
      <c r="AH14" s="1596"/>
      <c r="AI14" s="213"/>
      <c r="AJ14" s="1611"/>
      <c r="AK14" s="213"/>
      <c r="AL14" s="1575"/>
    </row>
    <row r="15" spans="1:38" ht="9.9499999999999993" customHeight="1" x14ac:dyDescent="0.25">
      <c r="A15" s="1616"/>
      <c r="B15" s="1617"/>
      <c r="C15" s="1576"/>
      <c r="D15" s="1576"/>
      <c r="E15" s="1576"/>
      <c r="F15" s="849"/>
      <c r="G15" s="849"/>
      <c r="H15" s="849"/>
      <c r="I15" s="1588"/>
      <c r="J15" s="849"/>
      <c r="K15" s="849"/>
      <c r="L15" s="849"/>
      <c r="M15" s="1603"/>
      <c r="N15" s="849"/>
      <c r="O15" s="849"/>
      <c r="P15" s="849"/>
      <c r="Q15" s="1576"/>
      <c r="R15" s="849"/>
      <c r="S15" s="849"/>
      <c r="T15" s="849"/>
      <c r="U15" s="1615"/>
      <c r="V15" s="849"/>
      <c r="W15" s="849"/>
      <c r="X15" s="849"/>
      <c r="Y15" s="1606"/>
      <c r="Z15" s="849"/>
      <c r="AA15" s="849"/>
      <c r="AB15" s="849"/>
      <c r="AC15" s="1612"/>
      <c r="AD15" s="849"/>
      <c r="AE15" s="849"/>
      <c r="AF15" s="849"/>
      <c r="AG15" s="1576"/>
      <c r="AH15" s="1597"/>
      <c r="AI15" s="213"/>
      <c r="AJ15" s="1612"/>
      <c r="AK15" s="213"/>
      <c r="AL15" s="1576"/>
    </row>
    <row r="16" spans="1:38" ht="9.9499999999999993" customHeight="1" x14ac:dyDescent="0.25">
      <c r="A16" s="270"/>
      <c r="B16" s="270"/>
      <c r="C16" s="270"/>
      <c r="D16" s="270"/>
      <c r="E16" s="270"/>
      <c r="F16" s="270"/>
      <c r="G16" s="270"/>
      <c r="H16" s="270"/>
      <c r="I16" s="270"/>
      <c r="J16" s="270"/>
      <c r="K16" s="270"/>
      <c r="L16" s="270"/>
      <c r="M16" s="270"/>
      <c r="N16" s="270"/>
      <c r="O16" s="850"/>
      <c r="P16" s="850"/>
      <c r="Q16" s="876"/>
      <c r="R16" s="850"/>
      <c r="S16" s="850"/>
      <c r="T16" s="850"/>
      <c r="U16" s="876"/>
      <c r="V16" s="850"/>
      <c r="W16" s="850"/>
      <c r="X16" s="850"/>
      <c r="Y16" s="876"/>
      <c r="Z16" s="850"/>
      <c r="AA16" s="850"/>
      <c r="AB16" s="850"/>
      <c r="AC16" s="876"/>
      <c r="AD16" s="850"/>
      <c r="AE16" s="850"/>
      <c r="AF16" s="850"/>
      <c r="AG16" s="876"/>
      <c r="AH16" s="876"/>
      <c r="AI16" s="213"/>
      <c r="AJ16" s="213"/>
      <c r="AK16" s="213"/>
      <c r="AL16" s="213"/>
    </row>
    <row r="17" spans="1:38" ht="9.9499999999999993" customHeight="1" x14ac:dyDescent="0.25">
      <c r="A17" s="1616">
        <v>3</v>
      </c>
      <c r="B17" s="1617">
        <v>1</v>
      </c>
      <c r="C17" s="1574" t="s">
        <v>5464</v>
      </c>
      <c r="D17" s="1574" t="s">
        <v>5459</v>
      </c>
      <c r="E17" s="1574" t="s">
        <v>153</v>
      </c>
      <c r="F17" s="849"/>
      <c r="G17" s="849"/>
      <c r="H17" s="849"/>
      <c r="I17" s="1586" t="s">
        <v>5346</v>
      </c>
      <c r="J17" s="849"/>
      <c r="K17" s="849"/>
      <c r="L17" s="849"/>
      <c r="M17" s="1601" t="s">
        <v>5539</v>
      </c>
      <c r="N17" s="849"/>
      <c r="O17" s="849"/>
      <c r="P17" s="849"/>
      <c r="Q17" s="1574"/>
      <c r="R17" s="849"/>
      <c r="S17" s="849"/>
      <c r="T17" s="849"/>
      <c r="U17" s="1586" t="s">
        <v>5380</v>
      </c>
      <c r="V17" s="849"/>
      <c r="W17" s="849"/>
      <c r="X17" s="849"/>
      <c r="Y17" s="1604" t="s">
        <v>5386</v>
      </c>
      <c r="Z17" s="849"/>
      <c r="AA17" s="849"/>
      <c r="AB17" s="849"/>
      <c r="AC17" s="1610" t="s">
        <v>5394</v>
      </c>
      <c r="AD17" s="849"/>
      <c r="AE17" s="849"/>
      <c r="AF17" s="849"/>
      <c r="AG17" s="1574" t="s">
        <v>5536</v>
      </c>
      <c r="AH17" s="1598" t="s">
        <v>5537</v>
      </c>
      <c r="AI17" s="213"/>
      <c r="AJ17" s="1586" t="s">
        <v>5355</v>
      </c>
      <c r="AK17" s="213"/>
      <c r="AL17" s="1574" t="s">
        <v>153</v>
      </c>
    </row>
    <row r="18" spans="1:38" ht="9.9499999999999993" customHeight="1" x14ac:dyDescent="0.25">
      <c r="A18" s="1616"/>
      <c r="B18" s="1617"/>
      <c r="C18" s="1575"/>
      <c r="D18" s="1575"/>
      <c r="E18" s="1575"/>
      <c r="F18" s="850"/>
      <c r="G18" s="851"/>
      <c r="H18" s="850"/>
      <c r="I18" s="1587"/>
      <c r="J18" s="850"/>
      <c r="K18" s="851"/>
      <c r="L18" s="850"/>
      <c r="M18" s="1602"/>
      <c r="N18" s="850"/>
      <c r="O18" s="851"/>
      <c r="P18" s="850"/>
      <c r="Q18" s="1575"/>
      <c r="R18" s="850"/>
      <c r="S18" s="851"/>
      <c r="T18" s="850"/>
      <c r="U18" s="1587"/>
      <c r="V18" s="850"/>
      <c r="W18" s="851"/>
      <c r="X18" s="850"/>
      <c r="Y18" s="1605"/>
      <c r="Z18" s="850"/>
      <c r="AA18" s="851"/>
      <c r="AB18" s="850"/>
      <c r="AC18" s="1611"/>
      <c r="AD18" s="850"/>
      <c r="AE18" s="851"/>
      <c r="AF18" s="850"/>
      <c r="AG18" s="1575"/>
      <c r="AH18" s="1599"/>
      <c r="AI18" s="213"/>
      <c r="AJ18" s="1587"/>
      <c r="AK18" s="213"/>
      <c r="AL18" s="1575"/>
    </row>
    <row r="19" spans="1:38" ht="9.9499999999999993" customHeight="1" x14ac:dyDescent="0.25">
      <c r="A19" s="1616"/>
      <c r="B19" s="1617"/>
      <c r="C19" s="1576"/>
      <c r="D19" s="1576"/>
      <c r="E19" s="1576"/>
      <c r="F19" s="849"/>
      <c r="G19" s="849"/>
      <c r="H19" s="849"/>
      <c r="I19" s="1588"/>
      <c r="J19" s="849"/>
      <c r="K19" s="849"/>
      <c r="L19" s="849"/>
      <c r="M19" s="1603"/>
      <c r="N19" s="849"/>
      <c r="O19" s="849"/>
      <c r="P19" s="849"/>
      <c r="Q19" s="1576"/>
      <c r="R19" s="849"/>
      <c r="S19" s="849"/>
      <c r="T19" s="849"/>
      <c r="U19" s="1588"/>
      <c r="V19" s="849"/>
      <c r="W19" s="849"/>
      <c r="X19" s="849"/>
      <c r="Y19" s="1606"/>
      <c r="Z19" s="849"/>
      <c r="AA19" s="849"/>
      <c r="AB19" s="849"/>
      <c r="AC19" s="1612"/>
      <c r="AD19" s="849"/>
      <c r="AE19" s="849"/>
      <c r="AF19" s="849"/>
      <c r="AG19" s="1576"/>
      <c r="AH19" s="1600"/>
      <c r="AI19" s="213"/>
      <c r="AJ19" s="1588"/>
      <c r="AK19" s="213"/>
      <c r="AL19" s="1576"/>
    </row>
    <row r="20" spans="1:38" ht="9.9499999999999993" customHeight="1" x14ac:dyDescent="0.25">
      <c r="A20" s="270"/>
      <c r="B20" s="270"/>
      <c r="C20" s="270"/>
      <c r="D20" s="270"/>
      <c r="E20" s="270"/>
      <c r="F20" s="270"/>
      <c r="G20" s="270"/>
      <c r="H20" s="270"/>
      <c r="I20" s="270"/>
      <c r="J20" s="270"/>
      <c r="K20" s="270"/>
      <c r="L20" s="270"/>
      <c r="M20" s="270"/>
      <c r="N20" s="270"/>
      <c r="O20" s="850"/>
      <c r="P20" s="850"/>
      <c r="Q20" s="876"/>
      <c r="R20" s="850"/>
      <c r="S20" s="850"/>
      <c r="T20" s="850"/>
      <c r="U20" s="876"/>
      <c r="V20" s="850"/>
      <c r="W20" s="850"/>
      <c r="X20" s="850"/>
      <c r="Y20" s="876"/>
      <c r="Z20" s="850"/>
      <c r="AA20" s="850"/>
      <c r="AB20" s="850"/>
      <c r="AC20" s="876"/>
      <c r="AD20" s="850"/>
      <c r="AE20" s="850"/>
      <c r="AF20" s="850"/>
      <c r="AG20" s="876"/>
      <c r="AH20" s="876"/>
      <c r="AI20" s="213"/>
      <c r="AJ20" s="213"/>
      <c r="AK20" s="213"/>
      <c r="AL20" s="213"/>
    </row>
    <row r="21" spans="1:38" ht="9.9499999999999993" customHeight="1" x14ac:dyDescent="0.25">
      <c r="A21" s="1616">
        <v>4</v>
      </c>
      <c r="B21" s="1617">
        <v>1</v>
      </c>
      <c r="C21" s="1574" t="s">
        <v>5465</v>
      </c>
      <c r="D21" s="1574" t="s">
        <v>5459</v>
      </c>
      <c r="E21" s="1574" t="s">
        <v>153</v>
      </c>
      <c r="F21" s="849"/>
      <c r="G21" s="849"/>
      <c r="H21" s="849"/>
      <c r="I21" s="1586" t="s">
        <v>5355</v>
      </c>
      <c r="J21" s="849"/>
      <c r="K21" s="849"/>
      <c r="L21" s="849"/>
      <c r="M21" s="1592" t="s">
        <v>5359</v>
      </c>
      <c r="N21" s="849"/>
      <c r="O21" s="849"/>
      <c r="P21" s="849"/>
      <c r="Q21" s="1589" t="s">
        <v>5371</v>
      </c>
      <c r="R21" s="849"/>
      <c r="S21" s="849"/>
      <c r="T21" s="849"/>
      <c r="U21" s="1613" t="s">
        <v>5383</v>
      </c>
      <c r="V21" s="849"/>
      <c r="W21" s="849"/>
      <c r="X21" s="849"/>
      <c r="Y21" s="1604" t="s">
        <v>5386</v>
      </c>
      <c r="Z21" s="849"/>
      <c r="AA21" s="849"/>
      <c r="AB21" s="849"/>
      <c r="AC21" s="1610" t="s">
        <v>5394</v>
      </c>
      <c r="AD21" s="849"/>
      <c r="AE21" s="849"/>
      <c r="AF21" s="849"/>
      <c r="AG21" s="1574" t="s">
        <v>5536</v>
      </c>
      <c r="AH21" s="1607" t="s">
        <v>5540</v>
      </c>
      <c r="AI21" s="213"/>
      <c r="AJ21" s="1586" t="s">
        <v>5380</v>
      </c>
      <c r="AK21" s="213"/>
      <c r="AL21" s="1574" t="s">
        <v>5584</v>
      </c>
    </row>
    <row r="22" spans="1:38" ht="9.9499999999999993" customHeight="1" x14ac:dyDescent="0.25">
      <c r="A22" s="1616"/>
      <c r="B22" s="1617"/>
      <c r="C22" s="1575"/>
      <c r="D22" s="1575"/>
      <c r="E22" s="1575"/>
      <c r="F22" s="850"/>
      <c r="G22" s="851"/>
      <c r="H22" s="850"/>
      <c r="I22" s="1587"/>
      <c r="J22" s="850"/>
      <c r="K22" s="851"/>
      <c r="L22" s="850"/>
      <c r="M22" s="1593"/>
      <c r="N22" s="850"/>
      <c r="O22" s="851"/>
      <c r="P22" s="850"/>
      <c r="Q22" s="1590"/>
      <c r="R22" s="850"/>
      <c r="S22" s="851"/>
      <c r="T22" s="850"/>
      <c r="U22" s="1614"/>
      <c r="V22" s="850"/>
      <c r="W22" s="851"/>
      <c r="X22" s="850"/>
      <c r="Y22" s="1605"/>
      <c r="Z22" s="850"/>
      <c r="AA22" s="851"/>
      <c r="AB22" s="850"/>
      <c r="AC22" s="1611"/>
      <c r="AD22" s="850"/>
      <c r="AE22" s="851"/>
      <c r="AF22" s="850"/>
      <c r="AG22" s="1575"/>
      <c r="AH22" s="1608"/>
      <c r="AI22" s="213"/>
      <c r="AJ22" s="1587"/>
      <c r="AK22" s="213"/>
      <c r="AL22" s="1575"/>
    </row>
    <row r="23" spans="1:38" ht="9.9499999999999993" customHeight="1" x14ac:dyDescent="0.25">
      <c r="A23" s="1616"/>
      <c r="B23" s="1617"/>
      <c r="C23" s="1576"/>
      <c r="D23" s="1576"/>
      <c r="E23" s="1576"/>
      <c r="F23" s="849"/>
      <c r="G23" s="849"/>
      <c r="H23" s="849"/>
      <c r="I23" s="1588"/>
      <c r="J23" s="849"/>
      <c r="K23" s="849"/>
      <c r="L23" s="849"/>
      <c r="M23" s="1594"/>
      <c r="N23" s="849"/>
      <c r="O23" s="849"/>
      <c r="P23" s="849"/>
      <c r="Q23" s="1591"/>
      <c r="R23" s="849"/>
      <c r="S23" s="849"/>
      <c r="T23" s="849"/>
      <c r="U23" s="1615"/>
      <c r="V23" s="849"/>
      <c r="W23" s="849"/>
      <c r="X23" s="849"/>
      <c r="Y23" s="1606"/>
      <c r="Z23" s="849"/>
      <c r="AA23" s="849"/>
      <c r="AB23" s="849"/>
      <c r="AC23" s="1612"/>
      <c r="AD23" s="849"/>
      <c r="AE23" s="849"/>
      <c r="AF23" s="849"/>
      <c r="AG23" s="1576"/>
      <c r="AH23" s="1609"/>
      <c r="AI23" s="213"/>
      <c r="AJ23" s="1588"/>
      <c r="AK23" s="213"/>
      <c r="AL23" s="1576"/>
    </row>
    <row r="24" spans="1:38" ht="9.9499999999999993" customHeight="1" x14ac:dyDescent="0.25">
      <c r="A24" s="270"/>
      <c r="B24" s="270"/>
      <c r="C24" s="270"/>
      <c r="D24" s="270"/>
      <c r="E24" s="270"/>
      <c r="F24" s="270"/>
      <c r="G24" s="270"/>
      <c r="H24" s="270"/>
      <c r="I24" s="270"/>
      <c r="J24" s="270"/>
      <c r="K24" s="270"/>
      <c r="L24" s="270"/>
      <c r="M24" s="270"/>
      <c r="N24" s="270"/>
      <c r="O24" s="850"/>
      <c r="P24" s="850"/>
      <c r="Q24" s="876"/>
      <c r="R24" s="850"/>
      <c r="S24" s="850"/>
      <c r="T24" s="850"/>
      <c r="U24" s="876"/>
      <c r="V24" s="850"/>
      <c r="W24" s="850"/>
      <c r="X24" s="850"/>
      <c r="Y24" s="876"/>
      <c r="Z24" s="850"/>
      <c r="AA24" s="850"/>
      <c r="AB24" s="850"/>
      <c r="AC24" s="876"/>
      <c r="AD24" s="850"/>
      <c r="AE24" s="850"/>
      <c r="AF24" s="850"/>
      <c r="AG24" s="876"/>
      <c r="AH24" s="876"/>
      <c r="AI24" s="213"/>
      <c r="AJ24" s="213"/>
      <c r="AK24" s="213"/>
      <c r="AL24" s="213"/>
    </row>
    <row r="25" spans="1:38" ht="9.9499999999999993" customHeight="1" x14ac:dyDescent="0.25">
      <c r="A25" s="1616">
        <v>5</v>
      </c>
      <c r="B25" s="1617">
        <v>1</v>
      </c>
      <c r="C25" s="1574" t="s">
        <v>5466</v>
      </c>
      <c r="D25" s="1574" t="s">
        <v>5459</v>
      </c>
      <c r="E25" s="1574" t="s">
        <v>153</v>
      </c>
      <c r="F25" s="849"/>
      <c r="G25" s="849"/>
      <c r="H25" s="849"/>
      <c r="I25" s="1610" t="s">
        <v>5346</v>
      </c>
      <c r="J25" s="849"/>
      <c r="K25" s="849"/>
      <c r="L25" s="849"/>
      <c r="M25" s="1598" t="s">
        <v>4926</v>
      </c>
      <c r="N25" s="849"/>
      <c r="O25" s="849"/>
      <c r="P25" s="849"/>
      <c r="Q25" s="1592" t="s">
        <v>5374</v>
      </c>
      <c r="R25" s="849"/>
      <c r="S25" s="849"/>
      <c r="T25" s="849"/>
      <c r="U25" s="1586" t="s">
        <v>5380</v>
      </c>
      <c r="V25" s="849"/>
      <c r="W25" s="849"/>
      <c r="X25" s="849"/>
      <c r="Y25" s="1604" t="s">
        <v>5386</v>
      </c>
      <c r="Z25" s="849"/>
      <c r="AA25" s="849"/>
      <c r="AB25" s="849"/>
      <c r="AC25" s="1610" t="s">
        <v>5394</v>
      </c>
      <c r="AD25" s="849"/>
      <c r="AE25" s="849"/>
      <c r="AF25" s="849"/>
      <c r="AG25" s="1574" t="s">
        <v>5536</v>
      </c>
      <c r="AH25" s="1607" t="s">
        <v>5541</v>
      </c>
      <c r="AI25" s="213"/>
      <c r="AJ25" s="1595" t="s">
        <v>5542</v>
      </c>
      <c r="AK25" s="213"/>
      <c r="AL25" s="1574" t="s">
        <v>5585</v>
      </c>
    </row>
    <row r="26" spans="1:38" ht="9.9499999999999993" customHeight="1" x14ac:dyDescent="0.25">
      <c r="A26" s="1616"/>
      <c r="B26" s="1617"/>
      <c r="C26" s="1575"/>
      <c r="D26" s="1575"/>
      <c r="E26" s="1575"/>
      <c r="F26" s="850"/>
      <c r="G26" s="851"/>
      <c r="H26" s="850"/>
      <c r="I26" s="1611"/>
      <c r="J26" s="850"/>
      <c r="K26" s="851"/>
      <c r="L26" s="850"/>
      <c r="M26" s="1599"/>
      <c r="N26" s="850"/>
      <c r="O26" s="851"/>
      <c r="P26" s="850"/>
      <c r="Q26" s="1593"/>
      <c r="R26" s="850"/>
      <c r="S26" s="851"/>
      <c r="T26" s="850"/>
      <c r="U26" s="1587"/>
      <c r="V26" s="850"/>
      <c r="W26" s="851"/>
      <c r="X26" s="850"/>
      <c r="Y26" s="1605"/>
      <c r="Z26" s="850"/>
      <c r="AA26" s="851"/>
      <c r="AB26" s="850"/>
      <c r="AC26" s="1611"/>
      <c r="AD26" s="850"/>
      <c r="AE26" s="851"/>
      <c r="AF26" s="850"/>
      <c r="AG26" s="1575"/>
      <c r="AH26" s="1608"/>
      <c r="AI26" s="213"/>
      <c r="AJ26" s="1596"/>
      <c r="AK26" s="213"/>
      <c r="AL26" s="1575"/>
    </row>
    <row r="27" spans="1:38" ht="9.9499999999999993" customHeight="1" x14ac:dyDescent="0.25">
      <c r="A27" s="1616"/>
      <c r="B27" s="1617"/>
      <c r="C27" s="1576"/>
      <c r="D27" s="1576"/>
      <c r="E27" s="1576"/>
      <c r="F27" s="849"/>
      <c r="G27" s="849"/>
      <c r="H27" s="849"/>
      <c r="I27" s="1612"/>
      <c r="J27" s="849"/>
      <c r="K27" s="849"/>
      <c r="L27" s="849"/>
      <c r="M27" s="1600"/>
      <c r="N27" s="849"/>
      <c r="O27" s="849"/>
      <c r="P27" s="849"/>
      <c r="Q27" s="1594"/>
      <c r="R27" s="849"/>
      <c r="S27" s="849"/>
      <c r="T27" s="849"/>
      <c r="U27" s="1588"/>
      <c r="V27" s="849"/>
      <c r="W27" s="849"/>
      <c r="X27" s="849"/>
      <c r="Y27" s="1606"/>
      <c r="Z27" s="849"/>
      <c r="AA27" s="849"/>
      <c r="AB27" s="849"/>
      <c r="AC27" s="1612"/>
      <c r="AD27" s="849"/>
      <c r="AE27" s="849"/>
      <c r="AF27" s="849"/>
      <c r="AG27" s="1576"/>
      <c r="AH27" s="1609"/>
      <c r="AI27" s="213"/>
      <c r="AJ27" s="1597"/>
      <c r="AK27" s="213"/>
      <c r="AL27" s="1576"/>
    </row>
    <row r="28" spans="1:38" ht="9.9499999999999993" customHeight="1" x14ac:dyDescent="0.25">
      <c r="A28" s="270"/>
      <c r="B28" s="270"/>
      <c r="C28" s="270"/>
      <c r="D28" s="270"/>
      <c r="E28" s="270"/>
      <c r="F28" s="270"/>
      <c r="G28" s="270"/>
      <c r="H28" s="270"/>
      <c r="I28" s="270"/>
      <c r="J28" s="270"/>
      <c r="K28" s="270"/>
      <c r="L28" s="270"/>
      <c r="M28" s="270"/>
      <c r="N28" s="270"/>
      <c r="O28" s="850"/>
      <c r="P28" s="850"/>
      <c r="Q28" s="876"/>
      <c r="R28" s="850"/>
      <c r="S28" s="850"/>
      <c r="T28" s="850"/>
      <c r="U28" s="876"/>
      <c r="V28" s="850"/>
      <c r="W28" s="850"/>
      <c r="X28" s="850"/>
      <c r="Y28" s="876"/>
      <c r="Z28" s="850"/>
      <c r="AA28" s="850"/>
      <c r="AB28" s="850"/>
      <c r="AC28" s="876"/>
      <c r="AD28" s="850"/>
      <c r="AE28" s="850"/>
      <c r="AF28" s="850"/>
      <c r="AG28" s="876"/>
      <c r="AH28" s="876"/>
      <c r="AI28" s="213"/>
      <c r="AK28" s="213"/>
      <c r="AL28" s="213"/>
    </row>
    <row r="29" spans="1:38" ht="9.9499999999999993" customHeight="1" x14ac:dyDescent="0.25">
      <c r="A29" s="1616">
        <v>6</v>
      </c>
      <c r="B29" s="1617">
        <v>2</v>
      </c>
      <c r="C29" s="1574" t="s">
        <v>5458</v>
      </c>
      <c r="D29" s="1574" t="s">
        <v>5459</v>
      </c>
      <c r="E29" s="1574" t="s">
        <v>153</v>
      </c>
      <c r="F29" s="849"/>
      <c r="G29" s="849"/>
      <c r="H29" s="849"/>
      <c r="I29" s="1586" t="s">
        <v>5355</v>
      </c>
      <c r="J29" s="849"/>
      <c r="K29" s="849"/>
      <c r="L29" s="849"/>
      <c r="M29" s="1601" t="s">
        <v>5363</v>
      </c>
      <c r="N29" s="849"/>
      <c r="O29" s="849"/>
      <c r="P29" s="849"/>
      <c r="Q29" s="1574"/>
      <c r="R29" s="849"/>
      <c r="S29" s="849"/>
      <c r="T29" s="849"/>
      <c r="U29" s="1613" t="s">
        <v>5383</v>
      </c>
      <c r="V29" s="849"/>
      <c r="W29" s="849"/>
      <c r="X29" s="849"/>
      <c r="Y29" s="1604" t="s">
        <v>5386</v>
      </c>
      <c r="Z29" s="849"/>
      <c r="AA29" s="849"/>
      <c r="AB29" s="849"/>
      <c r="AC29" s="1610" t="s">
        <v>5394</v>
      </c>
      <c r="AD29" s="849"/>
      <c r="AE29" s="849"/>
      <c r="AF29" s="849"/>
      <c r="AG29" s="1574" t="s">
        <v>5536</v>
      </c>
      <c r="AH29" s="1595" t="s">
        <v>5538</v>
      </c>
      <c r="AI29" s="213"/>
      <c r="AJ29" s="1613" t="s">
        <v>5383</v>
      </c>
      <c r="AK29" s="213"/>
      <c r="AL29" s="1574" t="s">
        <v>5586</v>
      </c>
    </row>
    <row r="30" spans="1:38" ht="9.9499999999999993" customHeight="1" x14ac:dyDescent="0.25">
      <c r="A30" s="1616"/>
      <c r="B30" s="1617"/>
      <c r="C30" s="1575"/>
      <c r="D30" s="1575"/>
      <c r="E30" s="1575"/>
      <c r="F30" s="850"/>
      <c r="G30" s="851"/>
      <c r="H30" s="850"/>
      <c r="I30" s="1587"/>
      <c r="J30" s="850"/>
      <c r="K30" s="851"/>
      <c r="L30" s="850"/>
      <c r="M30" s="1602"/>
      <c r="N30" s="850"/>
      <c r="O30" s="851"/>
      <c r="P30" s="850"/>
      <c r="Q30" s="1575"/>
      <c r="R30" s="850"/>
      <c r="S30" s="851"/>
      <c r="T30" s="850"/>
      <c r="U30" s="1614"/>
      <c r="V30" s="850"/>
      <c r="W30" s="851"/>
      <c r="X30" s="850"/>
      <c r="Y30" s="1605"/>
      <c r="Z30" s="850"/>
      <c r="AA30" s="851"/>
      <c r="AB30" s="850"/>
      <c r="AC30" s="1611"/>
      <c r="AD30" s="850"/>
      <c r="AE30" s="851"/>
      <c r="AF30" s="850"/>
      <c r="AG30" s="1575"/>
      <c r="AH30" s="1596"/>
      <c r="AI30" s="213"/>
      <c r="AJ30" s="1614"/>
      <c r="AK30" s="213"/>
      <c r="AL30" s="1575"/>
    </row>
    <row r="31" spans="1:38" ht="9.9499999999999993" customHeight="1" x14ac:dyDescent="0.25">
      <c r="A31" s="1616"/>
      <c r="B31" s="1617"/>
      <c r="C31" s="1576"/>
      <c r="D31" s="1576"/>
      <c r="E31" s="1576"/>
      <c r="F31" s="849"/>
      <c r="G31" s="849"/>
      <c r="H31" s="849"/>
      <c r="I31" s="1588"/>
      <c r="J31" s="849"/>
      <c r="K31" s="849"/>
      <c r="L31" s="849"/>
      <c r="M31" s="1603"/>
      <c r="N31" s="849"/>
      <c r="O31" s="849"/>
      <c r="P31" s="849"/>
      <c r="Q31" s="1576"/>
      <c r="R31" s="849"/>
      <c r="S31" s="849"/>
      <c r="T31" s="849"/>
      <c r="U31" s="1615"/>
      <c r="V31" s="849"/>
      <c r="W31" s="849"/>
      <c r="X31" s="849"/>
      <c r="Y31" s="1606"/>
      <c r="Z31" s="849"/>
      <c r="AA31" s="849"/>
      <c r="AB31" s="849"/>
      <c r="AC31" s="1612"/>
      <c r="AD31" s="849"/>
      <c r="AE31" s="849"/>
      <c r="AF31" s="849"/>
      <c r="AG31" s="1576"/>
      <c r="AH31" s="1597"/>
      <c r="AI31" s="213"/>
      <c r="AJ31" s="1615"/>
      <c r="AK31" s="213"/>
      <c r="AL31" s="1576"/>
    </row>
    <row r="32" spans="1:38" ht="9.9499999999999993" customHeight="1" x14ac:dyDescent="0.25">
      <c r="A32" s="270"/>
      <c r="B32" s="270"/>
      <c r="C32" s="270"/>
      <c r="D32" s="270"/>
      <c r="E32" s="270"/>
      <c r="F32" s="270"/>
      <c r="G32" s="270"/>
      <c r="H32" s="270"/>
      <c r="I32" s="270"/>
      <c r="J32" s="270"/>
      <c r="K32" s="270"/>
      <c r="L32" s="270"/>
      <c r="M32" s="270"/>
      <c r="N32" s="270"/>
      <c r="O32" s="850"/>
      <c r="P32" s="850"/>
      <c r="Q32" s="876"/>
      <c r="R32" s="850"/>
      <c r="S32" s="850"/>
      <c r="T32" s="850"/>
      <c r="U32" s="876"/>
      <c r="V32" s="850"/>
      <c r="W32" s="850"/>
      <c r="X32" s="850"/>
      <c r="Y32" s="876"/>
      <c r="Z32" s="850"/>
      <c r="AA32" s="850"/>
      <c r="AB32" s="850"/>
      <c r="AC32" s="876"/>
      <c r="AD32" s="850"/>
      <c r="AE32" s="850"/>
      <c r="AF32" s="850"/>
      <c r="AG32" s="876"/>
      <c r="AH32" s="876"/>
      <c r="AI32" s="213"/>
      <c r="AJ32" s="213"/>
      <c r="AK32" s="213"/>
      <c r="AL32" s="213"/>
    </row>
    <row r="33" spans="1:38" ht="9.9499999999999993" customHeight="1" x14ac:dyDescent="0.25">
      <c r="A33" s="1616">
        <v>7</v>
      </c>
      <c r="B33" s="1617">
        <v>2</v>
      </c>
      <c r="C33" s="1574" t="s">
        <v>5463</v>
      </c>
      <c r="D33" s="1574" t="s">
        <v>5459</v>
      </c>
      <c r="E33" s="1574" t="s">
        <v>153</v>
      </c>
      <c r="F33" s="849"/>
      <c r="G33" s="849"/>
      <c r="H33" s="849"/>
      <c r="I33" s="1586" t="s">
        <v>5346</v>
      </c>
      <c r="J33" s="849"/>
      <c r="K33" s="849"/>
      <c r="L33" s="849"/>
      <c r="M33" s="1601" t="s">
        <v>5539</v>
      </c>
      <c r="N33" s="849"/>
      <c r="O33" s="849"/>
      <c r="P33" s="849"/>
      <c r="Q33" s="1574"/>
      <c r="R33" s="849"/>
      <c r="S33" s="849"/>
      <c r="T33" s="849"/>
      <c r="U33" s="1586" t="s">
        <v>5380</v>
      </c>
      <c r="V33" s="849"/>
      <c r="W33" s="849"/>
      <c r="X33" s="849"/>
      <c r="Y33" s="1604" t="s">
        <v>5386</v>
      </c>
      <c r="Z33" s="849"/>
      <c r="AA33" s="849"/>
      <c r="AB33" s="849"/>
      <c r="AC33" s="1610" t="s">
        <v>5394</v>
      </c>
      <c r="AD33" s="849"/>
      <c r="AE33" s="849"/>
      <c r="AF33" s="849"/>
      <c r="AG33" s="1574" t="s">
        <v>5536</v>
      </c>
      <c r="AH33" s="1598" t="s">
        <v>5537</v>
      </c>
      <c r="AI33" s="213"/>
      <c r="AJ33" s="1598" t="s">
        <v>4926</v>
      </c>
      <c r="AK33" s="213"/>
      <c r="AL33" s="1574" t="s">
        <v>5458</v>
      </c>
    </row>
    <row r="34" spans="1:38" ht="9.9499999999999993" customHeight="1" x14ac:dyDescent="0.25">
      <c r="A34" s="1616"/>
      <c r="B34" s="1617"/>
      <c r="C34" s="1575"/>
      <c r="D34" s="1575"/>
      <c r="E34" s="1575"/>
      <c r="F34" s="850"/>
      <c r="G34" s="851"/>
      <c r="H34" s="850"/>
      <c r="I34" s="1587"/>
      <c r="J34" s="850"/>
      <c r="K34" s="851"/>
      <c r="L34" s="850"/>
      <c r="M34" s="1602"/>
      <c r="N34" s="850"/>
      <c r="O34" s="851"/>
      <c r="P34" s="850"/>
      <c r="Q34" s="1575"/>
      <c r="R34" s="850"/>
      <c r="S34" s="851"/>
      <c r="T34" s="850"/>
      <c r="U34" s="1587"/>
      <c r="V34" s="850"/>
      <c r="W34" s="851"/>
      <c r="X34" s="850"/>
      <c r="Y34" s="1605"/>
      <c r="Z34" s="850"/>
      <c r="AA34" s="851"/>
      <c r="AB34" s="850"/>
      <c r="AC34" s="1611"/>
      <c r="AD34" s="850"/>
      <c r="AE34" s="851"/>
      <c r="AF34" s="850"/>
      <c r="AG34" s="1575"/>
      <c r="AH34" s="1599"/>
      <c r="AI34" s="213"/>
      <c r="AJ34" s="1599"/>
      <c r="AK34" s="213"/>
      <c r="AL34" s="1575"/>
    </row>
    <row r="35" spans="1:38" ht="9.9499999999999993" customHeight="1" x14ac:dyDescent="0.25">
      <c r="A35" s="1616"/>
      <c r="B35" s="1617"/>
      <c r="C35" s="1576"/>
      <c r="D35" s="1576"/>
      <c r="E35" s="1576"/>
      <c r="F35" s="849"/>
      <c r="G35" s="849"/>
      <c r="H35" s="849"/>
      <c r="I35" s="1588"/>
      <c r="J35" s="849"/>
      <c r="K35" s="849"/>
      <c r="L35" s="849"/>
      <c r="M35" s="1603"/>
      <c r="N35" s="849"/>
      <c r="O35" s="849"/>
      <c r="P35" s="849"/>
      <c r="Q35" s="1576"/>
      <c r="R35" s="849"/>
      <c r="S35" s="849"/>
      <c r="T35" s="849"/>
      <c r="U35" s="1588"/>
      <c r="V35" s="849"/>
      <c r="W35" s="849"/>
      <c r="X35" s="849"/>
      <c r="Y35" s="1606"/>
      <c r="Z35" s="849"/>
      <c r="AA35" s="849"/>
      <c r="AB35" s="849"/>
      <c r="AC35" s="1612"/>
      <c r="AD35" s="849"/>
      <c r="AE35" s="849"/>
      <c r="AF35" s="849"/>
      <c r="AG35" s="1576"/>
      <c r="AH35" s="1600"/>
      <c r="AI35" s="213"/>
      <c r="AJ35" s="1600"/>
      <c r="AK35" s="213"/>
      <c r="AL35" s="1576"/>
    </row>
    <row r="36" spans="1:38" ht="9.9499999999999993" customHeight="1" x14ac:dyDescent="0.25">
      <c r="A36" s="270"/>
      <c r="B36" s="270"/>
      <c r="C36" s="270"/>
      <c r="D36" s="270"/>
      <c r="E36" s="270"/>
      <c r="F36" s="270"/>
      <c r="G36" s="270"/>
      <c r="H36" s="270"/>
      <c r="I36" s="270"/>
      <c r="J36" s="270"/>
      <c r="K36" s="270"/>
      <c r="L36" s="270"/>
      <c r="M36" s="270"/>
      <c r="N36" s="270"/>
      <c r="O36" s="850"/>
      <c r="P36" s="850"/>
      <c r="Q36" s="876"/>
      <c r="R36" s="850"/>
      <c r="S36" s="850"/>
      <c r="T36" s="850"/>
      <c r="U36" s="876"/>
      <c r="V36" s="850"/>
      <c r="W36" s="850"/>
      <c r="X36" s="850"/>
      <c r="Y36" s="876"/>
      <c r="Z36" s="850"/>
      <c r="AA36" s="850"/>
      <c r="AB36" s="850"/>
      <c r="AC36" s="876"/>
      <c r="AD36" s="850"/>
      <c r="AE36" s="850"/>
      <c r="AF36" s="850"/>
      <c r="AG36" s="876"/>
      <c r="AH36" s="876"/>
      <c r="AI36" s="213"/>
      <c r="AJ36" s="213"/>
      <c r="AK36" s="213"/>
      <c r="AL36" s="270"/>
    </row>
    <row r="37" spans="1:38" ht="9.9499999999999993" customHeight="1" x14ac:dyDescent="0.25">
      <c r="A37" s="1616">
        <v>8</v>
      </c>
      <c r="B37" s="1617">
        <v>2</v>
      </c>
      <c r="C37" s="1574" t="s">
        <v>5464</v>
      </c>
      <c r="D37" s="1574" t="s">
        <v>5459</v>
      </c>
      <c r="E37" s="1574" t="s">
        <v>153</v>
      </c>
      <c r="F37" s="849"/>
      <c r="G37" s="849"/>
      <c r="H37" s="849"/>
      <c r="I37" s="1586" t="s">
        <v>5355</v>
      </c>
      <c r="J37" s="849"/>
      <c r="K37" s="849"/>
      <c r="L37" s="849"/>
      <c r="M37" s="1592" t="s">
        <v>5359</v>
      </c>
      <c r="N37" s="849"/>
      <c r="O37" s="849"/>
      <c r="P37" s="849"/>
      <c r="Q37" s="1574"/>
      <c r="R37" s="849"/>
      <c r="S37" s="849"/>
      <c r="T37" s="849"/>
      <c r="U37" s="1613" t="s">
        <v>5383</v>
      </c>
      <c r="V37" s="849"/>
      <c r="W37" s="849"/>
      <c r="X37" s="849"/>
      <c r="Y37" s="1604" t="s">
        <v>5386</v>
      </c>
      <c r="Z37" s="849"/>
      <c r="AA37" s="849"/>
      <c r="AB37" s="849"/>
      <c r="AC37" s="1610" t="s">
        <v>5394</v>
      </c>
      <c r="AD37" s="849"/>
      <c r="AE37" s="849"/>
      <c r="AF37" s="849"/>
      <c r="AG37" s="1574" t="s">
        <v>5536</v>
      </c>
      <c r="AH37" s="1595" t="s">
        <v>5538</v>
      </c>
      <c r="AI37" s="213"/>
      <c r="AJ37" s="1592" t="s">
        <v>5359</v>
      </c>
      <c r="AK37" s="213"/>
      <c r="AL37" s="1574" t="s">
        <v>5463</v>
      </c>
    </row>
    <row r="38" spans="1:38" ht="9.9499999999999993" customHeight="1" x14ac:dyDescent="0.25">
      <c r="A38" s="1616"/>
      <c r="B38" s="1617"/>
      <c r="C38" s="1575"/>
      <c r="D38" s="1575"/>
      <c r="E38" s="1575"/>
      <c r="F38" s="850"/>
      <c r="G38" s="851"/>
      <c r="H38" s="850"/>
      <c r="I38" s="1587"/>
      <c r="J38" s="850"/>
      <c r="K38" s="851"/>
      <c r="L38" s="850"/>
      <c r="M38" s="1593"/>
      <c r="N38" s="850"/>
      <c r="O38" s="851"/>
      <c r="P38" s="850"/>
      <c r="Q38" s="1575"/>
      <c r="R38" s="850"/>
      <c r="S38" s="851"/>
      <c r="T38" s="850"/>
      <c r="U38" s="1614"/>
      <c r="V38" s="850"/>
      <c r="W38" s="851"/>
      <c r="X38" s="850"/>
      <c r="Y38" s="1605"/>
      <c r="Z38" s="850"/>
      <c r="AA38" s="851"/>
      <c r="AB38" s="850"/>
      <c r="AC38" s="1611"/>
      <c r="AD38" s="850"/>
      <c r="AE38" s="851"/>
      <c r="AF38" s="850"/>
      <c r="AG38" s="1575"/>
      <c r="AH38" s="1596"/>
      <c r="AI38" s="213"/>
      <c r="AJ38" s="1593"/>
      <c r="AK38" s="213"/>
      <c r="AL38" s="1575"/>
    </row>
    <row r="39" spans="1:38" ht="9.9499999999999993" customHeight="1" x14ac:dyDescent="0.25">
      <c r="A39" s="1616"/>
      <c r="B39" s="1617"/>
      <c r="C39" s="1576"/>
      <c r="D39" s="1576"/>
      <c r="E39" s="1576"/>
      <c r="F39" s="849"/>
      <c r="G39" s="849"/>
      <c r="H39" s="849"/>
      <c r="I39" s="1588"/>
      <c r="J39" s="849"/>
      <c r="K39" s="849"/>
      <c r="L39" s="849"/>
      <c r="M39" s="1594"/>
      <c r="N39" s="849"/>
      <c r="O39" s="849"/>
      <c r="P39" s="849"/>
      <c r="Q39" s="1576"/>
      <c r="R39" s="849"/>
      <c r="S39" s="849"/>
      <c r="T39" s="849"/>
      <c r="U39" s="1615"/>
      <c r="V39" s="849"/>
      <c r="W39" s="849"/>
      <c r="X39" s="849"/>
      <c r="Y39" s="1606"/>
      <c r="Z39" s="849"/>
      <c r="AA39" s="849"/>
      <c r="AB39" s="849"/>
      <c r="AC39" s="1612"/>
      <c r="AD39" s="849"/>
      <c r="AE39" s="849"/>
      <c r="AF39" s="849"/>
      <c r="AG39" s="1576"/>
      <c r="AH39" s="1597"/>
      <c r="AI39" s="213"/>
      <c r="AJ39" s="1594"/>
      <c r="AK39" s="213"/>
      <c r="AL39" s="1576"/>
    </row>
    <row r="40" spans="1:38" ht="9.9499999999999993" customHeight="1" x14ac:dyDescent="0.25">
      <c r="A40" s="270"/>
      <c r="B40" s="270"/>
      <c r="C40" s="270"/>
      <c r="D40" s="270"/>
      <c r="E40" s="270"/>
      <c r="F40" s="270"/>
      <c r="G40" s="270"/>
      <c r="H40" s="270"/>
      <c r="I40" s="270"/>
      <c r="J40" s="270"/>
      <c r="K40" s="270"/>
      <c r="L40" s="270"/>
      <c r="M40" s="270"/>
      <c r="N40" s="270"/>
      <c r="O40" s="850"/>
      <c r="P40" s="850"/>
      <c r="Q40" s="876"/>
      <c r="R40" s="850"/>
      <c r="S40" s="850"/>
      <c r="T40" s="850"/>
      <c r="U40" s="876"/>
      <c r="V40" s="850"/>
      <c r="W40" s="850"/>
      <c r="X40" s="850"/>
      <c r="Y40" s="876"/>
      <c r="Z40" s="850"/>
      <c r="AA40" s="850"/>
      <c r="AB40" s="850"/>
      <c r="AC40" s="876"/>
      <c r="AD40" s="850"/>
      <c r="AE40" s="850"/>
      <c r="AF40" s="850"/>
      <c r="AG40" s="876"/>
      <c r="AH40" s="876"/>
      <c r="AI40" s="213"/>
      <c r="AJ40" s="213"/>
      <c r="AK40" s="213"/>
      <c r="AL40" s="270"/>
    </row>
    <row r="41" spans="1:38" ht="9.9499999999999993" customHeight="1" x14ac:dyDescent="0.25">
      <c r="A41" s="1616">
        <v>9</v>
      </c>
      <c r="B41" s="1617">
        <v>2</v>
      </c>
      <c r="C41" s="1574" t="s">
        <v>5465</v>
      </c>
      <c r="D41" s="1574" t="s">
        <v>5459</v>
      </c>
      <c r="E41" s="1574" t="s">
        <v>153</v>
      </c>
      <c r="F41" s="849"/>
      <c r="G41" s="849"/>
      <c r="H41" s="849"/>
      <c r="I41" s="1610" t="s">
        <v>5346</v>
      </c>
      <c r="J41" s="849"/>
      <c r="K41" s="849"/>
      <c r="L41" s="849"/>
      <c r="M41" s="1595" t="s">
        <v>5542</v>
      </c>
      <c r="N41" s="849"/>
      <c r="O41" s="849"/>
      <c r="P41" s="849"/>
      <c r="Q41" s="1574"/>
      <c r="R41" s="849"/>
      <c r="S41" s="849"/>
      <c r="T41" s="849"/>
      <c r="U41" s="1586" t="s">
        <v>5380</v>
      </c>
      <c r="V41" s="849"/>
      <c r="W41" s="849"/>
      <c r="X41" s="849"/>
      <c r="Y41" s="1577" t="s">
        <v>5389</v>
      </c>
      <c r="Z41" s="849"/>
      <c r="AA41" s="849"/>
      <c r="AB41" s="849"/>
      <c r="AC41" s="1580" t="s">
        <v>5397</v>
      </c>
      <c r="AD41" s="849"/>
      <c r="AE41" s="849"/>
      <c r="AF41" s="849"/>
      <c r="AG41" s="1574" t="s">
        <v>5536</v>
      </c>
      <c r="AH41" s="1598" t="s">
        <v>5537</v>
      </c>
      <c r="AI41" s="213"/>
      <c r="AJ41" s="1601" t="s">
        <v>5363</v>
      </c>
      <c r="AK41" s="213"/>
      <c r="AL41" s="1574" t="s">
        <v>5464</v>
      </c>
    </row>
    <row r="42" spans="1:38" ht="9.9499999999999993" customHeight="1" x14ac:dyDescent="0.25">
      <c r="A42" s="1616"/>
      <c r="B42" s="1617"/>
      <c r="C42" s="1575"/>
      <c r="D42" s="1575"/>
      <c r="E42" s="1575"/>
      <c r="F42" s="850"/>
      <c r="G42" s="851"/>
      <c r="H42" s="850"/>
      <c r="I42" s="1611"/>
      <c r="J42" s="850"/>
      <c r="K42" s="851"/>
      <c r="L42" s="850"/>
      <c r="M42" s="1596"/>
      <c r="N42" s="850"/>
      <c r="O42" s="851"/>
      <c r="P42" s="850"/>
      <c r="Q42" s="1575"/>
      <c r="R42" s="850"/>
      <c r="S42" s="851"/>
      <c r="T42" s="850"/>
      <c r="U42" s="1587"/>
      <c r="V42" s="850"/>
      <c r="W42" s="851"/>
      <c r="X42" s="850"/>
      <c r="Y42" s="1578"/>
      <c r="Z42" s="850"/>
      <c r="AA42" s="851"/>
      <c r="AB42" s="850"/>
      <c r="AC42" s="1581"/>
      <c r="AD42" s="850"/>
      <c r="AE42" s="851"/>
      <c r="AF42" s="850"/>
      <c r="AG42" s="1575"/>
      <c r="AH42" s="1599"/>
      <c r="AI42" s="213"/>
      <c r="AJ42" s="1602"/>
      <c r="AK42" s="213"/>
      <c r="AL42" s="1575"/>
    </row>
    <row r="43" spans="1:38" ht="9.9499999999999993" customHeight="1" x14ac:dyDescent="0.25">
      <c r="A43" s="1616"/>
      <c r="B43" s="1617"/>
      <c r="C43" s="1576"/>
      <c r="D43" s="1576"/>
      <c r="E43" s="1576"/>
      <c r="F43" s="849"/>
      <c r="G43" s="849"/>
      <c r="H43" s="849"/>
      <c r="I43" s="1612"/>
      <c r="J43" s="849"/>
      <c r="K43" s="849"/>
      <c r="L43" s="849"/>
      <c r="M43" s="1597"/>
      <c r="N43" s="849"/>
      <c r="O43" s="849"/>
      <c r="P43" s="849"/>
      <c r="Q43" s="1576"/>
      <c r="R43" s="849"/>
      <c r="S43" s="849"/>
      <c r="T43" s="849"/>
      <c r="U43" s="1588"/>
      <c r="V43" s="849"/>
      <c r="W43" s="849"/>
      <c r="X43" s="849"/>
      <c r="Y43" s="1579"/>
      <c r="Z43" s="849"/>
      <c r="AA43" s="849"/>
      <c r="AB43" s="849"/>
      <c r="AC43" s="1582"/>
      <c r="AD43" s="849"/>
      <c r="AE43" s="849"/>
      <c r="AF43" s="849"/>
      <c r="AG43" s="1576"/>
      <c r="AH43" s="1600"/>
      <c r="AI43" s="213"/>
      <c r="AJ43" s="1603"/>
      <c r="AK43" s="213"/>
      <c r="AL43" s="1576"/>
    </row>
    <row r="44" spans="1:38" ht="9.9499999999999993" customHeight="1" x14ac:dyDescent="0.25">
      <c r="A44" s="270"/>
      <c r="B44" s="270"/>
      <c r="C44" s="270"/>
      <c r="D44" s="270"/>
      <c r="E44" s="270"/>
      <c r="F44" s="270"/>
      <c r="G44" s="270"/>
      <c r="H44" s="270"/>
      <c r="I44" s="270"/>
      <c r="J44" s="270"/>
      <c r="K44" s="270"/>
      <c r="L44" s="270"/>
      <c r="M44" s="270"/>
      <c r="N44" s="270"/>
      <c r="O44" s="850"/>
      <c r="P44" s="850"/>
      <c r="Q44" s="876"/>
      <c r="R44" s="850"/>
      <c r="S44" s="850"/>
      <c r="T44" s="850"/>
      <c r="U44" s="876"/>
      <c r="V44" s="850"/>
      <c r="W44" s="850"/>
      <c r="X44" s="850"/>
      <c r="Y44" s="876"/>
      <c r="Z44" s="850"/>
      <c r="AA44" s="850"/>
      <c r="AB44" s="850"/>
      <c r="AC44" s="876"/>
      <c r="AD44" s="850"/>
      <c r="AE44" s="850"/>
      <c r="AF44" s="850"/>
      <c r="AG44" s="876"/>
      <c r="AH44" s="876"/>
      <c r="AI44" s="213"/>
      <c r="AJ44" s="270"/>
      <c r="AK44" s="213"/>
      <c r="AL44" s="270"/>
    </row>
    <row r="45" spans="1:38" ht="9.9499999999999993" customHeight="1" x14ac:dyDescent="0.25">
      <c r="A45" s="1616">
        <v>10</v>
      </c>
      <c r="B45" s="1617">
        <v>2</v>
      </c>
      <c r="C45" s="1574" t="s">
        <v>5466</v>
      </c>
      <c r="D45" s="1574" t="s">
        <v>5459</v>
      </c>
      <c r="E45" s="1574" t="s">
        <v>153</v>
      </c>
      <c r="F45" s="849"/>
      <c r="G45" s="849"/>
      <c r="H45" s="849"/>
      <c r="I45" s="1586" t="s">
        <v>5355</v>
      </c>
      <c r="J45" s="849"/>
      <c r="K45" s="849"/>
      <c r="L45" s="849"/>
      <c r="M45" s="1601" t="s">
        <v>5363</v>
      </c>
      <c r="N45" s="849"/>
      <c r="O45" s="849"/>
      <c r="P45" s="849"/>
      <c r="Q45" s="1574"/>
      <c r="R45" s="849"/>
      <c r="S45" s="849"/>
      <c r="T45" s="849"/>
      <c r="U45" s="1613" t="s">
        <v>5383</v>
      </c>
      <c r="V45" s="849"/>
      <c r="W45" s="849"/>
      <c r="X45" s="849"/>
      <c r="Y45" s="1577" t="s">
        <v>5389</v>
      </c>
      <c r="Z45" s="849"/>
      <c r="AA45" s="849"/>
      <c r="AB45" s="849"/>
      <c r="AC45" s="1580" t="s">
        <v>5397</v>
      </c>
      <c r="AD45" s="849"/>
      <c r="AE45" s="849"/>
      <c r="AF45" s="849"/>
      <c r="AG45" s="1574" t="s">
        <v>5536</v>
      </c>
      <c r="AH45" s="1595" t="s">
        <v>5538</v>
      </c>
      <c r="AI45" s="213"/>
      <c r="AJ45" s="1601" t="s">
        <v>5539</v>
      </c>
      <c r="AK45" s="213"/>
      <c r="AL45" s="1574" t="s">
        <v>5465</v>
      </c>
    </row>
    <row r="46" spans="1:38" ht="9.9499999999999993" customHeight="1" x14ac:dyDescent="0.25">
      <c r="A46" s="1616"/>
      <c r="B46" s="1617"/>
      <c r="C46" s="1575"/>
      <c r="D46" s="1575"/>
      <c r="E46" s="1575"/>
      <c r="F46" s="850"/>
      <c r="G46" s="851"/>
      <c r="H46" s="850"/>
      <c r="I46" s="1587"/>
      <c r="J46" s="850"/>
      <c r="K46" s="851"/>
      <c r="L46" s="850"/>
      <c r="M46" s="1602"/>
      <c r="N46" s="850"/>
      <c r="O46" s="851"/>
      <c r="P46" s="850"/>
      <c r="Q46" s="1575"/>
      <c r="R46" s="850"/>
      <c r="S46" s="851"/>
      <c r="T46" s="850"/>
      <c r="U46" s="1614"/>
      <c r="V46" s="850"/>
      <c r="W46" s="851"/>
      <c r="X46" s="850"/>
      <c r="Y46" s="1578"/>
      <c r="Z46" s="850"/>
      <c r="AA46" s="851"/>
      <c r="AB46" s="850"/>
      <c r="AC46" s="1581"/>
      <c r="AD46" s="850"/>
      <c r="AE46" s="851"/>
      <c r="AF46" s="850"/>
      <c r="AG46" s="1575"/>
      <c r="AH46" s="1596"/>
      <c r="AI46" s="213"/>
      <c r="AJ46" s="1602"/>
      <c r="AK46" s="213"/>
      <c r="AL46" s="1575"/>
    </row>
    <row r="47" spans="1:38" ht="9.9499999999999993" customHeight="1" x14ac:dyDescent="0.25">
      <c r="A47" s="1616"/>
      <c r="B47" s="1617"/>
      <c r="C47" s="1576"/>
      <c r="D47" s="1576"/>
      <c r="E47" s="1576"/>
      <c r="F47" s="849"/>
      <c r="G47" s="849"/>
      <c r="H47" s="849"/>
      <c r="I47" s="1588"/>
      <c r="J47" s="849"/>
      <c r="K47" s="849"/>
      <c r="L47" s="849"/>
      <c r="M47" s="1603"/>
      <c r="N47" s="849"/>
      <c r="O47" s="849"/>
      <c r="P47" s="849"/>
      <c r="Q47" s="1576"/>
      <c r="R47" s="849"/>
      <c r="S47" s="849"/>
      <c r="T47" s="849"/>
      <c r="U47" s="1615"/>
      <c r="V47" s="849"/>
      <c r="W47" s="849"/>
      <c r="X47" s="849"/>
      <c r="Y47" s="1579"/>
      <c r="Z47" s="849"/>
      <c r="AA47" s="849"/>
      <c r="AB47" s="849"/>
      <c r="AC47" s="1582"/>
      <c r="AD47" s="849"/>
      <c r="AE47" s="849"/>
      <c r="AF47" s="849"/>
      <c r="AG47" s="1576"/>
      <c r="AH47" s="1597"/>
      <c r="AI47" s="213"/>
      <c r="AJ47" s="1603"/>
      <c r="AK47" s="213"/>
      <c r="AL47" s="1576"/>
    </row>
    <row r="48" spans="1:38" ht="9.9499999999999993" customHeight="1" x14ac:dyDescent="0.25">
      <c r="A48" s="270"/>
      <c r="B48" s="270"/>
      <c r="C48" s="270"/>
      <c r="D48" s="270"/>
      <c r="E48" s="270"/>
      <c r="F48" s="270"/>
      <c r="G48" s="270"/>
      <c r="H48" s="270"/>
      <c r="I48" s="270"/>
      <c r="J48" s="270"/>
      <c r="K48" s="270"/>
      <c r="L48" s="270"/>
      <c r="M48" s="270"/>
      <c r="N48" s="270"/>
      <c r="O48" s="850"/>
      <c r="P48" s="850"/>
      <c r="Q48" s="876"/>
      <c r="R48" s="850"/>
      <c r="S48" s="850"/>
      <c r="T48" s="850"/>
      <c r="U48" s="876"/>
      <c r="V48" s="850"/>
      <c r="W48" s="850"/>
      <c r="X48" s="850"/>
      <c r="Y48" s="876"/>
      <c r="Z48" s="850"/>
      <c r="AA48" s="850"/>
      <c r="AB48" s="850"/>
      <c r="AC48" s="876"/>
      <c r="AD48" s="850"/>
      <c r="AE48" s="850"/>
      <c r="AF48" s="850"/>
      <c r="AG48" s="876"/>
      <c r="AH48" s="876"/>
      <c r="AI48" s="213"/>
      <c r="AJ48" s="213"/>
      <c r="AK48" s="213"/>
      <c r="AL48" s="270"/>
    </row>
    <row r="49" spans="1:38" ht="9.9499999999999993" customHeight="1" x14ac:dyDescent="0.25">
      <c r="A49" s="1616">
        <v>11</v>
      </c>
      <c r="B49" s="1617">
        <v>3</v>
      </c>
      <c r="C49" s="1574" t="s">
        <v>5458</v>
      </c>
      <c r="D49" s="1574" t="s">
        <v>5459</v>
      </c>
      <c r="E49" s="1574" t="s">
        <v>153</v>
      </c>
      <c r="F49" s="849"/>
      <c r="G49" s="849"/>
      <c r="H49" s="849"/>
      <c r="I49" s="1610" t="s">
        <v>5346</v>
      </c>
      <c r="J49" s="849"/>
      <c r="K49" s="849"/>
      <c r="L49" s="849"/>
      <c r="M49" s="1601" t="s">
        <v>5539</v>
      </c>
      <c r="N49" s="849"/>
      <c r="O49" s="849"/>
      <c r="P49" s="849"/>
      <c r="Q49" s="1574"/>
      <c r="R49" s="849"/>
      <c r="S49" s="849"/>
      <c r="T49" s="849"/>
      <c r="U49" s="1586" t="s">
        <v>5380</v>
      </c>
      <c r="V49" s="849"/>
      <c r="W49" s="849"/>
      <c r="X49" s="849"/>
      <c r="Y49" s="1577" t="s">
        <v>5389</v>
      </c>
      <c r="Z49" s="849"/>
      <c r="AA49" s="849"/>
      <c r="AB49" s="849"/>
      <c r="AC49" s="1580" t="s">
        <v>5397</v>
      </c>
      <c r="AD49" s="849"/>
      <c r="AE49" s="849"/>
      <c r="AF49" s="849"/>
      <c r="AG49" s="1574" t="s">
        <v>5536</v>
      </c>
      <c r="AH49" s="1598" t="s">
        <v>5537</v>
      </c>
      <c r="AI49" s="213"/>
      <c r="AJ49" s="1601" t="s">
        <v>5471</v>
      </c>
      <c r="AK49" s="213"/>
      <c r="AL49" s="1574" t="s">
        <v>5466</v>
      </c>
    </row>
    <row r="50" spans="1:38" ht="9.9499999999999993" customHeight="1" x14ac:dyDescent="0.25">
      <c r="A50" s="1616"/>
      <c r="B50" s="1617"/>
      <c r="C50" s="1575"/>
      <c r="D50" s="1575"/>
      <c r="E50" s="1575"/>
      <c r="F50" s="850"/>
      <c r="G50" s="851"/>
      <c r="H50" s="850"/>
      <c r="I50" s="1611"/>
      <c r="J50" s="850"/>
      <c r="K50" s="851"/>
      <c r="L50" s="850"/>
      <c r="M50" s="1602"/>
      <c r="N50" s="850"/>
      <c r="O50" s="851"/>
      <c r="P50" s="850"/>
      <c r="Q50" s="1575"/>
      <c r="R50" s="850"/>
      <c r="S50" s="851"/>
      <c r="T50" s="850"/>
      <c r="U50" s="1587"/>
      <c r="V50" s="850"/>
      <c r="W50" s="851"/>
      <c r="X50" s="850"/>
      <c r="Y50" s="1578"/>
      <c r="Z50" s="850"/>
      <c r="AA50" s="851"/>
      <c r="AB50" s="850"/>
      <c r="AC50" s="1581"/>
      <c r="AD50" s="850"/>
      <c r="AE50" s="851"/>
      <c r="AF50" s="850"/>
      <c r="AG50" s="1575"/>
      <c r="AH50" s="1599"/>
      <c r="AI50" s="213"/>
      <c r="AJ50" s="1602"/>
      <c r="AK50" s="213"/>
      <c r="AL50" s="1575"/>
    </row>
    <row r="51" spans="1:38" ht="9.9499999999999993" customHeight="1" x14ac:dyDescent="0.25">
      <c r="A51" s="1616"/>
      <c r="B51" s="1617"/>
      <c r="C51" s="1576"/>
      <c r="D51" s="1576"/>
      <c r="E51" s="1576"/>
      <c r="F51" s="849"/>
      <c r="G51" s="849"/>
      <c r="H51" s="849"/>
      <c r="I51" s="1612"/>
      <c r="J51" s="849"/>
      <c r="K51" s="849"/>
      <c r="L51" s="849"/>
      <c r="M51" s="1603"/>
      <c r="N51" s="849"/>
      <c r="O51" s="849"/>
      <c r="P51" s="849"/>
      <c r="Q51" s="1576"/>
      <c r="R51" s="849"/>
      <c r="S51" s="849"/>
      <c r="T51" s="849"/>
      <c r="U51" s="1588"/>
      <c r="V51" s="849"/>
      <c r="W51" s="849"/>
      <c r="X51" s="849"/>
      <c r="Y51" s="1579"/>
      <c r="Z51" s="849"/>
      <c r="AA51" s="849"/>
      <c r="AB51" s="849"/>
      <c r="AC51" s="1582"/>
      <c r="AD51" s="849"/>
      <c r="AE51" s="849"/>
      <c r="AF51" s="849"/>
      <c r="AG51" s="1576"/>
      <c r="AH51" s="1600"/>
      <c r="AI51" s="213"/>
      <c r="AJ51" s="1603"/>
      <c r="AK51" s="213"/>
      <c r="AL51" s="1576"/>
    </row>
    <row r="52" spans="1:38" ht="9.9499999999999993" customHeight="1" x14ac:dyDescent="0.25">
      <c r="A52" s="270"/>
      <c r="B52" s="270"/>
      <c r="C52" s="270"/>
      <c r="D52" s="270"/>
      <c r="E52" s="270"/>
      <c r="F52" s="270"/>
      <c r="G52" s="270"/>
      <c r="H52" s="270"/>
      <c r="I52" s="270"/>
      <c r="J52" s="270"/>
      <c r="K52" s="270"/>
      <c r="L52" s="270"/>
      <c r="M52" s="270"/>
      <c r="N52" s="270"/>
      <c r="O52" s="850"/>
      <c r="P52" s="850"/>
      <c r="Q52" s="876"/>
      <c r="R52" s="850"/>
      <c r="S52" s="850"/>
      <c r="T52" s="850"/>
      <c r="U52" s="876"/>
      <c r="V52" s="850"/>
      <c r="W52" s="850"/>
      <c r="X52" s="850"/>
      <c r="Y52" s="876"/>
      <c r="Z52" s="850"/>
      <c r="AA52" s="850"/>
      <c r="AB52" s="850"/>
      <c r="AC52" s="876"/>
      <c r="AD52" s="850"/>
      <c r="AE52" s="850"/>
      <c r="AF52" s="850"/>
      <c r="AG52" s="876"/>
      <c r="AH52" s="876"/>
      <c r="AI52" s="213"/>
      <c r="AJ52" s="213"/>
      <c r="AK52" s="213"/>
      <c r="AL52" s="213"/>
    </row>
    <row r="53" spans="1:38" ht="9.9499999999999993" customHeight="1" x14ac:dyDescent="0.25">
      <c r="A53" s="1616">
        <v>12</v>
      </c>
      <c r="B53" s="1617">
        <v>3</v>
      </c>
      <c r="C53" s="1574" t="s">
        <v>5463</v>
      </c>
      <c r="D53" s="1574" t="s">
        <v>5459</v>
      </c>
      <c r="E53" s="1574" t="s">
        <v>153</v>
      </c>
      <c r="F53" s="849"/>
      <c r="G53" s="849"/>
      <c r="H53" s="849"/>
      <c r="I53" s="1586" t="s">
        <v>5355</v>
      </c>
      <c r="J53" s="849"/>
      <c r="K53" s="849"/>
      <c r="L53" s="849"/>
      <c r="M53" s="1598" t="s">
        <v>4926</v>
      </c>
      <c r="N53" s="849"/>
      <c r="O53" s="849"/>
      <c r="P53" s="849"/>
      <c r="Q53" s="1592" t="s">
        <v>5374</v>
      </c>
      <c r="R53" s="849"/>
      <c r="S53" s="849"/>
      <c r="T53" s="849"/>
      <c r="U53" s="1613" t="s">
        <v>5383</v>
      </c>
      <c r="V53" s="849"/>
      <c r="W53" s="849"/>
      <c r="X53" s="849"/>
      <c r="Y53" s="1577" t="s">
        <v>5389</v>
      </c>
      <c r="Z53" s="849"/>
      <c r="AA53" s="849"/>
      <c r="AB53" s="849"/>
      <c r="AC53" s="1580" t="s">
        <v>5397</v>
      </c>
      <c r="AD53" s="849"/>
      <c r="AE53" s="849"/>
      <c r="AF53" s="849"/>
      <c r="AG53" s="1574" t="s">
        <v>5536</v>
      </c>
      <c r="AH53" s="1607" t="s">
        <v>5541</v>
      </c>
      <c r="AI53" s="213"/>
      <c r="AJ53" s="1604" t="s">
        <v>5386</v>
      </c>
      <c r="AK53" s="213"/>
      <c r="AL53" s="1574" t="s">
        <v>5459</v>
      </c>
    </row>
    <row r="54" spans="1:38" ht="9.9499999999999993" customHeight="1" x14ac:dyDescent="0.25">
      <c r="A54" s="1616"/>
      <c r="B54" s="1617"/>
      <c r="C54" s="1575"/>
      <c r="D54" s="1575"/>
      <c r="E54" s="1575"/>
      <c r="F54" s="850"/>
      <c r="G54" s="851"/>
      <c r="H54" s="850"/>
      <c r="I54" s="1587"/>
      <c r="J54" s="850"/>
      <c r="K54" s="851"/>
      <c r="L54" s="850"/>
      <c r="M54" s="1599"/>
      <c r="N54" s="850"/>
      <c r="O54" s="851"/>
      <c r="P54" s="850"/>
      <c r="Q54" s="1593"/>
      <c r="R54" s="850"/>
      <c r="S54" s="851"/>
      <c r="T54" s="850"/>
      <c r="U54" s="1614"/>
      <c r="V54" s="850"/>
      <c r="W54" s="851"/>
      <c r="X54" s="850"/>
      <c r="Y54" s="1578"/>
      <c r="Z54" s="850"/>
      <c r="AA54" s="851"/>
      <c r="AB54" s="850"/>
      <c r="AC54" s="1581"/>
      <c r="AD54" s="850"/>
      <c r="AE54" s="851"/>
      <c r="AF54" s="850"/>
      <c r="AG54" s="1575"/>
      <c r="AH54" s="1608"/>
      <c r="AI54" s="213"/>
      <c r="AJ54" s="1605"/>
      <c r="AK54" s="213"/>
      <c r="AL54" s="1575"/>
    </row>
    <row r="55" spans="1:38" ht="9.9499999999999993" customHeight="1" x14ac:dyDescent="0.25">
      <c r="A55" s="1616"/>
      <c r="B55" s="1617"/>
      <c r="C55" s="1576"/>
      <c r="D55" s="1576"/>
      <c r="E55" s="1576"/>
      <c r="F55" s="849"/>
      <c r="G55" s="849"/>
      <c r="H55" s="849"/>
      <c r="I55" s="1588"/>
      <c r="J55" s="849"/>
      <c r="K55" s="849"/>
      <c r="L55" s="849"/>
      <c r="M55" s="1600"/>
      <c r="N55" s="849"/>
      <c r="O55" s="849"/>
      <c r="P55" s="849"/>
      <c r="Q55" s="1594"/>
      <c r="R55" s="849"/>
      <c r="S55" s="849"/>
      <c r="T55" s="849"/>
      <c r="U55" s="1615"/>
      <c r="V55" s="849"/>
      <c r="W55" s="849"/>
      <c r="X55" s="849"/>
      <c r="Y55" s="1579"/>
      <c r="Z55" s="849"/>
      <c r="AA55" s="849"/>
      <c r="AB55" s="849"/>
      <c r="AC55" s="1582"/>
      <c r="AD55" s="849"/>
      <c r="AE55" s="849"/>
      <c r="AF55" s="849"/>
      <c r="AG55" s="1576"/>
      <c r="AH55" s="1609"/>
      <c r="AI55" s="213"/>
      <c r="AJ55" s="1606"/>
      <c r="AK55" s="213"/>
      <c r="AL55" s="1576"/>
    </row>
    <row r="56" spans="1:38" ht="9.9499999999999993" customHeight="1" x14ac:dyDescent="0.25">
      <c r="A56" s="270"/>
      <c r="B56" s="270"/>
      <c r="C56" s="270"/>
      <c r="D56" s="270"/>
      <c r="E56" s="270"/>
      <c r="F56" s="270"/>
      <c r="G56" s="270"/>
      <c r="H56" s="270"/>
      <c r="I56" s="270"/>
      <c r="J56" s="270"/>
      <c r="K56" s="270"/>
      <c r="L56" s="270"/>
      <c r="M56" s="270"/>
      <c r="N56" s="270"/>
      <c r="O56" s="850"/>
      <c r="P56" s="850"/>
      <c r="Q56" s="876"/>
      <c r="R56" s="850"/>
      <c r="S56" s="850"/>
      <c r="T56" s="850"/>
      <c r="U56" s="876"/>
      <c r="V56" s="850"/>
      <c r="W56" s="850"/>
      <c r="X56" s="850"/>
      <c r="Y56" s="876"/>
      <c r="Z56" s="850"/>
      <c r="AA56" s="850"/>
      <c r="AB56" s="850"/>
      <c r="AC56" s="876"/>
      <c r="AD56" s="850"/>
      <c r="AE56" s="850"/>
      <c r="AF56" s="850"/>
      <c r="AG56" s="876"/>
      <c r="AH56" s="876"/>
      <c r="AI56" s="213"/>
      <c r="AJ56" s="876"/>
      <c r="AK56" s="213"/>
      <c r="AL56" s="270"/>
    </row>
    <row r="57" spans="1:38" ht="9.9499999999999993" customHeight="1" x14ac:dyDescent="0.25">
      <c r="A57" s="1616">
        <v>13</v>
      </c>
      <c r="B57" s="1617">
        <v>3</v>
      </c>
      <c r="C57" s="1574" t="s">
        <v>5464</v>
      </c>
      <c r="D57" s="1574" t="s">
        <v>5459</v>
      </c>
      <c r="E57" s="1574" t="s">
        <v>153</v>
      </c>
      <c r="F57" s="849"/>
      <c r="G57" s="849"/>
      <c r="H57" s="849"/>
      <c r="I57" s="1610" t="s">
        <v>5346</v>
      </c>
      <c r="J57" s="849"/>
      <c r="K57" s="849"/>
      <c r="L57" s="849"/>
      <c r="M57" s="1592" t="s">
        <v>5359</v>
      </c>
      <c r="N57" s="849"/>
      <c r="O57" s="849"/>
      <c r="P57" s="849"/>
      <c r="Q57" s="1574"/>
      <c r="R57" s="849"/>
      <c r="S57" s="849"/>
      <c r="T57" s="849"/>
      <c r="U57" s="1586" t="s">
        <v>5380</v>
      </c>
      <c r="V57" s="849"/>
      <c r="W57" s="849"/>
      <c r="X57" s="849"/>
      <c r="Y57" s="1577" t="s">
        <v>5389</v>
      </c>
      <c r="Z57" s="849"/>
      <c r="AA57" s="849"/>
      <c r="AB57" s="849"/>
      <c r="AC57" s="1580" t="s">
        <v>5397</v>
      </c>
      <c r="AD57" s="849"/>
      <c r="AE57" s="849"/>
      <c r="AF57" s="849"/>
      <c r="AG57" s="1574" t="s">
        <v>5536</v>
      </c>
      <c r="AH57" s="1598" t="s">
        <v>5537</v>
      </c>
      <c r="AI57" s="213"/>
      <c r="AJ57" s="1577" t="s">
        <v>5389</v>
      </c>
      <c r="AK57" s="213"/>
      <c r="AL57" s="1574" t="s">
        <v>5589</v>
      </c>
    </row>
    <row r="58" spans="1:38" ht="9.9499999999999993" customHeight="1" x14ac:dyDescent="0.25">
      <c r="A58" s="1616"/>
      <c r="B58" s="1617"/>
      <c r="C58" s="1575"/>
      <c r="D58" s="1575"/>
      <c r="E58" s="1575"/>
      <c r="F58" s="850"/>
      <c r="G58" s="851"/>
      <c r="H58" s="850"/>
      <c r="I58" s="1611"/>
      <c r="J58" s="850"/>
      <c r="K58" s="851"/>
      <c r="L58" s="850"/>
      <c r="M58" s="1593"/>
      <c r="N58" s="850"/>
      <c r="O58" s="851"/>
      <c r="P58" s="850"/>
      <c r="Q58" s="1575"/>
      <c r="R58" s="850"/>
      <c r="S58" s="851"/>
      <c r="T58" s="850"/>
      <c r="U58" s="1587"/>
      <c r="V58" s="850"/>
      <c r="W58" s="851"/>
      <c r="X58" s="850"/>
      <c r="Y58" s="1578"/>
      <c r="Z58" s="850"/>
      <c r="AA58" s="851"/>
      <c r="AB58" s="850"/>
      <c r="AC58" s="1581"/>
      <c r="AD58" s="850"/>
      <c r="AE58" s="851"/>
      <c r="AF58" s="850"/>
      <c r="AG58" s="1575"/>
      <c r="AH58" s="1599"/>
      <c r="AI58" s="213"/>
      <c r="AJ58" s="1578"/>
      <c r="AK58" s="213"/>
      <c r="AL58" s="1575"/>
    </row>
    <row r="59" spans="1:38" ht="9.9499999999999993" customHeight="1" x14ac:dyDescent="0.25">
      <c r="A59" s="1616"/>
      <c r="B59" s="1617"/>
      <c r="C59" s="1576"/>
      <c r="D59" s="1576"/>
      <c r="E59" s="1576"/>
      <c r="F59" s="849"/>
      <c r="G59" s="849"/>
      <c r="H59" s="849"/>
      <c r="I59" s="1612"/>
      <c r="J59" s="849"/>
      <c r="K59" s="849"/>
      <c r="L59" s="849"/>
      <c r="M59" s="1594"/>
      <c r="N59" s="849"/>
      <c r="O59" s="849"/>
      <c r="P59" s="849"/>
      <c r="Q59" s="1576"/>
      <c r="R59" s="849"/>
      <c r="S59" s="849"/>
      <c r="T59" s="849"/>
      <c r="U59" s="1588"/>
      <c r="V59" s="849"/>
      <c r="W59" s="849"/>
      <c r="X59" s="849"/>
      <c r="Y59" s="1579"/>
      <c r="Z59" s="849"/>
      <c r="AA59" s="849"/>
      <c r="AB59" s="849"/>
      <c r="AC59" s="1582"/>
      <c r="AD59" s="849"/>
      <c r="AE59" s="849"/>
      <c r="AF59" s="849"/>
      <c r="AG59" s="1576"/>
      <c r="AH59" s="1600"/>
      <c r="AI59" s="213"/>
      <c r="AJ59" s="1579"/>
      <c r="AK59" s="213"/>
      <c r="AL59" s="1576"/>
    </row>
    <row r="60" spans="1:38" ht="9.9499999999999993" customHeight="1" x14ac:dyDescent="0.25">
      <c r="A60" s="270"/>
      <c r="B60" s="270"/>
      <c r="C60" s="270"/>
      <c r="D60" s="270"/>
      <c r="E60" s="270"/>
      <c r="F60" s="270"/>
      <c r="G60" s="270"/>
      <c r="H60" s="270"/>
      <c r="I60" s="270"/>
      <c r="J60" s="270"/>
      <c r="K60" s="270"/>
      <c r="L60" s="270"/>
      <c r="M60" s="270"/>
      <c r="N60" s="270"/>
      <c r="O60" s="850"/>
      <c r="P60" s="850"/>
      <c r="Q60" s="876"/>
      <c r="R60" s="850"/>
      <c r="S60" s="850"/>
      <c r="T60" s="850"/>
      <c r="U60" s="876"/>
      <c r="V60" s="850"/>
      <c r="W60" s="850"/>
      <c r="X60" s="850"/>
      <c r="Y60" s="876"/>
      <c r="Z60" s="850"/>
      <c r="AA60" s="850"/>
      <c r="AB60" s="850"/>
      <c r="AC60" s="876"/>
      <c r="AD60" s="850"/>
      <c r="AE60" s="850"/>
      <c r="AF60" s="850"/>
      <c r="AG60" s="876"/>
      <c r="AH60" s="876"/>
      <c r="AI60" s="213"/>
      <c r="AJ60" s="213"/>
      <c r="AK60" s="213"/>
      <c r="AL60" s="213"/>
    </row>
    <row r="61" spans="1:38" ht="9.9499999999999993" customHeight="1" x14ac:dyDescent="0.25">
      <c r="A61" s="1616">
        <v>14</v>
      </c>
      <c r="B61" s="1617">
        <v>3</v>
      </c>
      <c r="C61" s="1574" t="s">
        <v>5465</v>
      </c>
      <c r="D61" s="1574" t="s">
        <v>5459</v>
      </c>
      <c r="E61" s="1574" t="s">
        <v>153</v>
      </c>
      <c r="F61" s="849"/>
      <c r="G61" s="849"/>
      <c r="H61" s="849"/>
      <c r="I61" s="1586" t="s">
        <v>5355</v>
      </c>
      <c r="J61" s="849"/>
      <c r="K61" s="849"/>
      <c r="L61" s="849"/>
      <c r="M61" s="1601" t="s">
        <v>5471</v>
      </c>
      <c r="N61" s="849"/>
      <c r="O61" s="849"/>
      <c r="P61" s="849"/>
      <c r="Q61" s="1589" t="s">
        <v>5371</v>
      </c>
      <c r="R61" s="849"/>
      <c r="S61" s="849"/>
      <c r="T61" s="849"/>
      <c r="U61" s="1613" t="s">
        <v>5383</v>
      </c>
      <c r="V61" s="849"/>
      <c r="W61" s="849"/>
      <c r="X61" s="849"/>
      <c r="Y61" s="1577" t="s">
        <v>5389</v>
      </c>
      <c r="Z61" s="849"/>
      <c r="AA61" s="849"/>
      <c r="AB61" s="849"/>
      <c r="AC61" s="1580" t="s">
        <v>5397</v>
      </c>
      <c r="AD61" s="849"/>
      <c r="AE61" s="849"/>
      <c r="AF61" s="849"/>
      <c r="AG61" s="1574" t="s">
        <v>5536</v>
      </c>
      <c r="AH61" s="1607" t="s">
        <v>5540</v>
      </c>
      <c r="AI61" s="213"/>
      <c r="AJ61" s="1580" t="s">
        <v>5397</v>
      </c>
      <c r="AK61" s="213"/>
      <c r="AL61" s="213"/>
    </row>
    <row r="62" spans="1:38" ht="9.9499999999999993" customHeight="1" x14ac:dyDescent="0.25">
      <c r="A62" s="1616"/>
      <c r="B62" s="1617"/>
      <c r="C62" s="1575"/>
      <c r="D62" s="1575"/>
      <c r="E62" s="1575"/>
      <c r="F62" s="850"/>
      <c r="G62" s="851"/>
      <c r="H62" s="850"/>
      <c r="I62" s="1587"/>
      <c r="J62" s="850"/>
      <c r="K62" s="851"/>
      <c r="L62" s="850"/>
      <c r="M62" s="1602"/>
      <c r="N62" s="850"/>
      <c r="O62" s="851"/>
      <c r="P62" s="850"/>
      <c r="Q62" s="1590"/>
      <c r="R62" s="850"/>
      <c r="S62" s="851"/>
      <c r="T62" s="850"/>
      <c r="U62" s="1614"/>
      <c r="V62" s="850"/>
      <c r="W62" s="851"/>
      <c r="X62" s="850"/>
      <c r="Y62" s="1578"/>
      <c r="Z62" s="850"/>
      <c r="AA62" s="851"/>
      <c r="AB62" s="850"/>
      <c r="AC62" s="1581"/>
      <c r="AD62" s="850"/>
      <c r="AE62" s="851"/>
      <c r="AF62" s="850"/>
      <c r="AG62" s="1575"/>
      <c r="AH62" s="1608"/>
      <c r="AI62" s="213"/>
      <c r="AJ62" s="1581"/>
      <c r="AK62" s="213"/>
      <c r="AL62" s="213"/>
    </row>
    <row r="63" spans="1:38" ht="9.9499999999999993" customHeight="1" x14ac:dyDescent="0.25">
      <c r="A63" s="1616"/>
      <c r="B63" s="1617"/>
      <c r="C63" s="1576"/>
      <c r="D63" s="1576"/>
      <c r="E63" s="1576"/>
      <c r="F63" s="849"/>
      <c r="G63" s="849"/>
      <c r="H63" s="849"/>
      <c r="I63" s="1588"/>
      <c r="J63" s="849"/>
      <c r="K63" s="849"/>
      <c r="L63" s="849"/>
      <c r="M63" s="1603"/>
      <c r="N63" s="849"/>
      <c r="O63" s="849"/>
      <c r="P63" s="849"/>
      <c r="Q63" s="1591"/>
      <c r="R63" s="849"/>
      <c r="S63" s="849"/>
      <c r="T63" s="849"/>
      <c r="U63" s="1615"/>
      <c r="V63" s="849"/>
      <c r="W63" s="849"/>
      <c r="X63" s="849"/>
      <c r="Y63" s="1579"/>
      <c r="Z63" s="849"/>
      <c r="AA63" s="849"/>
      <c r="AB63" s="849"/>
      <c r="AC63" s="1582"/>
      <c r="AD63" s="849"/>
      <c r="AE63" s="849"/>
      <c r="AF63" s="849"/>
      <c r="AG63" s="1576"/>
      <c r="AH63" s="1609"/>
      <c r="AI63" s="213"/>
      <c r="AJ63" s="1582"/>
      <c r="AK63" s="213"/>
      <c r="AL63" s="213"/>
    </row>
    <row r="64" spans="1:38" ht="9.9499999999999993" customHeight="1" x14ac:dyDescent="0.25">
      <c r="A64" s="270"/>
      <c r="B64" s="270"/>
      <c r="C64" s="270"/>
      <c r="D64" s="270"/>
      <c r="E64" s="270"/>
      <c r="F64" s="270"/>
      <c r="G64" s="270"/>
      <c r="H64" s="270"/>
      <c r="I64" s="270"/>
      <c r="J64" s="270"/>
      <c r="K64" s="270"/>
      <c r="L64" s="270"/>
      <c r="M64" s="270"/>
      <c r="N64" s="270"/>
      <c r="O64" s="850"/>
      <c r="P64" s="850"/>
      <c r="Q64" s="876"/>
      <c r="R64" s="850"/>
      <c r="S64" s="850"/>
      <c r="T64" s="850"/>
      <c r="U64" s="876"/>
      <c r="V64" s="850"/>
      <c r="W64" s="850"/>
      <c r="X64" s="850"/>
      <c r="Y64" s="876"/>
      <c r="Z64" s="850"/>
      <c r="AA64" s="850"/>
      <c r="AB64" s="850"/>
      <c r="AC64" s="876"/>
      <c r="AD64" s="850"/>
      <c r="AE64" s="850"/>
      <c r="AF64" s="850"/>
      <c r="AG64" s="876"/>
      <c r="AH64" s="876"/>
      <c r="AI64" s="213"/>
      <c r="AJ64" s="213"/>
      <c r="AK64" s="213"/>
      <c r="AL64" s="213"/>
    </row>
    <row r="65" spans="1:38" ht="9.9499999999999993" customHeight="1" x14ac:dyDescent="0.25">
      <c r="A65" s="1616">
        <v>15</v>
      </c>
      <c r="B65" s="1617">
        <v>3</v>
      </c>
      <c r="C65" s="1574" t="s">
        <v>5466</v>
      </c>
      <c r="D65" s="1574" t="s">
        <v>5459</v>
      </c>
      <c r="E65" s="1574" t="s">
        <v>153</v>
      </c>
      <c r="F65" s="849"/>
      <c r="G65" s="849"/>
      <c r="H65" s="849"/>
      <c r="I65" s="1610" t="s">
        <v>5346</v>
      </c>
      <c r="J65" s="849"/>
      <c r="K65" s="849"/>
      <c r="L65" s="849"/>
      <c r="M65" s="1601" t="s">
        <v>5363</v>
      </c>
      <c r="N65" s="849"/>
      <c r="O65" s="849"/>
      <c r="P65" s="849"/>
      <c r="Q65" s="1574"/>
      <c r="R65" s="849"/>
      <c r="S65" s="849"/>
      <c r="T65" s="849"/>
      <c r="U65" s="1586" t="s">
        <v>5380</v>
      </c>
      <c r="V65" s="849"/>
      <c r="W65" s="849"/>
      <c r="X65" s="849"/>
      <c r="Y65" s="1577" t="s">
        <v>5389</v>
      </c>
      <c r="Z65" s="849"/>
      <c r="AA65" s="849"/>
      <c r="AB65" s="849"/>
      <c r="AC65" s="1583" t="s">
        <v>5403</v>
      </c>
      <c r="AD65" s="849"/>
      <c r="AE65" s="849"/>
      <c r="AF65" s="849"/>
      <c r="AG65" s="1574" t="s">
        <v>5536</v>
      </c>
      <c r="AH65" s="1598" t="s">
        <v>5537</v>
      </c>
      <c r="AI65" s="213"/>
      <c r="AJ65" s="1583" t="s">
        <v>5403</v>
      </c>
      <c r="AK65" s="213"/>
      <c r="AL65" s="213"/>
    </row>
    <row r="66" spans="1:38" ht="9.9499999999999993" customHeight="1" x14ac:dyDescent="0.25">
      <c r="A66" s="1616"/>
      <c r="B66" s="1617"/>
      <c r="C66" s="1575"/>
      <c r="D66" s="1575"/>
      <c r="E66" s="1575"/>
      <c r="F66" s="850"/>
      <c r="G66" s="851"/>
      <c r="H66" s="850"/>
      <c r="I66" s="1611"/>
      <c r="J66" s="850"/>
      <c r="K66" s="851"/>
      <c r="L66" s="850"/>
      <c r="M66" s="1602"/>
      <c r="N66" s="850"/>
      <c r="O66" s="851"/>
      <c r="P66" s="850"/>
      <c r="Q66" s="1575"/>
      <c r="R66" s="850"/>
      <c r="S66" s="851"/>
      <c r="T66" s="850"/>
      <c r="U66" s="1587"/>
      <c r="V66" s="850"/>
      <c r="W66" s="851"/>
      <c r="X66" s="850"/>
      <c r="Y66" s="1578"/>
      <c r="Z66" s="850"/>
      <c r="AA66" s="851"/>
      <c r="AB66" s="850"/>
      <c r="AC66" s="1584"/>
      <c r="AD66" s="850"/>
      <c r="AE66" s="851"/>
      <c r="AF66" s="850"/>
      <c r="AG66" s="1575"/>
      <c r="AH66" s="1599"/>
      <c r="AI66" s="213"/>
      <c r="AJ66" s="1584"/>
      <c r="AK66" s="213"/>
      <c r="AL66" s="213"/>
    </row>
    <row r="67" spans="1:38" ht="9.9499999999999993" customHeight="1" x14ac:dyDescent="0.25">
      <c r="A67" s="1616"/>
      <c r="B67" s="1617"/>
      <c r="C67" s="1576"/>
      <c r="D67" s="1576"/>
      <c r="E67" s="1576"/>
      <c r="F67" s="849"/>
      <c r="G67" s="849"/>
      <c r="H67" s="849"/>
      <c r="I67" s="1612"/>
      <c r="J67" s="849"/>
      <c r="K67" s="849"/>
      <c r="L67" s="849"/>
      <c r="M67" s="1603"/>
      <c r="N67" s="849"/>
      <c r="O67" s="849"/>
      <c r="P67" s="849"/>
      <c r="Q67" s="1576"/>
      <c r="R67" s="849"/>
      <c r="S67" s="849"/>
      <c r="T67" s="849"/>
      <c r="U67" s="1588"/>
      <c r="V67" s="849"/>
      <c r="W67" s="849"/>
      <c r="X67" s="849"/>
      <c r="Y67" s="1579"/>
      <c r="Z67" s="849"/>
      <c r="AA67" s="849"/>
      <c r="AB67" s="849"/>
      <c r="AC67" s="1585"/>
      <c r="AD67" s="849"/>
      <c r="AE67" s="849"/>
      <c r="AF67" s="849"/>
      <c r="AG67" s="1576"/>
      <c r="AH67" s="1600"/>
      <c r="AI67" s="213"/>
      <c r="AJ67" s="1585"/>
      <c r="AK67" s="213"/>
      <c r="AL67" s="213"/>
    </row>
    <row r="68" spans="1:38" ht="9.9499999999999993" customHeight="1" x14ac:dyDescent="0.25">
      <c r="A68" s="270"/>
      <c r="B68" s="270"/>
      <c r="C68" s="270"/>
      <c r="D68" s="270"/>
      <c r="E68" s="270"/>
      <c r="F68" s="270"/>
      <c r="G68" s="270"/>
      <c r="H68" s="270"/>
      <c r="I68" s="270"/>
      <c r="J68" s="270"/>
      <c r="K68" s="270"/>
      <c r="L68" s="270"/>
      <c r="M68" s="270"/>
      <c r="N68" s="270"/>
      <c r="O68" s="850"/>
      <c r="P68" s="850"/>
      <c r="Q68" s="876"/>
      <c r="R68" s="850"/>
      <c r="S68" s="850"/>
      <c r="T68" s="850"/>
      <c r="U68" s="876"/>
      <c r="V68" s="850"/>
      <c r="W68" s="850"/>
      <c r="X68" s="850"/>
      <c r="Y68" s="876"/>
      <c r="Z68" s="850"/>
      <c r="AA68" s="850"/>
      <c r="AB68" s="850"/>
      <c r="AC68" s="876"/>
      <c r="AD68" s="850"/>
      <c r="AE68" s="850"/>
      <c r="AF68" s="850"/>
      <c r="AG68" s="876"/>
      <c r="AH68" s="876"/>
      <c r="AI68" s="213"/>
      <c r="AJ68" s="213"/>
      <c r="AK68" s="213"/>
      <c r="AL68" s="213"/>
    </row>
    <row r="69" spans="1:38" ht="9.9499999999999993" customHeight="1" x14ac:dyDescent="0.25">
      <c r="A69" s="1616">
        <v>16</v>
      </c>
      <c r="B69" s="1617">
        <v>4</v>
      </c>
      <c r="C69" s="1574" t="s">
        <v>5458</v>
      </c>
      <c r="D69" s="1574" t="s">
        <v>5459</v>
      </c>
      <c r="E69" s="1574" t="s">
        <v>153</v>
      </c>
      <c r="F69" s="849"/>
      <c r="G69" s="849"/>
      <c r="H69" s="849"/>
      <c r="I69" s="1586" t="s">
        <v>5355</v>
      </c>
      <c r="J69" s="849"/>
      <c r="K69" s="849"/>
      <c r="L69" s="849"/>
      <c r="M69" s="1601" t="s">
        <v>5539</v>
      </c>
      <c r="N69" s="849"/>
      <c r="O69" s="849"/>
      <c r="P69" s="849"/>
      <c r="Q69" s="1574"/>
      <c r="R69" s="849"/>
      <c r="S69" s="849"/>
      <c r="T69" s="849"/>
      <c r="U69" s="1613" t="s">
        <v>5383</v>
      </c>
      <c r="V69" s="849"/>
      <c r="W69" s="849"/>
      <c r="X69" s="849"/>
      <c r="Y69" s="1577" t="s">
        <v>5389</v>
      </c>
      <c r="Z69" s="849"/>
      <c r="AA69" s="849"/>
      <c r="AB69" s="849"/>
      <c r="AC69" s="1583" t="s">
        <v>5403</v>
      </c>
      <c r="AD69" s="849"/>
      <c r="AE69" s="849"/>
      <c r="AF69" s="849"/>
      <c r="AG69" s="1574" t="s">
        <v>5536</v>
      </c>
      <c r="AH69" s="1595" t="s">
        <v>5538</v>
      </c>
      <c r="AI69" s="213"/>
      <c r="AJ69" s="1586" t="s">
        <v>5472</v>
      </c>
      <c r="AK69" s="213"/>
      <c r="AL69" s="213"/>
    </row>
    <row r="70" spans="1:38" ht="9.9499999999999993" customHeight="1" x14ac:dyDescent="0.25">
      <c r="A70" s="1616"/>
      <c r="B70" s="1617"/>
      <c r="C70" s="1575"/>
      <c r="D70" s="1575"/>
      <c r="E70" s="1575"/>
      <c r="F70" s="850"/>
      <c r="G70" s="851"/>
      <c r="H70" s="850"/>
      <c r="I70" s="1587"/>
      <c r="J70" s="850"/>
      <c r="K70" s="851"/>
      <c r="L70" s="850"/>
      <c r="M70" s="1602"/>
      <c r="N70" s="850"/>
      <c r="O70" s="851"/>
      <c r="P70" s="850"/>
      <c r="Q70" s="1575"/>
      <c r="R70" s="850"/>
      <c r="S70" s="851"/>
      <c r="T70" s="850"/>
      <c r="U70" s="1614"/>
      <c r="V70" s="850"/>
      <c r="W70" s="851"/>
      <c r="X70" s="850"/>
      <c r="Y70" s="1578"/>
      <c r="Z70" s="850"/>
      <c r="AA70" s="851"/>
      <c r="AB70" s="850"/>
      <c r="AC70" s="1584"/>
      <c r="AD70" s="850"/>
      <c r="AE70" s="851"/>
      <c r="AF70" s="850"/>
      <c r="AG70" s="1575"/>
      <c r="AH70" s="1596"/>
      <c r="AI70" s="213"/>
      <c r="AJ70" s="1587"/>
      <c r="AK70" s="213"/>
      <c r="AL70" s="213"/>
    </row>
    <row r="71" spans="1:38" ht="9.9499999999999993" customHeight="1" x14ac:dyDescent="0.25">
      <c r="A71" s="1616"/>
      <c r="B71" s="1617"/>
      <c r="C71" s="1576"/>
      <c r="D71" s="1576"/>
      <c r="E71" s="1576"/>
      <c r="F71" s="849"/>
      <c r="G71" s="849"/>
      <c r="H71" s="849"/>
      <c r="I71" s="1588"/>
      <c r="J71" s="849"/>
      <c r="K71" s="849"/>
      <c r="L71" s="849"/>
      <c r="M71" s="1603"/>
      <c r="N71" s="849"/>
      <c r="O71" s="849"/>
      <c r="P71" s="849"/>
      <c r="Q71" s="1576"/>
      <c r="R71" s="849"/>
      <c r="S71" s="849"/>
      <c r="T71" s="849"/>
      <c r="U71" s="1615"/>
      <c r="V71" s="849"/>
      <c r="W71" s="849"/>
      <c r="X71" s="849"/>
      <c r="Y71" s="1579"/>
      <c r="Z71" s="849"/>
      <c r="AA71" s="849"/>
      <c r="AB71" s="849"/>
      <c r="AC71" s="1585"/>
      <c r="AD71" s="849"/>
      <c r="AE71" s="849"/>
      <c r="AF71" s="849"/>
      <c r="AG71" s="1576"/>
      <c r="AH71" s="1597"/>
      <c r="AI71" s="213"/>
      <c r="AJ71" s="1588"/>
      <c r="AK71" s="213"/>
      <c r="AL71" s="213"/>
    </row>
    <row r="72" spans="1:38" ht="9.9499999999999993" customHeight="1" x14ac:dyDescent="0.25">
      <c r="A72" s="270"/>
      <c r="B72" s="270"/>
      <c r="C72" s="270"/>
      <c r="D72" s="270"/>
      <c r="E72" s="270"/>
      <c r="F72" s="270"/>
      <c r="G72" s="270"/>
      <c r="H72" s="270"/>
      <c r="I72" s="270"/>
      <c r="J72" s="270"/>
      <c r="K72" s="270"/>
      <c r="L72" s="270"/>
      <c r="M72" s="270"/>
      <c r="N72" s="270"/>
      <c r="O72" s="850"/>
      <c r="P72" s="850"/>
      <c r="Q72" s="876"/>
      <c r="R72" s="850"/>
      <c r="S72" s="850"/>
      <c r="T72" s="850"/>
      <c r="U72" s="876"/>
      <c r="V72" s="850"/>
      <c r="W72" s="850"/>
      <c r="X72" s="850"/>
      <c r="Y72" s="876"/>
      <c r="Z72" s="850"/>
      <c r="AA72" s="850"/>
      <c r="AB72" s="850"/>
      <c r="AC72" s="876"/>
      <c r="AD72" s="850"/>
      <c r="AE72" s="850"/>
      <c r="AF72" s="850"/>
      <c r="AG72" s="876"/>
      <c r="AH72" s="876"/>
      <c r="AI72" s="213"/>
      <c r="AJ72" s="213"/>
      <c r="AK72" s="213"/>
      <c r="AL72" s="213"/>
    </row>
    <row r="73" spans="1:38" ht="9.9499999999999993" customHeight="1" x14ac:dyDescent="0.25">
      <c r="A73" s="1616">
        <v>17</v>
      </c>
      <c r="B73" s="1617">
        <v>4</v>
      </c>
      <c r="C73" s="1574" t="s">
        <v>5463</v>
      </c>
      <c r="D73" s="1574" t="s">
        <v>5459</v>
      </c>
      <c r="E73" s="1574" t="s">
        <v>153</v>
      </c>
      <c r="F73" s="849"/>
      <c r="G73" s="849"/>
      <c r="H73" s="849"/>
      <c r="I73" s="1610" t="s">
        <v>5346</v>
      </c>
      <c r="J73" s="849"/>
      <c r="K73" s="849"/>
      <c r="L73" s="849"/>
      <c r="M73" s="1601" t="s">
        <v>5471</v>
      </c>
      <c r="N73" s="849"/>
      <c r="O73" s="849"/>
      <c r="P73" s="849"/>
      <c r="Q73" s="1574"/>
      <c r="R73" s="849"/>
      <c r="S73" s="849"/>
      <c r="T73" s="849"/>
      <c r="U73" s="1586" t="s">
        <v>5380</v>
      </c>
      <c r="V73" s="849"/>
      <c r="W73" s="849"/>
      <c r="X73" s="849"/>
      <c r="Y73" s="1577" t="s">
        <v>5389</v>
      </c>
      <c r="Z73" s="849"/>
      <c r="AA73" s="849"/>
      <c r="AB73" s="849"/>
      <c r="AC73" s="1583" t="s">
        <v>5403</v>
      </c>
      <c r="AD73" s="849"/>
      <c r="AE73" s="849"/>
      <c r="AF73" s="849"/>
      <c r="AG73" s="1574" t="s">
        <v>5536</v>
      </c>
      <c r="AH73" s="1598" t="s">
        <v>5537</v>
      </c>
      <c r="AI73" s="213"/>
      <c r="AJ73" s="1589" t="s">
        <v>5371</v>
      </c>
      <c r="AK73" s="213"/>
      <c r="AL73" s="213"/>
    </row>
    <row r="74" spans="1:38" ht="9.9499999999999993" customHeight="1" x14ac:dyDescent="0.25">
      <c r="A74" s="1616"/>
      <c r="B74" s="1617"/>
      <c r="C74" s="1575"/>
      <c r="D74" s="1575"/>
      <c r="E74" s="1575"/>
      <c r="F74" s="850"/>
      <c r="G74" s="851"/>
      <c r="H74" s="850"/>
      <c r="I74" s="1611"/>
      <c r="J74" s="850"/>
      <c r="K74" s="851"/>
      <c r="L74" s="850"/>
      <c r="M74" s="1602"/>
      <c r="N74" s="850"/>
      <c r="O74" s="851"/>
      <c r="P74" s="850"/>
      <c r="Q74" s="1575"/>
      <c r="R74" s="850"/>
      <c r="S74" s="851"/>
      <c r="T74" s="850"/>
      <c r="U74" s="1587"/>
      <c r="V74" s="850"/>
      <c r="W74" s="851"/>
      <c r="X74" s="850"/>
      <c r="Y74" s="1578"/>
      <c r="Z74" s="850"/>
      <c r="AA74" s="851"/>
      <c r="AB74" s="850"/>
      <c r="AC74" s="1584"/>
      <c r="AD74" s="850"/>
      <c r="AE74" s="851"/>
      <c r="AF74" s="850"/>
      <c r="AG74" s="1575"/>
      <c r="AH74" s="1599"/>
      <c r="AI74" s="213"/>
      <c r="AJ74" s="1590"/>
      <c r="AK74" s="213"/>
      <c r="AL74" s="213"/>
    </row>
    <row r="75" spans="1:38" ht="9.9499999999999993" customHeight="1" x14ac:dyDescent="0.25">
      <c r="A75" s="1616"/>
      <c r="B75" s="1617"/>
      <c r="C75" s="1576"/>
      <c r="D75" s="1576"/>
      <c r="E75" s="1576"/>
      <c r="F75" s="849"/>
      <c r="G75" s="849"/>
      <c r="H75" s="849"/>
      <c r="I75" s="1612"/>
      <c r="J75" s="849"/>
      <c r="K75" s="849"/>
      <c r="L75" s="849"/>
      <c r="M75" s="1603"/>
      <c r="N75" s="849"/>
      <c r="O75" s="849"/>
      <c r="P75" s="849"/>
      <c r="Q75" s="1576"/>
      <c r="R75" s="849"/>
      <c r="S75" s="849"/>
      <c r="T75" s="849"/>
      <c r="U75" s="1588"/>
      <c r="V75" s="849"/>
      <c r="W75" s="849"/>
      <c r="X75" s="849"/>
      <c r="Y75" s="1579"/>
      <c r="Z75" s="849"/>
      <c r="AA75" s="849"/>
      <c r="AB75" s="849"/>
      <c r="AC75" s="1585"/>
      <c r="AD75" s="849"/>
      <c r="AE75" s="849"/>
      <c r="AF75" s="849"/>
      <c r="AG75" s="1576"/>
      <c r="AH75" s="1600"/>
      <c r="AI75" s="213"/>
      <c r="AJ75" s="1591"/>
      <c r="AK75" s="213"/>
      <c r="AL75" s="213"/>
    </row>
    <row r="76" spans="1:38" ht="9.9499999999999993" customHeight="1" x14ac:dyDescent="0.25">
      <c r="A76" s="270"/>
      <c r="B76" s="270"/>
      <c r="C76" s="270"/>
      <c r="D76" s="270"/>
      <c r="E76" s="270"/>
      <c r="F76" s="270"/>
      <c r="G76" s="270"/>
      <c r="H76" s="270"/>
      <c r="I76" s="270"/>
      <c r="J76" s="270"/>
      <c r="K76" s="270"/>
      <c r="L76" s="270"/>
      <c r="M76" s="270"/>
      <c r="N76" s="270"/>
      <c r="O76" s="850"/>
      <c r="P76" s="850"/>
      <c r="Q76" s="876"/>
      <c r="R76" s="850"/>
      <c r="S76" s="850"/>
      <c r="T76" s="850"/>
      <c r="U76" s="876"/>
      <c r="V76" s="850"/>
      <c r="W76" s="850"/>
      <c r="X76" s="850"/>
      <c r="Y76" s="876"/>
      <c r="Z76" s="850"/>
      <c r="AA76" s="850"/>
      <c r="AB76" s="850"/>
      <c r="AC76" s="876"/>
      <c r="AD76" s="850"/>
      <c r="AE76" s="850"/>
      <c r="AF76" s="850"/>
      <c r="AG76" s="876"/>
      <c r="AH76" s="876"/>
      <c r="AI76" s="213"/>
      <c r="AJ76" s="876"/>
      <c r="AK76" s="213"/>
      <c r="AL76" s="213"/>
    </row>
    <row r="77" spans="1:38" ht="9.9499999999999993" customHeight="1" x14ac:dyDescent="0.25">
      <c r="A77" s="1616">
        <v>18</v>
      </c>
      <c r="B77" s="1617">
        <v>4</v>
      </c>
      <c r="C77" s="1574" t="s">
        <v>5464</v>
      </c>
      <c r="D77" s="1574" t="s">
        <v>5459</v>
      </c>
      <c r="E77" s="1574" t="s">
        <v>153</v>
      </c>
      <c r="F77" s="849"/>
      <c r="G77" s="849"/>
      <c r="H77" s="849"/>
      <c r="I77" s="1586" t="s">
        <v>5355</v>
      </c>
      <c r="J77" s="849"/>
      <c r="K77" s="849"/>
      <c r="L77" s="849"/>
      <c r="M77" s="1595" t="s">
        <v>5542</v>
      </c>
      <c r="N77" s="849"/>
      <c r="O77" s="849"/>
      <c r="P77" s="849"/>
      <c r="Q77" s="1589" t="s">
        <v>5371</v>
      </c>
      <c r="R77" s="849"/>
      <c r="S77" s="849"/>
      <c r="T77" s="849"/>
      <c r="U77" s="1613" t="s">
        <v>5383</v>
      </c>
      <c r="V77" s="849"/>
      <c r="W77" s="849"/>
      <c r="X77" s="849"/>
      <c r="Y77" s="1577" t="s">
        <v>5389</v>
      </c>
      <c r="Z77" s="849"/>
      <c r="AA77" s="849"/>
      <c r="AB77" s="849"/>
      <c r="AC77" s="1583" t="s">
        <v>5403</v>
      </c>
      <c r="AD77" s="849"/>
      <c r="AE77" s="849"/>
      <c r="AF77" s="849"/>
      <c r="AG77" s="1574" t="s">
        <v>5536</v>
      </c>
      <c r="AH77" s="1607" t="s">
        <v>5540</v>
      </c>
      <c r="AI77" s="213"/>
      <c r="AJ77" s="1592" t="s">
        <v>5374</v>
      </c>
      <c r="AK77" s="213"/>
      <c r="AL77" s="213"/>
    </row>
    <row r="78" spans="1:38" ht="9.9499999999999993" customHeight="1" x14ac:dyDescent="0.25">
      <c r="A78" s="1616"/>
      <c r="B78" s="1617"/>
      <c r="C78" s="1575"/>
      <c r="D78" s="1575"/>
      <c r="E78" s="1575"/>
      <c r="F78" s="850"/>
      <c r="G78" s="851"/>
      <c r="H78" s="850"/>
      <c r="I78" s="1587"/>
      <c r="J78" s="850"/>
      <c r="K78" s="851"/>
      <c r="L78" s="850"/>
      <c r="M78" s="1596"/>
      <c r="N78" s="850"/>
      <c r="O78" s="851"/>
      <c r="P78" s="850"/>
      <c r="Q78" s="1590"/>
      <c r="R78" s="850"/>
      <c r="S78" s="851"/>
      <c r="T78" s="850"/>
      <c r="U78" s="1614"/>
      <c r="V78" s="850"/>
      <c r="W78" s="851"/>
      <c r="X78" s="850"/>
      <c r="Y78" s="1578"/>
      <c r="Z78" s="850"/>
      <c r="AA78" s="851"/>
      <c r="AB78" s="850"/>
      <c r="AC78" s="1584"/>
      <c r="AD78" s="850"/>
      <c r="AE78" s="851"/>
      <c r="AF78" s="850"/>
      <c r="AG78" s="1575"/>
      <c r="AH78" s="1608"/>
      <c r="AI78" s="213"/>
      <c r="AJ78" s="1593"/>
      <c r="AK78" s="213"/>
      <c r="AL78" s="213"/>
    </row>
    <row r="79" spans="1:38" ht="9.9499999999999993" customHeight="1" x14ac:dyDescent="0.25">
      <c r="A79" s="1616"/>
      <c r="B79" s="1617"/>
      <c r="C79" s="1576"/>
      <c r="D79" s="1576"/>
      <c r="E79" s="1576"/>
      <c r="F79" s="849"/>
      <c r="G79" s="849"/>
      <c r="H79" s="849"/>
      <c r="I79" s="1588"/>
      <c r="J79" s="849"/>
      <c r="K79" s="849"/>
      <c r="L79" s="849"/>
      <c r="M79" s="1597"/>
      <c r="N79" s="849"/>
      <c r="O79" s="849"/>
      <c r="P79" s="849"/>
      <c r="Q79" s="1591"/>
      <c r="R79" s="849"/>
      <c r="S79" s="849"/>
      <c r="T79" s="849"/>
      <c r="U79" s="1615"/>
      <c r="V79" s="849"/>
      <c r="W79" s="849"/>
      <c r="X79" s="849"/>
      <c r="Y79" s="1579"/>
      <c r="Z79" s="849"/>
      <c r="AA79" s="849"/>
      <c r="AB79" s="849"/>
      <c r="AC79" s="1585"/>
      <c r="AD79" s="849"/>
      <c r="AE79" s="849"/>
      <c r="AF79" s="849"/>
      <c r="AG79" s="1576"/>
      <c r="AH79" s="1609"/>
      <c r="AI79" s="213"/>
      <c r="AJ79" s="1594"/>
      <c r="AK79" s="213"/>
      <c r="AL79" s="213"/>
    </row>
    <row r="80" spans="1:38" ht="9.9499999999999993" customHeight="1" x14ac:dyDescent="0.25">
      <c r="A80" s="270"/>
      <c r="B80" s="270"/>
      <c r="C80" s="270"/>
      <c r="D80" s="270"/>
      <c r="E80" s="270"/>
      <c r="F80" s="270"/>
      <c r="G80" s="270"/>
      <c r="H80" s="270"/>
      <c r="I80" s="270"/>
      <c r="J80" s="270"/>
      <c r="K80" s="270"/>
      <c r="L80" s="270"/>
      <c r="M80" s="270"/>
      <c r="N80" s="270"/>
      <c r="O80" s="850"/>
      <c r="P80" s="850"/>
      <c r="Q80" s="876"/>
      <c r="R80" s="850"/>
      <c r="S80" s="850"/>
      <c r="T80" s="850"/>
      <c r="U80" s="876"/>
      <c r="V80" s="850"/>
      <c r="W80" s="850"/>
      <c r="X80" s="850"/>
      <c r="Y80" s="876"/>
      <c r="Z80" s="850"/>
      <c r="AA80" s="850"/>
      <c r="AB80" s="850"/>
      <c r="AC80" s="876"/>
      <c r="AD80" s="850"/>
      <c r="AE80" s="850"/>
      <c r="AF80" s="850"/>
      <c r="AG80" s="876"/>
      <c r="AH80" s="876"/>
      <c r="AI80" s="213"/>
      <c r="AJ80" s="213"/>
      <c r="AK80" s="213"/>
      <c r="AL80" s="213"/>
    </row>
    <row r="81" spans="1:38" ht="9.9499999999999993" customHeight="1" x14ac:dyDescent="0.25">
      <c r="A81" s="1616">
        <v>19</v>
      </c>
      <c r="B81" s="1617">
        <v>4</v>
      </c>
      <c r="C81" s="1574" t="s">
        <v>5465</v>
      </c>
      <c r="D81" s="1574" t="s">
        <v>5459</v>
      </c>
      <c r="E81" s="1574" t="s">
        <v>153</v>
      </c>
      <c r="F81" s="849"/>
      <c r="G81" s="849"/>
      <c r="H81" s="849"/>
      <c r="I81" s="1610" t="s">
        <v>5346</v>
      </c>
      <c r="J81" s="849"/>
      <c r="K81" s="849"/>
      <c r="L81" s="849"/>
      <c r="M81" s="1598" t="s">
        <v>4926</v>
      </c>
      <c r="N81" s="849"/>
      <c r="O81" s="849"/>
      <c r="P81" s="849"/>
      <c r="Q81" s="1592" t="s">
        <v>5374</v>
      </c>
      <c r="R81" s="849"/>
      <c r="S81" s="849"/>
      <c r="T81" s="849"/>
      <c r="U81" s="1586" t="s">
        <v>5380</v>
      </c>
      <c r="V81" s="849"/>
      <c r="W81" s="849"/>
      <c r="X81" s="849"/>
      <c r="Y81" s="1577" t="s">
        <v>5389</v>
      </c>
      <c r="Z81" s="849"/>
      <c r="AA81" s="849"/>
      <c r="AB81" s="849"/>
      <c r="AC81" s="1583" t="s">
        <v>5403</v>
      </c>
      <c r="AD81" s="849"/>
      <c r="AE81" s="849"/>
      <c r="AF81" s="849"/>
      <c r="AG81" s="1574" t="s">
        <v>5536</v>
      </c>
      <c r="AH81" s="1607" t="s">
        <v>5541</v>
      </c>
      <c r="AI81" s="213"/>
      <c r="AJ81" s="1574" t="s">
        <v>5583</v>
      </c>
      <c r="AK81" s="213"/>
      <c r="AL81" s="213"/>
    </row>
    <row r="82" spans="1:38" ht="9.9499999999999993" customHeight="1" x14ac:dyDescent="0.25">
      <c r="A82" s="1616"/>
      <c r="B82" s="1617"/>
      <c r="C82" s="1575"/>
      <c r="D82" s="1575"/>
      <c r="E82" s="1575"/>
      <c r="F82" s="850"/>
      <c r="G82" s="851"/>
      <c r="H82" s="850"/>
      <c r="I82" s="1611"/>
      <c r="J82" s="850"/>
      <c r="K82" s="851"/>
      <c r="L82" s="850"/>
      <c r="M82" s="1599"/>
      <c r="N82" s="850"/>
      <c r="O82" s="851"/>
      <c r="P82" s="850"/>
      <c r="Q82" s="1593"/>
      <c r="R82" s="850"/>
      <c r="S82" s="851"/>
      <c r="T82" s="850"/>
      <c r="U82" s="1587"/>
      <c r="V82" s="850"/>
      <c r="W82" s="851"/>
      <c r="X82" s="850"/>
      <c r="Y82" s="1578"/>
      <c r="Z82" s="850"/>
      <c r="AA82" s="851"/>
      <c r="AB82" s="850"/>
      <c r="AC82" s="1584"/>
      <c r="AD82" s="850"/>
      <c r="AE82" s="851"/>
      <c r="AF82" s="850"/>
      <c r="AG82" s="1575"/>
      <c r="AH82" s="1608"/>
      <c r="AI82" s="213"/>
      <c r="AJ82" s="1575"/>
      <c r="AK82" s="213"/>
      <c r="AL82" s="213"/>
    </row>
    <row r="83" spans="1:38" ht="9.9499999999999993" customHeight="1" x14ac:dyDescent="0.25">
      <c r="A83" s="1616"/>
      <c r="B83" s="1617"/>
      <c r="C83" s="1576"/>
      <c r="D83" s="1576"/>
      <c r="E83" s="1576"/>
      <c r="F83" s="849"/>
      <c r="G83" s="849"/>
      <c r="H83" s="849"/>
      <c r="I83" s="1612"/>
      <c r="J83" s="849"/>
      <c r="K83" s="849"/>
      <c r="L83" s="849"/>
      <c r="M83" s="1600"/>
      <c r="N83" s="849"/>
      <c r="O83" s="849"/>
      <c r="P83" s="849"/>
      <c r="Q83" s="1594"/>
      <c r="R83" s="849"/>
      <c r="S83" s="849"/>
      <c r="T83" s="849"/>
      <c r="U83" s="1588"/>
      <c r="V83" s="849"/>
      <c r="W83" s="849"/>
      <c r="X83" s="849"/>
      <c r="Y83" s="1579"/>
      <c r="Z83" s="849"/>
      <c r="AA83" s="849"/>
      <c r="AB83" s="849"/>
      <c r="AC83" s="1585"/>
      <c r="AD83" s="849"/>
      <c r="AE83" s="849"/>
      <c r="AF83" s="849"/>
      <c r="AG83" s="1576"/>
      <c r="AH83" s="1609"/>
      <c r="AI83" s="213"/>
      <c r="AJ83" s="1576"/>
      <c r="AK83" s="213"/>
      <c r="AL83" s="213"/>
    </row>
    <row r="84" spans="1:38" ht="9.9499999999999993" customHeight="1" x14ac:dyDescent="0.25">
      <c r="A84" s="270"/>
      <c r="B84" s="270"/>
      <c r="C84" s="270"/>
      <c r="D84" s="270"/>
      <c r="E84" s="270"/>
      <c r="F84" s="270"/>
      <c r="G84" s="270"/>
      <c r="H84" s="270"/>
      <c r="I84" s="270"/>
      <c r="J84" s="270"/>
      <c r="K84" s="270"/>
      <c r="L84" s="270"/>
      <c r="M84" s="270"/>
      <c r="N84" s="270"/>
      <c r="O84" s="850"/>
      <c r="P84" s="850"/>
      <c r="Q84" s="876"/>
      <c r="R84" s="850"/>
      <c r="S84" s="850"/>
      <c r="T84" s="850"/>
      <c r="U84" s="876"/>
      <c r="V84" s="850"/>
      <c r="W84" s="850"/>
      <c r="X84" s="850"/>
      <c r="Y84" s="876"/>
      <c r="Z84" s="850"/>
      <c r="AA84" s="850"/>
      <c r="AB84" s="850"/>
      <c r="AC84" s="876"/>
      <c r="AD84" s="850"/>
      <c r="AE84" s="850"/>
      <c r="AF84" s="850"/>
      <c r="AG84" s="876"/>
      <c r="AH84" s="876"/>
      <c r="AI84" s="213"/>
      <c r="AJ84" s="213"/>
      <c r="AK84" s="213"/>
      <c r="AL84" s="213"/>
    </row>
    <row r="85" spans="1:38" ht="9.9499999999999993" customHeight="1" x14ac:dyDescent="0.25">
      <c r="A85" s="1616">
        <v>20</v>
      </c>
      <c r="B85" s="1617">
        <v>4</v>
      </c>
      <c r="C85" s="1574" t="s">
        <v>5466</v>
      </c>
      <c r="D85" s="1574" t="s">
        <v>5459</v>
      </c>
      <c r="E85" s="1574" t="s">
        <v>153</v>
      </c>
      <c r="F85" s="849"/>
      <c r="G85" s="849"/>
      <c r="H85" s="849"/>
      <c r="I85" s="1586" t="s">
        <v>5355</v>
      </c>
      <c r="J85" s="849"/>
      <c r="K85" s="849"/>
      <c r="L85" s="849"/>
      <c r="M85" s="1595" t="s">
        <v>5542</v>
      </c>
      <c r="N85" s="849"/>
      <c r="O85" s="849"/>
      <c r="P85" s="849"/>
      <c r="Q85" s="1589" t="s">
        <v>5371</v>
      </c>
      <c r="R85" s="849"/>
      <c r="S85" s="849"/>
      <c r="T85" s="849"/>
      <c r="U85" s="1613" t="s">
        <v>5383</v>
      </c>
      <c r="V85" s="849"/>
      <c r="W85" s="849"/>
      <c r="X85" s="849"/>
      <c r="Y85" s="1577" t="s">
        <v>5389</v>
      </c>
      <c r="Z85" s="849"/>
      <c r="AA85" s="849"/>
      <c r="AB85" s="849"/>
      <c r="AC85" s="1586" t="s">
        <v>5472</v>
      </c>
      <c r="AD85" s="849"/>
      <c r="AE85" s="849"/>
      <c r="AF85" s="849"/>
      <c r="AG85" s="1574" t="s">
        <v>5536</v>
      </c>
      <c r="AH85" s="1607" t="s">
        <v>5540</v>
      </c>
      <c r="AI85" s="213"/>
      <c r="AJ85" s="1574" t="s">
        <v>153</v>
      </c>
      <c r="AK85" s="213"/>
      <c r="AL85" s="213"/>
    </row>
    <row r="86" spans="1:38" ht="9.9499999999999993" customHeight="1" x14ac:dyDescent="0.25">
      <c r="A86" s="1616"/>
      <c r="B86" s="1617"/>
      <c r="C86" s="1575"/>
      <c r="D86" s="1575"/>
      <c r="E86" s="1575"/>
      <c r="F86" s="850"/>
      <c r="G86" s="851"/>
      <c r="H86" s="850"/>
      <c r="I86" s="1587"/>
      <c r="J86" s="850"/>
      <c r="K86" s="851"/>
      <c r="L86" s="850"/>
      <c r="M86" s="1596"/>
      <c r="N86" s="850"/>
      <c r="O86" s="851"/>
      <c r="P86" s="850"/>
      <c r="Q86" s="1590"/>
      <c r="R86" s="850"/>
      <c r="S86" s="851"/>
      <c r="T86" s="850"/>
      <c r="U86" s="1614"/>
      <c r="V86" s="850"/>
      <c r="W86" s="851"/>
      <c r="X86" s="850"/>
      <c r="Y86" s="1578"/>
      <c r="Z86" s="850"/>
      <c r="AA86" s="851"/>
      <c r="AB86" s="850"/>
      <c r="AC86" s="1587"/>
      <c r="AD86" s="850"/>
      <c r="AE86" s="851"/>
      <c r="AF86" s="850"/>
      <c r="AG86" s="1575"/>
      <c r="AH86" s="1608"/>
      <c r="AI86" s="213"/>
      <c r="AJ86" s="1575"/>
      <c r="AK86" s="213"/>
      <c r="AL86" s="213"/>
    </row>
    <row r="87" spans="1:38" ht="9.9499999999999993" customHeight="1" x14ac:dyDescent="0.25">
      <c r="A87" s="1616"/>
      <c r="B87" s="1617"/>
      <c r="C87" s="1576"/>
      <c r="D87" s="1576"/>
      <c r="E87" s="1576"/>
      <c r="F87" s="849"/>
      <c r="G87" s="849"/>
      <c r="H87" s="849"/>
      <c r="I87" s="1588"/>
      <c r="J87" s="849"/>
      <c r="K87" s="849"/>
      <c r="L87" s="849"/>
      <c r="M87" s="1597"/>
      <c r="N87" s="849"/>
      <c r="O87" s="849"/>
      <c r="P87" s="849"/>
      <c r="Q87" s="1591"/>
      <c r="R87" s="849"/>
      <c r="S87" s="849"/>
      <c r="T87" s="849"/>
      <c r="U87" s="1615"/>
      <c r="V87" s="849"/>
      <c r="W87" s="849"/>
      <c r="X87" s="849"/>
      <c r="Y87" s="1579"/>
      <c r="Z87" s="849"/>
      <c r="AA87" s="849"/>
      <c r="AB87" s="849"/>
      <c r="AC87" s="1588"/>
      <c r="AD87" s="849"/>
      <c r="AE87" s="849"/>
      <c r="AF87" s="849"/>
      <c r="AG87" s="1576"/>
      <c r="AH87" s="1609"/>
      <c r="AI87" s="213"/>
      <c r="AJ87" s="1576"/>
      <c r="AK87" s="213"/>
      <c r="AL87" s="213"/>
    </row>
    <row r="88" spans="1:38" ht="9.9499999999999993" customHeight="1" x14ac:dyDescent="0.25">
      <c r="A88" s="270"/>
      <c r="B88" s="270"/>
      <c r="C88" s="270"/>
      <c r="D88" s="270"/>
      <c r="E88" s="270"/>
      <c r="F88" s="270"/>
      <c r="G88" s="270"/>
      <c r="H88" s="270"/>
      <c r="I88" s="270"/>
      <c r="J88" s="270"/>
      <c r="K88" s="270"/>
      <c r="L88" s="270"/>
      <c r="M88" s="270"/>
      <c r="N88" s="270"/>
      <c r="O88" s="850"/>
      <c r="P88" s="850"/>
      <c r="Q88" s="876"/>
      <c r="R88" s="850"/>
      <c r="S88" s="850"/>
      <c r="T88" s="850"/>
      <c r="U88" s="876"/>
      <c r="V88" s="850"/>
      <c r="W88" s="850"/>
      <c r="X88" s="850"/>
      <c r="Y88" s="876"/>
      <c r="Z88" s="850"/>
      <c r="AA88" s="850"/>
      <c r="AB88" s="850"/>
      <c r="AC88" s="876"/>
      <c r="AD88" s="850"/>
      <c r="AE88" s="850"/>
      <c r="AF88" s="850"/>
      <c r="AG88" s="876"/>
      <c r="AH88" s="876"/>
      <c r="AI88" s="213"/>
      <c r="AJ88" s="213"/>
      <c r="AK88" s="213"/>
      <c r="AL88" s="213"/>
    </row>
    <row r="89" spans="1:38" x14ac:dyDescent="0.25">
      <c r="A89" s="213"/>
      <c r="B89" s="213"/>
      <c r="C89" s="213"/>
      <c r="D89" s="213"/>
      <c r="E89" s="213"/>
      <c r="F89" s="213"/>
      <c r="G89" s="213"/>
      <c r="H89" s="213"/>
      <c r="I89" s="213"/>
      <c r="J89" s="213"/>
      <c r="K89" s="213"/>
      <c r="L89" s="213"/>
      <c r="M89" s="213"/>
      <c r="N89" s="213"/>
      <c r="O89" s="213"/>
      <c r="P89" s="213"/>
      <c r="Q89" s="213"/>
      <c r="R89" s="213"/>
      <c r="S89" s="213"/>
      <c r="T89" s="213"/>
      <c r="U89" s="213"/>
      <c r="V89" s="213"/>
      <c r="W89" s="213"/>
      <c r="X89" s="213"/>
      <c r="Y89" s="213"/>
      <c r="Z89" s="213"/>
      <c r="AA89" s="213"/>
      <c r="AB89" s="213"/>
      <c r="AC89" s="213"/>
      <c r="AD89" s="213"/>
      <c r="AE89" s="213"/>
      <c r="AF89" s="213"/>
      <c r="AG89" s="213"/>
      <c r="AH89" s="213"/>
      <c r="AI89" s="213"/>
      <c r="AJ89" s="213"/>
      <c r="AK89" s="213"/>
      <c r="AL89" s="213"/>
    </row>
    <row r="90" spans="1:38" ht="30" customHeight="1" x14ac:dyDescent="0.25">
      <c r="A90" s="877" t="s">
        <v>5480</v>
      </c>
      <c r="B90" s="877" t="s">
        <v>5481</v>
      </c>
      <c r="C90" s="877" t="s">
        <v>4880</v>
      </c>
      <c r="D90" s="877" t="s">
        <v>5105</v>
      </c>
      <c r="E90" s="877" t="s">
        <v>5108</v>
      </c>
      <c r="F90" s="877"/>
      <c r="G90" s="877"/>
      <c r="H90" s="877"/>
      <c r="I90" s="877" t="s">
        <v>5543</v>
      </c>
      <c r="J90" s="877"/>
      <c r="K90" s="877"/>
      <c r="L90" s="877"/>
      <c r="M90" s="877" t="s">
        <v>5544</v>
      </c>
      <c r="N90" s="877"/>
      <c r="O90" s="877"/>
      <c r="P90" s="877"/>
      <c r="Q90" s="877" t="s">
        <v>5491</v>
      </c>
      <c r="R90" s="877"/>
      <c r="S90" s="877"/>
      <c r="T90" s="877"/>
      <c r="U90" s="213"/>
      <c r="V90" s="887"/>
      <c r="W90" s="887"/>
      <c r="X90" s="887"/>
      <c r="Y90" s="886" t="s">
        <v>5492</v>
      </c>
      <c r="Z90" s="858"/>
      <c r="AA90" s="858"/>
      <c r="AB90" s="858"/>
      <c r="AC90" s="858" t="s">
        <v>5545</v>
      </c>
      <c r="AD90" s="858"/>
      <c r="AE90" s="858"/>
      <c r="AF90" s="858"/>
      <c r="AG90" s="858" t="s">
        <v>5029</v>
      </c>
      <c r="AH90" s="858" t="s">
        <v>5493</v>
      </c>
      <c r="AI90" s="213"/>
      <c r="AJ90" s="213"/>
      <c r="AK90" s="213"/>
      <c r="AL90" s="213"/>
    </row>
    <row r="91" spans="1:38" ht="50.1" customHeight="1" x14ac:dyDescent="0.25">
      <c r="A91" s="863" t="s">
        <v>5546</v>
      </c>
      <c r="B91" s="197" t="s">
        <v>5346</v>
      </c>
      <c r="C91" s="166" t="s">
        <v>5547</v>
      </c>
      <c r="D91" s="860">
        <v>10</v>
      </c>
      <c r="E91" s="860"/>
      <c r="F91" s="850"/>
      <c r="G91" s="851"/>
      <c r="H91" s="850"/>
      <c r="I91" s="860">
        <f>COUNTIF(I9:I85,"Crudité ou fruit frais")+COUNTIF(U9:U85,"Crudité ou fruit frais")</f>
        <v>10</v>
      </c>
      <c r="J91" s="878"/>
      <c r="K91" s="878"/>
      <c r="L91" s="878"/>
      <c r="M91" s="166" t="str">
        <f>IF(COUNTIF(I9:AC85,"&lt;&gt;")=0,"A SAISIR",IF(AND(D91&lt;&gt;"",I91&lt;D91),"MANQUE",IF(AND(E91&lt;&gt;"",I91&gt;E91),"TROP","OK")))</f>
        <v>OK</v>
      </c>
      <c r="N91" s="850"/>
      <c r="O91" s="851"/>
      <c r="P91" s="850"/>
      <c r="Q91" s="197" t="s">
        <v>5548</v>
      </c>
      <c r="R91" s="850"/>
      <c r="S91" s="851"/>
      <c r="T91" s="850"/>
      <c r="U91" s="197"/>
      <c r="V91" s="850"/>
      <c r="W91" s="851"/>
      <c r="X91" s="850"/>
      <c r="Y91" s="197" t="s">
        <v>5496</v>
      </c>
      <c r="Z91" s="850"/>
      <c r="AA91" s="851"/>
      <c r="AB91" s="850"/>
      <c r="AC91" s="879">
        <f>COUNTIF(M91:M103,"OK")</f>
        <v>12</v>
      </c>
      <c r="AD91" s="850"/>
      <c r="AE91" s="851"/>
      <c r="AF91" s="850"/>
      <c r="AG91" s="197" t="s">
        <v>5549</v>
      </c>
      <c r="AH91" s="197" t="s">
        <v>5550</v>
      </c>
      <c r="AI91" s="213"/>
      <c r="AJ91" s="213"/>
      <c r="AK91" s="213"/>
      <c r="AL91" s="213"/>
    </row>
    <row r="92" spans="1:38" ht="50.1" customHeight="1" x14ac:dyDescent="0.25">
      <c r="A92" s="863" t="s">
        <v>5551</v>
      </c>
      <c r="B92" s="197" t="s">
        <v>5394</v>
      </c>
      <c r="C92" s="166" t="s">
        <v>5547</v>
      </c>
      <c r="D92" s="860">
        <v>8</v>
      </c>
      <c r="E92" s="860"/>
      <c r="F92" s="850"/>
      <c r="G92" s="851"/>
      <c r="H92" s="850"/>
      <c r="I92" s="860">
        <f>COUNTIF(AC9:AC85,"Fruit cru")</f>
        <v>8</v>
      </c>
      <c r="J92" s="878"/>
      <c r="K92" s="878"/>
      <c r="L92" s="878"/>
      <c r="M92" s="166" t="str">
        <f>IF(COUNTIF(I9:AC85,"&lt;&gt;")=0,"A SAISIR",IF(AND(D92&lt;&gt;"",I92&lt;D92),"MANQUE",IF(AND(E92&lt;&gt;"",I92&gt;E92),"TROP","OK")))</f>
        <v>OK</v>
      </c>
      <c r="N92" s="850"/>
      <c r="O92" s="851"/>
      <c r="P92" s="850"/>
      <c r="Q92" s="197" t="s">
        <v>5552</v>
      </c>
      <c r="R92" s="850"/>
      <c r="S92" s="851"/>
      <c r="T92" s="850"/>
      <c r="U92" s="197"/>
      <c r="V92" s="850"/>
      <c r="W92" s="851"/>
      <c r="X92" s="850"/>
      <c r="Y92" s="197" t="s">
        <v>5500</v>
      </c>
      <c r="Z92" s="850"/>
      <c r="AA92" s="851"/>
      <c r="AB92" s="850"/>
      <c r="AC92" s="879">
        <f>COUNTIF(M91:M103,"MANQUE")</f>
        <v>0</v>
      </c>
      <c r="AD92" s="850"/>
      <c r="AE92" s="851"/>
      <c r="AF92" s="850"/>
      <c r="AG92" s="197" t="s">
        <v>5553</v>
      </c>
      <c r="AH92" s="197" t="s">
        <v>5554</v>
      </c>
      <c r="AI92" s="213"/>
      <c r="AJ92" s="213"/>
      <c r="AK92" s="213"/>
      <c r="AL92" s="213"/>
    </row>
    <row r="93" spans="1:38" ht="50.1" customHeight="1" x14ac:dyDescent="0.25">
      <c r="A93" s="864" t="s">
        <v>5555</v>
      </c>
      <c r="B93" s="197" t="s">
        <v>5380</v>
      </c>
      <c r="C93" s="166" t="s">
        <v>5556</v>
      </c>
      <c r="D93" s="860">
        <v>10</v>
      </c>
      <c r="E93" s="860">
        <v>10</v>
      </c>
      <c r="F93" s="850"/>
      <c r="G93" s="851"/>
      <c r="H93" s="850"/>
      <c r="I93" s="860">
        <f>COUNTIF(U9:U85,"Légume cuit")</f>
        <v>10</v>
      </c>
      <c r="J93" s="878"/>
      <c r="K93" s="878"/>
      <c r="L93" s="878"/>
      <c r="M93" s="166" t="str">
        <f>IF(COUNTIF(I9:AC85,"&lt;&gt;")=0,"A SAISIR",IF(AND(D93&lt;&gt;"",I93&lt;D93),"MANQUE",IF(AND(E93&lt;&gt;"",I93&gt;E93),"TROP","OK")))</f>
        <v>OK</v>
      </c>
      <c r="N93" s="850"/>
      <c r="O93" s="851"/>
      <c r="P93" s="850"/>
      <c r="Q93" s="197" t="s">
        <v>5557</v>
      </c>
      <c r="R93" s="850"/>
      <c r="S93" s="851"/>
      <c r="T93" s="850"/>
      <c r="U93" s="197"/>
      <c r="V93" s="850"/>
      <c r="W93" s="851"/>
      <c r="X93" s="850"/>
      <c r="Y93" s="197" t="s">
        <v>5504</v>
      </c>
      <c r="Z93" s="850"/>
      <c r="AA93" s="851"/>
      <c r="AB93" s="850"/>
      <c r="AC93" s="879">
        <f>COUNTIF(M91:M103,"TROP")</f>
        <v>1</v>
      </c>
      <c r="AD93" s="850"/>
      <c r="AE93" s="851"/>
      <c r="AF93" s="850"/>
      <c r="AG93" s="197" t="s">
        <v>5558</v>
      </c>
      <c r="AH93" s="197" t="s">
        <v>5559</v>
      </c>
      <c r="AI93" s="213"/>
      <c r="AJ93" s="213"/>
      <c r="AK93" s="213"/>
      <c r="AL93" s="213"/>
    </row>
    <row r="94" spans="1:38" ht="50.1" customHeight="1" x14ac:dyDescent="0.25">
      <c r="A94" s="869" t="s">
        <v>5560</v>
      </c>
      <c r="B94" s="197" t="s">
        <v>5383</v>
      </c>
      <c r="C94" s="166" t="s">
        <v>5556</v>
      </c>
      <c r="D94" s="860">
        <v>10</v>
      </c>
      <c r="E94" s="860">
        <v>10</v>
      </c>
      <c r="F94" s="850"/>
      <c r="G94" s="851"/>
      <c r="H94" s="850"/>
      <c r="I94" s="860">
        <f>COUNTIF(U9:U85,"Féculent/légume sec/céréale")</f>
        <v>10</v>
      </c>
      <c r="J94" s="878"/>
      <c r="K94" s="878"/>
      <c r="L94" s="878"/>
      <c r="M94" s="166" t="str">
        <f>IF(COUNTIF(I9:AC85,"&lt;&gt;")=0,"A SAISIR",IF(AND(D94&lt;&gt;"",I94&lt;D94),"MANQUE",IF(AND(E94&lt;&gt;"",I94&gt;E94),"TROP","OK")))</f>
        <v>OK</v>
      </c>
      <c r="N94" s="850"/>
      <c r="O94" s="851"/>
      <c r="P94" s="850"/>
      <c r="Q94" s="197" t="s">
        <v>5561</v>
      </c>
      <c r="R94" s="850"/>
      <c r="S94" s="851"/>
      <c r="T94" s="850"/>
      <c r="U94" s="197"/>
      <c r="V94" s="850"/>
      <c r="W94" s="851"/>
      <c r="X94" s="850"/>
      <c r="Y94" s="197" t="s">
        <v>5562</v>
      </c>
      <c r="Z94" s="850"/>
      <c r="AA94" s="851"/>
      <c r="AB94" s="850"/>
      <c r="AC94" s="879">
        <f>COUNTIF(M91:M103,"A SAISIR")</f>
        <v>0</v>
      </c>
      <c r="AD94" s="850"/>
      <c r="AE94" s="851"/>
      <c r="AF94" s="850"/>
      <c r="AG94" s="197" t="s">
        <v>5563</v>
      </c>
      <c r="AH94" s="197" t="s">
        <v>5564</v>
      </c>
      <c r="AI94" s="213"/>
      <c r="AJ94" s="213"/>
      <c r="AK94" s="213"/>
      <c r="AL94" s="213"/>
    </row>
    <row r="95" spans="1:38" ht="50.1" customHeight="1" x14ac:dyDescent="0.25">
      <c r="A95" s="870" t="s">
        <v>5523</v>
      </c>
      <c r="B95" s="197" t="s">
        <v>5386</v>
      </c>
      <c r="C95" s="166" t="s">
        <v>5547</v>
      </c>
      <c r="D95" s="860">
        <v>8</v>
      </c>
      <c r="E95" s="860"/>
      <c r="F95" s="850"/>
      <c r="G95" s="851"/>
      <c r="H95" s="850"/>
      <c r="I95" s="860">
        <f>COUNTIF(Y9:Y85,"Fromage Ca &gt;=150 mg")</f>
        <v>8</v>
      </c>
      <c r="J95" s="878"/>
      <c r="K95" s="878"/>
      <c r="L95" s="878"/>
      <c r="M95" s="166" t="str">
        <f>IF(COUNTIF(I9:AC85,"&lt;&gt;")=0,"A SAISIR",IF(AND(D95&lt;&gt;"",I95&lt;D95),"MANQUE",IF(AND(E95&lt;&gt;"",I95&gt;E95),"TROP","OK")))</f>
        <v>OK</v>
      </c>
      <c r="N95" s="850"/>
      <c r="O95" s="851"/>
      <c r="P95" s="850"/>
      <c r="Q95" s="197" t="s">
        <v>5565</v>
      </c>
      <c r="R95" s="850"/>
      <c r="S95" s="851"/>
      <c r="T95" s="850"/>
      <c r="U95" s="197"/>
      <c r="V95" s="213"/>
      <c r="W95" s="213"/>
      <c r="X95" s="213"/>
      <c r="Y95" s="213"/>
      <c r="Z95" s="213"/>
      <c r="AA95" s="213"/>
      <c r="AB95" s="213"/>
      <c r="AC95" s="213"/>
      <c r="AD95" s="213"/>
      <c r="AE95" s="213"/>
      <c r="AF95" s="213"/>
      <c r="AG95" s="213"/>
      <c r="AH95" s="213"/>
      <c r="AI95" s="213"/>
      <c r="AJ95" s="213"/>
      <c r="AK95" s="213"/>
      <c r="AL95" s="213"/>
    </row>
    <row r="96" spans="1:38" ht="50.1" customHeight="1" x14ac:dyDescent="0.25">
      <c r="A96" s="871" t="s">
        <v>5525</v>
      </c>
      <c r="B96" s="197" t="s">
        <v>5389</v>
      </c>
      <c r="C96" s="166" t="s">
        <v>5547</v>
      </c>
      <c r="D96" s="860">
        <v>4</v>
      </c>
      <c r="E96" s="860"/>
      <c r="F96" s="850"/>
      <c r="G96" s="851"/>
      <c r="H96" s="850"/>
      <c r="I96" s="860">
        <f>COUNTIF(Y9:Y85,"Fromage Ca 100-150 mg")</f>
        <v>12</v>
      </c>
      <c r="J96" s="878"/>
      <c r="K96" s="878"/>
      <c r="L96" s="878"/>
      <c r="M96" s="166" t="str">
        <f>IF(COUNTIF(I9:AC85,"&lt;&gt;")=0,"A SAISIR",IF(AND(D96&lt;&gt;"",I96&lt;D96),"MANQUE",IF(AND(E96&lt;&gt;"",I96&gt;E96),"TROP","OK")))</f>
        <v>OK</v>
      </c>
      <c r="N96" s="850"/>
      <c r="O96" s="851"/>
      <c r="P96" s="850"/>
      <c r="Q96" s="197" t="s">
        <v>5566</v>
      </c>
      <c r="R96" s="850"/>
      <c r="S96" s="851"/>
      <c r="T96" s="850"/>
      <c r="U96" s="197"/>
      <c r="V96" s="213"/>
      <c r="W96" s="213"/>
      <c r="X96" s="213"/>
      <c r="Y96" s="213"/>
      <c r="Z96" s="213"/>
      <c r="AA96" s="213"/>
      <c r="AB96" s="213"/>
      <c r="AC96" s="213"/>
      <c r="AD96" s="213"/>
      <c r="AE96" s="213"/>
      <c r="AF96" s="213"/>
      <c r="AG96" s="213"/>
      <c r="AH96" s="213"/>
      <c r="AI96" s="213"/>
      <c r="AJ96" s="213"/>
      <c r="AK96" s="213"/>
      <c r="AL96" s="213"/>
    </row>
    <row r="97" spans="1:38" ht="50.1" customHeight="1" x14ac:dyDescent="0.25">
      <c r="A97" s="872" t="s">
        <v>5567</v>
      </c>
      <c r="B97" s="197" t="s">
        <v>5391</v>
      </c>
      <c r="C97" s="166" t="s">
        <v>5547</v>
      </c>
      <c r="D97" s="860">
        <v>6</v>
      </c>
      <c r="E97" s="860"/>
      <c r="F97" s="850"/>
      <c r="G97" s="851"/>
      <c r="H97" s="850"/>
      <c r="I97" s="860">
        <f>COUNTIF(Y9:Y85,"Laitage Ca &gt;100mg MG&lt;5g")+COUNTIF(AC9:AC85,"Dessert lacté Ca &gt;100mg MG&lt;5g")</f>
        <v>6</v>
      </c>
      <c r="J97" s="878"/>
      <c r="K97" s="878"/>
      <c r="L97" s="878"/>
      <c r="M97" s="166" t="str">
        <f>IF(COUNTIF(I9:AC85,"&lt;&gt;")=0,"A SAISIR",IF(AND(D97&lt;&gt;"",I97&lt;D97),"MANQUE",IF(AND(E97&lt;&gt;"",I97&gt;E97),"TROP","OK")))</f>
        <v>OK</v>
      </c>
      <c r="N97" s="850"/>
      <c r="O97" s="851"/>
      <c r="P97" s="850"/>
      <c r="Q97" s="197" t="s">
        <v>5568</v>
      </c>
      <c r="R97" s="850"/>
      <c r="S97" s="851"/>
      <c r="T97" s="850"/>
      <c r="U97" s="197"/>
      <c r="V97" s="213"/>
      <c r="W97" s="213"/>
      <c r="X97" s="213"/>
      <c r="Y97" s="213"/>
      <c r="Z97" s="213"/>
      <c r="AA97" s="213"/>
      <c r="AB97" s="213"/>
      <c r="AC97" s="213"/>
      <c r="AD97" s="213"/>
      <c r="AE97" s="213"/>
      <c r="AF97" s="213"/>
      <c r="AG97" s="213"/>
      <c r="AH97" s="213"/>
      <c r="AI97" s="213"/>
      <c r="AJ97" s="213"/>
      <c r="AK97" s="213"/>
      <c r="AL97" s="213"/>
    </row>
    <row r="98" spans="1:38" ht="50.1" customHeight="1" x14ac:dyDescent="0.25">
      <c r="A98" s="880" t="s">
        <v>5569</v>
      </c>
      <c r="B98" s="197" t="s">
        <v>5359</v>
      </c>
      <c r="C98" s="166" t="s">
        <v>5547</v>
      </c>
      <c r="D98" s="860">
        <v>4</v>
      </c>
      <c r="E98" s="860"/>
      <c r="F98" s="850"/>
      <c r="G98" s="851"/>
      <c r="H98" s="850"/>
      <c r="I98" s="860">
        <f>COUNTIF(M9:M85,"Viande non hachée BVA/abats")</f>
        <v>4</v>
      </c>
      <c r="J98" s="878"/>
      <c r="K98" s="878"/>
      <c r="L98" s="878"/>
      <c r="M98" s="166" t="str">
        <f>IF(COUNTIF(I9:AC85,"&lt;&gt;")=0,"A SAISIR",IF(AND(D98&lt;&gt;"",I98&lt;D98),"MANQUE",IF(AND(E98&lt;&gt;"",I98&gt;E98),"TROP","OK")))</f>
        <v>OK</v>
      </c>
      <c r="N98" s="850"/>
      <c r="O98" s="851"/>
      <c r="P98" s="850"/>
      <c r="Q98" s="197" t="s">
        <v>5570</v>
      </c>
      <c r="R98" s="850"/>
      <c r="S98" s="851"/>
      <c r="T98" s="850"/>
      <c r="U98" s="197"/>
      <c r="V98" s="213"/>
      <c r="W98" s="213"/>
      <c r="X98" s="213"/>
      <c r="Y98" s="213"/>
      <c r="Z98" s="213"/>
      <c r="AA98" s="213"/>
      <c r="AB98" s="213"/>
      <c r="AC98" s="213"/>
      <c r="AD98" s="213"/>
      <c r="AE98" s="213"/>
      <c r="AF98" s="213"/>
      <c r="AG98" s="213"/>
      <c r="AH98" s="213"/>
      <c r="AI98" s="213"/>
      <c r="AJ98" s="213"/>
      <c r="AK98" s="213"/>
      <c r="AL98" s="213"/>
    </row>
    <row r="99" spans="1:38" ht="50.1" customHeight="1" x14ac:dyDescent="0.25">
      <c r="A99" s="881" t="s">
        <v>5571</v>
      </c>
      <c r="B99" s="197" t="s">
        <v>5363</v>
      </c>
      <c r="C99" s="166" t="s">
        <v>5547</v>
      </c>
      <c r="D99" s="860">
        <v>4</v>
      </c>
      <c r="E99" s="860"/>
      <c r="F99" s="850"/>
      <c r="G99" s="851"/>
      <c r="H99" s="850"/>
      <c r="I99" s="860">
        <f>COUNTIF(M9:M85,"Poisson")</f>
        <v>4</v>
      </c>
      <c r="J99" s="878"/>
      <c r="K99" s="878"/>
      <c r="L99" s="878"/>
      <c r="M99" s="166" t="str">
        <f>IF(COUNTIF(I9:AC85,"&lt;&gt;")=0,"A SAISIR",IF(AND(D99&lt;&gt;"",I99&lt;D99),"MANQUE",IF(AND(E99&lt;&gt;"",I99&gt;E99),"TROP","OK")))</f>
        <v>OK</v>
      </c>
      <c r="N99" s="850"/>
      <c r="O99" s="851"/>
      <c r="P99" s="850"/>
      <c r="Q99" s="197" t="s">
        <v>5572</v>
      </c>
      <c r="R99" s="850"/>
      <c r="S99" s="851"/>
      <c r="T99" s="850"/>
      <c r="U99" s="197"/>
      <c r="V99" s="213"/>
      <c r="W99" s="213"/>
      <c r="X99" s="213"/>
      <c r="Y99" s="213"/>
      <c r="Z99" s="213"/>
      <c r="AA99" s="213"/>
      <c r="AB99" s="213"/>
      <c r="AC99" s="213"/>
      <c r="AD99" s="213"/>
      <c r="AE99" s="213"/>
      <c r="AF99" s="213"/>
      <c r="AG99" s="213"/>
      <c r="AH99" s="213"/>
      <c r="AI99" s="213"/>
      <c r="AJ99" s="213"/>
      <c r="AK99" s="213"/>
      <c r="AL99" s="213"/>
    </row>
    <row r="100" spans="1:38" ht="50.1" customHeight="1" x14ac:dyDescent="0.25">
      <c r="A100" s="882" t="s">
        <v>5573</v>
      </c>
      <c r="B100" s="197" t="s">
        <v>5374</v>
      </c>
      <c r="C100" s="166" t="s">
        <v>5574</v>
      </c>
      <c r="D100" s="860"/>
      <c r="E100" s="860">
        <v>3</v>
      </c>
      <c r="F100" s="850"/>
      <c r="G100" s="851"/>
      <c r="H100" s="850"/>
      <c r="I100" s="860">
        <f>COUNTIF(Q9:Q85,"VPO &lt;70%")</f>
        <v>3</v>
      </c>
      <c r="J100" s="878"/>
      <c r="K100" s="878"/>
      <c r="L100" s="878"/>
      <c r="M100" s="166" t="str">
        <f>IF(COUNTIF(I9:AC85,"&lt;&gt;")=0,"A SAISIR",IF(AND(D100&lt;&gt;"",I100&lt;D100),"MANQUE",IF(AND(E100&lt;&gt;"",I100&gt;E100),"TROP","OK")))</f>
        <v>OK</v>
      </c>
      <c r="N100" s="850"/>
      <c r="O100" s="851"/>
      <c r="P100" s="850"/>
      <c r="Q100" s="197" t="s">
        <v>5575</v>
      </c>
      <c r="R100" s="850"/>
      <c r="S100" s="851"/>
      <c r="T100" s="850"/>
      <c r="U100" s="197"/>
      <c r="V100" s="213"/>
      <c r="W100" s="213"/>
      <c r="X100" s="213"/>
      <c r="Y100" s="213"/>
      <c r="Z100" s="213"/>
      <c r="AA100" s="213"/>
      <c r="AB100" s="213"/>
      <c r="AC100" s="213"/>
      <c r="AD100" s="213"/>
      <c r="AE100" s="213"/>
      <c r="AF100" s="213"/>
      <c r="AG100" s="213"/>
      <c r="AH100" s="213"/>
      <c r="AI100" s="213"/>
      <c r="AJ100" s="213"/>
      <c r="AK100" s="213"/>
      <c r="AL100" s="213"/>
    </row>
    <row r="101" spans="1:38" ht="50.1" customHeight="1" x14ac:dyDescent="0.25">
      <c r="A101" s="883" t="s">
        <v>5576</v>
      </c>
      <c r="B101" s="197" t="s">
        <v>5371</v>
      </c>
      <c r="C101" s="166" t="s">
        <v>5574</v>
      </c>
      <c r="D101" s="860"/>
      <c r="E101" s="860">
        <v>4</v>
      </c>
      <c r="F101" s="850"/>
      <c r="G101" s="851"/>
      <c r="H101" s="850"/>
      <c r="I101" s="860">
        <f>COUNTIF(Q9:Q85,"Frit/préfrit &gt;15% lipides")</f>
        <v>4</v>
      </c>
      <c r="J101" s="878"/>
      <c r="K101" s="878"/>
      <c r="L101" s="878"/>
      <c r="M101" s="166" t="str">
        <f>IF(COUNTIF(I9:AC85,"&lt;&gt;")=0,"A SAISIR",IF(AND(D101&lt;&gt;"",I101&lt;D101),"MANQUE",IF(AND(E101&lt;&gt;"",I101&gt;E101),"TROP","OK")))</f>
        <v>OK</v>
      </c>
      <c r="N101" s="850"/>
      <c r="O101" s="851"/>
      <c r="P101" s="850"/>
      <c r="Q101" s="197" t="s">
        <v>5577</v>
      </c>
      <c r="R101" s="850"/>
      <c r="S101" s="851"/>
      <c r="T101" s="850"/>
      <c r="U101" s="197"/>
      <c r="V101" s="213"/>
      <c r="W101" s="213"/>
      <c r="X101" s="213"/>
      <c r="Y101" s="213"/>
      <c r="Z101" s="213"/>
      <c r="AA101" s="213"/>
      <c r="AB101" s="213"/>
      <c r="AC101" s="213"/>
      <c r="AD101" s="213"/>
      <c r="AE101" s="213"/>
      <c r="AF101" s="213"/>
      <c r="AG101" s="213"/>
      <c r="AH101" s="213"/>
      <c r="AI101" s="213"/>
      <c r="AJ101" s="213"/>
      <c r="AK101" s="213"/>
      <c r="AL101" s="213"/>
    </row>
    <row r="102" spans="1:38" ht="50.1" customHeight="1" x14ac:dyDescent="0.25">
      <c r="A102" s="884" t="s">
        <v>5578</v>
      </c>
      <c r="B102" s="197" t="s">
        <v>5400</v>
      </c>
      <c r="C102" s="166" t="s">
        <v>5574</v>
      </c>
      <c r="D102" s="860"/>
      <c r="E102" s="860">
        <v>3</v>
      </c>
      <c r="F102" s="850"/>
      <c r="G102" s="851"/>
      <c r="H102" s="850"/>
      <c r="I102" s="860">
        <f>COUNTIF(AC9:AC85,"Dessert gras &gt;15% lipides")</f>
        <v>0</v>
      </c>
      <c r="J102" s="878"/>
      <c r="K102" s="878"/>
      <c r="L102" s="878"/>
      <c r="M102" s="166" t="str">
        <f>IF(COUNTIF(I9:AC85,"&lt;&gt;")=0,"A SAISIR",IF(AND(D102&lt;&gt;"",I102&lt;D102),"MANQUE",IF(AND(E102&lt;&gt;"",I102&gt;E102),"TROP","OK")))</f>
        <v>OK</v>
      </c>
      <c r="N102" s="850"/>
      <c r="O102" s="851"/>
      <c r="P102" s="850"/>
      <c r="Q102" s="197" t="s">
        <v>5579</v>
      </c>
      <c r="R102" s="850"/>
      <c r="S102" s="851"/>
      <c r="T102" s="850"/>
      <c r="U102" s="197"/>
      <c r="V102" s="213"/>
      <c r="W102" s="213"/>
      <c r="X102" s="213"/>
      <c r="Y102" s="213"/>
      <c r="Z102" s="213"/>
      <c r="AA102" s="213"/>
      <c r="AB102" s="213"/>
      <c r="AC102" s="213"/>
      <c r="AD102" s="213"/>
      <c r="AE102" s="213"/>
      <c r="AF102" s="213"/>
      <c r="AG102" s="213"/>
      <c r="AH102" s="213"/>
      <c r="AI102" s="213"/>
      <c r="AJ102" s="213"/>
      <c r="AK102" s="213"/>
      <c r="AL102" s="213"/>
    </row>
    <row r="103" spans="1:38" ht="50.1" customHeight="1" x14ac:dyDescent="0.25">
      <c r="A103" s="885" t="s">
        <v>5580</v>
      </c>
      <c r="B103" s="197" t="s">
        <v>5403</v>
      </c>
      <c r="C103" s="166" t="s">
        <v>5574</v>
      </c>
      <c r="D103" s="860"/>
      <c r="E103" s="860">
        <v>4</v>
      </c>
      <c r="F103" s="850"/>
      <c r="G103" s="851"/>
      <c r="H103" s="850"/>
      <c r="I103" s="860">
        <f>COUNTIF(AC9:AC85,"Dessert sucré &lt;15% lipides")</f>
        <v>5</v>
      </c>
      <c r="J103" s="878"/>
      <c r="K103" s="878"/>
      <c r="L103" s="878"/>
      <c r="M103" s="166" t="str">
        <f>IF(COUNTIF(I9:AC85,"&lt;&gt;")=0,"A SAISIR",IF(AND(D103&lt;&gt;"",I103&lt;D103),"MANQUE",IF(AND(E103&lt;&gt;"",I103&gt;E103),"TROP","OK")))</f>
        <v>TROP</v>
      </c>
      <c r="N103" s="850"/>
      <c r="O103" s="851"/>
      <c r="P103" s="850"/>
      <c r="Q103" s="197" t="s">
        <v>5581</v>
      </c>
      <c r="R103" s="850"/>
      <c r="S103" s="851"/>
      <c r="T103" s="850"/>
      <c r="U103" s="197"/>
      <c r="V103" s="213"/>
      <c r="W103" s="213"/>
      <c r="X103" s="213"/>
      <c r="Y103" s="213"/>
      <c r="Z103" s="213"/>
      <c r="AA103" s="213"/>
      <c r="AB103" s="213"/>
      <c r="AC103" s="213"/>
      <c r="AD103" s="213"/>
      <c r="AE103" s="213"/>
      <c r="AF103" s="213"/>
      <c r="AG103" s="213"/>
      <c r="AH103" s="213"/>
      <c r="AI103" s="213"/>
      <c r="AJ103" s="213"/>
      <c r="AK103" s="213"/>
      <c r="AL103" s="213"/>
    </row>
    <row r="104" spans="1:38" x14ac:dyDescent="0.25">
      <c r="A104" s="213"/>
      <c r="B104" s="213"/>
      <c r="C104" s="213"/>
      <c r="D104" s="213"/>
      <c r="E104" s="213"/>
      <c r="F104" s="213"/>
      <c r="G104" s="213"/>
      <c r="H104" s="213"/>
      <c r="I104" s="213"/>
      <c r="J104" s="213"/>
      <c r="K104" s="213"/>
      <c r="L104" s="213"/>
      <c r="M104" s="213"/>
      <c r="N104" s="213"/>
      <c r="O104" s="213"/>
      <c r="P104" s="213"/>
      <c r="Q104" s="213"/>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row>
    <row r="105" spans="1:38" x14ac:dyDescent="0.25">
      <c r="A105" s="213"/>
      <c r="B105" s="213"/>
      <c r="C105" s="213"/>
      <c r="D105" s="213"/>
      <c r="E105" s="213"/>
      <c r="F105" s="213"/>
      <c r="G105" s="213"/>
      <c r="H105" s="213"/>
      <c r="I105" s="213"/>
      <c r="J105" s="213"/>
      <c r="K105" s="213"/>
      <c r="L105" s="213"/>
      <c r="M105" s="213"/>
      <c r="N105" s="213"/>
      <c r="O105" s="213"/>
      <c r="P105" s="213"/>
      <c r="Q105" s="213"/>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row>
    <row r="106" spans="1:38" x14ac:dyDescent="0.25">
      <c r="A106" s="213"/>
      <c r="B106" s="213"/>
      <c r="C106" s="213"/>
      <c r="D106" s="213"/>
      <c r="E106" s="213"/>
      <c r="F106" s="213"/>
      <c r="G106" s="213"/>
      <c r="H106" s="213"/>
      <c r="I106" s="213"/>
      <c r="J106" s="213"/>
      <c r="K106" s="213"/>
      <c r="L106" s="213"/>
      <c r="M106" s="213"/>
      <c r="N106" s="213"/>
      <c r="O106" s="213"/>
      <c r="P106" s="213"/>
      <c r="Q106" s="213"/>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row>
    <row r="107" spans="1:38" x14ac:dyDescent="0.25">
      <c r="A107" s="213"/>
      <c r="B107" s="213"/>
      <c r="C107" s="213"/>
      <c r="D107" s="213"/>
      <c r="E107" s="213"/>
      <c r="F107" s="213"/>
      <c r="G107" s="213"/>
      <c r="H107" s="213"/>
      <c r="I107" s="213"/>
      <c r="J107" s="213"/>
      <c r="K107" s="213"/>
      <c r="L107" s="213"/>
      <c r="M107" s="213"/>
      <c r="N107" s="213"/>
      <c r="O107" s="213"/>
      <c r="P107" s="213"/>
      <c r="Q107" s="213"/>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row>
    <row r="108" spans="1:38" x14ac:dyDescent="0.25">
      <c r="A108" s="213"/>
      <c r="B108" s="213"/>
      <c r="C108" s="213"/>
      <c r="D108" s="213"/>
      <c r="E108" s="213"/>
      <c r="F108" s="213"/>
      <c r="G108" s="213"/>
      <c r="H108" s="213"/>
      <c r="I108" s="213"/>
      <c r="J108" s="213"/>
      <c r="K108" s="213"/>
      <c r="L108" s="213"/>
      <c r="M108" s="213"/>
      <c r="N108" s="213"/>
      <c r="O108" s="213"/>
      <c r="P108" s="213"/>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row>
    <row r="109" spans="1:38" x14ac:dyDescent="0.25">
      <c r="A109" s="213"/>
      <c r="B109" s="213"/>
      <c r="C109" s="213"/>
      <c r="D109" s="213"/>
      <c r="E109" s="213"/>
      <c r="F109" s="213"/>
      <c r="G109" s="213"/>
      <c r="H109" s="213"/>
      <c r="I109" s="213"/>
      <c r="J109" s="213"/>
      <c r="K109" s="213"/>
      <c r="L109" s="213"/>
      <c r="M109" s="213"/>
      <c r="N109" s="213"/>
      <c r="O109" s="213"/>
      <c r="P109" s="213"/>
      <c r="Q109" s="213"/>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row>
    <row r="110" spans="1:38" x14ac:dyDescent="0.25">
      <c r="A110" s="213"/>
      <c r="B110" s="213"/>
      <c r="C110" s="213"/>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row>
    <row r="111" spans="1:38" x14ac:dyDescent="0.25">
      <c r="A111" s="213"/>
      <c r="B111" s="213"/>
      <c r="C111" s="213"/>
      <c r="D111" s="213"/>
      <c r="E111" s="213"/>
      <c r="F111" s="213"/>
      <c r="G111" s="213"/>
      <c r="H111" s="213"/>
      <c r="I111" s="213"/>
      <c r="J111" s="213"/>
      <c r="K111" s="213"/>
      <c r="L111" s="213"/>
      <c r="M111" s="213"/>
      <c r="N111" s="213"/>
      <c r="O111" s="213"/>
      <c r="P111" s="213"/>
      <c r="Q111" s="213"/>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row>
    <row r="112" spans="1:38" x14ac:dyDescent="0.25">
      <c r="A112" s="213"/>
      <c r="B112" s="213"/>
      <c r="C112" s="213"/>
      <c r="D112" s="213"/>
      <c r="E112" s="213"/>
      <c r="F112" s="213"/>
      <c r="G112" s="213"/>
      <c r="H112" s="213"/>
      <c r="I112" s="213"/>
      <c r="J112" s="213"/>
      <c r="K112" s="213"/>
      <c r="L112" s="213"/>
      <c r="M112" s="213"/>
      <c r="N112" s="213"/>
      <c r="O112" s="213"/>
      <c r="P112" s="213"/>
      <c r="Q112" s="213"/>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row>
    <row r="113" spans="1:38" x14ac:dyDescent="0.25">
      <c r="A113" s="213"/>
      <c r="B113" s="213"/>
      <c r="C113" s="213"/>
      <c r="D113" s="213"/>
      <c r="E113" s="213"/>
      <c r="F113" s="213"/>
      <c r="G113" s="213"/>
      <c r="H113" s="213"/>
      <c r="I113" s="213"/>
      <c r="J113" s="213"/>
      <c r="K113" s="213"/>
      <c r="L113" s="213"/>
      <c r="M113" s="213"/>
      <c r="N113" s="213"/>
      <c r="O113" s="213"/>
      <c r="P113" s="213"/>
      <c r="Q113" s="213"/>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row>
    <row r="114" spans="1:38" x14ac:dyDescent="0.25">
      <c r="A114" s="213"/>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row>
    <row r="115" spans="1:38" x14ac:dyDescent="0.25">
      <c r="A115" s="213"/>
      <c r="B115" s="213"/>
      <c r="C115" s="213"/>
      <c r="D115" s="213"/>
      <c r="E115" s="213"/>
      <c r="F115" s="213"/>
      <c r="G115" s="213"/>
      <c r="H115" s="213"/>
      <c r="I115" s="213"/>
      <c r="J115" s="213"/>
      <c r="K115" s="213"/>
      <c r="L115" s="213"/>
      <c r="M115" s="213"/>
      <c r="N115" s="213"/>
      <c r="O115" s="213"/>
      <c r="P115" s="213"/>
      <c r="Q115" s="213"/>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row>
    <row r="116" spans="1:38" x14ac:dyDescent="0.25">
      <c r="A116" s="213"/>
      <c r="B116" s="213"/>
      <c r="C116" s="213"/>
      <c r="D116" s="213"/>
      <c r="E116" s="213"/>
      <c r="F116" s="213"/>
      <c r="G116" s="213"/>
      <c r="H116" s="213"/>
      <c r="I116" s="213"/>
      <c r="J116" s="213"/>
      <c r="K116" s="213"/>
      <c r="L116" s="213"/>
      <c r="M116" s="213"/>
      <c r="N116" s="213"/>
      <c r="O116" s="213"/>
      <c r="P116" s="213"/>
      <c r="Q116" s="213"/>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row>
    <row r="117" spans="1:38" x14ac:dyDescent="0.25">
      <c r="A117" s="213"/>
      <c r="B117" s="213"/>
      <c r="C117" s="213"/>
      <c r="D117" s="213"/>
      <c r="E117" s="213"/>
      <c r="F117" s="213"/>
      <c r="G117" s="213"/>
      <c r="H117" s="213"/>
      <c r="I117" s="213"/>
      <c r="J117" s="213"/>
      <c r="K117" s="213"/>
      <c r="L117" s="213"/>
      <c r="M117" s="213"/>
      <c r="N117" s="213"/>
      <c r="O117" s="213"/>
      <c r="P117" s="213"/>
      <c r="Q117" s="213"/>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row>
    <row r="118" spans="1:38" x14ac:dyDescent="0.25">
      <c r="A118" s="213"/>
      <c r="B118" s="213"/>
      <c r="C118" s="213"/>
      <c r="D118" s="213"/>
      <c r="E118" s="213"/>
      <c r="F118" s="213"/>
      <c r="G118" s="213"/>
      <c r="H118" s="213"/>
      <c r="I118" s="213"/>
      <c r="J118" s="213"/>
      <c r="K118" s="213"/>
      <c r="L118" s="213"/>
      <c r="M118" s="213"/>
      <c r="N118" s="213"/>
      <c r="O118" s="213"/>
      <c r="P118" s="213"/>
      <c r="Q118" s="213"/>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row>
    <row r="119" spans="1:38" x14ac:dyDescent="0.25">
      <c r="A119" s="213"/>
      <c r="B119" s="213"/>
      <c r="C119" s="213"/>
      <c r="D119" s="213"/>
      <c r="E119" s="213"/>
      <c r="F119" s="213"/>
      <c r="G119" s="213"/>
      <c r="H119" s="213"/>
      <c r="I119" s="213"/>
      <c r="J119" s="213"/>
      <c r="K119" s="213"/>
      <c r="L119" s="213"/>
      <c r="M119" s="213"/>
      <c r="N119" s="213"/>
      <c r="O119" s="213"/>
      <c r="P119" s="213"/>
      <c r="Q119" s="213"/>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row>
    <row r="120" spans="1:38" x14ac:dyDescent="0.25">
      <c r="A120" s="213"/>
      <c r="B120" s="213"/>
      <c r="C120" s="213"/>
      <c r="D120" s="213"/>
      <c r="E120" s="213"/>
      <c r="F120" s="213"/>
      <c r="G120" s="213"/>
      <c r="H120" s="213"/>
      <c r="I120" s="213"/>
      <c r="J120" s="213"/>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row>
    <row r="121" spans="1:38" x14ac:dyDescent="0.25">
      <c r="A121" s="213"/>
      <c r="B121" s="213"/>
      <c r="C121" s="213"/>
      <c r="D121" s="213"/>
      <c r="E121" s="213"/>
      <c r="F121" s="213"/>
      <c r="G121" s="213"/>
      <c r="H121" s="213"/>
      <c r="I121" s="213"/>
      <c r="J121" s="213"/>
      <c r="K121" s="213"/>
      <c r="L121" s="213"/>
      <c r="M121" s="213"/>
      <c r="N121" s="213"/>
      <c r="O121" s="213"/>
      <c r="P121" s="213"/>
      <c r="Q121" s="213"/>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row>
    <row r="122" spans="1:38" x14ac:dyDescent="0.25">
      <c r="A122" s="213"/>
      <c r="B122" s="213"/>
      <c r="C122" s="213"/>
      <c r="D122" s="213"/>
      <c r="E122" s="213"/>
      <c r="F122" s="213"/>
      <c r="G122" s="213"/>
      <c r="H122" s="213"/>
      <c r="I122" s="213"/>
      <c r="J122" s="213"/>
      <c r="K122" s="213"/>
      <c r="L122" s="213"/>
      <c r="M122" s="213"/>
      <c r="N122" s="213"/>
      <c r="O122" s="213"/>
      <c r="P122" s="213"/>
      <c r="Q122" s="213"/>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row>
    <row r="123" spans="1:38" x14ac:dyDescent="0.25">
      <c r="A123" s="213"/>
      <c r="B123" s="213"/>
      <c r="C123" s="213"/>
      <c r="D123" s="213"/>
      <c r="E123" s="213"/>
      <c r="F123" s="213"/>
      <c r="G123" s="213"/>
      <c r="H123" s="213"/>
      <c r="I123" s="213"/>
      <c r="J123" s="213"/>
      <c r="K123" s="213"/>
      <c r="L123" s="213"/>
      <c r="M123" s="213"/>
      <c r="N123" s="213"/>
      <c r="O123" s="213"/>
      <c r="P123" s="213"/>
      <c r="Q123" s="213"/>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row>
    <row r="124" spans="1:38" x14ac:dyDescent="0.25">
      <c r="A124" s="213"/>
      <c r="B124" s="213"/>
      <c r="C124" s="213"/>
      <c r="D124" s="213"/>
      <c r="E124" s="213"/>
      <c r="F124" s="213"/>
      <c r="G124" s="213"/>
      <c r="H124" s="213"/>
      <c r="I124" s="213"/>
      <c r="J124" s="213"/>
      <c r="K124" s="213"/>
      <c r="L124" s="213"/>
      <c r="M124" s="213"/>
      <c r="N124" s="213"/>
      <c r="O124" s="213"/>
      <c r="P124" s="213"/>
      <c r="Q124" s="213"/>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row>
    <row r="125" spans="1:38" x14ac:dyDescent="0.25">
      <c r="A125" s="213"/>
      <c r="B125" s="213"/>
      <c r="C125" s="213"/>
      <c r="D125" s="213"/>
      <c r="E125" s="213"/>
      <c r="F125" s="213"/>
      <c r="G125" s="213"/>
      <c r="H125" s="213"/>
      <c r="I125" s="213"/>
      <c r="J125" s="213"/>
      <c r="K125" s="213"/>
      <c r="L125" s="213"/>
      <c r="M125" s="213"/>
      <c r="N125" s="213"/>
      <c r="O125" s="213"/>
      <c r="P125" s="213"/>
      <c r="Q125" s="213"/>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row>
    <row r="126" spans="1:38" x14ac:dyDescent="0.25">
      <c r="A126" s="213"/>
      <c r="B126" s="213"/>
      <c r="C126" s="213"/>
      <c r="D126" s="213"/>
      <c r="E126" s="213"/>
      <c r="F126" s="213"/>
      <c r="G126" s="213"/>
      <c r="H126" s="213"/>
      <c r="I126" s="213"/>
      <c r="J126" s="213"/>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row>
    <row r="127" spans="1:38" x14ac:dyDescent="0.25">
      <c r="A127" s="213"/>
      <c r="B127" s="213"/>
      <c r="C127" s="213"/>
      <c r="D127" s="213"/>
      <c r="E127" s="213"/>
      <c r="F127" s="213"/>
      <c r="G127" s="213"/>
      <c r="H127" s="213"/>
      <c r="I127" s="213"/>
      <c r="J127" s="213"/>
      <c r="K127" s="213"/>
      <c r="L127" s="213"/>
      <c r="M127" s="213"/>
      <c r="N127" s="213"/>
      <c r="O127" s="213"/>
      <c r="P127" s="213"/>
      <c r="Q127" s="213"/>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row>
    <row r="128" spans="1:38" x14ac:dyDescent="0.25">
      <c r="A128" s="213"/>
      <c r="B128" s="213"/>
      <c r="C128" s="213"/>
      <c r="D128" s="213"/>
      <c r="E128" s="213"/>
      <c r="F128" s="213"/>
      <c r="G128" s="213"/>
      <c r="H128" s="213"/>
      <c r="I128" s="213"/>
      <c r="J128" s="213"/>
      <c r="K128" s="213"/>
      <c r="L128" s="213"/>
      <c r="M128" s="213"/>
      <c r="N128" s="213"/>
      <c r="O128" s="213"/>
      <c r="P128" s="213"/>
      <c r="Q128" s="213"/>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row>
    <row r="129" spans="1:38" x14ac:dyDescent="0.25">
      <c r="A129" s="213"/>
      <c r="B129" s="213"/>
      <c r="C129" s="213"/>
      <c r="D129" s="213"/>
      <c r="E129" s="213"/>
      <c r="F129" s="213"/>
      <c r="G129" s="213"/>
      <c r="H129" s="213"/>
      <c r="I129" s="213"/>
      <c r="J129" s="213"/>
      <c r="K129" s="213"/>
      <c r="L129" s="213"/>
      <c r="M129" s="213"/>
      <c r="N129" s="213"/>
      <c r="O129" s="213"/>
      <c r="P129" s="213"/>
      <c r="Q129" s="213"/>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row>
    <row r="130" spans="1:38" x14ac:dyDescent="0.25">
      <c r="A130" s="213"/>
      <c r="B130" s="213"/>
      <c r="C130" s="213"/>
      <c r="D130" s="213"/>
      <c r="E130" s="213"/>
      <c r="F130" s="213"/>
      <c r="G130" s="213"/>
      <c r="H130" s="213"/>
      <c r="I130" s="213"/>
      <c r="J130" s="213"/>
      <c r="K130" s="213"/>
      <c r="L130" s="213"/>
      <c r="M130" s="213"/>
      <c r="N130" s="21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row>
    <row r="131" spans="1:38" x14ac:dyDescent="0.25">
      <c r="A131" s="213"/>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row>
    <row r="132" spans="1:38" x14ac:dyDescent="0.25">
      <c r="A132" s="213"/>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row>
    <row r="133" spans="1:38" x14ac:dyDescent="0.25">
      <c r="A133" s="213"/>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row>
    <row r="134" spans="1:38" x14ac:dyDescent="0.25">
      <c r="A134" s="213"/>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row>
    <row r="135" spans="1:38" x14ac:dyDescent="0.25">
      <c r="A135" s="213"/>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row>
    <row r="136" spans="1:38" x14ac:dyDescent="0.25">
      <c r="A136" s="213"/>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row>
    <row r="137" spans="1:38" x14ac:dyDescent="0.25">
      <c r="A137" s="213"/>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row>
    <row r="138" spans="1:38" x14ac:dyDescent="0.25">
      <c r="A138" s="213"/>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row>
    <row r="139" spans="1:38" x14ac:dyDescent="0.25">
      <c r="A139" s="213"/>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row>
    <row r="140" spans="1:38" x14ac:dyDescent="0.25">
      <c r="A140" s="213"/>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row>
    <row r="141" spans="1:38" x14ac:dyDescent="0.25">
      <c r="A141" s="213"/>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row>
    <row r="142" spans="1:38" x14ac:dyDescent="0.25">
      <c r="A142" s="213"/>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row>
    <row r="143" spans="1:38" x14ac:dyDescent="0.25">
      <c r="A143" s="213"/>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row>
    <row r="144" spans="1:38" x14ac:dyDescent="0.25">
      <c r="A144" s="213"/>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row>
    <row r="145" spans="1:38" x14ac:dyDescent="0.25">
      <c r="A145" s="213"/>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row>
    <row r="146" spans="1:38" x14ac:dyDescent="0.25">
      <c r="A146" s="213"/>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row>
    <row r="147" spans="1:38" x14ac:dyDescent="0.25">
      <c r="A147" s="213"/>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row>
    <row r="148" spans="1:38" x14ac:dyDescent="0.25">
      <c r="A148" s="213"/>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row>
    <row r="149" spans="1:38" x14ac:dyDescent="0.25">
      <c r="A149" s="213"/>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row>
    <row r="150" spans="1:38" x14ac:dyDescent="0.25">
      <c r="A150" s="213"/>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row>
    <row r="151" spans="1:38" x14ac:dyDescent="0.25">
      <c r="A151" s="213"/>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row>
    <row r="152" spans="1:38" x14ac:dyDescent="0.25">
      <c r="A152" s="213"/>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row>
    <row r="153" spans="1:38" x14ac:dyDescent="0.25">
      <c r="A153" s="213"/>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row>
    <row r="154" spans="1:38" x14ac:dyDescent="0.25">
      <c r="A154" s="213"/>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row>
    <row r="155" spans="1:38" x14ac:dyDescent="0.25">
      <c r="A155" s="213"/>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row>
    <row r="156" spans="1:38" x14ac:dyDescent="0.25">
      <c r="A156" s="213"/>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row>
    <row r="157" spans="1:38" x14ac:dyDescent="0.25">
      <c r="A157" s="213"/>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row>
    <row r="158" spans="1:38" x14ac:dyDescent="0.25">
      <c r="A158" s="213"/>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row>
    <row r="159" spans="1:38" x14ac:dyDescent="0.25">
      <c r="A159" s="213"/>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row>
    <row r="160" spans="1:38" x14ac:dyDescent="0.25">
      <c r="A160" s="213"/>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row>
    <row r="161" spans="1:38" x14ac:dyDescent="0.25">
      <c r="A161" s="213"/>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row>
    <row r="162" spans="1:38" x14ac:dyDescent="0.25">
      <c r="A162" s="213"/>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row>
    <row r="163" spans="1:38" x14ac:dyDescent="0.25">
      <c r="A163" s="213"/>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row>
    <row r="164" spans="1:38" x14ac:dyDescent="0.25">
      <c r="A164" s="213"/>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row>
    <row r="165" spans="1:38" x14ac:dyDescent="0.25">
      <c r="A165" s="213"/>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row>
    <row r="166" spans="1:38" x14ac:dyDescent="0.25">
      <c r="A166" s="213"/>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row>
    <row r="167" spans="1:38" x14ac:dyDescent="0.25">
      <c r="A167" s="213"/>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row>
    <row r="168" spans="1:38" x14ac:dyDescent="0.25">
      <c r="A168" s="213"/>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row>
    <row r="169" spans="1:38" x14ac:dyDescent="0.25">
      <c r="A169" s="213"/>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row>
    <row r="170" spans="1:38" x14ac:dyDescent="0.25">
      <c r="A170" s="213"/>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row>
    <row r="171" spans="1:38" x14ac:dyDescent="0.25">
      <c r="A171" s="213"/>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row>
    <row r="172" spans="1:38" x14ac:dyDescent="0.25">
      <c r="A172" s="213"/>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row>
    <row r="173" spans="1:38" x14ac:dyDescent="0.25">
      <c r="A173" s="213"/>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row>
    <row r="174" spans="1:38" x14ac:dyDescent="0.25">
      <c r="A174" s="213"/>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row>
    <row r="175" spans="1:38" x14ac:dyDescent="0.25">
      <c r="A175" s="213"/>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row>
    <row r="176" spans="1:38" x14ac:dyDescent="0.25">
      <c r="A176" s="213"/>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row>
    <row r="177" spans="1:38" x14ac:dyDescent="0.25">
      <c r="A177" s="213"/>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row>
  </sheetData>
  <mergeCells count="293">
    <mergeCell ref="AH9:AH11"/>
    <mergeCell ref="A13:A15"/>
    <mergeCell ref="B13:B15"/>
    <mergeCell ref="C13:C15"/>
    <mergeCell ref="D13:D15"/>
    <mergeCell ref="E13:E15"/>
    <mergeCell ref="I13:I15"/>
    <mergeCell ref="M13:M15"/>
    <mergeCell ref="Q13:Q15"/>
    <mergeCell ref="U13:U15"/>
    <mergeCell ref="M9:M11"/>
    <mergeCell ref="Q9:Q11"/>
    <mergeCell ref="U9:U11"/>
    <mergeCell ref="Y9:Y11"/>
    <mergeCell ref="AC9:AC11"/>
    <mergeCell ref="AG9:AG11"/>
    <mergeCell ref="A9:A11"/>
    <mergeCell ref="B9:B11"/>
    <mergeCell ref="C9:C11"/>
    <mergeCell ref="D9:D11"/>
    <mergeCell ref="E9:E11"/>
    <mergeCell ref="I9:I11"/>
    <mergeCell ref="Y13:Y15"/>
    <mergeCell ref="AC13:AC15"/>
    <mergeCell ref="AG13:AG15"/>
    <mergeCell ref="AH13:AH15"/>
    <mergeCell ref="A17:A19"/>
    <mergeCell ref="B17:B19"/>
    <mergeCell ref="C17:C19"/>
    <mergeCell ref="D17:D19"/>
    <mergeCell ref="E17:E19"/>
    <mergeCell ref="I17:I19"/>
    <mergeCell ref="AH17:AH19"/>
    <mergeCell ref="M17:M19"/>
    <mergeCell ref="Q17:Q19"/>
    <mergeCell ref="U17:U19"/>
    <mergeCell ref="Y17:Y19"/>
    <mergeCell ref="AC17:AC19"/>
    <mergeCell ref="AG17:AG19"/>
    <mergeCell ref="AH21:AH23"/>
    <mergeCell ref="A25:A27"/>
    <mergeCell ref="B25:B27"/>
    <mergeCell ref="C25:C27"/>
    <mergeCell ref="D25:D27"/>
    <mergeCell ref="E25:E27"/>
    <mergeCell ref="I25:I27"/>
    <mergeCell ref="AH25:AH27"/>
    <mergeCell ref="M25:M27"/>
    <mergeCell ref="Q25:Q27"/>
    <mergeCell ref="U25:U27"/>
    <mergeCell ref="Y25:Y27"/>
    <mergeCell ref="AC25:AC27"/>
    <mergeCell ref="AG25:AG27"/>
    <mergeCell ref="A21:A23"/>
    <mergeCell ref="B21:B23"/>
    <mergeCell ref="C21:C23"/>
    <mergeCell ref="D21:D23"/>
    <mergeCell ref="E21:E23"/>
    <mergeCell ref="I21:I23"/>
    <mergeCell ref="M21:M23"/>
    <mergeCell ref="Q21:Q23"/>
    <mergeCell ref="U21:U23"/>
    <mergeCell ref="D29:D31"/>
    <mergeCell ref="E29:E31"/>
    <mergeCell ref="I29:I31"/>
    <mergeCell ref="M29:M31"/>
    <mergeCell ref="Q29:Q31"/>
    <mergeCell ref="U29:U31"/>
    <mergeCell ref="Y21:Y23"/>
    <mergeCell ref="AC21:AC23"/>
    <mergeCell ref="AG21:AG23"/>
    <mergeCell ref="I37:I39"/>
    <mergeCell ref="M37:M39"/>
    <mergeCell ref="Q37:Q39"/>
    <mergeCell ref="U37:U39"/>
    <mergeCell ref="Y29:Y31"/>
    <mergeCell ref="AC29:AC31"/>
    <mergeCell ref="AG29:AG31"/>
    <mergeCell ref="AH29:AH31"/>
    <mergeCell ref="A33:A35"/>
    <mergeCell ref="B33:B35"/>
    <mergeCell ref="C33:C35"/>
    <mergeCell ref="D33:D35"/>
    <mergeCell ref="E33:E35"/>
    <mergeCell ref="I33:I35"/>
    <mergeCell ref="AH33:AH35"/>
    <mergeCell ref="M33:M35"/>
    <mergeCell ref="Q33:Q35"/>
    <mergeCell ref="U33:U35"/>
    <mergeCell ref="Y33:Y35"/>
    <mergeCell ref="AC33:AC35"/>
    <mergeCell ref="AG33:AG35"/>
    <mergeCell ref="A29:A31"/>
    <mergeCell ref="B29:B31"/>
    <mergeCell ref="C29:C31"/>
    <mergeCell ref="Q45:Q47"/>
    <mergeCell ref="U45:U47"/>
    <mergeCell ref="Y37:Y39"/>
    <mergeCell ref="AC37:AC39"/>
    <mergeCell ref="AG37:AG39"/>
    <mergeCell ref="AH37:AH39"/>
    <mergeCell ref="A41:A43"/>
    <mergeCell ref="B41:B43"/>
    <mergeCell ref="C41:C43"/>
    <mergeCell ref="D41:D43"/>
    <mergeCell ref="E41:E43"/>
    <mergeCell ref="I41:I43"/>
    <mergeCell ref="AH41:AH43"/>
    <mergeCell ref="M41:M43"/>
    <mergeCell ref="Q41:Q43"/>
    <mergeCell ref="U41:U43"/>
    <mergeCell ref="Y41:Y43"/>
    <mergeCell ref="AC41:AC43"/>
    <mergeCell ref="AG41:AG43"/>
    <mergeCell ref="A37:A39"/>
    <mergeCell ref="B37:B39"/>
    <mergeCell ref="C37:C39"/>
    <mergeCell ref="D37:D39"/>
    <mergeCell ref="E37:E39"/>
    <mergeCell ref="Y45:Y47"/>
    <mergeCell ref="AC45:AC47"/>
    <mergeCell ref="AG45:AG47"/>
    <mergeCell ref="AH45:AH47"/>
    <mergeCell ref="A49:A51"/>
    <mergeCell ref="B49:B51"/>
    <mergeCell ref="C49:C51"/>
    <mergeCell ref="D49:D51"/>
    <mergeCell ref="E49:E51"/>
    <mergeCell ref="I49:I51"/>
    <mergeCell ref="AH49:AH51"/>
    <mergeCell ref="M49:M51"/>
    <mergeCell ref="Q49:Q51"/>
    <mergeCell ref="U49:U51"/>
    <mergeCell ref="Y49:Y51"/>
    <mergeCell ref="AC49:AC51"/>
    <mergeCell ref="AG49:AG51"/>
    <mergeCell ref="A45:A47"/>
    <mergeCell ref="B45:B47"/>
    <mergeCell ref="C45:C47"/>
    <mergeCell ref="D45:D47"/>
    <mergeCell ref="E45:E47"/>
    <mergeCell ref="I45:I47"/>
    <mergeCell ref="M45:M47"/>
    <mergeCell ref="AC53:AC55"/>
    <mergeCell ref="AG53:AG55"/>
    <mergeCell ref="AH53:AH55"/>
    <mergeCell ref="A57:A59"/>
    <mergeCell ref="B57:B59"/>
    <mergeCell ref="C57:C59"/>
    <mergeCell ref="D57:D59"/>
    <mergeCell ref="E57:E59"/>
    <mergeCell ref="I57:I59"/>
    <mergeCell ref="A53:A55"/>
    <mergeCell ref="B53:B55"/>
    <mergeCell ref="C53:C55"/>
    <mergeCell ref="D53:D55"/>
    <mergeCell ref="E53:E55"/>
    <mergeCell ref="I53:I55"/>
    <mergeCell ref="M53:M55"/>
    <mergeCell ref="Q53:Q55"/>
    <mergeCell ref="U53:U55"/>
    <mergeCell ref="E65:E67"/>
    <mergeCell ref="I65:I67"/>
    <mergeCell ref="AH57:AH59"/>
    <mergeCell ref="A61:A63"/>
    <mergeCell ref="B61:B63"/>
    <mergeCell ref="C61:C63"/>
    <mergeCell ref="D61:D63"/>
    <mergeCell ref="E61:E63"/>
    <mergeCell ref="I61:I63"/>
    <mergeCell ref="M61:M63"/>
    <mergeCell ref="Q61:Q63"/>
    <mergeCell ref="U61:U63"/>
    <mergeCell ref="M57:M59"/>
    <mergeCell ref="Q57:Q59"/>
    <mergeCell ref="U57:U59"/>
    <mergeCell ref="Y57:Y59"/>
    <mergeCell ref="AC57:AC59"/>
    <mergeCell ref="AG57:AG59"/>
    <mergeCell ref="C73:C75"/>
    <mergeCell ref="D73:D75"/>
    <mergeCell ref="E73:E75"/>
    <mergeCell ref="I73:I75"/>
    <mergeCell ref="AH65:AH67"/>
    <mergeCell ref="A69:A71"/>
    <mergeCell ref="B69:B71"/>
    <mergeCell ref="C69:C71"/>
    <mergeCell ref="D69:D71"/>
    <mergeCell ref="E69:E71"/>
    <mergeCell ref="I69:I71"/>
    <mergeCell ref="M69:M71"/>
    <mergeCell ref="Q69:Q71"/>
    <mergeCell ref="U69:U71"/>
    <mergeCell ref="M65:M67"/>
    <mergeCell ref="Q65:Q67"/>
    <mergeCell ref="U65:U67"/>
    <mergeCell ref="Y65:Y67"/>
    <mergeCell ref="AC65:AC67"/>
    <mergeCell ref="AG65:AG67"/>
    <mergeCell ref="A65:A67"/>
    <mergeCell ref="B65:B67"/>
    <mergeCell ref="C65:C67"/>
    <mergeCell ref="D65:D67"/>
    <mergeCell ref="A81:A83"/>
    <mergeCell ref="B81:B83"/>
    <mergeCell ref="C81:C83"/>
    <mergeCell ref="D81:D83"/>
    <mergeCell ref="E81:E83"/>
    <mergeCell ref="I81:I83"/>
    <mergeCell ref="AH73:AH75"/>
    <mergeCell ref="A77:A79"/>
    <mergeCell ref="B77:B79"/>
    <mergeCell ref="C77:C79"/>
    <mergeCell ref="D77:D79"/>
    <mergeCell ref="E77:E79"/>
    <mergeCell ref="I77:I79"/>
    <mergeCell ref="M77:M79"/>
    <mergeCell ref="Q77:Q79"/>
    <mergeCell ref="U77:U79"/>
    <mergeCell ref="M73:M75"/>
    <mergeCell ref="Q73:Q75"/>
    <mergeCell ref="U73:U75"/>
    <mergeCell ref="Y73:Y75"/>
    <mergeCell ref="AC73:AC75"/>
    <mergeCell ref="AG73:AG75"/>
    <mergeCell ref="A73:A75"/>
    <mergeCell ref="B73:B75"/>
    <mergeCell ref="M81:M83"/>
    <mergeCell ref="Q81:Q83"/>
    <mergeCell ref="U81:U83"/>
    <mergeCell ref="Y81:Y83"/>
    <mergeCell ref="AC81:AC83"/>
    <mergeCell ref="AG81:AG83"/>
    <mergeCell ref="Y77:Y79"/>
    <mergeCell ref="AC77:AC79"/>
    <mergeCell ref="AG77:AG79"/>
    <mergeCell ref="A85:A87"/>
    <mergeCell ref="B85:B87"/>
    <mergeCell ref="C85:C87"/>
    <mergeCell ref="D85:D87"/>
    <mergeCell ref="E85:E87"/>
    <mergeCell ref="I85:I87"/>
    <mergeCell ref="M85:M87"/>
    <mergeCell ref="Q85:Q87"/>
    <mergeCell ref="U85:U87"/>
    <mergeCell ref="AJ45:AJ47"/>
    <mergeCell ref="AJ49:AJ51"/>
    <mergeCell ref="AJ53:AJ55"/>
    <mergeCell ref="Y85:Y87"/>
    <mergeCell ref="AC85:AC87"/>
    <mergeCell ref="AG85:AG87"/>
    <mergeCell ref="AH85:AH87"/>
    <mergeCell ref="AJ9:AJ11"/>
    <mergeCell ref="AJ13:AJ15"/>
    <mergeCell ref="AJ17:AJ19"/>
    <mergeCell ref="AJ21:AJ23"/>
    <mergeCell ref="AJ29:AJ31"/>
    <mergeCell ref="AJ37:AJ39"/>
    <mergeCell ref="AH81:AH83"/>
    <mergeCell ref="AH77:AH79"/>
    <mergeCell ref="Y69:Y71"/>
    <mergeCell ref="AC69:AC71"/>
    <mergeCell ref="AG69:AG71"/>
    <mergeCell ref="AH69:AH71"/>
    <mergeCell ref="Y61:Y63"/>
    <mergeCell ref="AC61:AC63"/>
    <mergeCell ref="AG61:AG63"/>
    <mergeCell ref="AH61:AH63"/>
    <mergeCell ref="Y53:Y55"/>
    <mergeCell ref="AL41:AL43"/>
    <mergeCell ref="AL45:AL47"/>
    <mergeCell ref="AL49:AL51"/>
    <mergeCell ref="AL53:AL55"/>
    <mergeCell ref="AL57:AL59"/>
    <mergeCell ref="AJ81:AJ83"/>
    <mergeCell ref="AJ85:AJ87"/>
    <mergeCell ref="AL9:AL11"/>
    <mergeCell ref="AL13:AL15"/>
    <mergeCell ref="AL17:AL19"/>
    <mergeCell ref="AL21:AL23"/>
    <mergeCell ref="AL25:AL27"/>
    <mergeCell ref="AL29:AL31"/>
    <mergeCell ref="AL33:AL35"/>
    <mergeCell ref="AL37:AL39"/>
    <mergeCell ref="AJ57:AJ59"/>
    <mergeCell ref="AJ61:AJ63"/>
    <mergeCell ref="AJ65:AJ67"/>
    <mergeCell ref="AJ69:AJ71"/>
    <mergeCell ref="AJ73:AJ75"/>
    <mergeCell ref="AJ77:AJ79"/>
    <mergeCell ref="AJ25:AJ27"/>
    <mergeCell ref="AJ33:AJ35"/>
    <mergeCell ref="AJ41:AJ4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19C-A6AC-4FFD-A38B-9419EAD9D526}">
  <dimension ref="A1:AL177"/>
  <sheetViews>
    <sheetView zoomScaleNormal="100" workbookViewId="0">
      <selection activeCell="A4" sqref="A4"/>
    </sheetView>
  </sheetViews>
  <sheetFormatPr baseColWidth="10" defaultColWidth="9" defaultRowHeight="15.75" x14ac:dyDescent="0.25"/>
  <cols>
    <col min="1" max="1" width="26.75" style="842" customWidth="1"/>
    <col min="2" max="2" width="19" style="842" customWidth="1"/>
    <col min="3" max="4" width="12" style="842" customWidth="1"/>
    <col min="5" max="5" width="20" style="842" customWidth="1"/>
    <col min="6" max="8" width="0.875" style="842" customWidth="1"/>
    <col min="9" max="9" width="28" style="842" customWidth="1"/>
    <col min="10" max="12" width="0.875" style="842" customWidth="1"/>
    <col min="13" max="13" width="30" style="842" customWidth="1"/>
    <col min="14" max="16" width="0.875" style="842" customWidth="1"/>
    <col min="17" max="17" width="28" style="842" customWidth="1"/>
    <col min="18" max="20" width="0.875" style="842" customWidth="1"/>
    <col min="21" max="21" width="30" style="842" customWidth="1"/>
    <col min="22" max="24" width="0.875" style="842" customWidth="1"/>
    <col min="25" max="25" width="28" style="842" customWidth="1"/>
    <col min="26" max="28" width="0.875" style="842" customWidth="1"/>
    <col min="29" max="29" width="28" style="842" customWidth="1"/>
    <col min="30" max="32" width="0.875" style="842" customWidth="1"/>
    <col min="33" max="33" width="26" style="842" customWidth="1"/>
    <col min="34" max="34" width="34" style="842" customWidth="1"/>
    <col min="35" max="35" width="9" style="842"/>
    <col min="36" max="36" width="27.625" style="842" customWidth="1"/>
    <col min="37" max="37" width="9" style="842"/>
    <col min="38" max="38" width="27.625" style="842" customWidth="1"/>
    <col min="39" max="16384" width="9" style="842"/>
  </cols>
  <sheetData>
    <row r="1" spans="1:38" ht="30" customHeight="1" x14ac:dyDescent="0.25">
      <c r="A1" s="840"/>
      <c r="B1" s="840"/>
      <c r="C1" s="840"/>
      <c r="D1" s="840"/>
      <c r="E1" s="840" t="s">
        <v>6583</v>
      </c>
      <c r="F1" s="840"/>
      <c r="G1" s="840"/>
      <c r="H1" s="840"/>
      <c r="I1" s="840"/>
      <c r="J1" s="840"/>
      <c r="K1" s="840"/>
      <c r="L1" s="840"/>
      <c r="M1" s="840"/>
      <c r="N1" s="840"/>
      <c r="O1" s="840"/>
      <c r="P1" s="840"/>
      <c r="Q1" s="840"/>
      <c r="R1" s="840"/>
      <c r="S1" s="840"/>
      <c r="T1" s="840"/>
      <c r="U1" s="840"/>
      <c r="V1" s="840"/>
      <c r="W1" s="840"/>
      <c r="X1" s="840"/>
      <c r="Y1" s="840"/>
      <c r="Z1" s="840"/>
      <c r="AA1" s="840"/>
      <c r="AB1" s="840"/>
      <c r="AC1" s="840"/>
      <c r="AD1" s="840"/>
      <c r="AE1" s="840"/>
      <c r="AF1" s="840"/>
      <c r="AG1" s="840"/>
      <c r="AH1" s="840"/>
      <c r="AI1" s="841"/>
      <c r="AJ1" s="841"/>
      <c r="AK1" s="841"/>
      <c r="AL1" s="841"/>
    </row>
    <row r="2" spans="1:38" x14ac:dyDescent="0.25">
      <c r="A2" s="213"/>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row>
    <row r="3" spans="1:38" ht="30" customHeight="1" x14ac:dyDescent="0.25">
      <c r="B3" s="844"/>
      <c r="C3" s="844" t="s">
        <v>5439</v>
      </c>
      <c r="D3" s="845" t="s">
        <v>6584</v>
      </c>
      <c r="E3" s="874"/>
      <c r="F3" s="874"/>
      <c r="G3" s="874"/>
      <c r="H3" s="874"/>
      <c r="I3" s="874"/>
      <c r="J3" s="874"/>
      <c r="K3" s="874"/>
      <c r="L3" s="874"/>
      <c r="M3" s="874"/>
      <c r="N3" s="874"/>
      <c r="O3" s="874"/>
      <c r="P3" s="874"/>
      <c r="Q3" s="874"/>
      <c r="R3" s="874"/>
      <c r="S3" s="874"/>
      <c r="T3" s="874"/>
      <c r="U3" s="874"/>
      <c r="V3" s="874"/>
      <c r="W3" s="874"/>
      <c r="X3" s="874"/>
      <c r="Y3" s="874"/>
      <c r="Z3" s="874"/>
      <c r="AA3" s="874"/>
      <c r="AB3" s="874"/>
      <c r="AC3" s="874"/>
      <c r="AD3" s="874"/>
      <c r="AE3" s="874"/>
      <c r="AF3" s="874"/>
      <c r="AG3" s="874"/>
      <c r="AH3" s="874"/>
      <c r="AI3" s="213"/>
      <c r="AJ3" s="213"/>
      <c r="AK3" s="213"/>
      <c r="AL3" s="213"/>
    </row>
    <row r="4" spans="1:38" ht="30" customHeight="1" x14ac:dyDescent="0.25">
      <c r="B4" s="844"/>
      <c r="C4" s="844" t="s">
        <v>5532</v>
      </c>
      <c r="D4" s="845" t="s">
        <v>5533</v>
      </c>
      <c r="E4" s="874"/>
      <c r="F4" s="874"/>
      <c r="G4" s="874"/>
      <c r="H4" s="874"/>
      <c r="I4" s="874"/>
      <c r="J4" s="874"/>
      <c r="K4" s="874"/>
      <c r="L4" s="874"/>
      <c r="M4" s="874"/>
      <c r="N4" s="874"/>
      <c r="O4" s="874"/>
      <c r="P4" s="874"/>
      <c r="Q4" s="874"/>
      <c r="R4" s="874"/>
      <c r="S4" s="874"/>
      <c r="T4" s="874"/>
      <c r="U4" s="874"/>
      <c r="V4" s="874"/>
      <c r="W4" s="874"/>
      <c r="X4" s="874"/>
      <c r="Y4" s="874"/>
      <c r="Z4" s="874"/>
      <c r="AA4" s="874"/>
      <c r="AB4" s="874"/>
      <c r="AC4" s="874"/>
      <c r="AD4" s="874"/>
      <c r="AE4" s="874"/>
      <c r="AF4" s="874"/>
      <c r="AG4" s="874"/>
      <c r="AH4" s="874"/>
      <c r="AI4" s="213"/>
      <c r="AJ4" s="213"/>
      <c r="AK4" s="213"/>
      <c r="AL4" s="213"/>
    </row>
    <row r="5" spans="1:38" ht="30" customHeight="1" x14ac:dyDescent="0.25">
      <c r="B5" s="844"/>
      <c r="C5" s="844" t="s">
        <v>5443</v>
      </c>
      <c r="D5" s="845" t="s">
        <v>5534</v>
      </c>
      <c r="E5" s="874"/>
      <c r="F5" s="874"/>
      <c r="G5" s="874"/>
      <c r="H5" s="874"/>
      <c r="I5" s="874"/>
      <c r="J5" s="874"/>
      <c r="K5" s="874"/>
      <c r="L5" s="874"/>
      <c r="M5" s="874"/>
      <c r="N5" s="874"/>
      <c r="O5" s="874"/>
      <c r="P5" s="874"/>
      <c r="Q5" s="874"/>
      <c r="R5" s="874"/>
      <c r="S5" s="874"/>
      <c r="T5" s="874"/>
      <c r="U5" s="874"/>
      <c r="V5" s="874"/>
      <c r="W5" s="874"/>
      <c r="X5" s="874"/>
      <c r="Y5" s="874"/>
      <c r="Z5" s="874"/>
      <c r="AA5" s="874"/>
      <c r="AB5" s="874"/>
      <c r="AC5" s="874"/>
      <c r="AD5" s="874"/>
      <c r="AE5" s="874"/>
      <c r="AF5" s="874"/>
      <c r="AG5" s="874"/>
      <c r="AH5" s="874"/>
      <c r="AI5" s="213"/>
      <c r="AJ5" s="213"/>
      <c r="AK5" s="213"/>
      <c r="AL5" s="213"/>
    </row>
    <row r="6" spans="1:38" ht="30" customHeight="1" x14ac:dyDescent="0.25">
      <c r="B6" s="847"/>
      <c r="C6" s="847" t="s">
        <v>5445</v>
      </c>
      <c r="D6" s="848" t="s">
        <v>5535</v>
      </c>
      <c r="E6" s="875"/>
      <c r="F6" s="875"/>
      <c r="G6" s="875"/>
      <c r="H6" s="875"/>
      <c r="I6" s="875"/>
      <c r="J6" s="875"/>
      <c r="K6" s="875"/>
      <c r="L6" s="875"/>
      <c r="M6" s="875"/>
      <c r="N6" s="875"/>
      <c r="O6" s="875"/>
      <c r="P6" s="875"/>
      <c r="Q6" s="875"/>
      <c r="R6" s="875"/>
      <c r="S6" s="875"/>
      <c r="T6" s="875"/>
      <c r="U6" s="875"/>
      <c r="V6" s="875"/>
      <c r="W6" s="875"/>
      <c r="X6" s="875"/>
      <c r="Y6" s="875"/>
      <c r="Z6" s="875"/>
      <c r="AA6" s="875"/>
      <c r="AB6" s="875"/>
      <c r="AC6" s="875"/>
      <c r="AD6" s="875"/>
      <c r="AE6" s="875"/>
      <c r="AF6" s="875"/>
      <c r="AG6" s="875"/>
      <c r="AH6" s="875"/>
      <c r="AI6" s="213"/>
      <c r="AJ6" s="213"/>
      <c r="AK6" s="213"/>
      <c r="AL6" s="213"/>
    </row>
    <row r="7" spans="1:38" ht="30" customHeight="1" x14ac:dyDescent="0.25">
      <c r="A7" s="230" t="s">
        <v>5254</v>
      </c>
      <c r="B7" s="230" t="s">
        <v>5447</v>
      </c>
      <c r="C7" s="230" t="s">
        <v>5448</v>
      </c>
      <c r="D7" s="230" t="s">
        <v>5449</v>
      </c>
      <c r="E7" s="230" t="s">
        <v>5</v>
      </c>
      <c r="F7" s="230"/>
      <c r="G7" s="230"/>
      <c r="H7" s="230"/>
      <c r="I7" s="230" t="s">
        <v>5450</v>
      </c>
      <c r="J7" s="230"/>
      <c r="K7" s="230"/>
      <c r="L7" s="230"/>
      <c r="M7" s="230" t="s">
        <v>5451</v>
      </c>
      <c r="N7" s="230"/>
      <c r="O7" s="230"/>
      <c r="P7" s="230"/>
      <c r="Q7" s="230" t="s">
        <v>5452</v>
      </c>
      <c r="R7" s="230"/>
      <c r="S7" s="230"/>
      <c r="T7" s="230"/>
      <c r="U7" s="230" t="s">
        <v>5453</v>
      </c>
      <c r="V7" s="230"/>
      <c r="W7" s="230"/>
      <c r="X7" s="230"/>
      <c r="Y7" s="230" t="s">
        <v>5129</v>
      </c>
      <c r="Z7" s="230"/>
      <c r="AA7" s="230"/>
      <c r="AB7" s="230"/>
      <c r="AC7" s="230" t="s">
        <v>5454</v>
      </c>
      <c r="AD7" s="230"/>
      <c r="AE7" s="230"/>
      <c r="AF7" s="230"/>
      <c r="AG7" s="230" t="s">
        <v>5455</v>
      </c>
      <c r="AH7" s="230" t="s">
        <v>5457</v>
      </c>
      <c r="AI7" s="213"/>
      <c r="AJ7" s="811" t="s">
        <v>5582</v>
      </c>
      <c r="AK7" s="213"/>
      <c r="AL7" s="811" t="s">
        <v>5582</v>
      </c>
    </row>
    <row r="8" spans="1:38" ht="9.9499999999999993" customHeight="1" x14ac:dyDescent="0.25">
      <c r="A8" s="270"/>
      <c r="B8" s="270"/>
      <c r="C8" s="270"/>
      <c r="D8" s="270"/>
      <c r="E8" s="270"/>
      <c r="F8" s="270"/>
      <c r="G8" s="270"/>
      <c r="H8" s="270"/>
      <c r="I8" s="270"/>
      <c r="J8" s="270"/>
      <c r="K8" s="270"/>
      <c r="L8" s="270"/>
      <c r="M8" s="270"/>
      <c r="N8" s="270"/>
      <c r="O8" s="850"/>
      <c r="P8" s="850"/>
      <c r="Q8" s="876"/>
      <c r="R8" s="850"/>
      <c r="S8" s="850"/>
      <c r="T8" s="850"/>
      <c r="U8" s="876"/>
      <c r="V8" s="850"/>
      <c r="W8" s="850"/>
      <c r="X8" s="850"/>
      <c r="Y8" s="876"/>
      <c r="Z8" s="850"/>
      <c r="AA8" s="850"/>
      <c r="AB8" s="850"/>
      <c r="AC8" s="876"/>
      <c r="AD8" s="850"/>
      <c r="AE8" s="850"/>
      <c r="AF8" s="850"/>
      <c r="AG8" s="876"/>
      <c r="AH8" s="876"/>
      <c r="AI8" s="213"/>
      <c r="AJ8" s="213"/>
      <c r="AK8" s="213"/>
      <c r="AL8" s="213"/>
    </row>
    <row r="9" spans="1:38" ht="9.9499999999999993" customHeight="1" x14ac:dyDescent="0.25">
      <c r="A9" s="1616">
        <v>1</v>
      </c>
      <c r="B9" s="1617">
        <v>1</v>
      </c>
      <c r="C9" s="1574" t="s">
        <v>5458</v>
      </c>
      <c r="D9" s="1574" t="s">
        <v>5459</v>
      </c>
      <c r="E9" s="1574" t="s">
        <v>5</v>
      </c>
      <c r="F9" s="849"/>
      <c r="G9" s="849"/>
      <c r="H9" s="849"/>
      <c r="I9" s="1574"/>
      <c r="J9" s="849"/>
      <c r="K9" s="849"/>
      <c r="L9" s="849"/>
      <c r="M9" s="1574"/>
      <c r="N9" s="849"/>
      <c r="O9" s="849"/>
      <c r="P9" s="849"/>
      <c r="Q9" s="1574"/>
      <c r="R9" s="849"/>
      <c r="S9" s="849"/>
      <c r="T9" s="849"/>
      <c r="U9" s="1574"/>
      <c r="V9" s="849"/>
      <c r="W9" s="849"/>
      <c r="X9" s="849"/>
      <c r="Y9" s="1574"/>
      <c r="Z9" s="849"/>
      <c r="AA9" s="849"/>
      <c r="AB9" s="849"/>
      <c r="AC9" s="1574"/>
      <c r="AD9" s="849"/>
      <c r="AE9" s="849"/>
      <c r="AF9" s="849"/>
      <c r="AG9" s="1574"/>
      <c r="AH9" s="1574"/>
      <c r="AI9" s="213"/>
      <c r="AJ9" s="1610" t="s">
        <v>5346</v>
      </c>
      <c r="AK9" s="213"/>
      <c r="AL9" s="1574" t="s">
        <v>798</v>
      </c>
    </row>
    <row r="10" spans="1:38" ht="9.9499999999999993" customHeight="1" x14ac:dyDescent="0.25">
      <c r="A10" s="1616"/>
      <c r="B10" s="1617"/>
      <c r="C10" s="1575"/>
      <c r="D10" s="1575"/>
      <c r="E10" s="1575"/>
      <c r="F10" s="850"/>
      <c r="G10" s="851"/>
      <c r="H10" s="850"/>
      <c r="I10" s="1575"/>
      <c r="J10" s="850"/>
      <c r="K10" s="851"/>
      <c r="L10" s="850"/>
      <c r="M10" s="1575"/>
      <c r="N10" s="850"/>
      <c r="O10" s="851"/>
      <c r="P10" s="850"/>
      <c r="Q10" s="1575"/>
      <c r="R10" s="850"/>
      <c r="S10" s="851"/>
      <c r="T10" s="850"/>
      <c r="U10" s="1575"/>
      <c r="V10" s="850"/>
      <c r="W10" s="851"/>
      <c r="X10" s="850"/>
      <c r="Y10" s="1575"/>
      <c r="Z10" s="850"/>
      <c r="AA10" s="851"/>
      <c r="AB10" s="850"/>
      <c r="AC10" s="1575"/>
      <c r="AD10" s="850"/>
      <c r="AE10" s="851"/>
      <c r="AF10" s="850"/>
      <c r="AG10" s="1575"/>
      <c r="AH10" s="1575"/>
      <c r="AI10" s="213"/>
      <c r="AJ10" s="1611"/>
      <c r="AK10" s="213"/>
      <c r="AL10" s="1575"/>
    </row>
    <row r="11" spans="1:38" ht="9.9499999999999993" customHeight="1" x14ac:dyDescent="0.25">
      <c r="A11" s="1616"/>
      <c r="B11" s="1617"/>
      <c r="C11" s="1576"/>
      <c r="D11" s="1576"/>
      <c r="E11" s="1576"/>
      <c r="F11" s="849"/>
      <c r="G11" s="849"/>
      <c r="H11" s="849"/>
      <c r="I11" s="1576"/>
      <c r="J11" s="849"/>
      <c r="K11" s="849"/>
      <c r="L11" s="849"/>
      <c r="M11" s="1576"/>
      <c r="N11" s="849"/>
      <c r="O11" s="849"/>
      <c r="P11" s="849"/>
      <c r="Q11" s="1576"/>
      <c r="R11" s="849"/>
      <c r="S11" s="849"/>
      <c r="T11" s="849"/>
      <c r="U11" s="1576"/>
      <c r="V11" s="849"/>
      <c r="W11" s="849"/>
      <c r="X11" s="849"/>
      <c r="Y11" s="1576"/>
      <c r="Z11" s="849"/>
      <c r="AA11" s="849"/>
      <c r="AB11" s="849"/>
      <c r="AC11" s="1576"/>
      <c r="AD11" s="849"/>
      <c r="AE11" s="849"/>
      <c r="AF11" s="849"/>
      <c r="AG11" s="1576"/>
      <c r="AH11" s="1576"/>
      <c r="AI11" s="213"/>
      <c r="AJ11" s="1612"/>
      <c r="AK11" s="213"/>
      <c r="AL11" s="1576"/>
    </row>
    <row r="12" spans="1:38" ht="9.9499999999999993" customHeight="1" x14ac:dyDescent="0.25">
      <c r="A12" s="270"/>
      <c r="B12" s="270"/>
      <c r="C12" s="270"/>
      <c r="D12" s="270"/>
      <c r="E12" s="270"/>
      <c r="F12" s="270"/>
      <c r="G12" s="270"/>
      <c r="H12" s="270"/>
      <c r="I12" s="270"/>
      <c r="J12" s="270"/>
      <c r="K12" s="270"/>
      <c r="L12" s="270"/>
      <c r="M12" s="270"/>
      <c r="N12" s="270"/>
      <c r="O12" s="850"/>
      <c r="P12" s="850"/>
      <c r="Q12" s="876"/>
      <c r="R12" s="850"/>
      <c r="S12" s="850"/>
      <c r="T12" s="850"/>
      <c r="U12" s="876"/>
      <c r="V12" s="850"/>
      <c r="W12" s="850"/>
      <c r="X12" s="850"/>
      <c r="Y12" s="876"/>
      <c r="Z12" s="850"/>
      <c r="AA12" s="850"/>
      <c r="AB12" s="850"/>
      <c r="AC12" s="876"/>
      <c r="AD12" s="850"/>
      <c r="AE12" s="850"/>
      <c r="AF12" s="850"/>
      <c r="AG12" s="876"/>
      <c r="AH12" s="876"/>
      <c r="AI12" s="213"/>
      <c r="AJ12" s="213"/>
      <c r="AK12" s="213"/>
      <c r="AL12" s="213"/>
    </row>
    <row r="13" spans="1:38" ht="9.9499999999999993" customHeight="1" x14ac:dyDescent="0.25">
      <c r="A13" s="1616">
        <v>2</v>
      </c>
      <c r="B13" s="1617">
        <v>1</v>
      </c>
      <c r="C13" s="1574" t="s">
        <v>5463</v>
      </c>
      <c r="D13" s="1574" t="s">
        <v>5459</v>
      </c>
      <c r="E13" s="1574" t="s">
        <v>5</v>
      </c>
      <c r="F13" s="849"/>
      <c r="G13" s="849"/>
      <c r="H13" s="849"/>
      <c r="I13" s="1574"/>
      <c r="J13" s="849"/>
      <c r="K13" s="849"/>
      <c r="L13" s="849"/>
      <c r="M13" s="1574"/>
      <c r="N13" s="849"/>
      <c r="O13" s="849"/>
      <c r="P13" s="849"/>
      <c r="Q13" s="1574"/>
      <c r="R13" s="849"/>
      <c r="S13" s="849"/>
      <c r="T13" s="849"/>
      <c r="U13" s="1574"/>
      <c r="V13" s="849"/>
      <c r="W13" s="849"/>
      <c r="X13" s="849"/>
      <c r="Y13" s="1574"/>
      <c r="Z13" s="849"/>
      <c r="AA13" s="849"/>
      <c r="AB13" s="849"/>
      <c r="AC13" s="1574"/>
      <c r="AD13" s="849"/>
      <c r="AE13" s="849"/>
      <c r="AF13" s="849"/>
      <c r="AG13" s="1574"/>
      <c r="AH13" s="1574"/>
      <c r="AI13" s="213"/>
      <c r="AJ13" s="1610" t="s">
        <v>5394</v>
      </c>
      <c r="AK13" s="213"/>
      <c r="AL13" s="1574" t="s">
        <v>5583</v>
      </c>
    </row>
    <row r="14" spans="1:38" ht="9.9499999999999993" customHeight="1" x14ac:dyDescent="0.25">
      <c r="A14" s="1616"/>
      <c r="B14" s="1617"/>
      <c r="C14" s="1575"/>
      <c r="D14" s="1575"/>
      <c r="E14" s="1575"/>
      <c r="F14" s="850"/>
      <c r="G14" s="851"/>
      <c r="H14" s="850"/>
      <c r="I14" s="1575"/>
      <c r="J14" s="850"/>
      <c r="K14" s="851"/>
      <c r="L14" s="850"/>
      <c r="M14" s="1575"/>
      <c r="N14" s="850"/>
      <c r="O14" s="851"/>
      <c r="P14" s="850"/>
      <c r="Q14" s="1575"/>
      <c r="R14" s="850"/>
      <c r="S14" s="851"/>
      <c r="T14" s="850"/>
      <c r="U14" s="1575"/>
      <c r="V14" s="850"/>
      <c r="W14" s="851"/>
      <c r="X14" s="850"/>
      <c r="Y14" s="1575"/>
      <c r="Z14" s="850"/>
      <c r="AA14" s="851"/>
      <c r="AB14" s="850"/>
      <c r="AC14" s="1575"/>
      <c r="AD14" s="850"/>
      <c r="AE14" s="851"/>
      <c r="AF14" s="850"/>
      <c r="AG14" s="1575"/>
      <c r="AH14" s="1575"/>
      <c r="AI14" s="213"/>
      <c r="AJ14" s="1611"/>
      <c r="AK14" s="213"/>
      <c r="AL14" s="1575"/>
    </row>
    <row r="15" spans="1:38" ht="9.9499999999999993" customHeight="1" x14ac:dyDescent="0.25">
      <c r="A15" s="1616"/>
      <c r="B15" s="1617"/>
      <c r="C15" s="1576"/>
      <c r="D15" s="1576"/>
      <c r="E15" s="1576"/>
      <c r="F15" s="849"/>
      <c r="G15" s="849"/>
      <c r="H15" s="849"/>
      <c r="I15" s="1576"/>
      <c r="J15" s="849"/>
      <c r="K15" s="849"/>
      <c r="L15" s="849"/>
      <c r="M15" s="1576"/>
      <c r="N15" s="849"/>
      <c r="O15" s="849"/>
      <c r="P15" s="849"/>
      <c r="Q15" s="1576"/>
      <c r="R15" s="849"/>
      <c r="S15" s="849"/>
      <c r="T15" s="849"/>
      <c r="U15" s="1576"/>
      <c r="V15" s="849"/>
      <c r="W15" s="849"/>
      <c r="X15" s="849"/>
      <c r="Y15" s="1576"/>
      <c r="Z15" s="849"/>
      <c r="AA15" s="849"/>
      <c r="AB15" s="849"/>
      <c r="AC15" s="1576"/>
      <c r="AD15" s="849"/>
      <c r="AE15" s="849"/>
      <c r="AF15" s="849"/>
      <c r="AG15" s="1576"/>
      <c r="AH15" s="1576"/>
      <c r="AI15" s="213"/>
      <c r="AJ15" s="1612"/>
      <c r="AK15" s="213"/>
      <c r="AL15" s="1576"/>
    </row>
    <row r="16" spans="1:38" ht="9.9499999999999993" customHeight="1" x14ac:dyDescent="0.25">
      <c r="A16" s="270"/>
      <c r="B16" s="270"/>
      <c r="C16" s="270"/>
      <c r="D16" s="270"/>
      <c r="E16" s="270"/>
      <c r="F16" s="270"/>
      <c r="G16" s="270"/>
      <c r="H16" s="270"/>
      <c r="I16" s="270"/>
      <c r="J16" s="270"/>
      <c r="K16" s="270"/>
      <c r="L16" s="270"/>
      <c r="M16" s="270"/>
      <c r="N16" s="270"/>
      <c r="O16" s="850"/>
      <c r="P16" s="850"/>
      <c r="Q16" s="876"/>
      <c r="R16" s="850"/>
      <c r="S16" s="850"/>
      <c r="T16" s="850"/>
      <c r="U16" s="876"/>
      <c r="V16" s="850"/>
      <c r="W16" s="850"/>
      <c r="X16" s="850"/>
      <c r="Y16" s="876"/>
      <c r="Z16" s="850"/>
      <c r="AA16" s="850"/>
      <c r="AB16" s="850"/>
      <c r="AC16" s="876"/>
      <c r="AD16" s="850"/>
      <c r="AE16" s="850"/>
      <c r="AF16" s="850"/>
      <c r="AG16" s="876"/>
      <c r="AH16" s="876"/>
      <c r="AI16" s="213"/>
      <c r="AJ16" s="213"/>
      <c r="AK16" s="213"/>
      <c r="AL16" s="213"/>
    </row>
    <row r="17" spans="1:38" ht="9.9499999999999993" customHeight="1" x14ac:dyDescent="0.25">
      <c r="A17" s="1616">
        <v>3</v>
      </c>
      <c r="B17" s="1617">
        <v>1</v>
      </c>
      <c r="C17" s="1574" t="s">
        <v>5464</v>
      </c>
      <c r="D17" s="1574" t="s">
        <v>5459</v>
      </c>
      <c r="E17" s="1574" t="s">
        <v>5</v>
      </c>
      <c r="F17" s="849"/>
      <c r="G17" s="849"/>
      <c r="H17" s="849"/>
      <c r="I17" s="1574"/>
      <c r="J17" s="849"/>
      <c r="K17" s="849"/>
      <c r="L17" s="849"/>
      <c r="M17" s="1574"/>
      <c r="N17" s="849"/>
      <c r="O17" s="849"/>
      <c r="P17" s="849"/>
      <c r="Q17" s="1574"/>
      <c r="R17" s="849"/>
      <c r="S17" s="849"/>
      <c r="T17" s="849"/>
      <c r="U17" s="1574"/>
      <c r="V17" s="849"/>
      <c r="W17" s="849"/>
      <c r="X17" s="849"/>
      <c r="Y17" s="1574"/>
      <c r="Z17" s="849"/>
      <c r="AA17" s="849"/>
      <c r="AB17" s="849"/>
      <c r="AC17" s="1574"/>
      <c r="AD17" s="849"/>
      <c r="AE17" s="849"/>
      <c r="AF17" s="849"/>
      <c r="AG17" s="1574"/>
      <c r="AH17" s="1574"/>
      <c r="AI17" s="213"/>
      <c r="AJ17" s="1586" t="s">
        <v>5355</v>
      </c>
      <c r="AK17" s="213"/>
      <c r="AL17" s="1574" t="s">
        <v>153</v>
      </c>
    </row>
    <row r="18" spans="1:38" ht="9.9499999999999993" customHeight="1" x14ac:dyDescent="0.25">
      <c r="A18" s="1616"/>
      <c r="B18" s="1617"/>
      <c r="C18" s="1575"/>
      <c r="D18" s="1575"/>
      <c r="E18" s="1575"/>
      <c r="F18" s="850"/>
      <c r="G18" s="851"/>
      <c r="H18" s="850"/>
      <c r="I18" s="1575"/>
      <c r="J18" s="850"/>
      <c r="K18" s="851"/>
      <c r="L18" s="850"/>
      <c r="M18" s="1575"/>
      <c r="N18" s="850"/>
      <c r="O18" s="851"/>
      <c r="P18" s="850"/>
      <c r="Q18" s="1575"/>
      <c r="R18" s="850"/>
      <c r="S18" s="851"/>
      <c r="T18" s="850"/>
      <c r="U18" s="1575"/>
      <c r="V18" s="850"/>
      <c r="W18" s="851"/>
      <c r="X18" s="850"/>
      <c r="Y18" s="1575"/>
      <c r="Z18" s="850"/>
      <c r="AA18" s="851"/>
      <c r="AB18" s="850"/>
      <c r="AC18" s="1575"/>
      <c r="AD18" s="850"/>
      <c r="AE18" s="851"/>
      <c r="AF18" s="850"/>
      <c r="AG18" s="1575"/>
      <c r="AH18" s="1575"/>
      <c r="AI18" s="213"/>
      <c r="AJ18" s="1587"/>
      <c r="AK18" s="213"/>
      <c r="AL18" s="1575"/>
    </row>
    <row r="19" spans="1:38" ht="9.9499999999999993" customHeight="1" x14ac:dyDescent="0.25">
      <c r="A19" s="1616"/>
      <c r="B19" s="1617"/>
      <c r="C19" s="1576"/>
      <c r="D19" s="1576"/>
      <c r="E19" s="1576"/>
      <c r="F19" s="849"/>
      <c r="G19" s="849"/>
      <c r="H19" s="849"/>
      <c r="I19" s="1576"/>
      <c r="J19" s="849"/>
      <c r="K19" s="849"/>
      <c r="L19" s="849"/>
      <c r="M19" s="1576"/>
      <c r="N19" s="849"/>
      <c r="O19" s="849"/>
      <c r="P19" s="849"/>
      <c r="Q19" s="1576"/>
      <c r="R19" s="849"/>
      <c r="S19" s="849"/>
      <c r="T19" s="849"/>
      <c r="U19" s="1576"/>
      <c r="V19" s="849"/>
      <c r="W19" s="849"/>
      <c r="X19" s="849"/>
      <c r="Y19" s="1576"/>
      <c r="Z19" s="849"/>
      <c r="AA19" s="849"/>
      <c r="AB19" s="849"/>
      <c r="AC19" s="1576"/>
      <c r="AD19" s="849"/>
      <c r="AE19" s="849"/>
      <c r="AF19" s="849"/>
      <c r="AG19" s="1576"/>
      <c r="AH19" s="1576"/>
      <c r="AI19" s="213"/>
      <c r="AJ19" s="1588"/>
      <c r="AK19" s="213"/>
      <c r="AL19" s="1576"/>
    </row>
    <row r="20" spans="1:38" ht="9.9499999999999993" customHeight="1" x14ac:dyDescent="0.25">
      <c r="A20" s="270"/>
      <c r="B20" s="270"/>
      <c r="C20" s="270"/>
      <c r="D20" s="270"/>
      <c r="E20" s="270"/>
      <c r="F20" s="270"/>
      <c r="G20" s="270"/>
      <c r="H20" s="270"/>
      <c r="I20" s="270"/>
      <c r="J20" s="270"/>
      <c r="K20" s="270"/>
      <c r="L20" s="270"/>
      <c r="M20" s="270"/>
      <c r="N20" s="270"/>
      <c r="O20" s="850"/>
      <c r="P20" s="850"/>
      <c r="Q20" s="876"/>
      <c r="R20" s="850"/>
      <c r="S20" s="850"/>
      <c r="T20" s="850"/>
      <c r="U20" s="876"/>
      <c r="V20" s="850"/>
      <c r="W20" s="850"/>
      <c r="X20" s="850"/>
      <c r="Y20" s="876"/>
      <c r="Z20" s="850"/>
      <c r="AA20" s="850"/>
      <c r="AB20" s="850"/>
      <c r="AC20" s="876"/>
      <c r="AD20" s="850"/>
      <c r="AE20" s="850"/>
      <c r="AF20" s="850"/>
      <c r="AG20" s="876"/>
      <c r="AH20" s="876"/>
      <c r="AI20" s="213"/>
      <c r="AJ20" s="213"/>
      <c r="AK20" s="213"/>
      <c r="AL20" s="213"/>
    </row>
    <row r="21" spans="1:38" ht="9.9499999999999993" customHeight="1" x14ac:dyDescent="0.25">
      <c r="A21" s="1616">
        <v>4</v>
      </c>
      <c r="B21" s="1617">
        <v>1</v>
      </c>
      <c r="C21" s="1574" t="s">
        <v>5465</v>
      </c>
      <c r="D21" s="1574" t="s">
        <v>5459</v>
      </c>
      <c r="E21" s="1574" t="s">
        <v>5</v>
      </c>
      <c r="F21" s="849"/>
      <c r="G21" s="849"/>
      <c r="H21" s="849"/>
      <c r="I21" s="1574"/>
      <c r="J21" s="849"/>
      <c r="K21" s="849"/>
      <c r="L21" s="849"/>
      <c r="M21" s="1574"/>
      <c r="N21" s="849"/>
      <c r="O21" s="849"/>
      <c r="P21" s="849"/>
      <c r="Q21" s="1574"/>
      <c r="R21" s="849"/>
      <c r="S21" s="849"/>
      <c r="T21" s="849"/>
      <c r="U21" s="1574"/>
      <c r="V21" s="849"/>
      <c r="W21" s="849"/>
      <c r="X21" s="849"/>
      <c r="Y21" s="1574"/>
      <c r="Z21" s="849"/>
      <c r="AA21" s="849"/>
      <c r="AB21" s="849"/>
      <c r="AC21" s="1574"/>
      <c r="AD21" s="849"/>
      <c r="AE21" s="849"/>
      <c r="AF21" s="849"/>
      <c r="AG21" s="1574"/>
      <c r="AH21" s="1574"/>
      <c r="AI21" s="213"/>
      <c r="AJ21" s="1586" t="s">
        <v>5380</v>
      </c>
      <c r="AK21" s="213"/>
      <c r="AL21" s="1574" t="s">
        <v>5584</v>
      </c>
    </row>
    <row r="22" spans="1:38" ht="9.9499999999999993" customHeight="1" x14ac:dyDescent="0.25">
      <c r="A22" s="1616"/>
      <c r="B22" s="1617"/>
      <c r="C22" s="1575"/>
      <c r="D22" s="1575"/>
      <c r="E22" s="1575"/>
      <c r="F22" s="850"/>
      <c r="G22" s="851"/>
      <c r="H22" s="850"/>
      <c r="I22" s="1575"/>
      <c r="J22" s="850"/>
      <c r="K22" s="851"/>
      <c r="L22" s="850"/>
      <c r="M22" s="1575"/>
      <c r="N22" s="850"/>
      <c r="O22" s="851"/>
      <c r="P22" s="850"/>
      <c r="Q22" s="1575"/>
      <c r="R22" s="850"/>
      <c r="S22" s="851"/>
      <c r="T22" s="850"/>
      <c r="U22" s="1575"/>
      <c r="V22" s="850"/>
      <c r="W22" s="851"/>
      <c r="X22" s="850"/>
      <c r="Y22" s="1575"/>
      <c r="Z22" s="850"/>
      <c r="AA22" s="851"/>
      <c r="AB22" s="850"/>
      <c r="AC22" s="1575"/>
      <c r="AD22" s="850"/>
      <c r="AE22" s="851"/>
      <c r="AF22" s="850"/>
      <c r="AG22" s="1575"/>
      <c r="AH22" s="1575"/>
      <c r="AI22" s="213"/>
      <c r="AJ22" s="1587"/>
      <c r="AK22" s="213"/>
      <c r="AL22" s="1575"/>
    </row>
    <row r="23" spans="1:38" ht="9.9499999999999993" customHeight="1" x14ac:dyDescent="0.25">
      <c r="A23" s="1616"/>
      <c r="B23" s="1617"/>
      <c r="C23" s="1576"/>
      <c r="D23" s="1576"/>
      <c r="E23" s="1576"/>
      <c r="F23" s="849"/>
      <c r="G23" s="849"/>
      <c r="H23" s="849"/>
      <c r="I23" s="1576"/>
      <c r="J23" s="849"/>
      <c r="K23" s="849"/>
      <c r="L23" s="849"/>
      <c r="M23" s="1576"/>
      <c r="N23" s="849"/>
      <c r="O23" s="849"/>
      <c r="P23" s="849"/>
      <c r="Q23" s="1576"/>
      <c r="R23" s="849"/>
      <c r="S23" s="849"/>
      <c r="T23" s="849"/>
      <c r="U23" s="1576"/>
      <c r="V23" s="849"/>
      <c r="W23" s="849"/>
      <c r="X23" s="849"/>
      <c r="Y23" s="1576"/>
      <c r="Z23" s="849"/>
      <c r="AA23" s="849"/>
      <c r="AB23" s="849"/>
      <c r="AC23" s="1576"/>
      <c r="AD23" s="849"/>
      <c r="AE23" s="849"/>
      <c r="AF23" s="849"/>
      <c r="AG23" s="1576"/>
      <c r="AH23" s="1576"/>
      <c r="AI23" s="213"/>
      <c r="AJ23" s="1588"/>
      <c r="AK23" s="213"/>
      <c r="AL23" s="1576"/>
    </row>
    <row r="24" spans="1:38" ht="9.9499999999999993" customHeight="1" x14ac:dyDescent="0.25">
      <c r="A24" s="270"/>
      <c r="B24" s="270"/>
      <c r="C24" s="270"/>
      <c r="D24" s="270"/>
      <c r="E24" s="270"/>
      <c r="F24" s="270"/>
      <c r="G24" s="270"/>
      <c r="H24" s="270"/>
      <c r="I24" s="270"/>
      <c r="J24" s="270"/>
      <c r="K24" s="270"/>
      <c r="L24" s="270"/>
      <c r="M24" s="270"/>
      <c r="N24" s="270"/>
      <c r="O24" s="850"/>
      <c r="P24" s="850"/>
      <c r="Q24" s="876"/>
      <c r="R24" s="850"/>
      <c r="S24" s="850"/>
      <c r="T24" s="850"/>
      <c r="U24" s="876"/>
      <c r="V24" s="850"/>
      <c r="W24" s="850"/>
      <c r="X24" s="850"/>
      <c r="Y24" s="876"/>
      <c r="Z24" s="850"/>
      <c r="AA24" s="850"/>
      <c r="AB24" s="850"/>
      <c r="AC24" s="876"/>
      <c r="AD24" s="850"/>
      <c r="AE24" s="850"/>
      <c r="AF24" s="850"/>
      <c r="AG24" s="876"/>
      <c r="AH24" s="876"/>
      <c r="AI24" s="213"/>
      <c r="AJ24" s="213"/>
      <c r="AK24" s="213"/>
      <c r="AL24" s="213"/>
    </row>
    <row r="25" spans="1:38" ht="9.9499999999999993" customHeight="1" x14ac:dyDescent="0.25">
      <c r="A25" s="1616">
        <v>5</v>
      </c>
      <c r="B25" s="1617">
        <v>1</v>
      </c>
      <c r="C25" s="1574" t="s">
        <v>5466</v>
      </c>
      <c r="D25" s="1574" t="s">
        <v>5459</v>
      </c>
      <c r="E25" s="1574" t="s">
        <v>5</v>
      </c>
      <c r="F25" s="849"/>
      <c r="G25" s="849"/>
      <c r="H25" s="849"/>
      <c r="I25" s="1574"/>
      <c r="J25" s="849"/>
      <c r="K25" s="849"/>
      <c r="L25" s="849"/>
      <c r="M25" s="1574"/>
      <c r="N25" s="849"/>
      <c r="O25" s="849"/>
      <c r="P25" s="849"/>
      <c r="Q25" s="1574"/>
      <c r="R25" s="849"/>
      <c r="S25" s="849"/>
      <c r="T25" s="849"/>
      <c r="U25" s="1574"/>
      <c r="V25" s="849"/>
      <c r="W25" s="849"/>
      <c r="X25" s="849"/>
      <c r="Y25" s="1574"/>
      <c r="Z25" s="849"/>
      <c r="AA25" s="849"/>
      <c r="AB25" s="849"/>
      <c r="AC25" s="1574"/>
      <c r="AD25" s="849"/>
      <c r="AE25" s="849"/>
      <c r="AF25" s="849"/>
      <c r="AG25" s="1574"/>
      <c r="AH25" s="1574"/>
      <c r="AI25" s="213"/>
      <c r="AJ25" s="1595" t="s">
        <v>5542</v>
      </c>
      <c r="AK25" s="213"/>
      <c r="AL25" s="1574" t="s">
        <v>5585</v>
      </c>
    </row>
    <row r="26" spans="1:38" ht="9.9499999999999993" customHeight="1" x14ac:dyDescent="0.25">
      <c r="A26" s="1616"/>
      <c r="B26" s="1617"/>
      <c r="C26" s="1575"/>
      <c r="D26" s="1575"/>
      <c r="E26" s="1575"/>
      <c r="F26" s="850"/>
      <c r="G26" s="851"/>
      <c r="H26" s="850"/>
      <c r="I26" s="1575"/>
      <c r="J26" s="850"/>
      <c r="K26" s="851"/>
      <c r="L26" s="850"/>
      <c r="M26" s="1575"/>
      <c r="N26" s="850"/>
      <c r="O26" s="851"/>
      <c r="P26" s="850"/>
      <c r="Q26" s="1575"/>
      <c r="R26" s="850"/>
      <c r="S26" s="851"/>
      <c r="T26" s="850"/>
      <c r="U26" s="1575"/>
      <c r="V26" s="850"/>
      <c r="W26" s="851"/>
      <c r="X26" s="850"/>
      <c r="Y26" s="1575"/>
      <c r="Z26" s="850"/>
      <c r="AA26" s="851"/>
      <c r="AB26" s="850"/>
      <c r="AC26" s="1575"/>
      <c r="AD26" s="850"/>
      <c r="AE26" s="851"/>
      <c r="AF26" s="850"/>
      <c r="AG26" s="1575"/>
      <c r="AH26" s="1575"/>
      <c r="AI26" s="213"/>
      <c r="AJ26" s="1596"/>
      <c r="AK26" s="213"/>
      <c r="AL26" s="1575"/>
    </row>
    <row r="27" spans="1:38" ht="9.9499999999999993" customHeight="1" x14ac:dyDescent="0.25">
      <c r="A27" s="1616"/>
      <c r="B27" s="1617"/>
      <c r="C27" s="1576"/>
      <c r="D27" s="1576"/>
      <c r="E27" s="1576"/>
      <c r="F27" s="849"/>
      <c r="G27" s="849"/>
      <c r="H27" s="849"/>
      <c r="I27" s="1576"/>
      <c r="J27" s="849"/>
      <c r="K27" s="849"/>
      <c r="L27" s="849"/>
      <c r="M27" s="1576"/>
      <c r="N27" s="849"/>
      <c r="O27" s="849"/>
      <c r="P27" s="849"/>
      <c r="Q27" s="1576"/>
      <c r="R27" s="849"/>
      <c r="S27" s="849"/>
      <c r="T27" s="849"/>
      <c r="U27" s="1576"/>
      <c r="V27" s="849"/>
      <c r="W27" s="849"/>
      <c r="X27" s="849"/>
      <c r="Y27" s="1576"/>
      <c r="Z27" s="849"/>
      <c r="AA27" s="849"/>
      <c r="AB27" s="849"/>
      <c r="AC27" s="1576"/>
      <c r="AD27" s="849"/>
      <c r="AE27" s="849"/>
      <c r="AF27" s="849"/>
      <c r="AG27" s="1576"/>
      <c r="AH27" s="1576"/>
      <c r="AI27" s="213"/>
      <c r="AJ27" s="1597"/>
      <c r="AK27" s="213"/>
      <c r="AL27" s="1576"/>
    </row>
    <row r="28" spans="1:38" ht="9.9499999999999993" customHeight="1" x14ac:dyDescent="0.25">
      <c r="A28" s="270"/>
      <c r="B28" s="270"/>
      <c r="C28" s="270"/>
      <c r="D28" s="270"/>
      <c r="E28" s="270"/>
      <c r="F28" s="270"/>
      <c r="G28" s="270"/>
      <c r="H28" s="270"/>
      <c r="I28" s="270"/>
      <c r="J28" s="270"/>
      <c r="K28" s="270"/>
      <c r="L28" s="270"/>
      <c r="M28" s="270"/>
      <c r="N28" s="270"/>
      <c r="O28" s="850"/>
      <c r="P28" s="850"/>
      <c r="Q28" s="876"/>
      <c r="R28" s="850"/>
      <c r="S28" s="850"/>
      <c r="T28" s="850"/>
      <c r="U28" s="876"/>
      <c r="V28" s="850"/>
      <c r="W28" s="850"/>
      <c r="X28" s="850"/>
      <c r="Y28" s="876"/>
      <c r="Z28" s="850"/>
      <c r="AA28" s="850"/>
      <c r="AB28" s="850"/>
      <c r="AC28" s="876"/>
      <c r="AD28" s="850"/>
      <c r="AE28" s="850"/>
      <c r="AF28" s="850"/>
      <c r="AG28" s="876"/>
      <c r="AH28" s="876"/>
      <c r="AI28" s="213"/>
      <c r="AK28" s="213"/>
      <c r="AL28" s="213"/>
    </row>
    <row r="29" spans="1:38" ht="9.9499999999999993" customHeight="1" x14ac:dyDescent="0.25">
      <c r="A29" s="1616">
        <v>6</v>
      </c>
      <c r="B29" s="1617">
        <v>2</v>
      </c>
      <c r="C29" s="1574" t="s">
        <v>5458</v>
      </c>
      <c r="D29" s="1574" t="s">
        <v>5459</v>
      </c>
      <c r="E29" s="1574" t="s">
        <v>5</v>
      </c>
      <c r="F29" s="849"/>
      <c r="G29" s="849"/>
      <c r="H29" s="849"/>
      <c r="I29" s="1574"/>
      <c r="J29" s="849"/>
      <c r="K29" s="849"/>
      <c r="L29" s="849"/>
      <c r="M29" s="1574"/>
      <c r="N29" s="849"/>
      <c r="O29" s="849"/>
      <c r="P29" s="849"/>
      <c r="Q29" s="1574"/>
      <c r="R29" s="849"/>
      <c r="S29" s="849"/>
      <c r="T29" s="849"/>
      <c r="U29" s="1574"/>
      <c r="V29" s="849"/>
      <c r="W29" s="849"/>
      <c r="X29" s="849"/>
      <c r="Y29" s="1574"/>
      <c r="Z29" s="849"/>
      <c r="AA29" s="849"/>
      <c r="AB29" s="849"/>
      <c r="AC29" s="1574"/>
      <c r="AD29" s="849"/>
      <c r="AE29" s="849"/>
      <c r="AF29" s="849"/>
      <c r="AG29" s="1574"/>
      <c r="AH29" s="1574"/>
      <c r="AI29" s="213"/>
      <c r="AJ29" s="1613" t="s">
        <v>5383</v>
      </c>
      <c r="AK29" s="213"/>
      <c r="AL29" s="1574" t="s">
        <v>5586</v>
      </c>
    </row>
    <row r="30" spans="1:38" ht="9.9499999999999993" customHeight="1" x14ac:dyDescent="0.25">
      <c r="A30" s="1616"/>
      <c r="B30" s="1617"/>
      <c r="C30" s="1575"/>
      <c r="D30" s="1575"/>
      <c r="E30" s="1575"/>
      <c r="F30" s="850"/>
      <c r="G30" s="851"/>
      <c r="H30" s="850"/>
      <c r="I30" s="1575"/>
      <c r="J30" s="850"/>
      <c r="K30" s="851"/>
      <c r="L30" s="850"/>
      <c r="M30" s="1575"/>
      <c r="N30" s="850"/>
      <c r="O30" s="851"/>
      <c r="P30" s="850"/>
      <c r="Q30" s="1575"/>
      <c r="R30" s="850"/>
      <c r="S30" s="851"/>
      <c r="T30" s="850"/>
      <c r="U30" s="1575"/>
      <c r="V30" s="850"/>
      <c r="W30" s="851"/>
      <c r="X30" s="850"/>
      <c r="Y30" s="1575"/>
      <c r="Z30" s="850"/>
      <c r="AA30" s="851"/>
      <c r="AB30" s="850"/>
      <c r="AC30" s="1575"/>
      <c r="AD30" s="850"/>
      <c r="AE30" s="851"/>
      <c r="AF30" s="850"/>
      <c r="AG30" s="1575"/>
      <c r="AH30" s="1575"/>
      <c r="AI30" s="213"/>
      <c r="AJ30" s="1614"/>
      <c r="AK30" s="213"/>
      <c r="AL30" s="1575"/>
    </row>
    <row r="31" spans="1:38" ht="9.9499999999999993" customHeight="1" x14ac:dyDescent="0.25">
      <c r="A31" s="1616"/>
      <c r="B31" s="1617"/>
      <c r="C31" s="1576"/>
      <c r="D31" s="1576"/>
      <c r="E31" s="1576"/>
      <c r="F31" s="849"/>
      <c r="G31" s="849"/>
      <c r="H31" s="849"/>
      <c r="I31" s="1576"/>
      <c r="J31" s="849"/>
      <c r="K31" s="849"/>
      <c r="L31" s="849"/>
      <c r="M31" s="1576"/>
      <c r="N31" s="849"/>
      <c r="O31" s="849"/>
      <c r="P31" s="849"/>
      <c r="Q31" s="1576"/>
      <c r="R31" s="849"/>
      <c r="S31" s="849"/>
      <c r="T31" s="849"/>
      <c r="U31" s="1576"/>
      <c r="V31" s="849"/>
      <c r="W31" s="849"/>
      <c r="X31" s="849"/>
      <c r="Y31" s="1576"/>
      <c r="Z31" s="849"/>
      <c r="AA31" s="849"/>
      <c r="AB31" s="849"/>
      <c r="AC31" s="1576"/>
      <c r="AD31" s="849"/>
      <c r="AE31" s="849"/>
      <c r="AF31" s="849"/>
      <c r="AG31" s="1576"/>
      <c r="AH31" s="1576"/>
      <c r="AI31" s="213"/>
      <c r="AJ31" s="1615"/>
      <c r="AK31" s="213"/>
      <c r="AL31" s="1576"/>
    </row>
    <row r="32" spans="1:38" ht="9.9499999999999993" customHeight="1" x14ac:dyDescent="0.25">
      <c r="A32" s="270"/>
      <c r="B32" s="270"/>
      <c r="C32" s="270"/>
      <c r="D32" s="270"/>
      <c r="E32" s="270"/>
      <c r="F32" s="270"/>
      <c r="G32" s="270"/>
      <c r="H32" s="270"/>
      <c r="I32" s="270"/>
      <c r="J32" s="270"/>
      <c r="K32" s="270"/>
      <c r="L32" s="270"/>
      <c r="M32" s="270"/>
      <c r="N32" s="270"/>
      <c r="O32" s="850"/>
      <c r="P32" s="850"/>
      <c r="Q32" s="876"/>
      <c r="R32" s="850"/>
      <c r="S32" s="850"/>
      <c r="T32" s="850"/>
      <c r="U32" s="876"/>
      <c r="V32" s="850"/>
      <c r="W32" s="850"/>
      <c r="X32" s="850"/>
      <c r="Y32" s="876"/>
      <c r="Z32" s="850"/>
      <c r="AA32" s="850"/>
      <c r="AB32" s="850"/>
      <c r="AC32" s="876"/>
      <c r="AD32" s="850"/>
      <c r="AE32" s="850"/>
      <c r="AF32" s="850"/>
      <c r="AG32" s="876"/>
      <c r="AH32" s="876"/>
      <c r="AI32" s="213"/>
      <c r="AJ32" s="213"/>
      <c r="AK32" s="213"/>
      <c r="AL32" s="213"/>
    </row>
    <row r="33" spans="1:38" ht="9.9499999999999993" customHeight="1" x14ac:dyDescent="0.25">
      <c r="A33" s="1616">
        <v>7</v>
      </c>
      <c r="B33" s="1617">
        <v>2</v>
      </c>
      <c r="C33" s="1574" t="s">
        <v>5463</v>
      </c>
      <c r="D33" s="1574" t="s">
        <v>5459</v>
      </c>
      <c r="E33" s="1574" t="s">
        <v>5</v>
      </c>
      <c r="F33" s="849"/>
      <c r="G33" s="849"/>
      <c r="H33" s="849"/>
      <c r="I33" s="1574"/>
      <c r="J33" s="849"/>
      <c r="K33" s="849"/>
      <c r="L33" s="849"/>
      <c r="M33" s="1574"/>
      <c r="N33" s="849"/>
      <c r="O33" s="849"/>
      <c r="P33" s="849"/>
      <c r="Q33" s="1574"/>
      <c r="R33" s="849"/>
      <c r="S33" s="849"/>
      <c r="T33" s="849"/>
      <c r="U33" s="1574"/>
      <c r="V33" s="849"/>
      <c r="W33" s="849"/>
      <c r="X33" s="849"/>
      <c r="Y33" s="1574"/>
      <c r="Z33" s="849"/>
      <c r="AA33" s="849"/>
      <c r="AB33" s="849"/>
      <c r="AC33" s="1574"/>
      <c r="AD33" s="849"/>
      <c r="AE33" s="849"/>
      <c r="AF33" s="849"/>
      <c r="AG33" s="1574"/>
      <c r="AH33" s="1574"/>
      <c r="AI33" s="213"/>
      <c r="AJ33" s="1598" t="s">
        <v>4926</v>
      </c>
      <c r="AK33" s="213"/>
      <c r="AL33" s="1574" t="s">
        <v>5458</v>
      </c>
    </row>
    <row r="34" spans="1:38" ht="9.9499999999999993" customHeight="1" x14ac:dyDescent="0.25">
      <c r="A34" s="1616"/>
      <c r="B34" s="1617"/>
      <c r="C34" s="1575"/>
      <c r="D34" s="1575"/>
      <c r="E34" s="1575"/>
      <c r="F34" s="850"/>
      <c r="G34" s="851"/>
      <c r="H34" s="850"/>
      <c r="I34" s="1575"/>
      <c r="J34" s="850"/>
      <c r="K34" s="851"/>
      <c r="L34" s="850"/>
      <c r="M34" s="1575"/>
      <c r="N34" s="850"/>
      <c r="O34" s="851"/>
      <c r="P34" s="850"/>
      <c r="Q34" s="1575"/>
      <c r="R34" s="850"/>
      <c r="S34" s="851"/>
      <c r="T34" s="850"/>
      <c r="U34" s="1575"/>
      <c r="V34" s="850"/>
      <c r="W34" s="851"/>
      <c r="X34" s="850"/>
      <c r="Y34" s="1575"/>
      <c r="Z34" s="850"/>
      <c r="AA34" s="851"/>
      <c r="AB34" s="850"/>
      <c r="AC34" s="1575"/>
      <c r="AD34" s="850"/>
      <c r="AE34" s="851"/>
      <c r="AF34" s="850"/>
      <c r="AG34" s="1575"/>
      <c r="AH34" s="1575"/>
      <c r="AI34" s="213"/>
      <c r="AJ34" s="1599"/>
      <c r="AK34" s="213"/>
      <c r="AL34" s="1575"/>
    </row>
    <row r="35" spans="1:38" ht="9.9499999999999993" customHeight="1" x14ac:dyDescent="0.25">
      <c r="A35" s="1616"/>
      <c r="B35" s="1617"/>
      <c r="C35" s="1576"/>
      <c r="D35" s="1576"/>
      <c r="E35" s="1576"/>
      <c r="F35" s="849"/>
      <c r="G35" s="849"/>
      <c r="H35" s="849"/>
      <c r="I35" s="1576"/>
      <c r="J35" s="849"/>
      <c r="K35" s="849"/>
      <c r="L35" s="849"/>
      <c r="M35" s="1576"/>
      <c r="N35" s="849"/>
      <c r="O35" s="849"/>
      <c r="P35" s="849"/>
      <c r="Q35" s="1576"/>
      <c r="R35" s="849"/>
      <c r="S35" s="849"/>
      <c r="T35" s="849"/>
      <c r="U35" s="1576"/>
      <c r="V35" s="849"/>
      <c r="W35" s="849"/>
      <c r="X35" s="849"/>
      <c r="Y35" s="1576"/>
      <c r="Z35" s="849"/>
      <c r="AA35" s="849"/>
      <c r="AB35" s="849"/>
      <c r="AC35" s="1576"/>
      <c r="AD35" s="849"/>
      <c r="AE35" s="849"/>
      <c r="AF35" s="849"/>
      <c r="AG35" s="1576"/>
      <c r="AH35" s="1576"/>
      <c r="AI35" s="213"/>
      <c r="AJ35" s="1600"/>
      <c r="AK35" s="213"/>
      <c r="AL35" s="1576"/>
    </row>
    <row r="36" spans="1:38" ht="9.9499999999999993" customHeight="1" x14ac:dyDescent="0.25">
      <c r="A36" s="270"/>
      <c r="B36" s="270"/>
      <c r="C36" s="270"/>
      <c r="D36" s="270"/>
      <c r="E36" s="270"/>
      <c r="F36" s="270"/>
      <c r="G36" s="270"/>
      <c r="H36" s="270"/>
      <c r="I36" s="270"/>
      <c r="J36" s="270"/>
      <c r="K36" s="270"/>
      <c r="L36" s="270"/>
      <c r="M36" s="270"/>
      <c r="N36" s="270"/>
      <c r="O36" s="850"/>
      <c r="P36" s="850"/>
      <c r="Q36" s="876"/>
      <c r="R36" s="850"/>
      <c r="S36" s="850"/>
      <c r="T36" s="850"/>
      <c r="U36" s="876"/>
      <c r="V36" s="850"/>
      <c r="W36" s="850"/>
      <c r="X36" s="850"/>
      <c r="Y36" s="876"/>
      <c r="Z36" s="850"/>
      <c r="AA36" s="850"/>
      <c r="AB36" s="850"/>
      <c r="AC36" s="876"/>
      <c r="AD36" s="850"/>
      <c r="AE36" s="850"/>
      <c r="AF36" s="850"/>
      <c r="AG36" s="876"/>
      <c r="AH36" s="876"/>
      <c r="AI36" s="213"/>
      <c r="AJ36" s="213"/>
      <c r="AK36" s="213"/>
      <c r="AL36" s="270"/>
    </row>
    <row r="37" spans="1:38" ht="9.9499999999999993" customHeight="1" x14ac:dyDescent="0.25">
      <c r="A37" s="1616">
        <v>8</v>
      </c>
      <c r="B37" s="1617">
        <v>2</v>
      </c>
      <c r="C37" s="1574" t="s">
        <v>5464</v>
      </c>
      <c r="D37" s="1574" t="s">
        <v>5459</v>
      </c>
      <c r="E37" s="1574" t="s">
        <v>5</v>
      </c>
      <c r="F37" s="849"/>
      <c r="G37" s="849"/>
      <c r="H37" s="849"/>
      <c r="I37" s="1574"/>
      <c r="J37" s="849"/>
      <c r="K37" s="849"/>
      <c r="L37" s="849"/>
      <c r="M37" s="1574"/>
      <c r="N37" s="849"/>
      <c r="O37" s="849"/>
      <c r="P37" s="849"/>
      <c r="Q37" s="1574"/>
      <c r="R37" s="849"/>
      <c r="S37" s="849"/>
      <c r="T37" s="849"/>
      <c r="U37" s="1574"/>
      <c r="V37" s="849"/>
      <c r="W37" s="849"/>
      <c r="X37" s="849"/>
      <c r="Y37" s="1574"/>
      <c r="Z37" s="849"/>
      <c r="AA37" s="849"/>
      <c r="AB37" s="849"/>
      <c r="AC37" s="1574"/>
      <c r="AD37" s="849"/>
      <c r="AE37" s="849"/>
      <c r="AF37" s="849"/>
      <c r="AG37" s="1574"/>
      <c r="AH37" s="1574"/>
      <c r="AI37" s="213"/>
      <c r="AJ37" s="1592" t="s">
        <v>5359</v>
      </c>
      <c r="AK37" s="213"/>
      <c r="AL37" s="1574" t="s">
        <v>5463</v>
      </c>
    </row>
    <row r="38" spans="1:38" ht="9.9499999999999993" customHeight="1" x14ac:dyDescent="0.25">
      <c r="A38" s="1616"/>
      <c r="B38" s="1617"/>
      <c r="C38" s="1575"/>
      <c r="D38" s="1575"/>
      <c r="E38" s="1575"/>
      <c r="F38" s="850"/>
      <c r="G38" s="851"/>
      <c r="H38" s="850"/>
      <c r="I38" s="1575"/>
      <c r="J38" s="850"/>
      <c r="K38" s="851"/>
      <c r="L38" s="850"/>
      <c r="M38" s="1575"/>
      <c r="N38" s="850"/>
      <c r="O38" s="851"/>
      <c r="P38" s="850"/>
      <c r="Q38" s="1575"/>
      <c r="R38" s="850"/>
      <c r="S38" s="851"/>
      <c r="T38" s="850"/>
      <c r="U38" s="1575"/>
      <c r="V38" s="850"/>
      <c r="W38" s="851"/>
      <c r="X38" s="850"/>
      <c r="Y38" s="1575"/>
      <c r="Z38" s="850"/>
      <c r="AA38" s="851"/>
      <c r="AB38" s="850"/>
      <c r="AC38" s="1575"/>
      <c r="AD38" s="850"/>
      <c r="AE38" s="851"/>
      <c r="AF38" s="850"/>
      <c r="AG38" s="1575"/>
      <c r="AH38" s="1575"/>
      <c r="AI38" s="213"/>
      <c r="AJ38" s="1593"/>
      <c r="AK38" s="213"/>
      <c r="AL38" s="1575"/>
    </row>
    <row r="39" spans="1:38" ht="9.9499999999999993" customHeight="1" x14ac:dyDescent="0.25">
      <c r="A39" s="1616"/>
      <c r="B39" s="1617"/>
      <c r="C39" s="1576"/>
      <c r="D39" s="1576"/>
      <c r="E39" s="1576"/>
      <c r="F39" s="849"/>
      <c r="G39" s="849"/>
      <c r="H39" s="849"/>
      <c r="I39" s="1576"/>
      <c r="J39" s="849"/>
      <c r="K39" s="849"/>
      <c r="L39" s="849"/>
      <c r="M39" s="1576"/>
      <c r="N39" s="849"/>
      <c r="O39" s="849"/>
      <c r="P39" s="849"/>
      <c r="Q39" s="1576"/>
      <c r="R39" s="849"/>
      <c r="S39" s="849"/>
      <c r="T39" s="849"/>
      <c r="U39" s="1576"/>
      <c r="V39" s="849"/>
      <c r="W39" s="849"/>
      <c r="X39" s="849"/>
      <c r="Y39" s="1576"/>
      <c r="Z39" s="849"/>
      <c r="AA39" s="849"/>
      <c r="AB39" s="849"/>
      <c r="AC39" s="1576"/>
      <c r="AD39" s="849"/>
      <c r="AE39" s="849"/>
      <c r="AF39" s="849"/>
      <c r="AG39" s="1576"/>
      <c r="AH39" s="1576"/>
      <c r="AI39" s="213"/>
      <c r="AJ39" s="1594"/>
      <c r="AK39" s="213"/>
      <c r="AL39" s="1576"/>
    </row>
    <row r="40" spans="1:38" ht="9.9499999999999993" customHeight="1" x14ac:dyDescent="0.25">
      <c r="A40" s="270"/>
      <c r="B40" s="270"/>
      <c r="C40" s="270"/>
      <c r="D40" s="270"/>
      <c r="E40" s="270"/>
      <c r="F40" s="270"/>
      <c r="G40" s="270"/>
      <c r="H40" s="270"/>
      <c r="I40" s="270"/>
      <c r="J40" s="270"/>
      <c r="K40" s="270"/>
      <c r="L40" s="270"/>
      <c r="M40" s="270"/>
      <c r="N40" s="270"/>
      <c r="O40" s="850"/>
      <c r="P40" s="850"/>
      <c r="Q40" s="876"/>
      <c r="R40" s="850"/>
      <c r="S40" s="850"/>
      <c r="T40" s="850"/>
      <c r="U40" s="876"/>
      <c r="V40" s="850"/>
      <c r="W40" s="850"/>
      <c r="X40" s="850"/>
      <c r="Y40" s="876"/>
      <c r="Z40" s="850"/>
      <c r="AA40" s="850"/>
      <c r="AB40" s="850"/>
      <c r="AC40" s="876"/>
      <c r="AD40" s="850"/>
      <c r="AE40" s="850"/>
      <c r="AF40" s="850"/>
      <c r="AG40" s="876"/>
      <c r="AH40" s="876"/>
      <c r="AI40" s="213"/>
      <c r="AJ40" s="213"/>
      <c r="AK40" s="213"/>
      <c r="AL40" s="270"/>
    </row>
    <row r="41" spans="1:38" ht="9.9499999999999993" customHeight="1" x14ac:dyDescent="0.25">
      <c r="A41" s="1616">
        <v>9</v>
      </c>
      <c r="B41" s="1617">
        <v>2</v>
      </c>
      <c r="C41" s="1574" t="s">
        <v>5465</v>
      </c>
      <c r="D41" s="1574" t="s">
        <v>5459</v>
      </c>
      <c r="E41" s="1574" t="s">
        <v>5</v>
      </c>
      <c r="F41" s="849"/>
      <c r="G41" s="849"/>
      <c r="H41" s="849"/>
      <c r="I41" s="1574"/>
      <c r="J41" s="849"/>
      <c r="K41" s="849"/>
      <c r="L41" s="849"/>
      <c r="M41" s="1574"/>
      <c r="N41" s="849"/>
      <c r="O41" s="849"/>
      <c r="P41" s="849"/>
      <c r="Q41" s="1574"/>
      <c r="R41" s="849"/>
      <c r="S41" s="849"/>
      <c r="T41" s="849"/>
      <c r="U41" s="1574"/>
      <c r="V41" s="849"/>
      <c r="W41" s="849"/>
      <c r="X41" s="849"/>
      <c r="Y41" s="1574"/>
      <c r="Z41" s="849"/>
      <c r="AA41" s="849"/>
      <c r="AB41" s="849"/>
      <c r="AC41" s="1574"/>
      <c r="AD41" s="849"/>
      <c r="AE41" s="849"/>
      <c r="AF41" s="849"/>
      <c r="AG41" s="1574"/>
      <c r="AH41" s="1574"/>
      <c r="AI41" s="213"/>
      <c r="AJ41" s="1601" t="s">
        <v>5363</v>
      </c>
      <c r="AK41" s="213"/>
      <c r="AL41" s="1574" t="s">
        <v>5464</v>
      </c>
    </row>
    <row r="42" spans="1:38" ht="9.9499999999999993" customHeight="1" x14ac:dyDescent="0.25">
      <c r="A42" s="1616"/>
      <c r="B42" s="1617"/>
      <c r="C42" s="1575"/>
      <c r="D42" s="1575"/>
      <c r="E42" s="1575"/>
      <c r="F42" s="850"/>
      <c r="G42" s="851"/>
      <c r="H42" s="850"/>
      <c r="I42" s="1575"/>
      <c r="J42" s="850"/>
      <c r="K42" s="851"/>
      <c r="L42" s="850"/>
      <c r="M42" s="1575"/>
      <c r="N42" s="850"/>
      <c r="O42" s="851"/>
      <c r="P42" s="850"/>
      <c r="Q42" s="1575"/>
      <c r="R42" s="850"/>
      <c r="S42" s="851"/>
      <c r="T42" s="850"/>
      <c r="U42" s="1575"/>
      <c r="V42" s="850"/>
      <c r="W42" s="851"/>
      <c r="X42" s="850"/>
      <c r="Y42" s="1575"/>
      <c r="Z42" s="850"/>
      <c r="AA42" s="851"/>
      <c r="AB42" s="850"/>
      <c r="AC42" s="1575"/>
      <c r="AD42" s="850"/>
      <c r="AE42" s="851"/>
      <c r="AF42" s="850"/>
      <c r="AG42" s="1575"/>
      <c r="AH42" s="1575"/>
      <c r="AI42" s="213"/>
      <c r="AJ42" s="1602"/>
      <c r="AK42" s="213"/>
      <c r="AL42" s="1575"/>
    </row>
    <row r="43" spans="1:38" ht="9.9499999999999993" customHeight="1" x14ac:dyDescent="0.25">
      <c r="A43" s="1616"/>
      <c r="B43" s="1617"/>
      <c r="C43" s="1576"/>
      <c r="D43" s="1576"/>
      <c r="E43" s="1576"/>
      <c r="F43" s="849"/>
      <c r="G43" s="849"/>
      <c r="H43" s="849"/>
      <c r="I43" s="1576"/>
      <c r="J43" s="849"/>
      <c r="K43" s="849"/>
      <c r="L43" s="849"/>
      <c r="M43" s="1576"/>
      <c r="N43" s="849"/>
      <c r="O43" s="849"/>
      <c r="P43" s="849"/>
      <c r="Q43" s="1576"/>
      <c r="R43" s="849"/>
      <c r="S43" s="849"/>
      <c r="T43" s="849"/>
      <c r="U43" s="1576"/>
      <c r="V43" s="849"/>
      <c r="W43" s="849"/>
      <c r="X43" s="849"/>
      <c r="Y43" s="1576"/>
      <c r="Z43" s="849"/>
      <c r="AA43" s="849"/>
      <c r="AB43" s="849"/>
      <c r="AC43" s="1576"/>
      <c r="AD43" s="849"/>
      <c r="AE43" s="849"/>
      <c r="AF43" s="849"/>
      <c r="AG43" s="1576"/>
      <c r="AH43" s="1576"/>
      <c r="AI43" s="213"/>
      <c r="AJ43" s="1603"/>
      <c r="AK43" s="213"/>
      <c r="AL43" s="1576"/>
    </row>
    <row r="44" spans="1:38" ht="9.9499999999999993" customHeight="1" x14ac:dyDescent="0.25">
      <c r="A44" s="270"/>
      <c r="B44" s="270"/>
      <c r="C44" s="270"/>
      <c r="D44" s="270"/>
      <c r="E44" s="270"/>
      <c r="F44" s="270"/>
      <c r="G44" s="270"/>
      <c r="H44" s="270"/>
      <c r="I44" s="270"/>
      <c r="J44" s="270"/>
      <c r="K44" s="270"/>
      <c r="L44" s="270"/>
      <c r="M44" s="270"/>
      <c r="N44" s="270"/>
      <c r="O44" s="850"/>
      <c r="P44" s="850"/>
      <c r="Q44" s="876"/>
      <c r="R44" s="850"/>
      <c r="S44" s="850"/>
      <c r="T44" s="850"/>
      <c r="U44" s="876"/>
      <c r="V44" s="850"/>
      <c r="W44" s="850"/>
      <c r="X44" s="850"/>
      <c r="Y44" s="876"/>
      <c r="Z44" s="850"/>
      <c r="AA44" s="850"/>
      <c r="AB44" s="850"/>
      <c r="AC44" s="876"/>
      <c r="AD44" s="850"/>
      <c r="AE44" s="850"/>
      <c r="AF44" s="850"/>
      <c r="AG44" s="876"/>
      <c r="AH44" s="876"/>
      <c r="AI44" s="213"/>
      <c r="AJ44" s="270"/>
      <c r="AK44" s="213"/>
      <c r="AL44" s="270"/>
    </row>
    <row r="45" spans="1:38" ht="9.9499999999999993" customHeight="1" x14ac:dyDescent="0.25">
      <c r="A45" s="1616">
        <v>10</v>
      </c>
      <c r="B45" s="1617">
        <v>2</v>
      </c>
      <c r="C45" s="1574" t="s">
        <v>5466</v>
      </c>
      <c r="D45" s="1574" t="s">
        <v>5459</v>
      </c>
      <c r="E45" s="1574" t="s">
        <v>5</v>
      </c>
      <c r="F45" s="849"/>
      <c r="G45" s="849"/>
      <c r="H45" s="849"/>
      <c r="I45" s="1574"/>
      <c r="J45" s="849"/>
      <c r="K45" s="849"/>
      <c r="L45" s="849"/>
      <c r="M45" s="1574"/>
      <c r="N45" s="849"/>
      <c r="O45" s="849"/>
      <c r="P45" s="849"/>
      <c r="Q45" s="1574"/>
      <c r="R45" s="849"/>
      <c r="S45" s="849"/>
      <c r="T45" s="849"/>
      <c r="U45" s="1574"/>
      <c r="V45" s="849"/>
      <c r="W45" s="849"/>
      <c r="X45" s="849"/>
      <c r="Y45" s="1574"/>
      <c r="Z45" s="849"/>
      <c r="AA45" s="849"/>
      <c r="AB45" s="849"/>
      <c r="AC45" s="1574"/>
      <c r="AD45" s="849"/>
      <c r="AE45" s="849"/>
      <c r="AF45" s="849"/>
      <c r="AG45" s="1574"/>
      <c r="AH45" s="1574"/>
      <c r="AI45" s="213"/>
      <c r="AJ45" s="1601" t="s">
        <v>5539</v>
      </c>
      <c r="AK45" s="213"/>
      <c r="AL45" s="1574" t="s">
        <v>5465</v>
      </c>
    </row>
    <row r="46" spans="1:38" ht="9.9499999999999993" customHeight="1" x14ac:dyDescent="0.25">
      <c r="A46" s="1616"/>
      <c r="B46" s="1617"/>
      <c r="C46" s="1575"/>
      <c r="D46" s="1575"/>
      <c r="E46" s="1575"/>
      <c r="F46" s="850"/>
      <c r="G46" s="851"/>
      <c r="H46" s="850"/>
      <c r="I46" s="1575"/>
      <c r="J46" s="850"/>
      <c r="K46" s="851"/>
      <c r="L46" s="850"/>
      <c r="M46" s="1575"/>
      <c r="N46" s="850"/>
      <c r="O46" s="851"/>
      <c r="P46" s="850"/>
      <c r="Q46" s="1575"/>
      <c r="R46" s="850"/>
      <c r="S46" s="851"/>
      <c r="T46" s="850"/>
      <c r="U46" s="1575"/>
      <c r="V46" s="850"/>
      <c r="W46" s="851"/>
      <c r="X46" s="850"/>
      <c r="Y46" s="1575"/>
      <c r="Z46" s="850"/>
      <c r="AA46" s="851"/>
      <c r="AB46" s="850"/>
      <c r="AC46" s="1575"/>
      <c r="AD46" s="850"/>
      <c r="AE46" s="851"/>
      <c r="AF46" s="850"/>
      <c r="AG46" s="1575"/>
      <c r="AH46" s="1575"/>
      <c r="AI46" s="213"/>
      <c r="AJ46" s="1602"/>
      <c r="AK46" s="213"/>
      <c r="AL46" s="1575"/>
    </row>
    <row r="47" spans="1:38" ht="9.9499999999999993" customHeight="1" x14ac:dyDescent="0.25">
      <c r="A47" s="1616"/>
      <c r="B47" s="1617"/>
      <c r="C47" s="1576"/>
      <c r="D47" s="1576"/>
      <c r="E47" s="1576"/>
      <c r="F47" s="849"/>
      <c r="G47" s="849"/>
      <c r="H47" s="849"/>
      <c r="I47" s="1576"/>
      <c r="J47" s="849"/>
      <c r="K47" s="849"/>
      <c r="L47" s="849"/>
      <c r="M47" s="1576"/>
      <c r="N47" s="849"/>
      <c r="O47" s="849"/>
      <c r="P47" s="849"/>
      <c r="Q47" s="1576"/>
      <c r="R47" s="849"/>
      <c r="S47" s="849"/>
      <c r="T47" s="849"/>
      <c r="U47" s="1576"/>
      <c r="V47" s="849"/>
      <c r="W47" s="849"/>
      <c r="X47" s="849"/>
      <c r="Y47" s="1576"/>
      <c r="Z47" s="849"/>
      <c r="AA47" s="849"/>
      <c r="AB47" s="849"/>
      <c r="AC47" s="1576"/>
      <c r="AD47" s="849"/>
      <c r="AE47" s="849"/>
      <c r="AF47" s="849"/>
      <c r="AG47" s="1576"/>
      <c r="AH47" s="1576"/>
      <c r="AI47" s="213"/>
      <c r="AJ47" s="1603"/>
      <c r="AK47" s="213"/>
      <c r="AL47" s="1576"/>
    </row>
    <row r="48" spans="1:38" ht="9.9499999999999993" customHeight="1" x14ac:dyDescent="0.25">
      <c r="A48" s="270"/>
      <c r="B48" s="270"/>
      <c r="C48" s="270"/>
      <c r="D48" s="270"/>
      <c r="E48" s="270"/>
      <c r="F48" s="270"/>
      <c r="G48" s="270"/>
      <c r="H48" s="270"/>
      <c r="I48" s="270"/>
      <c r="J48" s="270"/>
      <c r="K48" s="270"/>
      <c r="L48" s="270"/>
      <c r="M48" s="270"/>
      <c r="N48" s="270"/>
      <c r="O48" s="850"/>
      <c r="P48" s="850"/>
      <c r="Q48" s="876"/>
      <c r="R48" s="850"/>
      <c r="S48" s="850"/>
      <c r="T48" s="850"/>
      <c r="U48" s="876"/>
      <c r="V48" s="850"/>
      <c r="W48" s="850"/>
      <c r="X48" s="850"/>
      <c r="Y48" s="876"/>
      <c r="Z48" s="850"/>
      <c r="AA48" s="850"/>
      <c r="AB48" s="850"/>
      <c r="AC48" s="876"/>
      <c r="AD48" s="850"/>
      <c r="AE48" s="850"/>
      <c r="AF48" s="850"/>
      <c r="AG48" s="876"/>
      <c r="AH48" s="876"/>
      <c r="AI48" s="213"/>
      <c r="AJ48" s="213"/>
      <c r="AK48" s="213"/>
      <c r="AL48" s="270"/>
    </row>
    <row r="49" spans="1:38" ht="9.9499999999999993" customHeight="1" x14ac:dyDescent="0.25">
      <c r="A49" s="1616">
        <v>11</v>
      </c>
      <c r="B49" s="1617">
        <v>3</v>
      </c>
      <c r="C49" s="1574" t="s">
        <v>5458</v>
      </c>
      <c r="D49" s="1574" t="s">
        <v>5459</v>
      </c>
      <c r="E49" s="1574" t="s">
        <v>5</v>
      </c>
      <c r="F49" s="849"/>
      <c r="G49" s="849"/>
      <c r="H49" s="849"/>
      <c r="I49" s="1574"/>
      <c r="J49" s="849"/>
      <c r="K49" s="849"/>
      <c r="L49" s="849"/>
      <c r="M49" s="1574"/>
      <c r="N49" s="849"/>
      <c r="O49" s="849"/>
      <c r="P49" s="849"/>
      <c r="Q49" s="1574"/>
      <c r="R49" s="849"/>
      <c r="S49" s="849"/>
      <c r="T49" s="849"/>
      <c r="U49" s="1574"/>
      <c r="V49" s="849"/>
      <c r="W49" s="849"/>
      <c r="X49" s="849"/>
      <c r="Y49" s="1574"/>
      <c r="Z49" s="849"/>
      <c r="AA49" s="849"/>
      <c r="AB49" s="849"/>
      <c r="AC49" s="1574"/>
      <c r="AD49" s="849"/>
      <c r="AE49" s="849"/>
      <c r="AF49" s="849"/>
      <c r="AG49" s="1574"/>
      <c r="AH49" s="1574"/>
      <c r="AI49" s="213"/>
      <c r="AJ49" s="1601" t="s">
        <v>5471</v>
      </c>
      <c r="AK49" s="213"/>
      <c r="AL49" s="1574" t="s">
        <v>5466</v>
      </c>
    </row>
    <row r="50" spans="1:38" ht="9.9499999999999993" customHeight="1" x14ac:dyDescent="0.25">
      <c r="A50" s="1616"/>
      <c r="B50" s="1617"/>
      <c r="C50" s="1575"/>
      <c r="D50" s="1575"/>
      <c r="E50" s="1575"/>
      <c r="F50" s="850"/>
      <c r="G50" s="851"/>
      <c r="H50" s="850"/>
      <c r="I50" s="1575"/>
      <c r="J50" s="850"/>
      <c r="K50" s="851"/>
      <c r="L50" s="850"/>
      <c r="M50" s="1575"/>
      <c r="N50" s="850"/>
      <c r="O50" s="851"/>
      <c r="P50" s="850"/>
      <c r="Q50" s="1575"/>
      <c r="R50" s="850"/>
      <c r="S50" s="851"/>
      <c r="T50" s="850"/>
      <c r="U50" s="1575"/>
      <c r="V50" s="850"/>
      <c r="W50" s="851"/>
      <c r="X50" s="850"/>
      <c r="Y50" s="1575"/>
      <c r="Z50" s="850"/>
      <c r="AA50" s="851"/>
      <c r="AB50" s="850"/>
      <c r="AC50" s="1575"/>
      <c r="AD50" s="850"/>
      <c r="AE50" s="851"/>
      <c r="AF50" s="850"/>
      <c r="AG50" s="1575"/>
      <c r="AH50" s="1575"/>
      <c r="AI50" s="213"/>
      <c r="AJ50" s="1602"/>
      <c r="AK50" s="213"/>
      <c r="AL50" s="1575"/>
    </row>
    <row r="51" spans="1:38" ht="9.9499999999999993" customHeight="1" x14ac:dyDescent="0.25">
      <c r="A51" s="1616"/>
      <c r="B51" s="1617"/>
      <c r="C51" s="1576"/>
      <c r="D51" s="1576"/>
      <c r="E51" s="1576"/>
      <c r="F51" s="849"/>
      <c r="G51" s="849"/>
      <c r="H51" s="849"/>
      <c r="I51" s="1576"/>
      <c r="J51" s="849"/>
      <c r="K51" s="849"/>
      <c r="L51" s="849"/>
      <c r="M51" s="1576"/>
      <c r="N51" s="849"/>
      <c r="O51" s="849"/>
      <c r="P51" s="849"/>
      <c r="Q51" s="1576"/>
      <c r="R51" s="849"/>
      <c r="S51" s="849"/>
      <c r="T51" s="849"/>
      <c r="U51" s="1576"/>
      <c r="V51" s="849"/>
      <c r="W51" s="849"/>
      <c r="X51" s="849"/>
      <c r="Y51" s="1576"/>
      <c r="Z51" s="849"/>
      <c r="AA51" s="849"/>
      <c r="AB51" s="849"/>
      <c r="AC51" s="1576"/>
      <c r="AD51" s="849"/>
      <c r="AE51" s="849"/>
      <c r="AF51" s="849"/>
      <c r="AG51" s="1576"/>
      <c r="AH51" s="1576"/>
      <c r="AI51" s="213"/>
      <c r="AJ51" s="1603"/>
      <c r="AK51" s="213"/>
      <c r="AL51" s="1576"/>
    </row>
    <row r="52" spans="1:38" ht="9.9499999999999993" customHeight="1" x14ac:dyDescent="0.25">
      <c r="A52" s="270"/>
      <c r="B52" s="270"/>
      <c r="C52" s="270"/>
      <c r="D52" s="270"/>
      <c r="E52" s="270"/>
      <c r="F52" s="270"/>
      <c r="G52" s="270"/>
      <c r="H52" s="270"/>
      <c r="I52" s="270"/>
      <c r="J52" s="270"/>
      <c r="K52" s="270"/>
      <c r="L52" s="270"/>
      <c r="M52" s="270"/>
      <c r="N52" s="270"/>
      <c r="O52" s="850"/>
      <c r="P52" s="850"/>
      <c r="Q52" s="876"/>
      <c r="R52" s="850"/>
      <c r="S52" s="850"/>
      <c r="T52" s="850"/>
      <c r="U52" s="876"/>
      <c r="V52" s="850"/>
      <c r="W52" s="850"/>
      <c r="X52" s="850"/>
      <c r="Y52" s="876"/>
      <c r="Z52" s="850"/>
      <c r="AA52" s="850"/>
      <c r="AB52" s="850"/>
      <c r="AC52" s="876"/>
      <c r="AD52" s="850"/>
      <c r="AE52" s="850"/>
      <c r="AF52" s="850"/>
      <c r="AG52" s="876"/>
      <c r="AH52" s="876"/>
      <c r="AI52" s="213"/>
      <c r="AJ52" s="213"/>
      <c r="AK52" s="213"/>
      <c r="AL52" s="213"/>
    </row>
    <row r="53" spans="1:38" ht="9.9499999999999993" customHeight="1" x14ac:dyDescent="0.25">
      <c r="A53" s="1616">
        <v>12</v>
      </c>
      <c r="B53" s="1617">
        <v>3</v>
      </c>
      <c r="C53" s="1574" t="s">
        <v>5463</v>
      </c>
      <c r="D53" s="1574" t="s">
        <v>5459</v>
      </c>
      <c r="E53" s="1574" t="s">
        <v>5</v>
      </c>
      <c r="F53" s="849"/>
      <c r="G53" s="849"/>
      <c r="H53" s="849"/>
      <c r="I53" s="1574"/>
      <c r="J53" s="849"/>
      <c r="K53" s="849"/>
      <c r="L53" s="849"/>
      <c r="M53" s="1574"/>
      <c r="N53" s="849"/>
      <c r="O53" s="849"/>
      <c r="P53" s="849"/>
      <c r="Q53" s="1574"/>
      <c r="R53" s="849"/>
      <c r="S53" s="849"/>
      <c r="T53" s="849"/>
      <c r="U53" s="1574"/>
      <c r="V53" s="849"/>
      <c r="W53" s="849"/>
      <c r="X53" s="849"/>
      <c r="Y53" s="1574"/>
      <c r="Z53" s="849"/>
      <c r="AA53" s="849"/>
      <c r="AB53" s="849"/>
      <c r="AC53" s="1574"/>
      <c r="AD53" s="849"/>
      <c r="AE53" s="849"/>
      <c r="AF53" s="849"/>
      <c r="AG53" s="1574"/>
      <c r="AH53" s="1574"/>
      <c r="AI53" s="213"/>
      <c r="AJ53" s="1604" t="s">
        <v>5386</v>
      </c>
      <c r="AK53" s="213"/>
      <c r="AL53" s="1574" t="s">
        <v>5459</v>
      </c>
    </row>
    <row r="54" spans="1:38" ht="9.9499999999999993" customHeight="1" x14ac:dyDescent="0.25">
      <c r="A54" s="1616"/>
      <c r="B54" s="1617"/>
      <c r="C54" s="1575"/>
      <c r="D54" s="1575"/>
      <c r="E54" s="1575"/>
      <c r="F54" s="850"/>
      <c r="G54" s="851"/>
      <c r="H54" s="850"/>
      <c r="I54" s="1575"/>
      <c r="J54" s="850"/>
      <c r="K54" s="851"/>
      <c r="L54" s="850"/>
      <c r="M54" s="1575"/>
      <c r="N54" s="850"/>
      <c r="O54" s="851"/>
      <c r="P54" s="850"/>
      <c r="Q54" s="1575"/>
      <c r="R54" s="850"/>
      <c r="S54" s="851"/>
      <c r="T54" s="850"/>
      <c r="U54" s="1575"/>
      <c r="V54" s="850"/>
      <c r="W54" s="851"/>
      <c r="X54" s="850"/>
      <c r="Y54" s="1575"/>
      <c r="Z54" s="850"/>
      <c r="AA54" s="851"/>
      <c r="AB54" s="850"/>
      <c r="AC54" s="1575"/>
      <c r="AD54" s="850"/>
      <c r="AE54" s="851"/>
      <c r="AF54" s="850"/>
      <c r="AG54" s="1575"/>
      <c r="AH54" s="1575"/>
      <c r="AI54" s="213"/>
      <c r="AJ54" s="1605"/>
      <c r="AK54" s="213"/>
      <c r="AL54" s="1575"/>
    </row>
    <row r="55" spans="1:38" ht="9.9499999999999993" customHeight="1" x14ac:dyDescent="0.25">
      <c r="A55" s="1616"/>
      <c r="B55" s="1617"/>
      <c r="C55" s="1576"/>
      <c r="D55" s="1576"/>
      <c r="E55" s="1576"/>
      <c r="F55" s="849"/>
      <c r="G55" s="849"/>
      <c r="H55" s="849"/>
      <c r="I55" s="1576"/>
      <c r="J55" s="849"/>
      <c r="K55" s="849"/>
      <c r="L55" s="849"/>
      <c r="M55" s="1576"/>
      <c r="N55" s="849"/>
      <c r="O55" s="849"/>
      <c r="P55" s="849"/>
      <c r="Q55" s="1576"/>
      <c r="R55" s="849"/>
      <c r="S55" s="849"/>
      <c r="T55" s="849"/>
      <c r="U55" s="1576"/>
      <c r="V55" s="849"/>
      <c r="W55" s="849"/>
      <c r="X55" s="849"/>
      <c r="Y55" s="1576"/>
      <c r="Z55" s="849"/>
      <c r="AA55" s="849"/>
      <c r="AB55" s="849"/>
      <c r="AC55" s="1576"/>
      <c r="AD55" s="849"/>
      <c r="AE55" s="849"/>
      <c r="AF55" s="849"/>
      <c r="AG55" s="1576"/>
      <c r="AH55" s="1576"/>
      <c r="AI55" s="213"/>
      <c r="AJ55" s="1606"/>
      <c r="AK55" s="213"/>
      <c r="AL55" s="1576"/>
    </row>
    <row r="56" spans="1:38" ht="9.9499999999999993" customHeight="1" x14ac:dyDescent="0.25">
      <c r="A56" s="270"/>
      <c r="B56" s="270"/>
      <c r="C56" s="270"/>
      <c r="D56" s="270"/>
      <c r="E56" s="270"/>
      <c r="F56" s="270"/>
      <c r="G56" s="270"/>
      <c r="H56" s="270"/>
      <c r="I56" s="270"/>
      <c r="J56" s="270"/>
      <c r="K56" s="270"/>
      <c r="L56" s="270"/>
      <c r="M56" s="270"/>
      <c r="N56" s="270"/>
      <c r="O56" s="850"/>
      <c r="P56" s="850"/>
      <c r="Q56" s="876"/>
      <c r="R56" s="850"/>
      <c r="S56" s="850"/>
      <c r="T56" s="850"/>
      <c r="U56" s="876"/>
      <c r="V56" s="850"/>
      <c r="W56" s="850"/>
      <c r="X56" s="850"/>
      <c r="Y56" s="876"/>
      <c r="Z56" s="850"/>
      <c r="AA56" s="850"/>
      <c r="AB56" s="850"/>
      <c r="AC56" s="876"/>
      <c r="AD56" s="850"/>
      <c r="AE56" s="850"/>
      <c r="AF56" s="850"/>
      <c r="AG56" s="876"/>
      <c r="AH56" s="876"/>
      <c r="AI56" s="213"/>
      <c r="AJ56" s="876"/>
      <c r="AK56" s="213"/>
      <c r="AL56" s="270"/>
    </row>
    <row r="57" spans="1:38" ht="9.9499999999999993" customHeight="1" x14ac:dyDescent="0.25">
      <c r="A57" s="1616">
        <v>13</v>
      </c>
      <c r="B57" s="1617">
        <v>3</v>
      </c>
      <c r="C57" s="1574" t="s">
        <v>5464</v>
      </c>
      <c r="D57" s="1574" t="s">
        <v>5459</v>
      </c>
      <c r="E57" s="1574" t="s">
        <v>5</v>
      </c>
      <c r="F57" s="849"/>
      <c r="G57" s="849"/>
      <c r="H57" s="849"/>
      <c r="I57" s="1574"/>
      <c r="J57" s="849"/>
      <c r="K57" s="849"/>
      <c r="L57" s="849"/>
      <c r="M57" s="1574"/>
      <c r="N57" s="849"/>
      <c r="O57" s="849"/>
      <c r="P57" s="849"/>
      <c r="Q57" s="1574"/>
      <c r="R57" s="849"/>
      <c r="S57" s="849"/>
      <c r="T57" s="849"/>
      <c r="U57" s="1574"/>
      <c r="V57" s="849"/>
      <c r="W57" s="849"/>
      <c r="X57" s="849"/>
      <c r="Y57" s="1574"/>
      <c r="Z57" s="849"/>
      <c r="AA57" s="849"/>
      <c r="AB57" s="849"/>
      <c r="AC57" s="1574"/>
      <c r="AD57" s="849"/>
      <c r="AE57" s="849"/>
      <c r="AF57" s="849"/>
      <c r="AG57" s="1574"/>
      <c r="AH57" s="1574"/>
      <c r="AI57" s="213"/>
      <c r="AJ57" s="1577" t="s">
        <v>5389</v>
      </c>
      <c r="AK57" s="213"/>
      <c r="AL57" s="1574" t="s">
        <v>5589</v>
      </c>
    </row>
    <row r="58" spans="1:38" ht="9.9499999999999993" customHeight="1" x14ac:dyDescent="0.25">
      <c r="A58" s="1616"/>
      <c r="B58" s="1617"/>
      <c r="C58" s="1575"/>
      <c r="D58" s="1575"/>
      <c r="E58" s="1575"/>
      <c r="F58" s="850"/>
      <c r="G58" s="851"/>
      <c r="H58" s="850"/>
      <c r="I58" s="1575"/>
      <c r="J58" s="850"/>
      <c r="K58" s="851"/>
      <c r="L58" s="850"/>
      <c r="M58" s="1575"/>
      <c r="N58" s="850"/>
      <c r="O58" s="851"/>
      <c r="P58" s="850"/>
      <c r="Q58" s="1575"/>
      <c r="R58" s="850"/>
      <c r="S58" s="851"/>
      <c r="T58" s="850"/>
      <c r="U58" s="1575"/>
      <c r="V58" s="850"/>
      <c r="W58" s="851"/>
      <c r="X58" s="850"/>
      <c r="Y58" s="1575"/>
      <c r="Z58" s="850"/>
      <c r="AA58" s="851"/>
      <c r="AB58" s="850"/>
      <c r="AC58" s="1575"/>
      <c r="AD58" s="850"/>
      <c r="AE58" s="851"/>
      <c r="AF58" s="850"/>
      <c r="AG58" s="1575"/>
      <c r="AH58" s="1575"/>
      <c r="AI58" s="213"/>
      <c r="AJ58" s="1578"/>
      <c r="AK58" s="213"/>
      <c r="AL58" s="1575"/>
    </row>
    <row r="59" spans="1:38" ht="9.9499999999999993" customHeight="1" x14ac:dyDescent="0.25">
      <c r="A59" s="1616"/>
      <c r="B59" s="1617"/>
      <c r="C59" s="1576"/>
      <c r="D59" s="1576"/>
      <c r="E59" s="1576"/>
      <c r="F59" s="849"/>
      <c r="G59" s="849"/>
      <c r="H59" s="849"/>
      <c r="I59" s="1576"/>
      <c r="J59" s="849"/>
      <c r="K59" s="849"/>
      <c r="L59" s="849"/>
      <c r="M59" s="1576"/>
      <c r="N59" s="849"/>
      <c r="O59" s="849"/>
      <c r="P59" s="849"/>
      <c r="Q59" s="1576"/>
      <c r="R59" s="849"/>
      <c r="S59" s="849"/>
      <c r="T59" s="849"/>
      <c r="U59" s="1576"/>
      <c r="V59" s="849"/>
      <c r="W59" s="849"/>
      <c r="X59" s="849"/>
      <c r="Y59" s="1576"/>
      <c r="Z59" s="849"/>
      <c r="AA59" s="849"/>
      <c r="AB59" s="849"/>
      <c r="AC59" s="1576"/>
      <c r="AD59" s="849"/>
      <c r="AE59" s="849"/>
      <c r="AF59" s="849"/>
      <c r="AG59" s="1576"/>
      <c r="AH59" s="1576"/>
      <c r="AI59" s="213"/>
      <c r="AJ59" s="1579"/>
      <c r="AK59" s="213"/>
      <c r="AL59" s="1576"/>
    </row>
    <row r="60" spans="1:38" ht="9.9499999999999993" customHeight="1" x14ac:dyDescent="0.25">
      <c r="A60" s="270"/>
      <c r="B60" s="270"/>
      <c r="C60" s="270"/>
      <c r="D60" s="270"/>
      <c r="E60" s="270"/>
      <c r="F60" s="270"/>
      <c r="G60" s="270"/>
      <c r="H60" s="270"/>
      <c r="I60" s="270"/>
      <c r="J60" s="270"/>
      <c r="K60" s="270"/>
      <c r="L60" s="270"/>
      <c r="M60" s="270"/>
      <c r="N60" s="270"/>
      <c r="O60" s="850"/>
      <c r="P60" s="850"/>
      <c r="Q60" s="876"/>
      <c r="R60" s="850"/>
      <c r="S60" s="850"/>
      <c r="T60" s="850"/>
      <c r="U60" s="876"/>
      <c r="V60" s="850"/>
      <c r="W60" s="850"/>
      <c r="X60" s="850"/>
      <c r="Y60" s="876"/>
      <c r="Z60" s="850"/>
      <c r="AA60" s="850"/>
      <c r="AB60" s="850"/>
      <c r="AC60" s="876"/>
      <c r="AD60" s="850"/>
      <c r="AE60" s="850"/>
      <c r="AF60" s="850"/>
      <c r="AG60" s="876"/>
      <c r="AH60" s="876"/>
      <c r="AI60" s="213"/>
      <c r="AJ60" s="213"/>
      <c r="AK60" s="213"/>
      <c r="AL60" s="213"/>
    </row>
    <row r="61" spans="1:38" ht="9.9499999999999993" customHeight="1" x14ac:dyDescent="0.25">
      <c r="A61" s="1616">
        <v>14</v>
      </c>
      <c r="B61" s="1617">
        <v>3</v>
      </c>
      <c r="C61" s="1574" t="s">
        <v>5465</v>
      </c>
      <c r="D61" s="1574" t="s">
        <v>5459</v>
      </c>
      <c r="E61" s="1574" t="s">
        <v>5</v>
      </c>
      <c r="F61" s="849"/>
      <c r="G61" s="849"/>
      <c r="H61" s="849"/>
      <c r="I61" s="1574"/>
      <c r="J61" s="849"/>
      <c r="K61" s="849"/>
      <c r="L61" s="849"/>
      <c r="M61" s="1574"/>
      <c r="N61" s="849"/>
      <c r="O61" s="849"/>
      <c r="P61" s="849"/>
      <c r="Q61" s="1574"/>
      <c r="R61" s="849"/>
      <c r="S61" s="849"/>
      <c r="T61" s="849"/>
      <c r="U61" s="1574"/>
      <c r="V61" s="849"/>
      <c r="W61" s="849"/>
      <c r="X61" s="849"/>
      <c r="Y61" s="1574"/>
      <c r="Z61" s="849"/>
      <c r="AA61" s="849"/>
      <c r="AB61" s="849"/>
      <c r="AC61" s="1574"/>
      <c r="AD61" s="849"/>
      <c r="AE61" s="849"/>
      <c r="AF61" s="849"/>
      <c r="AG61" s="1574"/>
      <c r="AH61" s="1574"/>
      <c r="AI61" s="213"/>
      <c r="AJ61" s="1580" t="s">
        <v>5397</v>
      </c>
      <c r="AK61" s="213"/>
      <c r="AL61" s="213"/>
    </row>
    <row r="62" spans="1:38" ht="9.9499999999999993" customHeight="1" x14ac:dyDescent="0.25">
      <c r="A62" s="1616"/>
      <c r="B62" s="1617"/>
      <c r="C62" s="1575"/>
      <c r="D62" s="1575"/>
      <c r="E62" s="1575"/>
      <c r="F62" s="850"/>
      <c r="G62" s="851"/>
      <c r="H62" s="850"/>
      <c r="I62" s="1575"/>
      <c r="J62" s="850"/>
      <c r="K62" s="851"/>
      <c r="L62" s="850"/>
      <c r="M62" s="1575"/>
      <c r="N62" s="850"/>
      <c r="O62" s="851"/>
      <c r="P62" s="850"/>
      <c r="Q62" s="1575"/>
      <c r="R62" s="850"/>
      <c r="S62" s="851"/>
      <c r="T62" s="850"/>
      <c r="U62" s="1575"/>
      <c r="V62" s="850"/>
      <c r="W62" s="851"/>
      <c r="X62" s="850"/>
      <c r="Y62" s="1575"/>
      <c r="Z62" s="850"/>
      <c r="AA62" s="851"/>
      <c r="AB62" s="850"/>
      <c r="AC62" s="1575"/>
      <c r="AD62" s="850"/>
      <c r="AE62" s="851"/>
      <c r="AF62" s="850"/>
      <c r="AG62" s="1575"/>
      <c r="AH62" s="1575"/>
      <c r="AI62" s="213"/>
      <c r="AJ62" s="1581"/>
      <c r="AK62" s="213"/>
      <c r="AL62" s="213"/>
    </row>
    <row r="63" spans="1:38" ht="9.9499999999999993" customHeight="1" x14ac:dyDescent="0.25">
      <c r="A63" s="1616"/>
      <c r="B63" s="1617"/>
      <c r="C63" s="1576"/>
      <c r="D63" s="1576"/>
      <c r="E63" s="1576"/>
      <c r="F63" s="849"/>
      <c r="G63" s="849"/>
      <c r="H63" s="849"/>
      <c r="I63" s="1576"/>
      <c r="J63" s="849"/>
      <c r="K63" s="849"/>
      <c r="L63" s="849"/>
      <c r="M63" s="1576"/>
      <c r="N63" s="849"/>
      <c r="O63" s="849"/>
      <c r="P63" s="849"/>
      <c r="Q63" s="1576"/>
      <c r="R63" s="849"/>
      <c r="S63" s="849"/>
      <c r="T63" s="849"/>
      <c r="U63" s="1576"/>
      <c r="V63" s="849"/>
      <c r="W63" s="849"/>
      <c r="X63" s="849"/>
      <c r="Y63" s="1576"/>
      <c r="Z63" s="849"/>
      <c r="AA63" s="849"/>
      <c r="AB63" s="849"/>
      <c r="AC63" s="1576"/>
      <c r="AD63" s="849"/>
      <c r="AE63" s="849"/>
      <c r="AF63" s="849"/>
      <c r="AG63" s="1576"/>
      <c r="AH63" s="1576"/>
      <c r="AI63" s="213"/>
      <c r="AJ63" s="1582"/>
      <c r="AK63" s="213"/>
      <c r="AL63" s="213"/>
    </row>
    <row r="64" spans="1:38" ht="9.9499999999999993" customHeight="1" x14ac:dyDescent="0.25">
      <c r="A64" s="270"/>
      <c r="B64" s="270"/>
      <c r="C64" s="270"/>
      <c r="D64" s="270"/>
      <c r="E64" s="270"/>
      <c r="F64" s="270"/>
      <c r="G64" s="270"/>
      <c r="H64" s="270"/>
      <c r="I64" s="270"/>
      <c r="J64" s="270"/>
      <c r="K64" s="270"/>
      <c r="L64" s="270"/>
      <c r="M64" s="270"/>
      <c r="N64" s="270"/>
      <c r="O64" s="850"/>
      <c r="P64" s="850"/>
      <c r="Q64" s="876"/>
      <c r="R64" s="850"/>
      <c r="S64" s="850"/>
      <c r="T64" s="850"/>
      <c r="U64" s="876"/>
      <c r="V64" s="850"/>
      <c r="W64" s="850"/>
      <c r="X64" s="850"/>
      <c r="Y64" s="876"/>
      <c r="Z64" s="850"/>
      <c r="AA64" s="850"/>
      <c r="AB64" s="850"/>
      <c r="AC64" s="876"/>
      <c r="AD64" s="850"/>
      <c r="AE64" s="850"/>
      <c r="AF64" s="850"/>
      <c r="AG64" s="876"/>
      <c r="AH64" s="876"/>
      <c r="AI64" s="213"/>
      <c r="AJ64" s="213"/>
      <c r="AK64" s="213"/>
      <c r="AL64" s="213"/>
    </row>
    <row r="65" spans="1:38" ht="9.9499999999999993" customHeight="1" x14ac:dyDescent="0.25">
      <c r="A65" s="1616">
        <v>15</v>
      </c>
      <c r="B65" s="1617">
        <v>3</v>
      </c>
      <c r="C65" s="1574" t="s">
        <v>5466</v>
      </c>
      <c r="D65" s="1574" t="s">
        <v>5459</v>
      </c>
      <c r="E65" s="1574" t="s">
        <v>5</v>
      </c>
      <c r="F65" s="849"/>
      <c r="G65" s="849"/>
      <c r="H65" s="849"/>
      <c r="I65" s="1574"/>
      <c r="J65" s="849"/>
      <c r="K65" s="849"/>
      <c r="L65" s="849"/>
      <c r="M65" s="1574"/>
      <c r="N65" s="849"/>
      <c r="O65" s="849"/>
      <c r="P65" s="849"/>
      <c r="Q65" s="1574"/>
      <c r="R65" s="849"/>
      <c r="S65" s="849"/>
      <c r="T65" s="849"/>
      <c r="U65" s="1574"/>
      <c r="V65" s="849"/>
      <c r="W65" s="849"/>
      <c r="X65" s="849"/>
      <c r="Y65" s="1574"/>
      <c r="Z65" s="849"/>
      <c r="AA65" s="849"/>
      <c r="AB65" s="849"/>
      <c r="AC65" s="1574"/>
      <c r="AD65" s="849"/>
      <c r="AE65" s="849"/>
      <c r="AF65" s="849"/>
      <c r="AG65" s="1574"/>
      <c r="AH65" s="1574"/>
      <c r="AI65" s="213"/>
      <c r="AJ65" s="1583" t="s">
        <v>5403</v>
      </c>
      <c r="AK65" s="213"/>
      <c r="AL65" s="213"/>
    </row>
    <row r="66" spans="1:38" ht="9.9499999999999993" customHeight="1" x14ac:dyDescent="0.25">
      <c r="A66" s="1616"/>
      <c r="B66" s="1617"/>
      <c r="C66" s="1575"/>
      <c r="D66" s="1575"/>
      <c r="E66" s="1575"/>
      <c r="F66" s="850"/>
      <c r="G66" s="851"/>
      <c r="H66" s="850"/>
      <c r="I66" s="1575"/>
      <c r="J66" s="850"/>
      <c r="K66" s="851"/>
      <c r="L66" s="850"/>
      <c r="M66" s="1575"/>
      <c r="N66" s="850"/>
      <c r="O66" s="851"/>
      <c r="P66" s="850"/>
      <c r="Q66" s="1575"/>
      <c r="R66" s="850"/>
      <c r="S66" s="851"/>
      <c r="T66" s="850"/>
      <c r="U66" s="1575"/>
      <c r="V66" s="850"/>
      <c r="W66" s="851"/>
      <c r="X66" s="850"/>
      <c r="Y66" s="1575"/>
      <c r="Z66" s="850"/>
      <c r="AA66" s="851"/>
      <c r="AB66" s="850"/>
      <c r="AC66" s="1575"/>
      <c r="AD66" s="850"/>
      <c r="AE66" s="851"/>
      <c r="AF66" s="850"/>
      <c r="AG66" s="1575"/>
      <c r="AH66" s="1575"/>
      <c r="AI66" s="213"/>
      <c r="AJ66" s="1584"/>
      <c r="AK66" s="213"/>
      <c r="AL66" s="213"/>
    </row>
    <row r="67" spans="1:38" ht="9.9499999999999993" customHeight="1" x14ac:dyDescent="0.25">
      <c r="A67" s="1616"/>
      <c r="B67" s="1617"/>
      <c r="C67" s="1576"/>
      <c r="D67" s="1576"/>
      <c r="E67" s="1576"/>
      <c r="F67" s="849"/>
      <c r="G67" s="849"/>
      <c r="H67" s="849"/>
      <c r="I67" s="1576"/>
      <c r="J67" s="849"/>
      <c r="K67" s="849"/>
      <c r="L67" s="849"/>
      <c r="M67" s="1576"/>
      <c r="N67" s="849"/>
      <c r="O67" s="849"/>
      <c r="P67" s="849"/>
      <c r="Q67" s="1576"/>
      <c r="R67" s="849"/>
      <c r="S67" s="849"/>
      <c r="T67" s="849"/>
      <c r="U67" s="1576"/>
      <c r="V67" s="849"/>
      <c r="W67" s="849"/>
      <c r="X67" s="849"/>
      <c r="Y67" s="1576"/>
      <c r="Z67" s="849"/>
      <c r="AA67" s="849"/>
      <c r="AB67" s="849"/>
      <c r="AC67" s="1576"/>
      <c r="AD67" s="849"/>
      <c r="AE67" s="849"/>
      <c r="AF67" s="849"/>
      <c r="AG67" s="1576"/>
      <c r="AH67" s="1576"/>
      <c r="AI67" s="213"/>
      <c r="AJ67" s="1585"/>
      <c r="AK67" s="213"/>
      <c r="AL67" s="213"/>
    </row>
    <row r="68" spans="1:38" ht="9.9499999999999993" customHeight="1" x14ac:dyDescent="0.25">
      <c r="A68" s="270"/>
      <c r="B68" s="270"/>
      <c r="C68" s="270"/>
      <c r="D68" s="270"/>
      <c r="E68" s="270"/>
      <c r="F68" s="270"/>
      <c r="G68" s="270"/>
      <c r="H68" s="270"/>
      <c r="I68" s="270"/>
      <c r="J68" s="270"/>
      <c r="K68" s="270"/>
      <c r="L68" s="270"/>
      <c r="M68" s="270"/>
      <c r="N68" s="270"/>
      <c r="O68" s="850"/>
      <c r="P68" s="850"/>
      <c r="Q68" s="876"/>
      <c r="R68" s="850"/>
      <c r="S68" s="850"/>
      <c r="T68" s="850"/>
      <c r="U68" s="876"/>
      <c r="V68" s="850"/>
      <c r="W68" s="850"/>
      <c r="X68" s="850"/>
      <c r="Y68" s="876"/>
      <c r="Z68" s="850"/>
      <c r="AA68" s="850"/>
      <c r="AB68" s="850"/>
      <c r="AC68" s="876"/>
      <c r="AD68" s="850"/>
      <c r="AE68" s="850"/>
      <c r="AF68" s="850"/>
      <c r="AG68" s="876"/>
      <c r="AH68" s="876"/>
      <c r="AI68" s="213"/>
      <c r="AJ68" s="213"/>
      <c r="AK68" s="213"/>
      <c r="AL68" s="213"/>
    </row>
    <row r="69" spans="1:38" ht="9.9499999999999993" customHeight="1" x14ac:dyDescent="0.25">
      <c r="A69" s="1616">
        <v>16</v>
      </c>
      <c r="B69" s="1617">
        <v>4</v>
      </c>
      <c r="C69" s="1574" t="s">
        <v>5458</v>
      </c>
      <c r="D69" s="1574" t="s">
        <v>5459</v>
      </c>
      <c r="E69" s="1574" t="s">
        <v>5</v>
      </c>
      <c r="F69" s="849"/>
      <c r="G69" s="849"/>
      <c r="H69" s="849"/>
      <c r="I69" s="1574"/>
      <c r="J69" s="849"/>
      <c r="K69" s="849"/>
      <c r="L69" s="849"/>
      <c r="M69" s="1574"/>
      <c r="N69" s="849"/>
      <c r="O69" s="849"/>
      <c r="P69" s="849"/>
      <c r="Q69" s="1574"/>
      <c r="R69" s="849"/>
      <c r="S69" s="849"/>
      <c r="T69" s="849"/>
      <c r="U69" s="1574"/>
      <c r="V69" s="849"/>
      <c r="W69" s="849"/>
      <c r="X69" s="849"/>
      <c r="Y69" s="1574"/>
      <c r="Z69" s="849"/>
      <c r="AA69" s="849"/>
      <c r="AB69" s="849"/>
      <c r="AC69" s="1574"/>
      <c r="AD69" s="849"/>
      <c r="AE69" s="849"/>
      <c r="AF69" s="849"/>
      <c r="AG69" s="1574"/>
      <c r="AH69" s="1574"/>
      <c r="AI69" s="213"/>
      <c r="AJ69" s="1586" t="s">
        <v>5472</v>
      </c>
      <c r="AK69" s="213"/>
      <c r="AL69" s="213"/>
    </row>
    <row r="70" spans="1:38" ht="9.9499999999999993" customHeight="1" x14ac:dyDescent="0.25">
      <c r="A70" s="1616"/>
      <c r="B70" s="1617"/>
      <c r="C70" s="1575"/>
      <c r="D70" s="1575"/>
      <c r="E70" s="1575"/>
      <c r="F70" s="850"/>
      <c r="G70" s="851"/>
      <c r="H70" s="850"/>
      <c r="I70" s="1575"/>
      <c r="J70" s="850"/>
      <c r="K70" s="851"/>
      <c r="L70" s="850"/>
      <c r="M70" s="1575"/>
      <c r="N70" s="850"/>
      <c r="O70" s="851"/>
      <c r="P70" s="850"/>
      <c r="Q70" s="1575"/>
      <c r="R70" s="850"/>
      <c r="S70" s="851"/>
      <c r="T70" s="850"/>
      <c r="U70" s="1575"/>
      <c r="V70" s="850"/>
      <c r="W70" s="851"/>
      <c r="X70" s="850"/>
      <c r="Y70" s="1575"/>
      <c r="Z70" s="850"/>
      <c r="AA70" s="851"/>
      <c r="AB70" s="850"/>
      <c r="AC70" s="1575"/>
      <c r="AD70" s="850"/>
      <c r="AE70" s="851"/>
      <c r="AF70" s="850"/>
      <c r="AG70" s="1575"/>
      <c r="AH70" s="1575"/>
      <c r="AI70" s="213"/>
      <c r="AJ70" s="1587"/>
      <c r="AK70" s="213"/>
      <c r="AL70" s="213"/>
    </row>
    <row r="71" spans="1:38" ht="9.9499999999999993" customHeight="1" x14ac:dyDescent="0.25">
      <c r="A71" s="1616"/>
      <c r="B71" s="1617"/>
      <c r="C71" s="1576"/>
      <c r="D71" s="1576"/>
      <c r="E71" s="1576"/>
      <c r="F71" s="849"/>
      <c r="G71" s="849"/>
      <c r="H71" s="849"/>
      <c r="I71" s="1576"/>
      <c r="J71" s="849"/>
      <c r="K71" s="849"/>
      <c r="L71" s="849"/>
      <c r="M71" s="1576"/>
      <c r="N71" s="849"/>
      <c r="O71" s="849"/>
      <c r="P71" s="849"/>
      <c r="Q71" s="1576"/>
      <c r="R71" s="849"/>
      <c r="S71" s="849"/>
      <c r="T71" s="849"/>
      <c r="U71" s="1576"/>
      <c r="V71" s="849"/>
      <c r="W71" s="849"/>
      <c r="X71" s="849"/>
      <c r="Y71" s="1576"/>
      <c r="Z71" s="849"/>
      <c r="AA71" s="849"/>
      <c r="AB71" s="849"/>
      <c r="AC71" s="1576"/>
      <c r="AD71" s="849"/>
      <c r="AE71" s="849"/>
      <c r="AF71" s="849"/>
      <c r="AG71" s="1576"/>
      <c r="AH71" s="1576"/>
      <c r="AI71" s="213"/>
      <c r="AJ71" s="1588"/>
      <c r="AK71" s="213"/>
      <c r="AL71" s="213"/>
    </row>
    <row r="72" spans="1:38" ht="9.9499999999999993" customHeight="1" x14ac:dyDescent="0.25">
      <c r="A72" s="270"/>
      <c r="B72" s="270"/>
      <c r="C72" s="270"/>
      <c r="D72" s="270"/>
      <c r="E72" s="270"/>
      <c r="F72" s="270"/>
      <c r="G72" s="270"/>
      <c r="H72" s="270"/>
      <c r="I72" s="270"/>
      <c r="J72" s="270"/>
      <c r="K72" s="270"/>
      <c r="L72" s="270"/>
      <c r="M72" s="270"/>
      <c r="N72" s="270"/>
      <c r="O72" s="850"/>
      <c r="P72" s="850"/>
      <c r="Q72" s="876"/>
      <c r="R72" s="850"/>
      <c r="S72" s="850"/>
      <c r="T72" s="850"/>
      <c r="U72" s="876"/>
      <c r="V72" s="850"/>
      <c r="W72" s="850"/>
      <c r="X72" s="850"/>
      <c r="Y72" s="876"/>
      <c r="Z72" s="850"/>
      <c r="AA72" s="850"/>
      <c r="AB72" s="850"/>
      <c r="AC72" s="876"/>
      <c r="AD72" s="850"/>
      <c r="AE72" s="850"/>
      <c r="AF72" s="850"/>
      <c r="AG72" s="876"/>
      <c r="AH72" s="876"/>
      <c r="AI72" s="213"/>
      <c r="AJ72" s="213"/>
      <c r="AK72" s="213"/>
      <c r="AL72" s="213"/>
    </row>
    <row r="73" spans="1:38" ht="9.9499999999999993" customHeight="1" x14ac:dyDescent="0.25">
      <c r="A73" s="1616">
        <v>17</v>
      </c>
      <c r="B73" s="1617">
        <v>4</v>
      </c>
      <c r="C73" s="1574" t="s">
        <v>5463</v>
      </c>
      <c r="D73" s="1574" t="s">
        <v>5459</v>
      </c>
      <c r="E73" s="1574" t="s">
        <v>5</v>
      </c>
      <c r="F73" s="849"/>
      <c r="G73" s="849"/>
      <c r="H73" s="849"/>
      <c r="I73" s="1574"/>
      <c r="J73" s="849"/>
      <c r="K73" s="849"/>
      <c r="L73" s="849"/>
      <c r="M73" s="1574"/>
      <c r="N73" s="849"/>
      <c r="O73" s="849"/>
      <c r="P73" s="849"/>
      <c r="Q73" s="1574"/>
      <c r="R73" s="849"/>
      <c r="S73" s="849"/>
      <c r="T73" s="849"/>
      <c r="U73" s="1574"/>
      <c r="V73" s="849"/>
      <c r="W73" s="849"/>
      <c r="X73" s="849"/>
      <c r="Y73" s="1574"/>
      <c r="Z73" s="849"/>
      <c r="AA73" s="849"/>
      <c r="AB73" s="849"/>
      <c r="AC73" s="1574"/>
      <c r="AD73" s="849"/>
      <c r="AE73" s="849"/>
      <c r="AF73" s="849"/>
      <c r="AG73" s="1574"/>
      <c r="AH73" s="1574"/>
      <c r="AI73" s="213"/>
      <c r="AJ73" s="1589" t="s">
        <v>5371</v>
      </c>
      <c r="AK73" s="213"/>
      <c r="AL73" s="213"/>
    </row>
    <row r="74" spans="1:38" ht="9.9499999999999993" customHeight="1" x14ac:dyDescent="0.25">
      <c r="A74" s="1616"/>
      <c r="B74" s="1617"/>
      <c r="C74" s="1575"/>
      <c r="D74" s="1575"/>
      <c r="E74" s="1575"/>
      <c r="F74" s="850"/>
      <c r="G74" s="851"/>
      <c r="H74" s="850"/>
      <c r="I74" s="1575"/>
      <c r="J74" s="850"/>
      <c r="K74" s="851"/>
      <c r="L74" s="850"/>
      <c r="M74" s="1575"/>
      <c r="N74" s="850"/>
      <c r="O74" s="851"/>
      <c r="P74" s="850"/>
      <c r="Q74" s="1575"/>
      <c r="R74" s="850"/>
      <c r="S74" s="851"/>
      <c r="T74" s="850"/>
      <c r="U74" s="1575"/>
      <c r="V74" s="850"/>
      <c r="W74" s="851"/>
      <c r="X74" s="850"/>
      <c r="Y74" s="1575"/>
      <c r="Z74" s="850"/>
      <c r="AA74" s="851"/>
      <c r="AB74" s="850"/>
      <c r="AC74" s="1575"/>
      <c r="AD74" s="850"/>
      <c r="AE74" s="851"/>
      <c r="AF74" s="850"/>
      <c r="AG74" s="1575"/>
      <c r="AH74" s="1575"/>
      <c r="AI74" s="213"/>
      <c r="AJ74" s="1590"/>
      <c r="AK74" s="213"/>
      <c r="AL74" s="213"/>
    </row>
    <row r="75" spans="1:38" ht="9.9499999999999993" customHeight="1" x14ac:dyDescent="0.25">
      <c r="A75" s="1616"/>
      <c r="B75" s="1617"/>
      <c r="C75" s="1576"/>
      <c r="D75" s="1576"/>
      <c r="E75" s="1576"/>
      <c r="F75" s="849"/>
      <c r="G75" s="849"/>
      <c r="H75" s="849"/>
      <c r="I75" s="1576"/>
      <c r="J75" s="849"/>
      <c r="K75" s="849"/>
      <c r="L75" s="849"/>
      <c r="M75" s="1576"/>
      <c r="N75" s="849"/>
      <c r="O75" s="849"/>
      <c r="P75" s="849"/>
      <c r="Q75" s="1576"/>
      <c r="R75" s="849"/>
      <c r="S75" s="849"/>
      <c r="T75" s="849"/>
      <c r="U75" s="1576"/>
      <c r="V75" s="849"/>
      <c r="W75" s="849"/>
      <c r="X75" s="849"/>
      <c r="Y75" s="1576"/>
      <c r="Z75" s="849"/>
      <c r="AA75" s="849"/>
      <c r="AB75" s="849"/>
      <c r="AC75" s="1576"/>
      <c r="AD75" s="849"/>
      <c r="AE75" s="849"/>
      <c r="AF75" s="849"/>
      <c r="AG75" s="1576"/>
      <c r="AH75" s="1576"/>
      <c r="AI75" s="213"/>
      <c r="AJ75" s="1591"/>
      <c r="AK75" s="213"/>
      <c r="AL75" s="213"/>
    </row>
    <row r="76" spans="1:38" ht="9.9499999999999993" customHeight="1" x14ac:dyDescent="0.25">
      <c r="A76" s="270"/>
      <c r="B76" s="270"/>
      <c r="C76" s="270"/>
      <c r="D76" s="270"/>
      <c r="E76" s="270"/>
      <c r="F76" s="270"/>
      <c r="G76" s="270"/>
      <c r="H76" s="270"/>
      <c r="I76" s="270"/>
      <c r="J76" s="270"/>
      <c r="K76" s="270"/>
      <c r="L76" s="270"/>
      <c r="M76" s="270"/>
      <c r="N76" s="270"/>
      <c r="O76" s="850"/>
      <c r="P76" s="850"/>
      <c r="Q76" s="876"/>
      <c r="R76" s="850"/>
      <c r="S76" s="850"/>
      <c r="T76" s="850"/>
      <c r="U76" s="876"/>
      <c r="V76" s="850"/>
      <c r="W76" s="850"/>
      <c r="X76" s="850"/>
      <c r="Y76" s="876"/>
      <c r="Z76" s="850"/>
      <c r="AA76" s="850"/>
      <c r="AB76" s="850"/>
      <c r="AC76" s="876"/>
      <c r="AD76" s="850"/>
      <c r="AE76" s="850"/>
      <c r="AF76" s="850"/>
      <c r="AG76" s="876"/>
      <c r="AH76" s="876"/>
      <c r="AI76" s="213"/>
      <c r="AJ76" s="876"/>
      <c r="AK76" s="213"/>
      <c r="AL76" s="213"/>
    </row>
    <row r="77" spans="1:38" ht="9.9499999999999993" customHeight="1" x14ac:dyDescent="0.25">
      <c r="A77" s="1616">
        <v>18</v>
      </c>
      <c r="B77" s="1617">
        <v>4</v>
      </c>
      <c r="C77" s="1574" t="s">
        <v>5464</v>
      </c>
      <c r="D77" s="1574" t="s">
        <v>5459</v>
      </c>
      <c r="E77" s="1574" t="s">
        <v>5</v>
      </c>
      <c r="F77" s="849"/>
      <c r="G77" s="849"/>
      <c r="H77" s="849"/>
      <c r="I77" s="1574"/>
      <c r="J77" s="849"/>
      <c r="K77" s="849"/>
      <c r="L77" s="849"/>
      <c r="M77" s="1574"/>
      <c r="N77" s="849"/>
      <c r="O77" s="849"/>
      <c r="P77" s="849"/>
      <c r="Q77" s="1574"/>
      <c r="R77" s="849"/>
      <c r="S77" s="849"/>
      <c r="T77" s="849"/>
      <c r="U77" s="1574"/>
      <c r="V77" s="849"/>
      <c r="W77" s="849"/>
      <c r="X77" s="849"/>
      <c r="Y77" s="1574"/>
      <c r="Z77" s="849"/>
      <c r="AA77" s="849"/>
      <c r="AB77" s="849"/>
      <c r="AC77" s="1574"/>
      <c r="AD77" s="849"/>
      <c r="AE77" s="849"/>
      <c r="AF77" s="849"/>
      <c r="AG77" s="1574"/>
      <c r="AH77" s="1574"/>
      <c r="AI77" s="213"/>
      <c r="AJ77" s="1592" t="s">
        <v>5374</v>
      </c>
      <c r="AK77" s="213"/>
      <c r="AL77" s="213"/>
    </row>
    <row r="78" spans="1:38" ht="9.9499999999999993" customHeight="1" x14ac:dyDescent="0.25">
      <c r="A78" s="1616"/>
      <c r="B78" s="1617"/>
      <c r="C78" s="1575"/>
      <c r="D78" s="1575"/>
      <c r="E78" s="1575"/>
      <c r="F78" s="850"/>
      <c r="G78" s="851"/>
      <c r="H78" s="850"/>
      <c r="I78" s="1575"/>
      <c r="J78" s="850"/>
      <c r="K78" s="851"/>
      <c r="L78" s="850"/>
      <c r="M78" s="1575"/>
      <c r="N78" s="850"/>
      <c r="O78" s="851"/>
      <c r="P78" s="850"/>
      <c r="Q78" s="1575"/>
      <c r="R78" s="850"/>
      <c r="S78" s="851"/>
      <c r="T78" s="850"/>
      <c r="U78" s="1575"/>
      <c r="V78" s="850"/>
      <c r="W78" s="851"/>
      <c r="X78" s="850"/>
      <c r="Y78" s="1575"/>
      <c r="Z78" s="850"/>
      <c r="AA78" s="851"/>
      <c r="AB78" s="850"/>
      <c r="AC78" s="1575"/>
      <c r="AD78" s="850"/>
      <c r="AE78" s="851"/>
      <c r="AF78" s="850"/>
      <c r="AG78" s="1575"/>
      <c r="AH78" s="1575"/>
      <c r="AI78" s="213"/>
      <c r="AJ78" s="1593"/>
      <c r="AK78" s="213"/>
      <c r="AL78" s="213"/>
    </row>
    <row r="79" spans="1:38" ht="9.9499999999999993" customHeight="1" x14ac:dyDescent="0.25">
      <c r="A79" s="1616"/>
      <c r="B79" s="1617"/>
      <c r="C79" s="1576"/>
      <c r="D79" s="1576"/>
      <c r="E79" s="1576"/>
      <c r="F79" s="849"/>
      <c r="G79" s="849"/>
      <c r="H79" s="849"/>
      <c r="I79" s="1576"/>
      <c r="J79" s="849"/>
      <c r="K79" s="849"/>
      <c r="L79" s="849"/>
      <c r="M79" s="1576"/>
      <c r="N79" s="849"/>
      <c r="O79" s="849"/>
      <c r="P79" s="849"/>
      <c r="Q79" s="1576"/>
      <c r="R79" s="849"/>
      <c r="S79" s="849"/>
      <c r="T79" s="849"/>
      <c r="U79" s="1576"/>
      <c r="V79" s="849"/>
      <c r="W79" s="849"/>
      <c r="X79" s="849"/>
      <c r="Y79" s="1576"/>
      <c r="Z79" s="849"/>
      <c r="AA79" s="849"/>
      <c r="AB79" s="849"/>
      <c r="AC79" s="1576"/>
      <c r="AD79" s="849"/>
      <c r="AE79" s="849"/>
      <c r="AF79" s="849"/>
      <c r="AG79" s="1576"/>
      <c r="AH79" s="1576"/>
      <c r="AI79" s="213"/>
      <c r="AJ79" s="1594"/>
      <c r="AK79" s="213"/>
      <c r="AL79" s="213"/>
    </row>
    <row r="80" spans="1:38" ht="9.9499999999999993" customHeight="1" x14ac:dyDescent="0.25">
      <c r="A80" s="270"/>
      <c r="B80" s="270"/>
      <c r="C80" s="270"/>
      <c r="D80" s="270"/>
      <c r="E80" s="270"/>
      <c r="F80" s="270"/>
      <c r="G80" s="270"/>
      <c r="H80" s="270"/>
      <c r="I80" s="270"/>
      <c r="J80" s="270"/>
      <c r="K80" s="270"/>
      <c r="L80" s="270"/>
      <c r="M80" s="270"/>
      <c r="N80" s="270"/>
      <c r="O80" s="850"/>
      <c r="P80" s="850"/>
      <c r="Q80" s="876"/>
      <c r="R80" s="850"/>
      <c r="S80" s="850"/>
      <c r="T80" s="850"/>
      <c r="U80" s="876"/>
      <c r="V80" s="850"/>
      <c r="W80" s="850"/>
      <c r="X80" s="850"/>
      <c r="Y80" s="876"/>
      <c r="Z80" s="850"/>
      <c r="AA80" s="850"/>
      <c r="AB80" s="850"/>
      <c r="AC80" s="876"/>
      <c r="AD80" s="850"/>
      <c r="AE80" s="850"/>
      <c r="AF80" s="850"/>
      <c r="AG80" s="876"/>
      <c r="AH80" s="876"/>
      <c r="AI80" s="213"/>
      <c r="AJ80" s="213"/>
      <c r="AK80" s="213"/>
      <c r="AL80" s="213"/>
    </row>
    <row r="81" spans="1:38" ht="9.9499999999999993" customHeight="1" x14ac:dyDescent="0.25">
      <c r="A81" s="1616">
        <v>19</v>
      </c>
      <c r="B81" s="1617">
        <v>4</v>
      </c>
      <c r="C81" s="1574" t="s">
        <v>5465</v>
      </c>
      <c r="D81" s="1574" t="s">
        <v>5459</v>
      </c>
      <c r="E81" s="1574" t="s">
        <v>5</v>
      </c>
      <c r="F81" s="849"/>
      <c r="G81" s="849"/>
      <c r="H81" s="849"/>
      <c r="I81" s="1574"/>
      <c r="J81" s="849"/>
      <c r="K81" s="849"/>
      <c r="L81" s="849"/>
      <c r="M81" s="1574"/>
      <c r="N81" s="849"/>
      <c r="O81" s="849"/>
      <c r="P81" s="849"/>
      <c r="Q81" s="1574"/>
      <c r="R81" s="849"/>
      <c r="S81" s="849"/>
      <c r="T81" s="849"/>
      <c r="U81" s="1574"/>
      <c r="V81" s="849"/>
      <c r="W81" s="849"/>
      <c r="X81" s="849"/>
      <c r="Y81" s="1574"/>
      <c r="Z81" s="849"/>
      <c r="AA81" s="849"/>
      <c r="AB81" s="849"/>
      <c r="AC81" s="1574"/>
      <c r="AD81" s="849"/>
      <c r="AE81" s="849"/>
      <c r="AF81" s="849"/>
      <c r="AG81" s="1574"/>
      <c r="AH81" s="1574"/>
      <c r="AI81" s="213"/>
      <c r="AJ81" s="1574" t="s">
        <v>5583</v>
      </c>
      <c r="AK81" s="213"/>
      <c r="AL81" s="213"/>
    </row>
    <row r="82" spans="1:38" ht="9.9499999999999993" customHeight="1" x14ac:dyDescent="0.25">
      <c r="A82" s="1616"/>
      <c r="B82" s="1617"/>
      <c r="C82" s="1575"/>
      <c r="D82" s="1575"/>
      <c r="E82" s="1575"/>
      <c r="F82" s="850"/>
      <c r="G82" s="851"/>
      <c r="H82" s="850"/>
      <c r="I82" s="1575"/>
      <c r="J82" s="850"/>
      <c r="K82" s="851"/>
      <c r="L82" s="850"/>
      <c r="M82" s="1575"/>
      <c r="N82" s="850"/>
      <c r="O82" s="851"/>
      <c r="P82" s="850"/>
      <c r="Q82" s="1575"/>
      <c r="R82" s="850"/>
      <c r="S82" s="851"/>
      <c r="T82" s="850"/>
      <c r="U82" s="1575"/>
      <c r="V82" s="850"/>
      <c r="W82" s="851"/>
      <c r="X82" s="850"/>
      <c r="Y82" s="1575"/>
      <c r="Z82" s="850"/>
      <c r="AA82" s="851"/>
      <c r="AB82" s="850"/>
      <c r="AC82" s="1575"/>
      <c r="AD82" s="850"/>
      <c r="AE82" s="851"/>
      <c r="AF82" s="850"/>
      <c r="AG82" s="1575"/>
      <c r="AH82" s="1575"/>
      <c r="AI82" s="213"/>
      <c r="AJ82" s="1575"/>
      <c r="AK82" s="213"/>
      <c r="AL82" s="213"/>
    </row>
    <row r="83" spans="1:38" ht="9.9499999999999993" customHeight="1" x14ac:dyDescent="0.25">
      <c r="A83" s="1616"/>
      <c r="B83" s="1617"/>
      <c r="C83" s="1576"/>
      <c r="D83" s="1576"/>
      <c r="E83" s="1576"/>
      <c r="F83" s="849"/>
      <c r="G83" s="849"/>
      <c r="H83" s="849"/>
      <c r="I83" s="1576"/>
      <c r="J83" s="849"/>
      <c r="K83" s="849"/>
      <c r="L83" s="849"/>
      <c r="M83" s="1576"/>
      <c r="N83" s="849"/>
      <c r="O83" s="849"/>
      <c r="P83" s="849"/>
      <c r="Q83" s="1576"/>
      <c r="R83" s="849"/>
      <c r="S83" s="849"/>
      <c r="T83" s="849"/>
      <c r="U83" s="1576"/>
      <c r="V83" s="849"/>
      <c r="W83" s="849"/>
      <c r="X83" s="849"/>
      <c r="Y83" s="1576"/>
      <c r="Z83" s="849"/>
      <c r="AA83" s="849"/>
      <c r="AB83" s="849"/>
      <c r="AC83" s="1576"/>
      <c r="AD83" s="849"/>
      <c r="AE83" s="849"/>
      <c r="AF83" s="849"/>
      <c r="AG83" s="1576"/>
      <c r="AH83" s="1576"/>
      <c r="AI83" s="213"/>
      <c r="AJ83" s="1576"/>
      <c r="AK83" s="213"/>
      <c r="AL83" s="213"/>
    </row>
    <row r="84" spans="1:38" ht="9.9499999999999993" customHeight="1" x14ac:dyDescent="0.25">
      <c r="A84" s="270"/>
      <c r="B84" s="270"/>
      <c r="C84" s="270"/>
      <c r="D84" s="270"/>
      <c r="E84" s="270"/>
      <c r="F84" s="270"/>
      <c r="G84" s="270"/>
      <c r="H84" s="270"/>
      <c r="I84" s="270"/>
      <c r="J84" s="270"/>
      <c r="K84" s="270"/>
      <c r="L84" s="270"/>
      <c r="M84" s="270"/>
      <c r="N84" s="270"/>
      <c r="O84" s="850"/>
      <c r="P84" s="850"/>
      <c r="Q84" s="876"/>
      <c r="R84" s="850"/>
      <c r="S84" s="850"/>
      <c r="T84" s="850"/>
      <c r="U84" s="876"/>
      <c r="V84" s="850"/>
      <c r="W84" s="850"/>
      <c r="X84" s="850"/>
      <c r="Y84" s="876"/>
      <c r="Z84" s="850"/>
      <c r="AA84" s="850"/>
      <c r="AB84" s="850"/>
      <c r="AC84" s="876"/>
      <c r="AD84" s="850"/>
      <c r="AE84" s="850"/>
      <c r="AF84" s="850"/>
      <c r="AG84" s="876"/>
      <c r="AH84" s="876"/>
      <c r="AI84" s="213"/>
      <c r="AJ84" s="213"/>
      <c r="AK84" s="213"/>
      <c r="AL84" s="213"/>
    </row>
    <row r="85" spans="1:38" ht="9.9499999999999993" customHeight="1" x14ac:dyDescent="0.25">
      <c r="A85" s="1616">
        <v>20</v>
      </c>
      <c r="B85" s="1617">
        <v>4</v>
      </c>
      <c r="C85" s="1574" t="s">
        <v>5466</v>
      </c>
      <c r="D85" s="1574" t="s">
        <v>5459</v>
      </c>
      <c r="E85" s="1574" t="s">
        <v>5</v>
      </c>
      <c r="F85" s="849"/>
      <c r="G85" s="849"/>
      <c r="H85" s="849"/>
      <c r="I85" s="1574"/>
      <c r="J85" s="849"/>
      <c r="K85" s="849"/>
      <c r="L85" s="849"/>
      <c r="M85" s="1574"/>
      <c r="N85" s="849"/>
      <c r="O85" s="849"/>
      <c r="P85" s="849"/>
      <c r="Q85" s="1574"/>
      <c r="R85" s="849"/>
      <c r="S85" s="849"/>
      <c r="T85" s="849"/>
      <c r="U85" s="1574"/>
      <c r="V85" s="849"/>
      <c r="W85" s="849"/>
      <c r="X85" s="849"/>
      <c r="Y85" s="1574"/>
      <c r="Z85" s="849"/>
      <c r="AA85" s="849"/>
      <c r="AB85" s="849"/>
      <c r="AC85" s="1574"/>
      <c r="AD85" s="849"/>
      <c r="AE85" s="849"/>
      <c r="AF85" s="849"/>
      <c r="AG85" s="1574"/>
      <c r="AH85" s="1574"/>
      <c r="AI85" s="213"/>
      <c r="AJ85" s="1574" t="s">
        <v>153</v>
      </c>
      <c r="AK85" s="213"/>
      <c r="AL85" s="213"/>
    </row>
    <row r="86" spans="1:38" ht="9.9499999999999993" customHeight="1" x14ac:dyDescent="0.25">
      <c r="A86" s="1616"/>
      <c r="B86" s="1617"/>
      <c r="C86" s="1575"/>
      <c r="D86" s="1575"/>
      <c r="E86" s="1575"/>
      <c r="F86" s="850"/>
      <c r="G86" s="851"/>
      <c r="H86" s="850"/>
      <c r="I86" s="1575"/>
      <c r="J86" s="850"/>
      <c r="K86" s="851"/>
      <c r="L86" s="850"/>
      <c r="M86" s="1575"/>
      <c r="N86" s="850"/>
      <c r="O86" s="851"/>
      <c r="P86" s="850"/>
      <c r="Q86" s="1575"/>
      <c r="R86" s="850"/>
      <c r="S86" s="851"/>
      <c r="T86" s="850"/>
      <c r="U86" s="1575"/>
      <c r="V86" s="850"/>
      <c r="W86" s="851"/>
      <c r="X86" s="850"/>
      <c r="Y86" s="1575"/>
      <c r="Z86" s="850"/>
      <c r="AA86" s="851"/>
      <c r="AB86" s="850"/>
      <c r="AC86" s="1575"/>
      <c r="AD86" s="850"/>
      <c r="AE86" s="851"/>
      <c r="AF86" s="850"/>
      <c r="AG86" s="1575"/>
      <c r="AH86" s="1575"/>
      <c r="AI86" s="213"/>
      <c r="AJ86" s="1575"/>
      <c r="AK86" s="213"/>
      <c r="AL86" s="213"/>
    </row>
    <row r="87" spans="1:38" ht="9.9499999999999993" customHeight="1" x14ac:dyDescent="0.25">
      <c r="A87" s="1616"/>
      <c r="B87" s="1617"/>
      <c r="C87" s="1576"/>
      <c r="D87" s="1576"/>
      <c r="E87" s="1576"/>
      <c r="F87" s="849"/>
      <c r="G87" s="849"/>
      <c r="H87" s="849"/>
      <c r="I87" s="1576"/>
      <c r="J87" s="849"/>
      <c r="K87" s="849"/>
      <c r="L87" s="849"/>
      <c r="M87" s="1576"/>
      <c r="N87" s="849"/>
      <c r="O87" s="849"/>
      <c r="P87" s="849"/>
      <c r="Q87" s="1576"/>
      <c r="R87" s="849"/>
      <c r="S87" s="849"/>
      <c r="T87" s="849"/>
      <c r="U87" s="1576"/>
      <c r="V87" s="849"/>
      <c r="W87" s="849"/>
      <c r="X87" s="849"/>
      <c r="Y87" s="1576"/>
      <c r="Z87" s="849"/>
      <c r="AA87" s="849"/>
      <c r="AB87" s="849"/>
      <c r="AC87" s="1576"/>
      <c r="AD87" s="849"/>
      <c r="AE87" s="849"/>
      <c r="AF87" s="849"/>
      <c r="AG87" s="1576"/>
      <c r="AH87" s="1576"/>
      <c r="AI87" s="213"/>
      <c r="AJ87" s="1576"/>
      <c r="AK87" s="213"/>
      <c r="AL87" s="213"/>
    </row>
    <row r="88" spans="1:38" ht="9.9499999999999993" customHeight="1" x14ac:dyDescent="0.25">
      <c r="A88" s="270"/>
      <c r="B88" s="270"/>
      <c r="C88" s="270"/>
      <c r="D88" s="270"/>
      <c r="E88" s="270"/>
      <c r="F88" s="270"/>
      <c r="G88" s="270"/>
      <c r="H88" s="270"/>
      <c r="I88" s="270"/>
      <c r="J88" s="270"/>
      <c r="K88" s="270"/>
      <c r="L88" s="270"/>
      <c r="M88" s="270"/>
      <c r="N88" s="270"/>
      <c r="O88" s="850"/>
      <c r="P88" s="850"/>
      <c r="Q88" s="876"/>
      <c r="R88" s="850"/>
      <c r="S88" s="850"/>
      <c r="T88" s="850"/>
      <c r="U88" s="876"/>
      <c r="V88" s="850"/>
      <c r="W88" s="850"/>
      <c r="X88" s="850"/>
      <c r="Y88" s="876"/>
      <c r="Z88" s="850"/>
      <c r="AA88" s="850"/>
      <c r="AB88" s="850"/>
      <c r="AC88" s="876"/>
      <c r="AD88" s="850"/>
      <c r="AE88" s="850"/>
      <c r="AF88" s="850"/>
      <c r="AG88" s="876"/>
      <c r="AH88" s="876"/>
      <c r="AI88" s="213"/>
      <c r="AJ88" s="213"/>
      <c r="AK88" s="213"/>
      <c r="AL88" s="213"/>
    </row>
    <row r="89" spans="1:38" x14ac:dyDescent="0.25">
      <c r="A89" s="213"/>
      <c r="B89" s="213"/>
      <c r="C89" s="213"/>
      <c r="D89" s="213"/>
      <c r="E89" s="213"/>
      <c r="F89" s="213"/>
      <c r="G89" s="213"/>
      <c r="H89" s="213"/>
      <c r="I89" s="213"/>
      <c r="J89" s="213"/>
      <c r="K89" s="213"/>
      <c r="L89" s="213"/>
      <c r="M89" s="213"/>
      <c r="N89" s="213"/>
      <c r="O89" s="213"/>
      <c r="P89" s="213"/>
      <c r="Q89" s="213"/>
      <c r="R89" s="213"/>
      <c r="S89" s="213"/>
      <c r="T89" s="213"/>
      <c r="U89" s="213"/>
      <c r="V89" s="213"/>
      <c r="W89" s="213"/>
      <c r="X89" s="213"/>
      <c r="Y89" s="213"/>
      <c r="Z89" s="213"/>
      <c r="AA89" s="213"/>
      <c r="AB89" s="213"/>
      <c r="AC89" s="213"/>
      <c r="AD89" s="213"/>
      <c r="AE89" s="213"/>
      <c r="AF89" s="213"/>
      <c r="AG89" s="213"/>
      <c r="AH89" s="213"/>
      <c r="AI89" s="213"/>
      <c r="AJ89" s="213"/>
      <c r="AK89" s="213"/>
      <c r="AL89" s="213"/>
    </row>
    <row r="90" spans="1:38" ht="30" customHeight="1" x14ac:dyDescent="0.25">
      <c r="A90" s="877" t="s">
        <v>5480</v>
      </c>
      <c r="B90" s="877" t="s">
        <v>5481</v>
      </c>
      <c r="C90" s="877" t="s">
        <v>4880</v>
      </c>
      <c r="D90" s="877" t="s">
        <v>5105</v>
      </c>
      <c r="E90" s="877" t="s">
        <v>5108</v>
      </c>
      <c r="F90" s="877"/>
      <c r="G90" s="877"/>
      <c r="H90" s="877"/>
      <c r="I90" s="877" t="s">
        <v>5543</v>
      </c>
      <c r="J90" s="877"/>
      <c r="K90" s="877"/>
      <c r="L90" s="877"/>
      <c r="M90" s="877" t="s">
        <v>5544</v>
      </c>
      <c r="N90" s="877"/>
      <c r="O90" s="877"/>
      <c r="P90" s="877"/>
      <c r="Q90" s="877" t="s">
        <v>5491</v>
      </c>
      <c r="R90" s="877"/>
      <c r="S90" s="877"/>
      <c r="T90" s="877"/>
      <c r="U90" s="213"/>
      <c r="V90" s="887"/>
      <c r="W90" s="887"/>
      <c r="X90" s="887"/>
      <c r="Y90" s="886" t="s">
        <v>5492</v>
      </c>
      <c r="Z90" s="858"/>
      <c r="AA90" s="858"/>
      <c r="AB90" s="858"/>
      <c r="AC90" s="858" t="s">
        <v>5545</v>
      </c>
      <c r="AD90" s="858"/>
      <c r="AE90" s="858"/>
      <c r="AF90" s="858"/>
      <c r="AG90" s="858" t="s">
        <v>5029</v>
      </c>
      <c r="AH90" s="858" t="s">
        <v>5493</v>
      </c>
      <c r="AI90" s="213"/>
      <c r="AJ90" s="213"/>
      <c r="AK90" s="213"/>
      <c r="AL90" s="213"/>
    </row>
    <row r="91" spans="1:38" ht="50.1" customHeight="1" x14ac:dyDescent="0.25">
      <c r="A91" s="863" t="s">
        <v>5546</v>
      </c>
      <c r="B91" s="197" t="s">
        <v>5346</v>
      </c>
      <c r="C91" s="166" t="s">
        <v>5547</v>
      </c>
      <c r="D91" s="860">
        <v>10</v>
      </c>
      <c r="E91" s="860"/>
      <c r="F91" s="850"/>
      <c r="G91" s="851"/>
      <c r="H91" s="850"/>
      <c r="I91" s="860">
        <f>COUNTIF(I9:I85,"Crudité ou fruit frais")+COUNTIF(U9:U85,"Crudité ou fruit frais")</f>
        <v>0</v>
      </c>
      <c r="J91" s="878"/>
      <c r="K91" s="878"/>
      <c r="L91" s="878"/>
      <c r="M91" s="166" t="str">
        <f>IF(COUNTIF(I9:AC85,"&lt;&gt;")=0,"A SAISIR",IF(AND(D91&lt;&gt;"",I91&lt;D91),"MANQUE",IF(AND(E91&lt;&gt;"",I91&gt;E91),"TROP","OK")))</f>
        <v>A SAISIR</v>
      </c>
      <c r="N91" s="850"/>
      <c r="O91" s="851"/>
      <c r="P91" s="850"/>
      <c r="Q91" s="197" t="s">
        <v>5548</v>
      </c>
      <c r="R91" s="850"/>
      <c r="S91" s="851"/>
      <c r="T91" s="850"/>
      <c r="U91" s="197"/>
      <c r="V91" s="850"/>
      <c r="W91" s="851"/>
      <c r="X91" s="850"/>
      <c r="Y91" s="197" t="s">
        <v>5496</v>
      </c>
      <c r="Z91" s="850"/>
      <c r="AA91" s="851"/>
      <c r="AB91" s="850"/>
      <c r="AC91" s="879">
        <f>COUNTIF(M91:M103,"OK")</f>
        <v>0</v>
      </c>
      <c r="AD91" s="850"/>
      <c r="AE91" s="851"/>
      <c r="AF91" s="850"/>
      <c r="AG91" s="197" t="s">
        <v>5549</v>
      </c>
      <c r="AH91" s="197" t="s">
        <v>5550</v>
      </c>
      <c r="AI91" s="213"/>
      <c r="AJ91" s="213"/>
      <c r="AK91" s="213"/>
      <c r="AL91" s="213"/>
    </row>
    <row r="92" spans="1:38" ht="50.1" customHeight="1" x14ac:dyDescent="0.25">
      <c r="A92" s="863" t="s">
        <v>5551</v>
      </c>
      <c r="B92" s="197" t="s">
        <v>5394</v>
      </c>
      <c r="C92" s="166" t="s">
        <v>5547</v>
      </c>
      <c r="D92" s="860">
        <v>8</v>
      </c>
      <c r="E92" s="860"/>
      <c r="F92" s="850"/>
      <c r="G92" s="851"/>
      <c r="H92" s="850"/>
      <c r="I92" s="860">
        <f>COUNTIF(AC9:AC85,"Fruit cru")</f>
        <v>0</v>
      </c>
      <c r="J92" s="878"/>
      <c r="K92" s="878"/>
      <c r="L92" s="878"/>
      <c r="M92" s="166" t="str">
        <f>IF(COUNTIF(I9:AC85,"&lt;&gt;")=0,"A SAISIR",IF(AND(D92&lt;&gt;"",I92&lt;D92),"MANQUE",IF(AND(E92&lt;&gt;"",I92&gt;E92),"TROP","OK")))</f>
        <v>A SAISIR</v>
      </c>
      <c r="N92" s="850"/>
      <c r="O92" s="851"/>
      <c r="P92" s="850"/>
      <c r="Q92" s="197" t="s">
        <v>5552</v>
      </c>
      <c r="R92" s="850"/>
      <c r="S92" s="851"/>
      <c r="T92" s="850"/>
      <c r="U92" s="197"/>
      <c r="V92" s="850"/>
      <c r="W92" s="851"/>
      <c r="X92" s="850"/>
      <c r="Y92" s="197" t="s">
        <v>5500</v>
      </c>
      <c r="Z92" s="850"/>
      <c r="AA92" s="851"/>
      <c r="AB92" s="850"/>
      <c r="AC92" s="879">
        <f>COUNTIF(M91:M103,"MANQUE")</f>
        <v>0</v>
      </c>
      <c r="AD92" s="850"/>
      <c r="AE92" s="851"/>
      <c r="AF92" s="850"/>
      <c r="AG92" s="197" t="s">
        <v>5553</v>
      </c>
      <c r="AH92" s="197" t="s">
        <v>5554</v>
      </c>
      <c r="AI92" s="213"/>
      <c r="AJ92" s="213"/>
      <c r="AK92" s="213"/>
      <c r="AL92" s="213"/>
    </row>
    <row r="93" spans="1:38" ht="50.1" customHeight="1" x14ac:dyDescent="0.25">
      <c r="A93" s="864" t="s">
        <v>5555</v>
      </c>
      <c r="B93" s="197" t="s">
        <v>5380</v>
      </c>
      <c r="C93" s="166" t="s">
        <v>5556</v>
      </c>
      <c r="D93" s="860">
        <v>10</v>
      </c>
      <c r="E93" s="860">
        <v>10</v>
      </c>
      <c r="F93" s="850"/>
      <c r="G93" s="851"/>
      <c r="H93" s="850"/>
      <c r="I93" s="860">
        <f>COUNTIF(U9:U85,"Légume cuit")</f>
        <v>0</v>
      </c>
      <c r="J93" s="878"/>
      <c r="K93" s="878"/>
      <c r="L93" s="878"/>
      <c r="M93" s="166" t="str">
        <f>IF(COUNTIF(I9:AC85,"&lt;&gt;")=0,"A SAISIR",IF(AND(D93&lt;&gt;"",I93&lt;D93),"MANQUE",IF(AND(E93&lt;&gt;"",I93&gt;E93),"TROP","OK")))</f>
        <v>A SAISIR</v>
      </c>
      <c r="N93" s="850"/>
      <c r="O93" s="851"/>
      <c r="P93" s="850"/>
      <c r="Q93" s="197" t="s">
        <v>5557</v>
      </c>
      <c r="R93" s="850"/>
      <c r="S93" s="851"/>
      <c r="T93" s="850"/>
      <c r="U93" s="197"/>
      <c r="V93" s="850"/>
      <c r="W93" s="851"/>
      <c r="X93" s="850"/>
      <c r="Y93" s="197" t="s">
        <v>5504</v>
      </c>
      <c r="Z93" s="850"/>
      <c r="AA93" s="851"/>
      <c r="AB93" s="850"/>
      <c r="AC93" s="879">
        <f>COUNTIF(M91:M103,"TROP")</f>
        <v>0</v>
      </c>
      <c r="AD93" s="850"/>
      <c r="AE93" s="851"/>
      <c r="AF93" s="850"/>
      <c r="AG93" s="197" t="s">
        <v>5558</v>
      </c>
      <c r="AH93" s="197" t="s">
        <v>5559</v>
      </c>
      <c r="AI93" s="213"/>
      <c r="AJ93" s="213"/>
      <c r="AK93" s="213"/>
      <c r="AL93" s="213"/>
    </row>
    <row r="94" spans="1:38" ht="50.1" customHeight="1" x14ac:dyDescent="0.25">
      <c r="A94" s="869" t="s">
        <v>5560</v>
      </c>
      <c r="B94" s="197" t="s">
        <v>5383</v>
      </c>
      <c r="C94" s="166" t="s">
        <v>5556</v>
      </c>
      <c r="D94" s="860">
        <v>10</v>
      </c>
      <c r="E94" s="860">
        <v>10</v>
      </c>
      <c r="F94" s="850"/>
      <c r="G94" s="851"/>
      <c r="H94" s="850"/>
      <c r="I94" s="860">
        <f>COUNTIF(U9:U85,"Féculent/légume sec/céréale")</f>
        <v>0</v>
      </c>
      <c r="J94" s="878"/>
      <c r="K94" s="878"/>
      <c r="L94" s="878"/>
      <c r="M94" s="166" t="str">
        <f>IF(COUNTIF(I9:AC85,"&lt;&gt;")=0,"A SAISIR",IF(AND(D94&lt;&gt;"",I94&lt;D94),"MANQUE",IF(AND(E94&lt;&gt;"",I94&gt;E94),"TROP","OK")))</f>
        <v>A SAISIR</v>
      </c>
      <c r="N94" s="850"/>
      <c r="O94" s="851"/>
      <c r="P94" s="850"/>
      <c r="Q94" s="197" t="s">
        <v>5561</v>
      </c>
      <c r="R94" s="850"/>
      <c r="S94" s="851"/>
      <c r="T94" s="850"/>
      <c r="U94" s="197"/>
      <c r="V94" s="850"/>
      <c r="W94" s="851"/>
      <c r="X94" s="850"/>
      <c r="Y94" s="197" t="s">
        <v>5562</v>
      </c>
      <c r="Z94" s="850"/>
      <c r="AA94" s="851"/>
      <c r="AB94" s="850"/>
      <c r="AC94" s="879">
        <f>COUNTIF(M91:M103,"A SAISIR")</f>
        <v>13</v>
      </c>
      <c r="AD94" s="850"/>
      <c r="AE94" s="851"/>
      <c r="AF94" s="850"/>
      <c r="AG94" s="197" t="s">
        <v>5563</v>
      </c>
      <c r="AH94" s="197" t="s">
        <v>5564</v>
      </c>
      <c r="AI94" s="213"/>
      <c r="AJ94" s="213"/>
      <c r="AK94" s="213"/>
      <c r="AL94" s="213"/>
    </row>
    <row r="95" spans="1:38" ht="50.1" customHeight="1" x14ac:dyDescent="0.25">
      <c r="A95" s="870" t="s">
        <v>5523</v>
      </c>
      <c r="B95" s="197" t="s">
        <v>5386</v>
      </c>
      <c r="C95" s="166" t="s">
        <v>5547</v>
      </c>
      <c r="D95" s="860">
        <v>8</v>
      </c>
      <c r="E95" s="860"/>
      <c r="F95" s="850"/>
      <c r="G95" s="851"/>
      <c r="H95" s="850"/>
      <c r="I95" s="860">
        <f>COUNTIF(Y9:Y85,"Fromage Ca &gt;=150 mg")</f>
        <v>0</v>
      </c>
      <c r="J95" s="878"/>
      <c r="K95" s="878"/>
      <c r="L95" s="878"/>
      <c r="M95" s="166" t="str">
        <f>IF(COUNTIF(I9:AC85,"&lt;&gt;")=0,"A SAISIR",IF(AND(D95&lt;&gt;"",I95&lt;D95),"MANQUE",IF(AND(E95&lt;&gt;"",I95&gt;E95),"TROP","OK")))</f>
        <v>A SAISIR</v>
      </c>
      <c r="N95" s="850"/>
      <c r="O95" s="851"/>
      <c r="P95" s="850"/>
      <c r="Q95" s="197" t="s">
        <v>5565</v>
      </c>
      <c r="R95" s="850"/>
      <c r="S95" s="851"/>
      <c r="T95" s="850"/>
      <c r="U95" s="197"/>
      <c r="V95" s="213"/>
      <c r="W95" s="213"/>
      <c r="X95" s="213"/>
      <c r="Y95" s="213"/>
      <c r="Z95" s="213"/>
      <c r="AA95" s="213"/>
      <c r="AB95" s="213"/>
      <c r="AC95" s="213"/>
      <c r="AD95" s="213"/>
      <c r="AE95" s="213"/>
      <c r="AF95" s="213"/>
      <c r="AG95" s="213"/>
      <c r="AH95" s="213"/>
      <c r="AI95" s="213"/>
      <c r="AJ95" s="213"/>
      <c r="AK95" s="213"/>
      <c r="AL95" s="213"/>
    </row>
    <row r="96" spans="1:38" ht="50.1" customHeight="1" x14ac:dyDescent="0.25">
      <c r="A96" s="871" t="s">
        <v>5525</v>
      </c>
      <c r="B96" s="197" t="s">
        <v>5389</v>
      </c>
      <c r="C96" s="166" t="s">
        <v>5547</v>
      </c>
      <c r="D96" s="860">
        <v>4</v>
      </c>
      <c r="E96" s="860"/>
      <c r="F96" s="850"/>
      <c r="G96" s="851"/>
      <c r="H96" s="850"/>
      <c r="I96" s="860">
        <f>COUNTIF(Y9:Y85,"Fromage Ca 100-150 mg")</f>
        <v>0</v>
      </c>
      <c r="J96" s="878"/>
      <c r="K96" s="878"/>
      <c r="L96" s="878"/>
      <c r="M96" s="166" t="str">
        <f>IF(COUNTIF(I9:AC85,"&lt;&gt;")=0,"A SAISIR",IF(AND(D96&lt;&gt;"",I96&lt;D96),"MANQUE",IF(AND(E96&lt;&gt;"",I96&gt;E96),"TROP","OK")))</f>
        <v>A SAISIR</v>
      </c>
      <c r="N96" s="850"/>
      <c r="O96" s="851"/>
      <c r="P96" s="850"/>
      <c r="Q96" s="197" t="s">
        <v>5566</v>
      </c>
      <c r="R96" s="850"/>
      <c r="S96" s="851"/>
      <c r="T96" s="850"/>
      <c r="U96" s="197"/>
      <c r="V96" s="213"/>
      <c r="W96" s="213"/>
      <c r="X96" s="213"/>
      <c r="Y96" s="213"/>
      <c r="Z96" s="213"/>
      <c r="AA96" s="213"/>
      <c r="AB96" s="213"/>
      <c r="AC96" s="213"/>
      <c r="AD96" s="213"/>
      <c r="AE96" s="213"/>
      <c r="AF96" s="213"/>
      <c r="AG96" s="213"/>
      <c r="AH96" s="213"/>
      <c r="AI96" s="213"/>
      <c r="AJ96" s="213"/>
      <c r="AK96" s="213"/>
      <c r="AL96" s="213"/>
    </row>
    <row r="97" spans="1:38" ht="50.1" customHeight="1" x14ac:dyDescent="0.25">
      <c r="A97" s="872" t="s">
        <v>5567</v>
      </c>
      <c r="B97" s="197" t="s">
        <v>5391</v>
      </c>
      <c r="C97" s="166" t="s">
        <v>5547</v>
      </c>
      <c r="D97" s="860">
        <v>6</v>
      </c>
      <c r="E97" s="860"/>
      <c r="F97" s="850"/>
      <c r="G97" s="851"/>
      <c r="H97" s="850"/>
      <c r="I97" s="860">
        <f>COUNTIF(Y9:Y85,"Laitage Ca &gt;100mg MG&lt;5g")+COUNTIF(AC9:AC85,"Dessert lacté Ca &gt;100mg MG&lt;5g")</f>
        <v>0</v>
      </c>
      <c r="J97" s="878"/>
      <c r="K97" s="878"/>
      <c r="L97" s="878"/>
      <c r="M97" s="166" t="str">
        <f>IF(COUNTIF(I9:AC85,"&lt;&gt;")=0,"A SAISIR",IF(AND(D97&lt;&gt;"",I97&lt;D97),"MANQUE",IF(AND(E97&lt;&gt;"",I97&gt;E97),"TROP","OK")))</f>
        <v>A SAISIR</v>
      </c>
      <c r="N97" s="850"/>
      <c r="O97" s="851"/>
      <c r="P97" s="850"/>
      <c r="Q97" s="197" t="s">
        <v>5568</v>
      </c>
      <c r="R97" s="850"/>
      <c r="S97" s="851"/>
      <c r="T97" s="850"/>
      <c r="U97" s="197"/>
      <c r="V97" s="213"/>
      <c r="W97" s="213"/>
      <c r="X97" s="213"/>
      <c r="Y97" s="213"/>
      <c r="Z97" s="213"/>
      <c r="AA97" s="213"/>
      <c r="AB97" s="213"/>
      <c r="AC97" s="213"/>
      <c r="AD97" s="213"/>
      <c r="AE97" s="213"/>
      <c r="AF97" s="213"/>
      <c r="AG97" s="213"/>
      <c r="AH97" s="213"/>
      <c r="AI97" s="213"/>
      <c r="AJ97" s="213"/>
      <c r="AK97" s="213"/>
      <c r="AL97" s="213"/>
    </row>
    <row r="98" spans="1:38" ht="50.1" customHeight="1" x14ac:dyDescent="0.25">
      <c r="A98" s="880" t="s">
        <v>5569</v>
      </c>
      <c r="B98" s="197" t="s">
        <v>5359</v>
      </c>
      <c r="C98" s="166" t="s">
        <v>5547</v>
      </c>
      <c r="D98" s="860">
        <v>4</v>
      </c>
      <c r="E98" s="860"/>
      <c r="F98" s="850"/>
      <c r="G98" s="851"/>
      <c r="H98" s="850"/>
      <c r="I98" s="860">
        <f>COUNTIF(M9:M85,"Viande non hachée BVA/abats")</f>
        <v>0</v>
      </c>
      <c r="J98" s="878"/>
      <c r="K98" s="878"/>
      <c r="L98" s="878"/>
      <c r="M98" s="166" t="str">
        <f>IF(COUNTIF(I9:AC85,"&lt;&gt;")=0,"A SAISIR",IF(AND(D98&lt;&gt;"",I98&lt;D98),"MANQUE",IF(AND(E98&lt;&gt;"",I98&gt;E98),"TROP","OK")))</f>
        <v>A SAISIR</v>
      </c>
      <c r="N98" s="850"/>
      <c r="O98" s="851"/>
      <c r="P98" s="850"/>
      <c r="Q98" s="197" t="s">
        <v>5570</v>
      </c>
      <c r="R98" s="850"/>
      <c r="S98" s="851"/>
      <c r="T98" s="850"/>
      <c r="U98" s="197"/>
      <c r="V98" s="213"/>
      <c r="W98" s="213"/>
      <c r="X98" s="213"/>
      <c r="Y98" s="213"/>
      <c r="Z98" s="213"/>
      <c r="AA98" s="213"/>
      <c r="AB98" s="213"/>
      <c r="AC98" s="213"/>
      <c r="AD98" s="213"/>
      <c r="AE98" s="213"/>
      <c r="AF98" s="213"/>
      <c r="AG98" s="213"/>
      <c r="AH98" s="213"/>
      <c r="AI98" s="213"/>
      <c r="AJ98" s="213"/>
      <c r="AK98" s="213"/>
      <c r="AL98" s="213"/>
    </row>
    <row r="99" spans="1:38" ht="50.1" customHeight="1" x14ac:dyDescent="0.25">
      <c r="A99" s="881" t="s">
        <v>5571</v>
      </c>
      <c r="B99" s="197" t="s">
        <v>5363</v>
      </c>
      <c r="C99" s="166" t="s">
        <v>5547</v>
      </c>
      <c r="D99" s="860">
        <v>4</v>
      </c>
      <c r="E99" s="860"/>
      <c r="F99" s="850"/>
      <c r="G99" s="851"/>
      <c r="H99" s="850"/>
      <c r="I99" s="860">
        <f>COUNTIF(M9:M85,"Poisson")</f>
        <v>0</v>
      </c>
      <c r="J99" s="878"/>
      <c r="K99" s="878"/>
      <c r="L99" s="878"/>
      <c r="M99" s="166" t="str">
        <f>IF(COUNTIF(I9:AC85,"&lt;&gt;")=0,"A SAISIR",IF(AND(D99&lt;&gt;"",I99&lt;D99),"MANQUE",IF(AND(E99&lt;&gt;"",I99&gt;E99),"TROP","OK")))</f>
        <v>A SAISIR</v>
      </c>
      <c r="N99" s="850"/>
      <c r="O99" s="851"/>
      <c r="P99" s="850"/>
      <c r="Q99" s="197" t="s">
        <v>5572</v>
      </c>
      <c r="R99" s="850"/>
      <c r="S99" s="851"/>
      <c r="T99" s="850"/>
      <c r="U99" s="197"/>
      <c r="V99" s="213"/>
      <c r="W99" s="213"/>
      <c r="X99" s="213"/>
      <c r="Y99" s="213"/>
      <c r="Z99" s="213"/>
      <c r="AA99" s="213"/>
      <c r="AB99" s="213"/>
      <c r="AC99" s="213"/>
      <c r="AD99" s="213"/>
      <c r="AE99" s="213"/>
      <c r="AF99" s="213"/>
      <c r="AG99" s="213"/>
      <c r="AH99" s="213"/>
      <c r="AI99" s="213"/>
      <c r="AJ99" s="213"/>
      <c r="AK99" s="213"/>
      <c r="AL99" s="213"/>
    </row>
    <row r="100" spans="1:38" ht="50.1" customHeight="1" x14ac:dyDescent="0.25">
      <c r="A100" s="882" t="s">
        <v>5573</v>
      </c>
      <c r="B100" s="197" t="s">
        <v>5374</v>
      </c>
      <c r="C100" s="166" t="s">
        <v>5574</v>
      </c>
      <c r="D100" s="860"/>
      <c r="E100" s="860">
        <v>3</v>
      </c>
      <c r="F100" s="850"/>
      <c r="G100" s="851"/>
      <c r="H100" s="850"/>
      <c r="I100" s="860">
        <f>COUNTIF(Q9:Q85,"VPO &lt;70%")</f>
        <v>0</v>
      </c>
      <c r="J100" s="878"/>
      <c r="K100" s="878"/>
      <c r="L100" s="878"/>
      <c r="M100" s="166" t="str">
        <f>IF(COUNTIF(I9:AC85,"&lt;&gt;")=0,"A SAISIR",IF(AND(D100&lt;&gt;"",I100&lt;D100),"MANQUE",IF(AND(E100&lt;&gt;"",I100&gt;E100),"TROP","OK")))</f>
        <v>A SAISIR</v>
      </c>
      <c r="N100" s="850"/>
      <c r="O100" s="851"/>
      <c r="P100" s="850"/>
      <c r="Q100" s="197" t="s">
        <v>5575</v>
      </c>
      <c r="R100" s="850"/>
      <c r="S100" s="851"/>
      <c r="T100" s="850"/>
      <c r="U100" s="197"/>
      <c r="V100" s="213"/>
      <c r="W100" s="213"/>
      <c r="X100" s="213"/>
      <c r="Y100" s="213"/>
      <c r="Z100" s="213"/>
      <c r="AA100" s="213"/>
      <c r="AB100" s="213"/>
      <c r="AC100" s="213"/>
      <c r="AD100" s="213"/>
      <c r="AE100" s="213"/>
      <c r="AF100" s="213"/>
      <c r="AG100" s="213"/>
      <c r="AH100" s="213"/>
      <c r="AI100" s="213"/>
      <c r="AJ100" s="213"/>
      <c r="AK100" s="213"/>
      <c r="AL100" s="213"/>
    </row>
    <row r="101" spans="1:38" ht="50.1" customHeight="1" x14ac:dyDescent="0.25">
      <c r="A101" s="883" t="s">
        <v>5576</v>
      </c>
      <c r="B101" s="197" t="s">
        <v>5371</v>
      </c>
      <c r="C101" s="166" t="s">
        <v>5574</v>
      </c>
      <c r="D101" s="860"/>
      <c r="E101" s="860">
        <v>4</v>
      </c>
      <c r="F101" s="850"/>
      <c r="G101" s="851"/>
      <c r="H101" s="850"/>
      <c r="I101" s="860">
        <f>COUNTIF(Q9:Q85,"Frit/préfrit &gt;15% lipides")</f>
        <v>0</v>
      </c>
      <c r="J101" s="878"/>
      <c r="K101" s="878"/>
      <c r="L101" s="878"/>
      <c r="M101" s="166" t="str">
        <f>IF(COUNTIF(I9:AC85,"&lt;&gt;")=0,"A SAISIR",IF(AND(D101&lt;&gt;"",I101&lt;D101),"MANQUE",IF(AND(E101&lt;&gt;"",I101&gt;E101),"TROP","OK")))</f>
        <v>A SAISIR</v>
      </c>
      <c r="N101" s="850"/>
      <c r="O101" s="851"/>
      <c r="P101" s="850"/>
      <c r="Q101" s="197" t="s">
        <v>5577</v>
      </c>
      <c r="R101" s="850"/>
      <c r="S101" s="851"/>
      <c r="T101" s="850"/>
      <c r="U101" s="197"/>
      <c r="V101" s="213"/>
      <c r="W101" s="213"/>
      <c r="X101" s="213"/>
      <c r="Y101" s="213"/>
      <c r="Z101" s="213"/>
      <c r="AA101" s="213"/>
      <c r="AB101" s="213"/>
      <c r="AC101" s="213"/>
      <c r="AD101" s="213"/>
      <c r="AE101" s="213"/>
      <c r="AF101" s="213"/>
      <c r="AG101" s="213"/>
      <c r="AH101" s="213"/>
      <c r="AI101" s="213"/>
      <c r="AJ101" s="213"/>
      <c r="AK101" s="213"/>
      <c r="AL101" s="213"/>
    </row>
    <row r="102" spans="1:38" ht="50.1" customHeight="1" x14ac:dyDescent="0.25">
      <c r="A102" s="884" t="s">
        <v>5578</v>
      </c>
      <c r="B102" s="197" t="s">
        <v>5400</v>
      </c>
      <c r="C102" s="166" t="s">
        <v>5574</v>
      </c>
      <c r="D102" s="860"/>
      <c r="E102" s="860">
        <v>3</v>
      </c>
      <c r="F102" s="850"/>
      <c r="G102" s="851"/>
      <c r="H102" s="850"/>
      <c r="I102" s="860">
        <f>COUNTIF(AC9:AC85,"Dessert gras &gt;15% lipides")</f>
        <v>0</v>
      </c>
      <c r="J102" s="878"/>
      <c r="K102" s="878"/>
      <c r="L102" s="878"/>
      <c r="M102" s="166" t="str">
        <f>IF(COUNTIF(I9:AC85,"&lt;&gt;")=0,"A SAISIR",IF(AND(D102&lt;&gt;"",I102&lt;D102),"MANQUE",IF(AND(E102&lt;&gt;"",I102&gt;E102),"TROP","OK")))</f>
        <v>A SAISIR</v>
      </c>
      <c r="N102" s="850"/>
      <c r="O102" s="851"/>
      <c r="P102" s="850"/>
      <c r="Q102" s="197" t="s">
        <v>5579</v>
      </c>
      <c r="R102" s="850"/>
      <c r="S102" s="851"/>
      <c r="T102" s="850"/>
      <c r="U102" s="197"/>
      <c r="V102" s="213"/>
      <c r="W102" s="213"/>
      <c r="X102" s="213"/>
      <c r="Y102" s="213"/>
      <c r="Z102" s="213"/>
      <c r="AA102" s="213"/>
      <c r="AB102" s="213"/>
      <c r="AC102" s="213"/>
      <c r="AD102" s="213"/>
      <c r="AE102" s="213"/>
      <c r="AF102" s="213"/>
      <c r="AG102" s="213"/>
      <c r="AH102" s="213"/>
      <c r="AI102" s="213"/>
      <c r="AJ102" s="213"/>
      <c r="AK102" s="213"/>
      <c r="AL102" s="213"/>
    </row>
    <row r="103" spans="1:38" ht="50.1" customHeight="1" x14ac:dyDescent="0.25">
      <c r="A103" s="885" t="s">
        <v>5580</v>
      </c>
      <c r="B103" s="197" t="s">
        <v>5403</v>
      </c>
      <c r="C103" s="166" t="s">
        <v>5574</v>
      </c>
      <c r="D103" s="860"/>
      <c r="E103" s="860">
        <v>4</v>
      </c>
      <c r="F103" s="850"/>
      <c r="G103" s="851"/>
      <c r="H103" s="850"/>
      <c r="I103" s="860">
        <f>COUNTIF(AC9:AC85,"Dessert sucré &lt;15% lipides")</f>
        <v>0</v>
      </c>
      <c r="J103" s="878"/>
      <c r="K103" s="878"/>
      <c r="L103" s="878"/>
      <c r="M103" s="166" t="str">
        <f>IF(COUNTIF(I9:AC85,"&lt;&gt;")=0,"A SAISIR",IF(AND(D103&lt;&gt;"",I103&lt;D103),"MANQUE",IF(AND(E103&lt;&gt;"",I103&gt;E103),"TROP","OK")))</f>
        <v>A SAISIR</v>
      </c>
      <c r="N103" s="850"/>
      <c r="O103" s="851"/>
      <c r="P103" s="850"/>
      <c r="Q103" s="197" t="s">
        <v>5581</v>
      </c>
      <c r="R103" s="850"/>
      <c r="S103" s="851"/>
      <c r="T103" s="850"/>
      <c r="U103" s="197"/>
      <c r="V103" s="213"/>
      <c r="W103" s="213"/>
      <c r="X103" s="213"/>
      <c r="Y103" s="213"/>
      <c r="Z103" s="213"/>
      <c r="AA103" s="213"/>
      <c r="AB103" s="213"/>
      <c r="AC103" s="213"/>
      <c r="AD103" s="213"/>
      <c r="AE103" s="213"/>
      <c r="AF103" s="213"/>
      <c r="AG103" s="213"/>
      <c r="AH103" s="213"/>
      <c r="AI103" s="213"/>
      <c r="AJ103" s="213"/>
      <c r="AK103" s="213"/>
      <c r="AL103" s="213"/>
    </row>
    <row r="104" spans="1:38" x14ac:dyDescent="0.25">
      <c r="A104" s="213"/>
      <c r="B104" s="213"/>
      <c r="C104" s="213"/>
      <c r="D104" s="213"/>
      <c r="E104" s="213"/>
      <c r="F104" s="213"/>
      <c r="G104" s="213"/>
      <c r="H104" s="213"/>
      <c r="I104" s="213"/>
      <c r="J104" s="213"/>
      <c r="K104" s="213"/>
      <c r="L104" s="213"/>
      <c r="M104" s="213"/>
      <c r="N104" s="213"/>
      <c r="O104" s="213"/>
      <c r="P104" s="213"/>
      <c r="Q104" s="213"/>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row>
    <row r="105" spans="1:38" x14ac:dyDescent="0.25">
      <c r="A105" s="213"/>
      <c r="B105" s="213"/>
      <c r="C105" s="213"/>
      <c r="D105" s="213"/>
      <c r="E105" s="213"/>
      <c r="F105" s="213"/>
      <c r="G105" s="213"/>
      <c r="H105" s="213"/>
      <c r="I105" s="213"/>
      <c r="J105" s="213"/>
      <c r="K105" s="213"/>
      <c r="L105" s="213"/>
      <c r="M105" s="213"/>
      <c r="N105" s="213"/>
      <c r="O105" s="213"/>
      <c r="P105" s="213"/>
      <c r="Q105" s="213"/>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row>
    <row r="106" spans="1:38" x14ac:dyDescent="0.25">
      <c r="A106" s="213"/>
      <c r="B106" s="213"/>
      <c r="C106" s="213"/>
      <c r="D106" s="213"/>
      <c r="E106" s="213"/>
      <c r="F106" s="213"/>
      <c r="G106" s="213"/>
      <c r="H106" s="213"/>
      <c r="I106" s="213"/>
      <c r="J106" s="213"/>
      <c r="K106" s="213"/>
      <c r="L106" s="213"/>
      <c r="M106" s="213"/>
      <c r="N106" s="213"/>
      <c r="O106" s="213"/>
      <c r="P106" s="213"/>
      <c r="Q106" s="213"/>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row>
    <row r="107" spans="1:38" x14ac:dyDescent="0.25">
      <c r="A107" s="213"/>
      <c r="B107" s="213"/>
      <c r="C107" s="213"/>
      <c r="D107" s="213"/>
      <c r="E107" s="213"/>
      <c r="F107" s="213"/>
      <c r="G107" s="213"/>
      <c r="H107" s="213"/>
      <c r="I107" s="213"/>
      <c r="J107" s="213"/>
      <c r="K107" s="213"/>
      <c r="L107" s="213"/>
      <c r="M107" s="213"/>
      <c r="N107" s="213"/>
      <c r="O107" s="213"/>
      <c r="P107" s="213"/>
      <c r="Q107" s="213"/>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row>
    <row r="108" spans="1:38" x14ac:dyDescent="0.25">
      <c r="A108" s="213"/>
      <c r="B108" s="213"/>
      <c r="C108" s="213"/>
      <c r="D108" s="213"/>
      <c r="E108" s="213"/>
      <c r="F108" s="213"/>
      <c r="G108" s="213"/>
      <c r="H108" s="213"/>
      <c r="I108" s="213"/>
      <c r="J108" s="213"/>
      <c r="K108" s="213"/>
      <c r="L108" s="213"/>
      <c r="M108" s="213"/>
      <c r="N108" s="213"/>
      <c r="O108" s="213"/>
      <c r="P108" s="213"/>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row>
    <row r="109" spans="1:38" x14ac:dyDescent="0.25">
      <c r="A109" s="213"/>
      <c r="B109" s="213"/>
      <c r="C109" s="213"/>
      <c r="D109" s="213"/>
      <c r="E109" s="213"/>
      <c r="F109" s="213"/>
      <c r="G109" s="213"/>
      <c r="H109" s="213"/>
      <c r="I109" s="213"/>
      <c r="J109" s="213"/>
      <c r="K109" s="213"/>
      <c r="L109" s="213"/>
      <c r="M109" s="213"/>
      <c r="N109" s="213"/>
      <c r="O109" s="213"/>
      <c r="P109" s="213"/>
      <c r="Q109" s="213"/>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row>
    <row r="110" spans="1:38" x14ac:dyDescent="0.25">
      <c r="A110" s="213"/>
      <c r="B110" s="213"/>
      <c r="C110" s="213"/>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row>
    <row r="111" spans="1:38" x14ac:dyDescent="0.25">
      <c r="A111" s="213"/>
      <c r="B111" s="213"/>
      <c r="C111" s="213"/>
      <c r="D111" s="213"/>
      <c r="E111" s="213"/>
      <c r="F111" s="213"/>
      <c r="G111" s="213"/>
      <c r="H111" s="213"/>
      <c r="I111" s="213"/>
      <c r="J111" s="213"/>
      <c r="K111" s="213"/>
      <c r="L111" s="213"/>
      <c r="M111" s="213"/>
      <c r="N111" s="213"/>
      <c r="O111" s="213"/>
      <c r="P111" s="213"/>
      <c r="Q111" s="213"/>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row>
    <row r="112" spans="1:38" x14ac:dyDescent="0.25">
      <c r="A112" s="213"/>
      <c r="B112" s="213"/>
      <c r="C112" s="213"/>
      <c r="D112" s="213"/>
      <c r="E112" s="213"/>
      <c r="F112" s="213"/>
      <c r="G112" s="213"/>
      <c r="H112" s="213"/>
      <c r="I112" s="213"/>
      <c r="J112" s="213"/>
      <c r="K112" s="213"/>
      <c r="L112" s="213"/>
      <c r="M112" s="213"/>
      <c r="N112" s="213"/>
      <c r="O112" s="213"/>
      <c r="P112" s="213"/>
      <c r="Q112" s="213"/>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row>
    <row r="113" spans="1:38" x14ac:dyDescent="0.25">
      <c r="A113" s="213"/>
      <c r="B113" s="213"/>
      <c r="C113" s="213"/>
      <c r="D113" s="213"/>
      <c r="E113" s="213"/>
      <c r="F113" s="213"/>
      <c r="G113" s="213"/>
      <c r="H113" s="213"/>
      <c r="I113" s="213"/>
      <c r="J113" s="213"/>
      <c r="K113" s="213"/>
      <c r="L113" s="213"/>
      <c r="M113" s="213"/>
      <c r="N113" s="213"/>
      <c r="O113" s="213"/>
      <c r="P113" s="213"/>
      <c r="Q113" s="213"/>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row>
    <row r="114" spans="1:38" x14ac:dyDescent="0.25">
      <c r="A114" s="213"/>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row>
    <row r="115" spans="1:38" x14ac:dyDescent="0.25">
      <c r="A115" s="213"/>
      <c r="B115" s="213"/>
      <c r="C115" s="213"/>
      <c r="D115" s="213"/>
      <c r="E115" s="213"/>
      <c r="F115" s="213"/>
      <c r="G115" s="213"/>
      <c r="H115" s="213"/>
      <c r="I115" s="213"/>
      <c r="J115" s="213"/>
      <c r="K115" s="213"/>
      <c r="L115" s="213"/>
      <c r="M115" s="213"/>
      <c r="N115" s="213"/>
      <c r="O115" s="213"/>
      <c r="P115" s="213"/>
      <c r="Q115" s="213"/>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row>
    <row r="116" spans="1:38" x14ac:dyDescent="0.25">
      <c r="A116" s="213"/>
      <c r="B116" s="213"/>
      <c r="C116" s="213"/>
      <c r="D116" s="213"/>
      <c r="E116" s="213"/>
      <c r="F116" s="213"/>
      <c r="G116" s="213"/>
      <c r="H116" s="213"/>
      <c r="I116" s="213"/>
      <c r="J116" s="213"/>
      <c r="K116" s="213"/>
      <c r="L116" s="213"/>
      <c r="M116" s="213"/>
      <c r="N116" s="213"/>
      <c r="O116" s="213"/>
      <c r="P116" s="213"/>
      <c r="Q116" s="213"/>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row>
    <row r="117" spans="1:38" x14ac:dyDescent="0.25">
      <c r="A117" s="213"/>
      <c r="B117" s="213"/>
      <c r="C117" s="213"/>
      <c r="D117" s="213"/>
      <c r="E117" s="213"/>
      <c r="F117" s="213"/>
      <c r="G117" s="213"/>
      <c r="H117" s="213"/>
      <c r="I117" s="213"/>
      <c r="J117" s="213"/>
      <c r="K117" s="213"/>
      <c r="L117" s="213"/>
      <c r="M117" s="213"/>
      <c r="N117" s="213"/>
      <c r="O117" s="213"/>
      <c r="P117" s="213"/>
      <c r="Q117" s="213"/>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row>
    <row r="118" spans="1:38" x14ac:dyDescent="0.25">
      <c r="A118" s="213"/>
      <c r="B118" s="213"/>
      <c r="C118" s="213"/>
      <c r="D118" s="213"/>
      <c r="E118" s="213"/>
      <c r="F118" s="213"/>
      <c r="G118" s="213"/>
      <c r="H118" s="213"/>
      <c r="I118" s="213"/>
      <c r="J118" s="213"/>
      <c r="K118" s="213"/>
      <c r="L118" s="213"/>
      <c r="M118" s="213"/>
      <c r="N118" s="213"/>
      <c r="O118" s="213"/>
      <c r="P118" s="213"/>
      <c r="Q118" s="213"/>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row>
    <row r="119" spans="1:38" x14ac:dyDescent="0.25">
      <c r="A119" s="213"/>
      <c r="B119" s="213"/>
      <c r="C119" s="213"/>
      <c r="D119" s="213"/>
      <c r="E119" s="213"/>
      <c r="F119" s="213"/>
      <c r="G119" s="213"/>
      <c r="H119" s="213"/>
      <c r="I119" s="213"/>
      <c r="J119" s="213"/>
      <c r="K119" s="213"/>
      <c r="L119" s="213"/>
      <c r="M119" s="213"/>
      <c r="N119" s="213"/>
      <c r="O119" s="213"/>
      <c r="P119" s="213"/>
      <c r="Q119" s="213"/>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row>
    <row r="120" spans="1:38" x14ac:dyDescent="0.25">
      <c r="A120" s="213"/>
      <c r="B120" s="213"/>
      <c r="C120" s="213"/>
      <c r="D120" s="213"/>
      <c r="E120" s="213"/>
      <c r="F120" s="213"/>
      <c r="G120" s="213"/>
      <c r="H120" s="213"/>
      <c r="I120" s="213"/>
      <c r="J120" s="213"/>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row>
    <row r="121" spans="1:38" x14ac:dyDescent="0.25">
      <c r="A121" s="213"/>
      <c r="B121" s="213"/>
      <c r="C121" s="213"/>
      <c r="D121" s="213"/>
      <c r="E121" s="213"/>
      <c r="F121" s="213"/>
      <c r="G121" s="213"/>
      <c r="H121" s="213"/>
      <c r="I121" s="213"/>
      <c r="J121" s="213"/>
      <c r="K121" s="213"/>
      <c r="L121" s="213"/>
      <c r="M121" s="213"/>
      <c r="N121" s="213"/>
      <c r="O121" s="213"/>
      <c r="P121" s="213"/>
      <c r="Q121" s="213"/>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row>
    <row r="122" spans="1:38" x14ac:dyDescent="0.25">
      <c r="A122" s="213"/>
      <c r="B122" s="213"/>
      <c r="C122" s="213"/>
      <c r="D122" s="213"/>
      <c r="E122" s="213"/>
      <c r="F122" s="213"/>
      <c r="G122" s="213"/>
      <c r="H122" s="213"/>
      <c r="I122" s="213"/>
      <c r="J122" s="213"/>
      <c r="K122" s="213"/>
      <c r="L122" s="213"/>
      <c r="M122" s="213"/>
      <c r="N122" s="213"/>
      <c r="O122" s="213"/>
      <c r="P122" s="213"/>
      <c r="Q122" s="213"/>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row>
    <row r="123" spans="1:38" x14ac:dyDescent="0.25">
      <c r="A123" s="213"/>
      <c r="B123" s="213"/>
      <c r="C123" s="213"/>
      <c r="D123" s="213"/>
      <c r="E123" s="213"/>
      <c r="F123" s="213"/>
      <c r="G123" s="213"/>
      <c r="H123" s="213"/>
      <c r="I123" s="213"/>
      <c r="J123" s="213"/>
      <c r="K123" s="213"/>
      <c r="L123" s="213"/>
      <c r="M123" s="213"/>
      <c r="N123" s="213"/>
      <c r="O123" s="213"/>
      <c r="P123" s="213"/>
      <c r="Q123" s="213"/>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row>
    <row r="124" spans="1:38" x14ac:dyDescent="0.25">
      <c r="A124" s="213"/>
      <c r="B124" s="213"/>
      <c r="C124" s="213"/>
      <c r="D124" s="213"/>
      <c r="E124" s="213"/>
      <c r="F124" s="213"/>
      <c r="G124" s="213"/>
      <c r="H124" s="213"/>
      <c r="I124" s="213"/>
      <c r="J124" s="213"/>
      <c r="K124" s="213"/>
      <c r="L124" s="213"/>
      <c r="M124" s="213"/>
      <c r="N124" s="213"/>
      <c r="O124" s="213"/>
      <c r="P124" s="213"/>
      <c r="Q124" s="213"/>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row>
    <row r="125" spans="1:38" x14ac:dyDescent="0.25">
      <c r="A125" s="213"/>
      <c r="B125" s="213"/>
      <c r="C125" s="213"/>
      <c r="D125" s="213"/>
      <c r="E125" s="213"/>
      <c r="F125" s="213"/>
      <c r="G125" s="213"/>
      <c r="H125" s="213"/>
      <c r="I125" s="213"/>
      <c r="J125" s="213"/>
      <c r="K125" s="213"/>
      <c r="L125" s="213"/>
      <c r="M125" s="213"/>
      <c r="N125" s="213"/>
      <c r="O125" s="213"/>
      <c r="P125" s="213"/>
      <c r="Q125" s="213"/>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row>
    <row r="126" spans="1:38" x14ac:dyDescent="0.25">
      <c r="A126" s="213"/>
      <c r="B126" s="213"/>
      <c r="C126" s="213"/>
      <c r="D126" s="213"/>
      <c r="E126" s="213"/>
      <c r="F126" s="213"/>
      <c r="G126" s="213"/>
      <c r="H126" s="213"/>
      <c r="I126" s="213"/>
      <c r="J126" s="213"/>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row>
    <row r="127" spans="1:38" x14ac:dyDescent="0.25">
      <c r="A127" s="213"/>
      <c r="B127" s="213"/>
      <c r="C127" s="213"/>
      <c r="D127" s="213"/>
      <c r="E127" s="213"/>
      <c r="F127" s="213"/>
      <c r="G127" s="213"/>
      <c r="H127" s="213"/>
      <c r="I127" s="213"/>
      <c r="J127" s="213"/>
      <c r="K127" s="213"/>
      <c r="L127" s="213"/>
      <c r="M127" s="213"/>
      <c r="N127" s="213"/>
      <c r="O127" s="213"/>
      <c r="P127" s="213"/>
      <c r="Q127" s="213"/>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row>
    <row r="128" spans="1:38" x14ac:dyDescent="0.25">
      <c r="A128" s="213"/>
      <c r="B128" s="213"/>
      <c r="C128" s="213"/>
      <c r="D128" s="213"/>
      <c r="E128" s="213"/>
      <c r="F128" s="213"/>
      <c r="G128" s="213"/>
      <c r="H128" s="213"/>
      <c r="I128" s="213"/>
      <c r="J128" s="213"/>
      <c r="K128" s="213"/>
      <c r="L128" s="213"/>
      <c r="M128" s="213"/>
      <c r="N128" s="213"/>
      <c r="O128" s="213"/>
      <c r="P128" s="213"/>
      <c r="Q128" s="213"/>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row>
    <row r="129" spans="1:38" x14ac:dyDescent="0.25">
      <c r="A129" s="213"/>
      <c r="B129" s="213"/>
      <c r="C129" s="213"/>
      <c r="D129" s="213"/>
      <c r="E129" s="213"/>
      <c r="F129" s="213"/>
      <c r="G129" s="213"/>
      <c r="H129" s="213"/>
      <c r="I129" s="213"/>
      <c r="J129" s="213"/>
      <c r="K129" s="213"/>
      <c r="L129" s="213"/>
      <c r="M129" s="213"/>
      <c r="N129" s="213"/>
      <c r="O129" s="213"/>
      <c r="P129" s="213"/>
      <c r="Q129" s="213"/>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row>
    <row r="130" spans="1:38" x14ac:dyDescent="0.25">
      <c r="A130" s="213"/>
      <c r="B130" s="213"/>
      <c r="C130" s="213"/>
      <c r="D130" s="213"/>
      <c r="E130" s="213"/>
      <c r="F130" s="213"/>
      <c r="G130" s="213"/>
      <c r="H130" s="213"/>
      <c r="I130" s="213"/>
      <c r="J130" s="213"/>
      <c r="K130" s="213"/>
      <c r="L130" s="213"/>
      <c r="M130" s="213"/>
      <c r="N130" s="21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row>
    <row r="131" spans="1:38" x14ac:dyDescent="0.25">
      <c r="A131" s="213"/>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row>
    <row r="132" spans="1:38" x14ac:dyDescent="0.25">
      <c r="A132" s="213"/>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row>
    <row r="133" spans="1:38" x14ac:dyDescent="0.25">
      <c r="A133" s="213"/>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row>
    <row r="134" spans="1:38" x14ac:dyDescent="0.25">
      <c r="A134" s="213"/>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row>
    <row r="135" spans="1:38" x14ac:dyDescent="0.25">
      <c r="A135" s="213"/>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row>
    <row r="136" spans="1:38" x14ac:dyDescent="0.25">
      <c r="A136" s="213"/>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row>
    <row r="137" spans="1:38" x14ac:dyDescent="0.25">
      <c r="A137" s="213"/>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row>
    <row r="138" spans="1:38" x14ac:dyDescent="0.25">
      <c r="A138" s="213"/>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row>
    <row r="139" spans="1:38" x14ac:dyDescent="0.25">
      <c r="A139" s="213"/>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row>
    <row r="140" spans="1:38" x14ac:dyDescent="0.25">
      <c r="A140" s="213"/>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row>
    <row r="141" spans="1:38" x14ac:dyDescent="0.25">
      <c r="A141" s="213"/>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row>
    <row r="142" spans="1:38" x14ac:dyDescent="0.25">
      <c r="A142" s="213"/>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row>
    <row r="143" spans="1:38" x14ac:dyDescent="0.25">
      <c r="A143" s="213"/>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row>
    <row r="144" spans="1:38" x14ac:dyDescent="0.25">
      <c r="A144" s="213"/>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row>
    <row r="145" spans="1:38" x14ac:dyDescent="0.25">
      <c r="A145" s="213"/>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row>
    <row r="146" spans="1:38" x14ac:dyDescent="0.25">
      <c r="A146" s="213"/>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row>
    <row r="147" spans="1:38" x14ac:dyDescent="0.25">
      <c r="A147" s="213"/>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row>
    <row r="148" spans="1:38" x14ac:dyDescent="0.25">
      <c r="A148" s="213"/>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row>
    <row r="149" spans="1:38" x14ac:dyDescent="0.25">
      <c r="A149" s="213"/>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row>
    <row r="150" spans="1:38" x14ac:dyDescent="0.25">
      <c r="A150" s="213"/>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row>
    <row r="151" spans="1:38" x14ac:dyDescent="0.25">
      <c r="A151" s="213"/>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row>
    <row r="152" spans="1:38" x14ac:dyDescent="0.25">
      <c r="A152" s="213"/>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row>
    <row r="153" spans="1:38" x14ac:dyDescent="0.25">
      <c r="A153" s="213"/>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row>
    <row r="154" spans="1:38" x14ac:dyDescent="0.25">
      <c r="A154" s="213"/>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row>
    <row r="155" spans="1:38" x14ac:dyDescent="0.25">
      <c r="A155" s="213"/>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row>
    <row r="156" spans="1:38" x14ac:dyDescent="0.25">
      <c r="A156" s="213"/>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row>
    <row r="157" spans="1:38" x14ac:dyDescent="0.25">
      <c r="A157" s="213"/>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row>
    <row r="158" spans="1:38" x14ac:dyDescent="0.25">
      <c r="A158" s="213"/>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row>
    <row r="159" spans="1:38" x14ac:dyDescent="0.25">
      <c r="A159" s="213"/>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row>
    <row r="160" spans="1:38" x14ac:dyDescent="0.25">
      <c r="A160" s="213"/>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row>
    <row r="161" spans="1:38" x14ac:dyDescent="0.25">
      <c r="A161" s="213"/>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row>
    <row r="162" spans="1:38" x14ac:dyDescent="0.25">
      <c r="A162" s="213"/>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row>
    <row r="163" spans="1:38" x14ac:dyDescent="0.25">
      <c r="A163" s="213"/>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row>
    <row r="164" spans="1:38" x14ac:dyDescent="0.25">
      <c r="A164" s="213"/>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row>
    <row r="165" spans="1:38" x14ac:dyDescent="0.25">
      <c r="A165" s="213"/>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row>
    <row r="166" spans="1:38" x14ac:dyDescent="0.25">
      <c r="A166" s="213"/>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row>
    <row r="167" spans="1:38" x14ac:dyDescent="0.25">
      <c r="A167" s="213"/>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row>
    <row r="168" spans="1:38" x14ac:dyDescent="0.25">
      <c r="A168" s="213"/>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row>
    <row r="169" spans="1:38" x14ac:dyDescent="0.25">
      <c r="A169" s="213"/>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row>
    <row r="170" spans="1:38" x14ac:dyDescent="0.25">
      <c r="A170" s="213"/>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row>
    <row r="171" spans="1:38" x14ac:dyDescent="0.25">
      <c r="A171" s="213"/>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row>
    <row r="172" spans="1:38" x14ac:dyDescent="0.25">
      <c r="A172" s="213"/>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row>
    <row r="173" spans="1:38" x14ac:dyDescent="0.25">
      <c r="A173" s="213"/>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row>
    <row r="174" spans="1:38" x14ac:dyDescent="0.25">
      <c r="A174" s="213"/>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row>
    <row r="175" spans="1:38" x14ac:dyDescent="0.25">
      <c r="A175" s="213"/>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row>
    <row r="176" spans="1:38" x14ac:dyDescent="0.25">
      <c r="A176" s="213"/>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row>
    <row r="177" spans="1:38" x14ac:dyDescent="0.25">
      <c r="A177" s="213"/>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row>
  </sheetData>
  <mergeCells count="293">
    <mergeCell ref="A13:A15"/>
    <mergeCell ref="B13:B15"/>
    <mergeCell ref="C13:C15"/>
    <mergeCell ref="D13:D15"/>
    <mergeCell ref="E13:E15"/>
    <mergeCell ref="I13:I15"/>
    <mergeCell ref="M13:M15"/>
    <mergeCell ref="M9:M11"/>
    <mergeCell ref="Q9:Q11"/>
    <mergeCell ref="A9:A11"/>
    <mergeCell ref="B9:B11"/>
    <mergeCell ref="C9:C11"/>
    <mergeCell ref="D9:D11"/>
    <mergeCell ref="E9:E11"/>
    <mergeCell ref="I9:I11"/>
    <mergeCell ref="D17:D19"/>
    <mergeCell ref="E17:E19"/>
    <mergeCell ref="I17:I19"/>
    <mergeCell ref="M17:M19"/>
    <mergeCell ref="Q17:Q19"/>
    <mergeCell ref="Q13:Q15"/>
    <mergeCell ref="AH9:AH11"/>
    <mergeCell ref="AJ9:AJ11"/>
    <mergeCell ref="AL9:AL11"/>
    <mergeCell ref="U9:U11"/>
    <mergeCell ref="Y9:Y11"/>
    <mergeCell ref="AC9:AC11"/>
    <mergeCell ref="AG9:AG11"/>
    <mergeCell ref="AJ13:AJ15"/>
    <mergeCell ref="AL13:AL15"/>
    <mergeCell ref="U13:U15"/>
    <mergeCell ref="Y13:Y15"/>
    <mergeCell ref="AC13:AC15"/>
    <mergeCell ref="AG13:AG15"/>
    <mergeCell ref="AH13:AH15"/>
    <mergeCell ref="AL17:AL19"/>
    <mergeCell ref="U17:U19"/>
    <mergeCell ref="Y17:Y19"/>
    <mergeCell ref="AC17:AC19"/>
    <mergeCell ref="Y21:Y23"/>
    <mergeCell ref="AC21:AC23"/>
    <mergeCell ref="AG21:AG23"/>
    <mergeCell ref="AH21:AH23"/>
    <mergeCell ref="I25:I27"/>
    <mergeCell ref="AJ29:AJ31"/>
    <mergeCell ref="AL29:AL31"/>
    <mergeCell ref="AJ21:AJ23"/>
    <mergeCell ref="AL21:AL23"/>
    <mergeCell ref="AL25:AL27"/>
    <mergeCell ref="AH29:AH31"/>
    <mergeCell ref="A21:A23"/>
    <mergeCell ref="B21:B23"/>
    <mergeCell ref="C21:C23"/>
    <mergeCell ref="D21:D23"/>
    <mergeCell ref="E21:E23"/>
    <mergeCell ref="I21:I23"/>
    <mergeCell ref="M21:M23"/>
    <mergeCell ref="Q21:Q23"/>
    <mergeCell ref="U21:U23"/>
    <mergeCell ref="AG17:AG19"/>
    <mergeCell ref="AH17:AH19"/>
    <mergeCell ref="AJ17:AJ19"/>
    <mergeCell ref="A17:A19"/>
    <mergeCell ref="B17:B19"/>
    <mergeCell ref="C17:C19"/>
    <mergeCell ref="M33:M35"/>
    <mergeCell ref="Q33:Q35"/>
    <mergeCell ref="Q29:Q31"/>
    <mergeCell ref="AH25:AH27"/>
    <mergeCell ref="AJ25:AJ27"/>
    <mergeCell ref="A29:A31"/>
    <mergeCell ref="B29:B31"/>
    <mergeCell ref="C29:C31"/>
    <mergeCell ref="D29:D31"/>
    <mergeCell ref="E29:E31"/>
    <mergeCell ref="I29:I31"/>
    <mergeCell ref="M29:M31"/>
    <mergeCell ref="M25:M27"/>
    <mergeCell ref="Q25:Q27"/>
    <mergeCell ref="U25:U27"/>
    <mergeCell ref="Y25:Y27"/>
    <mergeCell ref="AC25:AC27"/>
    <mergeCell ref="AG25:AG27"/>
    <mergeCell ref="U33:U35"/>
    <mergeCell ref="Y33:Y35"/>
    <mergeCell ref="AC33:AC35"/>
    <mergeCell ref="AG33:AG35"/>
    <mergeCell ref="AH33:AH35"/>
    <mergeCell ref="AJ33:AJ35"/>
    <mergeCell ref="A33:A35"/>
    <mergeCell ref="B33:B35"/>
    <mergeCell ref="A25:A27"/>
    <mergeCell ref="B25:B27"/>
    <mergeCell ref="C25:C27"/>
    <mergeCell ref="D25:D27"/>
    <mergeCell ref="E25:E27"/>
    <mergeCell ref="U29:U31"/>
    <mergeCell ref="Y29:Y31"/>
    <mergeCell ref="AC29:AC31"/>
    <mergeCell ref="AG29:AG31"/>
    <mergeCell ref="A37:A39"/>
    <mergeCell ref="B37:B39"/>
    <mergeCell ref="C37:C39"/>
    <mergeCell ref="D37:D39"/>
    <mergeCell ref="E37:E39"/>
    <mergeCell ref="I37:I39"/>
    <mergeCell ref="M37:M39"/>
    <mergeCell ref="Q37:Q39"/>
    <mergeCell ref="U37:U39"/>
    <mergeCell ref="A45:A47"/>
    <mergeCell ref="B45:B47"/>
    <mergeCell ref="C45:C47"/>
    <mergeCell ref="D45:D47"/>
    <mergeCell ref="E45:E47"/>
    <mergeCell ref="I45:I47"/>
    <mergeCell ref="M45:M47"/>
    <mergeCell ref="M41:M43"/>
    <mergeCell ref="Q41:Q43"/>
    <mergeCell ref="A41:A43"/>
    <mergeCell ref="B41:B43"/>
    <mergeCell ref="C41:C43"/>
    <mergeCell ref="D41:D43"/>
    <mergeCell ref="E41:E43"/>
    <mergeCell ref="I41:I43"/>
    <mergeCell ref="AL45:AL47"/>
    <mergeCell ref="C49:C51"/>
    <mergeCell ref="D49:D51"/>
    <mergeCell ref="E49:E51"/>
    <mergeCell ref="I49:I51"/>
    <mergeCell ref="M49:M51"/>
    <mergeCell ref="Q49:Q51"/>
    <mergeCell ref="Q45:Q47"/>
    <mergeCell ref="C33:C35"/>
    <mergeCell ref="D33:D35"/>
    <mergeCell ref="E33:E35"/>
    <mergeCell ref="I33:I35"/>
    <mergeCell ref="AL41:AL43"/>
    <mergeCell ref="U41:U43"/>
    <mergeCell ref="Y41:Y43"/>
    <mergeCell ref="AC41:AC43"/>
    <mergeCell ref="AG41:AG43"/>
    <mergeCell ref="Y37:Y39"/>
    <mergeCell ref="AC37:AC39"/>
    <mergeCell ref="AG37:AG39"/>
    <mergeCell ref="AH37:AH39"/>
    <mergeCell ref="AJ37:AJ39"/>
    <mergeCell ref="AL37:AL39"/>
    <mergeCell ref="AL33:AL35"/>
    <mergeCell ref="AH41:AH43"/>
    <mergeCell ref="AJ41:AJ43"/>
    <mergeCell ref="U45:U47"/>
    <mergeCell ref="Y45:Y47"/>
    <mergeCell ref="AC45:AC47"/>
    <mergeCell ref="AG45:AG47"/>
    <mergeCell ref="AH45:AH47"/>
    <mergeCell ref="Y53:Y55"/>
    <mergeCell ref="AC53:AC55"/>
    <mergeCell ref="AG53:AG55"/>
    <mergeCell ref="AH53:AH55"/>
    <mergeCell ref="AJ45:AJ47"/>
    <mergeCell ref="E57:E59"/>
    <mergeCell ref="I57:I59"/>
    <mergeCell ref="AJ61:AJ63"/>
    <mergeCell ref="Q61:Q63"/>
    <mergeCell ref="AJ53:AJ55"/>
    <mergeCell ref="AL53:AL55"/>
    <mergeCell ref="AL49:AL51"/>
    <mergeCell ref="A53:A55"/>
    <mergeCell ref="B53:B55"/>
    <mergeCell ref="C53:C55"/>
    <mergeCell ref="D53:D55"/>
    <mergeCell ref="E53:E55"/>
    <mergeCell ref="I53:I55"/>
    <mergeCell ref="M53:M55"/>
    <mergeCell ref="Q53:Q55"/>
    <mergeCell ref="U53:U55"/>
    <mergeCell ref="U49:U51"/>
    <mergeCell ref="Y49:Y51"/>
    <mergeCell ref="AC49:AC51"/>
    <mergeCell ref="AG49:AG51"/>
    <mergeCell ref="AH49:AH51"/>
    <mergeCell ref="AJ49:AJ51"/>
    <mergeCell ref="A49:A51"/>
    <mergeCell ref="B49:B51"/>
    <mergeCell ref="I65:I67"/>
    <mergeCell ref="M65:M67"/>
    <mergeCell ref="Q65:Q67"/>
    <mergeCell ref="U65:U67"/>
    <mergeCell ref="AH57:AH59"/>
    <mergeCell ref="AJ57:AJ59"/>
    <mergeCell ref="AL57:AL59"/>
    <mergeCell ref="A61:A63"/>
    <mergeCell ref="B61:B63"/>
    <mergeCell ref="C61:C63"/>
    <mergeCell ref="D61:D63"/>
    <mergeCell ref="E61:E63"/>
    <mergeCell ref="I61:I63"/>
    <mergeCell ref="M61:M63"/>
    <mergeCell ref="M57:M59"/>
    <mergeCell ref="Q57:Q59"/>
    <mergeCell ref="U57:U59"/>
    <mergeCell ref="Y57:Y59"/>
    <mergeCell ref="AC57:AC59"/>
    <mergeCell ref="AG57:AG59"/>
    <mergeCell ref="A57:A59"/>
    <mergeCell ref="B57:B59"/>
    <mergeCell ref="C57:C59"/>
    <mergeCell ref="D57:D59"/>
    <mergeCell ref="U61:U63"/>
    <mergeCell ref="Y61:Y63"/>
    <mergeCell ref="AC61:AC63"/>
    <mergeCell ref="AG61:AG63"/>
    <mergeCell ref="AH61:AH63"/>
    <mergeCell ref="Y65:Y67"/>
    <mergeCell ref="AC65:AC67"/>
    <mergeCell ref="AG65:AG67"/>
    <mergeCell ref="AH65:AH67"/>
    <mergeCell ref="D73:D75"/>
    <mergeCell ref="E73:E75"/>
    <mergeCell ref="I73:I75"/>
    <mergeCell ref="M73:M75"/>
    <mergeCell ref="I69:I71"/>
    <mergeCell ref="M69:M71"/>
    <mergeCell ref="AJ65:AJ67"/>
    <mergeCell ref="A69:A71"/>
    <mergeCell ref="B69:B71"/>
    <mergeCell ref="C69:C71"/>
    <mergeCell ref="D69:D71"/>
    <mergeCell ref="E69:E71"/>
    <mergeCell ref="AG69:AG71"/>
    <mergeCell ref="AH69:AH71"/>
    <mergeCell ref="AJ69:AJ71"/>
    <mergeCell ref="Q69:Q71"/>
    <mergeCell ref="U69:U71"/>
    <mergeCell ref="Y69:Y71"/>
    <mergeCell ref="AC69:AC71"/>
    <mergeCell ref="A65:A67"/>
    <mergeCell ref="B65:B67"/>
    <mergeCell ref="C65:C67"/>
    <mergeCell ref="D65:D67"/>
    <mergeCell ref="E65:E67"/>
    <mergeCell ref="AJ73:AJ75"/>
    <mergeCell ref="A77:A79"/>
    <mergeCell ref="B77:B79"/>
    <mergeCell ref="C77:C79"/>
    <mergeCell ref="D77:D79"/>
    <mergeCell ref="E77:E79"/>
    <mergeCell ref="I77:I79"/>
    <mergeCell ref="M77:M79"/>
    <mergeCell ref="Q77:Q79"/>
    <mergeCell ref="U77:U79"/>
    <mergeCell ref="Q73:Q75"/>
    <mergeCell ref="U73:U75"/>
    <mergeCell ref="Y73:Y75"/>
    <mergeCell ref="AC73:AC75"/>
    <mergeCell ref="AG73:AG75"/>
    <mergeCell ref="AH73:AH75"/>
    <mergeCell ref="Y77:Y79"/>
    <mergeCell ref="AC77:AC79"/>
    <mergeCell ref="AG77:AG79"/>
    <mergeCell ref="AH77:AH79"/>
    <mergeCell ref="AJ77:AJ79"/>
    <mergeCell ref="A73:A75"/>
    <mergeCell ref="B73:B75"/>
    <mergeCell ref="C73:C75"/>
    <mergeCell ref="A81:A83"/>
    <mergeCell ref="B81:B83"/>
    <mergeCell ref="C81:C83"/>
    <mergeCell ref="D81:D83"/>
    <mergeCell ref="E81:E83"/>
    <mergeCell ref="A85:A87"/>
    <mergeCell ref="B85:B87"/>
    <mergeCell ref="C85:C87"/>
    <mergeCell ref="D85:D87"/>
    <mergeCell ref="E85:E87"/>
    <mergeCell ref="I85:I87"/>
    <mergeCell ref="M85:M87"/>
    <mergeCell ref="I81:I83"/>
    <mergeCell ref="M81:M83"/>
    <mergeCell ref="AJ85:AJ87"/>
    <mergeCell ref="Q85:Q87"/>
    <mergeCell ref="U85:U87"/>
    <mergeCell ref="Y85:Y87"/>
    <mergeCell ref="AC85:AC87"/>
    <mergeCell ref="AG85:AG87"/>
    <mergeCell ref="AH85:AH87"/>
    <mergeCell ref="AG81:AG83"/>
    <mergeCell ref="AH81:AH83"/>
    <mergeCell ref="AJ81:AJ83"/>
    <mergeCell ref="Q81:Q83"/>
    <mergeCell ref="U81:U83"/>
    <mergeCell ref="Y81:Y83"/>
    <mergeCell ref="AC81:AC8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E9D6-BA52-4F14-80A0-2BF5DAB86412}">
  <dimension ref="A1:AM249"/>
  <sheetViews>
    <sheetView workbookViewId="0">
      <selection activeCell="A3" sqref="A3"/>
    </sheetView>
  </sheetViews>
  <sheetFormatPr baseColWidth="10" defaultColWidth="9" defaultRowHeight="15.75" x14ac:dyDescent="0.25"/>
  <cols>
    <col min="1" max="1" width="22.5" style="842" customWidth="1"/>
    <col min="2" max="2" width="20.5" style="842" customWidth="1"/>
    <col min="3" max="3" width="13.5" style="842" customWidth="1"/>
    <col min="4" max="4" width="14.5" style="842" customWidth="1"/>
    <col min="5" max="5" width="12.25" style="842" customWidth="1"/>
    <col min="6" max="8" width="0.875" style="842" customWidth="1"/>
    <col min="9" max="9" width="30" style="842" customWidth="1"/>
    <col min="10" max="12" width="0.875" style="842" customWidth="1"/>
    <col min="13" max="13" width="32" style="842" customWidth="1"/>
    <col min="14" max="16" width="0.875" style="842" customWidth="1"/>
    <col min="17" max="17" width="30.25" style="842" customWidth="1"/>
    <col min="18" max="20" width="0.875" style="842" customWidth="1"/>
    <col min="21" max="21" width="32" style="842" customWidth="1"/>
    <col min="22" max="24" width="0.875" style="842" customWidth="1"/>
    <col min="25" max="25" width="28" style="842" customWidth="1"/>
    <col min="26" max="28" width="0.875" style="842" customWidth="1"/>
    <col min="29" max="29" width="28" style="842" customWidth="1"/>
    <col min="30" max="32" width="0.875" style="842" customWidth="1"/>
    <col min="33" max="33" width="31" style="842" customWidth="1"/>
    <col min="34" max="34" width="28" style="842" customWidth="1"/>
    <col min="35" max="35" width="50.5" style="842" customWidth="1"/>
    <col min="36" max="36" width="9" style="842"/>
    <col min="37" max="37" width="25.75" style="842" customWidth="1"/>
    <col min="38" max="38" width="9" style="842"/>
    <col min="39" max="39" width="27.625" style="842" customWidth="1"/>
    <col min="40" max="16384" width="9" style="842"/>
  </cols>
  <sheetData>
    <row r="1" spans="1:39" ht="30" customHeight="1" x14ac:dyDescent="0.25">
      <c r="A1" s="840"/>
      <c r="B1" s="840"/>
      <c r="C1" s="840"/>
      <c r="D1" s="840"/>
      <c r="E1" s="840"/>
      <c r="F1" s="840"/>
      <c r="G1" s="840"/>
      <c r="H1" s="840"/>
      <c r="I1" s="840" t="s">
        <v>6578</v>
      </c>
      <c r="J1" s="840"/>
      <c r="K1" s="840"/>
      <c r="L1" s="840"/>
      <c r="M1" s="840"/>
      <c r="N1" s="840"/>
      <c r="O1" s="840"/>
      <c r="P1" s="840"/>
      <c r="Q1" s="840"/>
      <c r="R1" s="840"/>
      <c r="S1" s="840"/>
      <c r="T1" s="840"/>
      <c r="U1" s="840"/>
      <c r="V1" s="840"/>
      <c r="W1" s="840"/>
      <c r="X1" s="840"/>
      <c r="Y1" s="840"/>
      <c r="Z1" s="840"/>
      <c r="AA1" s="840"/>
      <c r="AB1" s="840"/>
      <c r="AC1" s="840"/>
      <c r="AD1" s="840"/>
      <c r="AE1" s="840"/>
      <c r="AF1" s="840"/>
      <c r="AG1" s="840"/>
      <c r="AH1" s="840"/>
      <c r="AI1" s="840"/>
      <c r="AJ1" s="841"/>
      <c r="AK1" s="841"/>
    </row>
    <row r="2" spans="1:39" x14ac:dyDescent="0.25">
      <c r="A2" s="213"/>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row>
    <row r="3" spans="1:39" ht="30" customHeight="1" x14ac:dyDescent="0.25">
      <c r="B3" s="843"/>
      <c r="C3" s="844" t="s">
        <v>5439</v>
      </c>
      <c r="D3" s="845" t="s">
        <v>5440</v>
      </c>
      <c r="E3" s="843"/>
      <c r="F3" s="843"/>
      <c r="G3" s="843"/>
      <c r="H3" s="843"/>
      <c r="I3" s="843"/>
      <c r="J3" s="843"/>
      <c r="K3" s="843"/>
      <c r="L3" s="843"/>
      <c r="M3" s="843"/>
      <c r="N3" s="843"/>
      <c r="O3" s="843"/>
      <c r="P3" s="843"/>
      <c r="Q3" s="843"/>
      <c r="R3" s="843"/>
      <c r="S3" s="843"/>
      <c r="T3" s="843"/>
      <c r="U3" s="843"/>
      <c r="V3" s="843"/>
      <c r="W3" s="843"/>
      <c r="X3" s="843"/>
      <c r="Y3" s="843"/>
      <c r="Z3" s="843"/>
      <c r="AA3" s="843"/>
      <c r="AB3" s="843"/>
      <c r="AC3" s="843"/>
      <c r="AD3" s="843"/>
      <c r="AE3" s="843"/>
      <c r="AF3" s="843"/>
      <c r="AG3" s="843"/>
      <c r="AH3" s="843"/>
      <c r="AI3" s="843"/>
      <c r="AJ3" s="213"/>
      <c r="AK3" s="213"/>
    </row>
    <row r="4" spans="1:39" ht="30" customHeight="1" x14ac:dyDescent="0.25">
      <c r="B4" s="843"/>
      <c r="C4" s="844" t="s">
        <v>5441</v>
      </c>
      <c r="D4" s="845" t="s">
        <v>5442</v>
      </c>
      <c r="E4" s="843"/>
      <c r="F4" s="843"/>
      <c r="G4" s="843"/>
      <c r="H4" s="843"/>
      <c r="I4" s="843"/>
      <c r="J4" s="843"/>
      <c r="K4" s="843"/>
      <c r="L4" s="843"/>
      <c r="M4" s="843"/>
      <c r="N4" s="843"/>
      <c r="O4" s="843"/>
      <c r="P4" s="843"/>
      <c r="Q4" s="843"/>
      <c r="R4" s="843"/>
      <c r="S4" s="843"/>
      <c r="T4" s="843"/>
      <c r="U4" s="843"/>
      <c r="V4" s="843"/>
      <c r="W4" s="843"/>
      <c r="X4" s="843"/>
      <c r="Y4" s="843"/>
      <c r="Z4" s="843"/>
      <c r="AA4" s="843"/>
      <c r="AB4" s="843"/>
      <c r="AC4" s="843"/>
      <c r="AD4" s="843"/>
      <c r="AE4" s="843"/>
      <c r="AF4" s="843"/>
      <c r="AG4" s="843"/>
      <c r="AH4" s="843"/>
      <c r="AI4" s="843"/>
      <c r="AJ4" s="213"/>
      <c r="AK4" s="213"/>
    </row>
    <row r="5" spans="1:39" ht="30" customHeight="1" x14ac:dyDescent="0.25">
      <c r="B5" s="843"/>
      <c r="C5" s="844" t="s">
        <v>5443</v>
      </c>
      <c r="D5" s="845" t="s">
        <v>5444</v>
      </c>
      <c r="E5" s="843"/>
      <c r="F5" s="843"/>
      <c r="G5" s="843"/>
      <c r="H5" s="843"/>
      <c r="I5" s="843"/>
      <c r="J5" s="843"/>
      <c r="K5" s="843"/>
      <c r="L5" s="843"/>
      <c r="M5" s="843"/>
      <c r="N5" s="843"/>
      <c r="O5" s="843"/>
      <c r="P5" s="843"/>
      <c r="Q5" s="843"/>
      <c r="R5" s="843"/>
      <c r="S5" s="843"/>
      <c r="T5" s="843"/>
      <c r="U5" s="843"/>
      <c r="V5" s="843"/>
      <c r="W5" s="843"/>
      <c r="X5" s="843"/>
      <c r="Y5" s="843"/>
      <c r="Z5" s="843"/>
      <c r="AA5" s="843"/>
      <c r="AB5" s="843"/>
      <c r="AC5" s="843"/>
      <c r="AD5" s="843"/>
      <c r="AE5" s="843"/>
      <c r="AF5" s="843"/>
      <c r="AG5" s="843"/>
      <c r="AH5" s="843"/>
      <c r="AI5" s="843"/>
      <c r="AJ5" s="213"/>
      <c r="AK5" s="213"/>
    </row>
    <row r="6" spans="1:39" ht="30" customHeight="1" x14ac:dyDescent="0.25">
      <c r="B6" s="846"/>
      <c r="C6" s="847" t="s">
        <v>5445</v>
      </c>
      <c r="D6" s="848" t="s">
        <v>5446</v>
      </c>
      <c r="E6" s="846"/>
      <c r="F6" s="846"/>
      <c r="G6" s="846"/>
      <c r="H6" s="846"/>
      <c r="I6" s="846"/>
      <c r="J6" s="846"/>
      <c r="K6" s="846"/>
      <c r="L6" s="846"/>
      <c r="M6" s="846"/>
      <c r="N6" s="846"/>
      <c r="O6" s="846"/>
      <c r="P6" s="846"/>
      <c r="Q6" s="846"/>
      <c r="R6" s="846"/>
      <c r="S6" s="846"/>
      <c r="T6" s="846"/>
      <c r="U6" s="846"/>
      <c r="V6" s="846"/>
      <c r="W6" s="846"/>
      <c r="X6" s="846"/>
      <c r="Y6" s="846"/>
      <c r="Z6" s="846"/>
      <c r="AA6" s="846"/>
      <c r="AB6" s="846"/>
      <c r="AC6" s="846"/>
      <c r="AD6" s="846"/>
      <c r="AE6" s="846"/>
      <c r="AF6" s="846"/>
      <c r="AG6" s="846"/>
      <c r="AH6" s="846"/>
      <c r="AI6" s="846"/>
      <c r="AJ6" s="213"/>
      <c r="AK6" s="213"/>
    </row>
    <row r="7" spans="1:39" ht="18.75" x14ac:dyDescent="0.25">
      <c r="A7" s="811" t="s">
        <v>5254</v>
      </c>
      <c r="B7" s="811" t="s">
        <v>5447</v>
      </c>
      <c r="C7" s="811" t="s">
        <v>5448</v>
      </c>
      <c r="D7" s="811" t="s">
        <v>5449</v>
      </c>
      <c r="E7" s="811" t="s">
        <v>5</v>
      </c>
      <c r="F7" s="811"/>
      <c r="G7" s="811"/>
      <c r="H7" s="811"/>
      <c r="I7" s="811" t="s">
        <v>5450</v>
      </c>
      <c r="J7" s="811"/>
      <c r="K7" s="811"/>
      <c r="L7" s="811"/>
      <c r="M7" s="811" t="s">
        <v>5451</v>
      </c>
      <c r="N7" s="811"/>
      <c r="O7" s="811"/>
      <c r="P7" s="811"/>
      <c r="Q7" s="811" t="s">
        <v>5452</v>
      </c>
      <c r="R7" s="811"/>
      <c r="S7" s="811"/>
      <c r="T7" s="811"/>
      <c r="U7" s="811" t="s">
        <v>5453</v>
      </c>
      <c r="V7" s="811"/>
      <c r="W7" s="811"/>
      <c r="X7" s="811"/>
      <c r="Y7" s="811" t="s">
        <v>5129</v>
      </c>
      <c r="Z7" s="811"/>
      <c r="AA7" s="811"/>
      <c r="AB7" s="811"/>
      <c r="AC7" s="811" t="s">
        <v>5454</v>
      </c>
      <c r="AD7" s="811"/>
      <c r="AE7" s="811"/>
      <c r="AF7" s="811"/>
      <c r="AG7" s="811" t="s">
        <v>5455</v>
      </c>
      <c r="AH7" s="811" t="s">
        <v>5456</v>
      </c>
      <c r="AI7" s="811" t="s">
        <v>5457</v>
      </c>
      <c r="AJ7" s="213"/>
      <c r="AK7" s="811" t="s">
        <v>5582</v>
      </c>
      <c r="AM7" s="811" t="s">
        <v>5582</v>
      </c>
    </row>
    <row r="8" spans="1:39" x14ac:dyDescent="0.25">
      <c r="A8" s="270"/>
      <c r="B8" s="270"/>
      <c r="C8" s="270"/>
      <c r="D8" s="270"/>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13"/>
      <c r="AK8" s="213"/>
    </row>
    <row r="9" spans="1:39" ht="9.9499999999999993" customHeight="1" x14ac:dyDescent="0.25">
      <c r="A9" s="1616">
        <v>1</v>
      </c>
      <c r="B9" s="1617">
        <v>1</v>
      </c>
      <c r="C9" s="1574" t="s">
        <v>5458</v>
      </c>
      <c r="D9" s="1574" t="s">
        <v>5459</v>
      </c>
      <c r="E9" s="1574" t="s">
        <v>978</v>
      </c>
      <c r="F9" s="849"/>
      <c r="G9" s="849"/>
      <c r="H9" s="849"/>
      <c r="I9" s="1610" t="s">
        <v>5346</v>
      </c>
      <c r="J9" s="849"/>
      <c r="K9" s="849"/>
      <c r="L9" s="849"/>
      <c r="M9" s="1509" t="s">
        <v>5359</v>
      </c>
      <c r="N9" s="849"/>
      <c r="O9" s="849"/>
      <c r="P9" s="849"/>
      <c r="Q9" s="1652"/>
      <c r="R9" s="849"/>
      <c r="S9" s="849"/>
      <c r="T9" s="849"/>
      <c r="U9" s="1586" t="s">
        <v>5380</v>
      </c>
      <c r="V9" s="849"/>
      <c r="W9" s="849"/>
      <c r="X9" s="849"/>
      <c r="Y9" s="1521" t="s">
        <v>5386</v>
      </c>
      <c r="Z9" s="849"/>
      <c r="AA9" s="849"/>
      <c r="AB9" s="849"/>
      <c r="AC9" s="1610" t="s">
        <v>5394</v>
      </c>
      <c r="AD9" s="849"/>
      <c r="AE9" s="849"/>
      <c r="AF9" s="849"/>
      <c r="AG9" s="1646" t="s">
        <v>5460</v>
      </c>
      <c r="AH9" s="1646" t="s">
        <v>5461</v>
      </c>
      <c r="AI9" s="1655" t="s">
        <v>5462</v>
      </c>
      <c r="AJ9" s="213"/>
      <c r="AK9" s="1610" t="s">
        <v>5346</v>
      </c>
      <c r="AM9" s="1574" t="s">
        <v>5587</v>
      </c>
    </row>
    <row r="10" spans="1:39" ht="9.9499999999999993" customHeight="1" x14ac:dyDescent="0.25">
      <c r="A10" s="1616"/>
      <c r="B10" s="1617"/>
      <c r="C10" s="1575"/>
      <c r="D10" s="1575"/>
      <c r="E10" s="1575"/>
      <c r="F10" s="850"/>
      <c r="G10" s="851"/>
      <c r="H10" s="850"/>
      <c r="I10" s="1611"/>
      <c r="J10" s="850"/>
      <c r="K10" s="851"/>
      <c r="L10" s="850"/>
      <c r="M10" s="1638"/>
      <c r="N10" s="850"/>
      <c r="O10" s="851"/>
      <c r="P10" s="850"/>
      <c r="Q10" s="1653"/>
      <c r="R10" s="850"/>
      <c r="S10" s="851"/>
      <c r="T10" s="850"/>
      <c r="U10" s="1587"/>
      <c r="V10" s="850"/>
      <c r="W10" s="851"/>
      <c r="X10" s="850"/>
      <c r="Y10" s="1635"/>
      <c r="Z10" s="850"/>
      <c r="AA10" s="851"/>
      <c r="AB10" s="850"/>
      <c r="AC10" s="1611"/>
      <c r="AD10" s="850"/>
      <c r="AE10" s="851"/>
      <c r="AF10" s="850"/>
      <c r="AG10" s="1647"/>
      <c r="AH10" s="1647"/>
      <c r="AI10" s="1656"/>
      <c r="AJ10" s="213"/>
      <c r="AK10" s="1611"/>
      <c r="AM10" s="1575"/>
    </row>
    <row r="11" spans="1:39" ht="9.9499999999999993" customHeight="1" x14ac:dyDescent="0.25">
      <c r="A11" s="1616"/>
      <c r="B11" s="1617"/>
      <c r="C11" s="1576"/>
      <c r="D11" s="1576"/>
      <c r="E11" s="1576"/>
      <c r="F11" s="849"/>
      <c r="G11" s="849"/>
      <c r="H11" s="849"/>
      <c r="I11" s="1612"/>
      <c r="J11" s="849"/>
      <c r="K11" s="849"/>
      <c r="L11" s="849"/>
      <c r="M11" s="1510"/>
      <c r="N11" s="849"/>
      <c r="O11" s="849"/>
      <c r="P11" s="849"/>
      <c r="Q11" s="1654"/>
      <c r="R11" s="849"/>
      <c r="S11" s="849"/>
      <c r="T11" s="849"/>
      <c r="U11" s="1588"/>
      <c r="V11" s="849"/>
      <c r="W11" s="849"/>
      <c r="X11" s="849"/>
      <c r="Y11" s="1522"/>
      <c r="Z11" s="849"/>
      <c r="AA11" s="849"/>
      <c r="AB11" s="849"/>
      <c r="AC11" s="1612"/>
      <c r="AD11" s="849"/>
      <c r="AE11" s="849"/>
      <c r="AF11" s="849"/>
      <c r="AG11" s="1648"/>
      <c r="AH11" s="1648"/>
      <c r="AI11" s="1657"/>
      <c r="AJ11" s="213"/>
      <c r="AK11" s="1612"/>
      <c r="AM11" s="1576"/>
    </row>
    <row r="12" spans="1:39" ht="9.9499999999999993" customHeight="1" x14ac:dyDescent="0.25">
      <c r="A12" s="270"/>
      <c r="B12" s="270"/>
      <c r="C12" s="270"/>
      <c r="D12" s="270"/>
      <c r="E12" s="270"/>
      <c r="F12" s="270"/>
      <c r="G12" s="270"/>
      <c r="H12" s="270"/>
      <c r="I12" s="270"/>
      <c r="J12" s="270"/>
      <c r="K12" s="270"/>
      <c r="L12" s="270"/>
      <c r="M12" s="852"/>
      <c r="N12" s="270"/>
      <c r="O12" s="270"/>
      <c r="P12" s="270"/>
      <c r="Q12" s="852"/>
      <c r="R12" s="270"/>
      <c r="S12" s="270"/>
      <c r="T12" s="270"/>
      <c r="U12" s="852"/>
      <c r="V12" s="270"/>
      <c r="W12" s="270"/>
      <c r="X12" s="270"/>
      <c r="Y12" s="852"/>
      <c r="Z12" s="270"/>
      <c r="AA12" s="270"/>
      <c r="AB12" s="270"/>
      <c r="AC12" s="852"/>
      <c r="AD12" s="270"/>
      <c r="AE12" s="270"/>
      <c r="AF12" s="270"/>
      <c r="AG12" s="853"/>
      <c r="AH12" s="853"/>
      <c r="AI12" s="854"/>
      <c r="AJ12" s="213"/>
      <c r="AK12" s="213"/>
      <c r="AM12" s="213"/>
    </row>
    <row r="13" spans="1:39" ht="9.9499999999999993" customHeight="1" x14ac:dyDescent="0.25">
      <c r="A13" s="1616">
        <v>2</v>
      </c>
      <c r="B13" s="1617">
        <v>1</v>
      </c>
      <c r="C13" s="1574" t="s">
        <v>5463</v>
      </c>
      <c r="D13" s="1574" t="s">
        <v>5459</v>
      </c>
      <c r="E13" s="1574" t="s">
        <v>978</v>
      </c>
      <c r="F13" s="849"/>
      <c r="G13" s="849"/>
      <c r="H13" s="849"/>
      <c r="I13" s="1610" t="s">
        <v>5346</v>
      </c>
      <c r="J13" s="849"/>
      <c r="K13" s="849"/>
      <c r="L13" s="849"/>
      <c r="M13" s="1509" t="s">
        <v>5359</v>
      </c>
      <c r="N13" s="849"/>
      <c r="O13" s="849"/>
      <c r="P13" s="849"/>
      <c r="Q13" s="1652"/>
      <c r="R13" s="849"/>
      <c r="S13" s="849"/>
      <c r="T13" s="849"/>
      <c r="U13" s="1586" t="s">
        <v>5380</v>
      </c>
      <c r="V13" s="849"/>
      <c r="W13" s="849"/>
      <c r="X13" s="849"/>
      <c r="Y13" s="1521" t="s">
        <v>5386</v>
      </c>
      <c r="Z13" s="849"/>
      <c r="AA13" s="849"/>
      <c r="AB13" s="849"/>
      <c r="AC13" s="1610" t="s">
        <v>5394</v>
      </c>
      <c r="AD13" s="849"/>
      <c r="AE13" s="849"/>
      <c r="AF13" s="849"/>
      <c r="AG13" s="1646" t="s">
        <v>5460</v>
      </c>
      <c r="AH13" s="1646" t="s">
        <v>5461</v>
      </c>
      <c r="AI13" s="1655" t="s">
        <v>5462</v>
      </c>
      <c r="AJ13" s="213"/>
      <c r="AK13" s="1610" t="s">
        <v>5394</v>
      </c>
      <c r="AM13" s="1574" t="s">
        <v>5588</v>
      </c>
    </row>
    <row r="14" spans="1:39" ht="9.9499999999999993" customHeight="1" x14ac:dyDescent="0.25">
      <c r="A14" s="1616"/>
      <c r="B14" s="1617"/>
      <c r="C14" s="1575"/>
      <c r="D14" s="1575"/>
      <c r="E14" s="1575"/>
      <c r="F14" s="850"/>
      <c r="G14" s="851"/>
      <c r="H14" s="850"/>
      <c r="I14" s="1611"/>
      <c r="J14" s="850"/>
      <c r="K14" s="851"/>
      <c r="L14" s="850"/>
      <c r="M14" s="1638"/>
      <c r="N14" s="850"/>
      <c r="O14" s="851"/>
      <c r="P14" s="850"/>
      <c r="Q14" s="1653"/>
      <c r="R14" s="850"/>
      <c r="S14" s="851"/>
      <c r="T14" s="850"/>
      <c r="U14" s="1587"/>
      <c r="V14" s="850"/>
      <c r="W14" s="851"/>
      <c r="X14" s="850"/>
      <c r="Y14" s="1635"/>
      <c r="Z14" s="850"/>
      <c r="AA14" s="851"/>
      <c r="AB14" s="850"/>
      <c r="AC14" s="1611"/>
      <c r="AD14" s="850"/>
      <c r="AE14" s="851"/>
      <c r="AF14" s="850"/>
      <c r="AG14" s="1647"/>
      <c r="AH14" s="1647"/>
      <c r="AI14" s="1656"/>
      <c r="AJ14" s="213"/>
      <c r="AK14" s="1611"/>
      <c r="AM14" s="1575"/>
    </row>
    <row r="15" spans="1:39" ht="9.9499999999999993" customHeight="1" x14ac:dyDescent="0.25">
      <c r="A15" s="1616"/>
      <c r="B15" s="1617"/>
      <c r="C15" s="1576"/>
      <c r="D15" s="1576"/>
      <c r="E15" s="1576"/>
      <c r="F15" s="849"/>
      <c r="G15" s="849"/>
      <c r="H15" s="849"/>
      <c r="I15" s="1612"/>
      <c r="J15" s="849"/>
      <c r="K15" s="849"/>
      <c r="L15" s="849"/>
      <c r="M15" s="1510"/>
      <c r="N15" s="849"/>
      <c r="O15" s="849"/>
      <c r="P15" s="849"/>
      <c r="Q15" s="1654"/>
      <c r="R15" s="849"/>
      <c r="S15" s="849"/>
      <c r="T15" s="849"/>
      <c r="U15" s="1588"/>
      <c r="V15" s="849"/>
      <c r="W15" s="849"/>
      <c r="X15" s="849"/>
      <c r="Y15" s="1522"/>
      <c r="Z15" s="849"/>
      <c r="AA15" s="849"/>
      <c r="AB15" s="849"/>
      <c r="AC15" s="1612"/>
      <c r="AD15" s="849"/>
      <c r="AE15" s="849"/>
      <c r="AF15" s="849"/>
      <c r="AG15" s="1648"/>
      <c r="AH15" s="1648"/>
      <c r="AI15" s="1657"/>
      <c r="AJ15" s="213"/>
      <c r="AK15" s="1612"/>
      <c r="AM15" s="1576"/>
    </row>
    <row r="16" spans="1:39" ht="9.9499999999999993" customHeight="1" x14ac:dyDescent="0.25">
      <c r="A16" s="270"/>
      <c r="B16" s="270"/>
      <c r="C16" s="270"/>
      <c r="D16" s="270"/>
      <c r="E16" s="270"/>
      <c r="F16" s="270"/>
      <c r="G16" s="270"/>
      <c r="H16" s="270"/>
      <c r="I16" s="270"/>
      <c r="J16" s="270"/>
      <c r="K16" s="270"/>
      <c r="L16" s="270"/>
      <c r="M16" s="852"/>
      <c r="N16" s="270"/>
      <c r="O16" s="270"/>
      <c r="P16" s="270"/>
      <c r="Q16" s="852"/>
      <c r="R16" s="270"/>
      <c r="S16" s="270"/>
      <c r="T16" s="270"/>
      <c r="U16" s="852"/>
      <c r="V16" s="270"/>
      <c r="W16" s="270"/>
      <c r="X16" s="270"/>
      <c r="Y16" s="852"/>
      <c r="Z16" s="270"/>
      <c r="AA16" s="270"/>
      <c r="AB16" s="270"/>
      <c r="AC16" s="852"/>
      <c r="AD16" s="270"/>
      <c r="AE16" s="270"/>
      <c r="AF16" s="270"/>
      <c r="AG16" s="853"/>
      <c r="AH16" s="853"/>
      <c r="AI16" s="854"/>
      <c r="AJ16" s="213"/>
      <c r="AK16" s="213"/>
    </row>
    <row r="17" spans="1:39" ht="9.9499999999999993" customHeight="1" x14ac:dyDescent="0.25">
      <c r="A17" s="1616">
        <v>3</v>
      </c>
      <c r="B17" s="1617">
        <v>1</v>
      </c>
      <c r="C17" s="1574" t="s">
        <v>5464</v>
      </c>
      <c r="D17" s="1574" t="s">
        <v>5459</v>
      </c>
      <c r="E17" s="1574" t="s">
        <v>978</v>
      </c>
      <c r="F17" s="849"/>
      <c r="G17" s="849"/>
      <c r="H17" s="849"/>
      <c r="I17" s="1610" t="s">
        <v>5346</v>
      </c>
      <c r="J17" s="849"/>
      <c r="K17" s="849"/>
      <c r="L17" s="849"/>
      <c r="M17" s="1509" t="s">
        <v>5359</v>
      </c>
      <c r="N17" s="849"/>
      <c r="O17" s="849"/>
      <c r="P17" s="849"/>
      <c r="Q17" s="1652"/>
      <c r="R17" s="849"/>
      <c r="S17" s="849"/>
      <c r="T17" s="849"/>
      <c r="U17" s="1586" t="s">
        <v>5380</v>
      </c>
      <c r="V17" s="849"/>
      <c r="W17" s="849"/>
      <c r="X17" s="849"/>
      <c r="Y17" s="1521" t="s">
        <v>5386</v>
      </c>
      <c r="Z17" s="849"/>
      <c r="AA17" s="849"/>
      <c r="AB17" s="849"/>
      <c r="AC17" s="1610" t="s">
        <v>5394</v>
      </c>
      <c r="AD17" s="849"/>
      <c r="AE17" s="849"/>
      <c r="AF17" s="849"/>
      <c r="AG17" s="1646" t="s">
        <v>5460</v>
      </c>
      <c r="AH17" s="1646" t="s">
        <v>5461</v>
      </c>
      <c r="AI17" s="1655" t="s">
        <v>5462</v>
      </c>
      <c r="AJ17" s="213"/>
      <c r="AK17" s="1586" t="s">
        <v>5355</v>
      </c>
      <c r="AM17" s="1574" t="s">
        <v>5458</v>
      </c>
    </row>
    <row r="18" spans="1:39" ht="9.9499999999999993" customHeight="1" x14ac:dyDescent="0.25">
      <c r="A18" s="1616"/>
      <c r="B18" s="1617"/>
      <c r="C18" s="1575"/>
      <c r="D18" s="1575"/>
      <c r="E18" s="1575"/>
      <c r="F18" s="850"/>
      <c r="G18" s="851"/>
      <c r="H18" s="850"/>
      <c r="I18" s="1611"/>
      <c r="J18" s="850"/>
      <c r="K18" s="851"/>
      <c r="L18" s="850"/>
      <c r="M18" s="1638"/>
      <c r="N18" s="850"/>
      <c r="O18" s="851"/>
      <c r="P18" s="850"/>
      <c r="Q18" s="1653"/>
      <c r="R18" s="850"/>
      <c r="S18" s="851"/>
      <c r="T18" s="850"/>
      <c r="U18" s="1587"/>
      <c r="V18" s="850"/>
      <c r="W18" s="851"/>
      <c r="X18" s="850"/>
      <c r="Y18" s="1635"/>
      <c r="Z18" s="850"/>
      <c r="AA18" s="851"/>
      <c r="AB18" s="850"/>
      <c r="AC18" s="1611"/>
      <c r="AD18" s="850"/>
      <c r="AE18" s="851"/>
      <c r="AF18" s="850"/>
      <c r="AG18" s="1647"/>
      <c r="AH18" s="1647"/>
      <c r="AI18" s="1656"/>
      <c r="AJ18" s="213"/>
      <c r="AK18" s="1587"/>
      <c r="AM18" s="1575"/>
    </row>
    <row r="19" spans="1:39" ht="9.9499999999999993" customHeight="1" x14ac:dyDescent="0.25">
      <c r="A19" s="1616"/>
      <c r="B19" s="1617"/>
      <c r="C19" s="1576"/>
      <c r="D19" s="1576"/>
      <c r="E19" s="1576"/>
      <c r="F19" s="849"/>
      <c r="G19" s="849"/>
      <c r="H19" s="849"/>
      <c r="I19" s="1612"/>
      <c r="J19" s="849"/>
      <c r="K19" s="849"/>
      <c r="L19" s="849"/>
      <c r="M19" s="1510"/>
      <c r="N19" s="849"/>
      <c r="O19" s="849"/>
      <c r="P19" s="849"/>
      <c r="Q19" s="1654"/>
      <c r="R19" s="849"/>
      <c r="S19" s="849"/>
      <c r="T19" s="849"/>
      <c r="U19" s="1588"/>
      <c r="V19" s="849"/>
      <c r="W19" s="849"/>
      <c r="X19" s="849"/>
      <c r="Y19" s="1522"/>
      <c r="Z19" s="849"/>
      <c r="AA19" s="849"/>
      <c r="AB19" s="849"/>
      <c r="AC19" s="1612"/>
      <c r="AD19" s="849"/>
      <c r="AE19" s="849"/>
      <c r="AF19" s="849"/>
      <c r="AG19" s="1648"/>
      <c r="AH19" s="1648"/>
      <c r="AI19" s="1657"/>
      <c r="AJ19" s="213"/>
      <c r="AK19" s="1588"/>
      <c r="AM19" s="1576"/>
    </row>
    <row r="20" spans="1:39" ht="9.9499999999999993" customHeight="1" x14ac:dyDescent="0.25">
      <c r="A20" s="270"/>
      <c r="B20" s="270"/>
      <c r="C20" s="270"/>
      <c r="D20" s="270"/>
      <c r="E20" s="270"/>
      <c r="F20" s="270"/>
      <c r="G20" s="270"/>
      <c r="H20" s="270"/>
      <c r="I20" s="270"/>
      <c r="J20" s="270"/>
      <c r="K20" s="270"/>
      <c r="L20" s="270"/>
      <c r="M20" s="852"/>
      <c r="N20" s="270"/>
      <c r="O20" s="270"/>
      <c r="P20" s="270"/>
      <c r="Q20" s="852"/>
      <c r="R20" s="270"/>
      <c r="S20" s="270"/>
      <c r="T20" s="270"/>
      <c r="U20" s="852"/>
      <c r="V20" s="270"/>
      <c r="W20" s="270"/>
      <c r="X20" s="270"/>
      <c r="Y20" s="852"/>
      <c r="Z20" s="270"/>
      <c r="AA20" s="270"/>
      <c r="AB20" s="270"/>
      <c r="AC20" s="852"/>
      <c r="AD20" s="270"/>
      <c r="AE20" s="270"/>
      <c r="AF20" s="270"/>
      <c r="AG20" s="853"/>
      <c r="AH20" s="853"/>
      <c r="AI20" s="854"/>
      <c r="AJ20" s="213"/>
      <c r="AK20" s="213"/>
      <c r="AM20" s="270"/>
    </row>
    <row r="21" spans="1:39" ht="9.9499999999999993" customHeight="1" x14ac:dyDescent="0.25">
      <c r="A21" s="1616">
        <v>4</v>
      </c>
      <c r="B21" s="1617">
        <v>1</v>
      </c>
      <c r="C21" s="1574" t="s">
        <v>5465</v>
      </c>
      <c r="D21" s="1574" t="s">
        <v>5459</v>
      </c>
      <c r="E21" s="1574" t="s">
        <v>978</v>
      </c>
      <c r="F21" s="849"/>
      <c r="G21" s="849"/>
      <c r="H21" s="849"/>
      <c r="I21" s="1610" t="s">
        <v>5346</v>
      </c>
      <c r="J21" s="849"/>
      <c r="K21" s="849"/>
      <c r="L21" s="849"/>
      <c r="M21" s="1509" t="s">
        <v>5359</v>
      </c>
      <c r="N21" s="849"/>
      <c r="O21" s="849"/>
      <c r="P21" s="849"/>
      <c r="Q21" s="1652"/>
      <c r="R21" s="849"/>
      <c r="S21" s="849"/>
      <c r="T21" s="849"/>
      <c r="U21" s="1586" t="s">
        <v>5380</v>
      </c>
      <c r="V21" s="849"/>
      <c r="W21" s="849"/>
      <c r="X21" s="849"/>
      <c r="Y21" s="1521" t="s">
        <v>5386</v>
      </c>
      <c r="Z21" s="849"/>
      <c r="AA21" s="849"/>
      <c r="AB21" s="849"/>
      <c r="AC21" s="1610" t="s">
        <v>5394</v>
      </c>
      <c r="AD21" s="849"/>
      <c r="AE21" s="849"/>
      <c r="AF21" s="849"/>
      <c r="AG21" s="1646" t="s">
        <v>5460</v>
      </c>
      <c r="AH21" s="1646" t="s">
        <v>5461</v>
      </c>
      <c r="AI21" s="1655" t="s">
        <v>5462</v>
      </c>
      <c r="AJ21" s="213"/>
      <c r="AK21" s="1586" t="s">
        <v>5380</v>
      </c>
      <c r="AM21" s="1574" t="s">
        <v>5463</v>
      </c>
    </row>
    <row r="22" spans="1:39" ht="9.9499999999999993" customHeight="1" x14ac:dyDescent="0.25">
      <c r="A22" s="1616"/>
      <c r="B22" s="1617"/>
      <c r="C22" s="1575"/>
      <c r="D22" s="1575"/>
      <c r="E22" s="1575"/>
      <c r="F22" s="850"/>
      <c r="G22" s="851"/>
      <c r="H22" s="850"/>
      <c r="I22" s="1611"/>
      <c r="J22" s="850"/>
      <c r="K22" s="851"/>
      <c r="L22" s="850"/>
      <c r="M22" s="1638"/>
      <c r="N22" s="850"/>
      <c r="O22" s="851"/>
      <c r="P22" s="850"/>
      <c r="Q22" s="1653"/>
      <c r="R22" s="850"/>
      <c r="S22" s="851"/>
      <c r="T22" s="850"/>
      <c r="U22" s="1587"/>
      <c r="V22" s="850"/>
      <c r="W22" s="851"/>
      <c r="X22" s="850"/>
      <c r="Y22" s="1635"/>
      <c r="Z22" s="850"/>
      <c r="AA22" s="851"/>
      <c r="AB22" s="850"/>
      <c r="AC22" s="1611"/>
      <c r="AD22" s="850"/>
      <c r="AE22" s="851"/>
      <c r="AF22" s="850"/>
      <c r="AG22" s="1647"/>
      <c r="AH22" s="1647"/>
      <c r="AI22" s="1656"/>
      <c r="AJ22" s="213"/>
      <c r="AK22" s="1587"/>
      <c r="AM22" s="1575"/>
    </row>
    <row r="23" spans="1:39" ht="9.9499999999999993" customHeight="1" x14ac:dyDescent="0.25">
      <c r="A23" s="1616"/>
      <c r="B23" s="1617"/>
      <c r="C23" s="1576"/>
      <c r="D23" s="1576"/>
      <c r="E23" s="1576"/>
      <c r="F23" s="849"/>
      <c r="G23" s="849"/>
      <c r="H23" s="849"/>
      <c r="I23" s="1612"/>
      <c r="J23" s="849"/>
      <c r="K23" s="849"/>
      <c r="L23" s="849"/>
      <c r="M23" s="1510"/>
      <c r="N23" s="849"/>
      <c r="O23" s="849"/>
      <c r="P23" s="849"/>
      <c r="Q23" s="1654"/>
      <c r="R23" s="849"/>
      <c r="S23" s="849"/>
      <c r="T23" s="849"/>
      <c r="U23" s="1588"/>
      <c r="V23" s="849"/>
      <c r="W23" s="849"/>
      <c r="X23" s="849"/>
      <c r="Y23" s="1522"/>
      <c r="Z23" s="849"/>
      <c r="AA23" s="849"/>
      <c r="AB23" s="849"/>
      <c r="AC23" s="1612"/>
      <c r="AD23" s="849"/>
      <c r="AE23" s="849"/>
      <c r="AF23" s="849"/>
      <c r="AG23" s="1648"/>
      <c r="AH23" s="1648"/>
      <c r="AI23" s="1657"/>
      <c r="AJ23" s="213"/>
      <c r="AK23" s="1588"/>
      <c r="AM23" s="1576"/>
    </row>
    <row r="24" spans="1:39" ht="9.9499999999999993" customHeight="1" x14ac:dyDescent="0.25">
      <c r="A24" s="270"/>
      <c r="B24" s="270"/>
      <c r="C24" s="270"/>
      <c r="D24" s="270"/>
      <c r="E24" s="270"/>
      <c r="F24" s="270"/>
      <c r="G24" s="270"/>
      <c r="H24" s="270"/>
      <c r="I24" s="270"/>
      <c r="J24" s="270"/>
      <c r="K24" s="270"/>
      <c r="L24" s="270"/>
      <c r="M24" s="852"/>
      <c r="N24" s="270"/>
      <c r="O24" s="270"/>
      <c r="P24" s="270"/>
      <c r="Q24" s="852"/>
      <c r="R24" s="270"/>
      <c r="S24" s="270"/>
      <c r="T24" s="270"/>
      <c r="U24" s="852"/>
      <c r="V24" s="270"/>
      <c r="W24" s="270"/>
      <c r="X24" s="270"/>
      <c r="Y24" s="852"/>
      <c r="Z24" s="270"/>
      <c r="AA24" s="270"/>
      <c r="AB24" s="270"/>
      <c r="AC24" s="852"/>
      <c r="AD24" s="270"/>
      <c r="AE24" s="270"/>
      <c r="AF24" s="270"/>
      <c r="AG24" s="853"/>
      <c r="AH24" s="853"/>
      <c r="AI24" s="854"/>
      <c r="AJ24" s="213"/>
      <c r="AK24" s="213"/>
      <c r="AM24" s="270"/>
    </row>
    <row r="25" spans="1:39" ht="9.9499999999999993" customHeight="1" x14ac:dyDescent="0.25">
      <c r="A25" s="1616">
        <v>5</v>
      </c>
      <c r="B25" s="1617">
        <v>1</v>
      </c>
      <c r="C25" s="1574" t="s">
        <v>5466</v>
      </c>
      <c r="D25" s="1574" t="s">
        <v>5459</v>
      </c>
      <c r="E25" s="1574" t="s">
        <v>978</v>
      </c>
      <c r="F25" s="849"/>
      <c r="G25" s="849"/>
      <c r="H25" s="849"/>
      <c r="I25" s="1610" t="s">
        <v>5346</v>
      </c>
      <c r="J25" s="849"/>
      <c r="K25" s="849"/>
      <c r="L25" s="849"/>
      <c r="M25" s="1509" t="s">
        <v>5359</v>
      </c>
      <c r="N25" s="849"/>
      <c r="O25" s="849"/>
      <c r="P25" s="849"/>
      <c r="Q25" s="1652"/>
      <c r="R25" s="849"/>
      <c r="S25" s="849"/>
      <c r="T25" s="849"/>
      <c r="U25" s="1586" t="s">
        <v>5380</v>
      </c>
      <c r="V25" s="849"/>
      <c r="W25" s="849"/>
      <c r="X25" s="849"/>
      <c r="Y25" s="1521" t="s">
        <v>5386</v>
      </c>
      <c r="Z25" s="849"/>
      <c r="AA25" s="849"/>
      <c r="AB25" s="849"/>
      <c r="AC25" s="1610" t="s">
        <v>5394</v>
      </c>
      <c r="AD25" s="849"/>
      <c r="AE25" s="849"/>
      <c r="AF25" s="849"/>
      <c r="AG25" s="1646" t="s">
        <v>5460</v>
      </c>
      <c r="AH25" s="1646" t="s">
        <v>5461</v>
      </c>
      <c r="AI25" s="1655" t="s">
        <v>5462</v>
      </c>
      <c r="AJ25" s="213"/>
      <c r="AK25" s="1511" t="s">
        <v>5474</v>
      </c>
      <c r="AM25" s="1574" t="s">
        <v>5464</v>
      </c>
    </row>
    <row r="26" spans="1:39" ht="9.9499999999999993" customHeight="1" x14ac:dyDescent="0.25">
      <c r="A26" s="1616"/>
      <c r="B26" s="1617"/>
      <c r="C26" s="1575"/>
      <c r="D26" s="1575"/>
      <c r="E26" s="1575"/>
      <c r="F26" s="850"/>
      <c r="G26" s="851"/>
      <c r="H26" s="850"/>
      <c r="I26" s="1611"/>
      <c r="J26" s="850"/>
      <c r="K26" s="851"/>
      <c r="L26" s="850"/>
      <c r="M26" s="1638"/>
      <c r="N26" s="850"/>
      <c r="O26" s="851"/>
      <c r="P26" s="850"/>
      <c r="Q26" s="1653"/>
      <c r="R26" s="850"/>
      <c r="S26" s="851"/>
      <c r="T26" s="850"/>
      <c r="U26" s="1587"/>
      <c r="V26" s="850"/>
      <c r="W26" s="851"/>
      <c r="X26" s="850"/>
      <c r="Y26" s="1635"/>
      <c r="Z26" s="850"/>
      <c r="AA26" s="851"/>
      <c r="AB26" s="850"/>
      <c r="AC26" s="1611"/>
      <c r="AD26" s="850"/>
      <c r="AE26" s="851"/>
      <c r="AF26" s="850"/>
      <c r="AG26" s="1647"/>
      <c r="AH26" s="1647"/>
      <c r="AI26" s="1656"/>
      <c r="AJ26" s="213"/>
      <c r="AK26" s="1645"/>
      <c r="AM26" s="1575"/>
    </row>
    <row r="27" spans="1:39" ht="9.9499999999999993" customHeight="1" x14ac:dyDescent="0.25">
      <c r="A27" s="1616"/>
      <c r="B27" s="1617"/>
      <c r="C27" s="1576"/>
      <c r="D27" s="1576"/>
      <c r="E27" s="1576"/>
      <c r="F27" s="849"/>
      <c r="G27" s="849"/>
      <c r="H27" s="849"/>
      <c r="I27" s="1612"/>
      <c r="J27" s="849"/>
      <c r="K27" s="849"/>
      <c r="L27" s="849"/>
      <c r="M27" s="1510"/>
      <c r="N27" s="849"/>
      <c r="O27" s="849"/>
      <c r="P27" s="849"/>
      <c r="Q27" s="1654"/>
      <c r="R27" s="849"/>
      <c r="S27" s="849"/>
      <c r="T27" s="849"/>
      <c r="U27" s="1588"/>
      <c r="V27" s="849"/>
      <c r="W27" s="849"/>
      <c r="X27" s="849"/>
      <c r="Y27" s="1522"/>
      <c r="Z27" s="849"/>
      <c r="AA27" s="849"/>
      <c r="AB27" s="849"/>
      <c r="AC27" s="1612"/>
      <c r="AD27" s="849"/>
      <c r="AE27" s="849"/>
      <c r="AF27" s="849"/>
      <c r="AG27" s="1648"/>
      <c r="AH27" s="1648"/>
      <c r="AI27" s="1657"/>
      <c r="AJ27" s="213"/>
      <c r="AK27" s="1512"/>
      <c r="AM27" s="1576"/>
    </row>
    <row r="28" spans="1:39" ht="9.9499999999999993" customHeight="1" x14ac:dyDescent="0.25">
      <c r="A28" s="270"/>
      <c r="B28" s="270"/>
      <c r="C28" s="270"/>
      <c r="D28" s="270"/>
      <c r="E28" s="270"/>
      <c r="F28" s="270"/>
      <c r="G28" s="270"/>
      <c r="H28" s="270"/>
      <c r="I28" s="270"/>
      <c r="J28" s="270"/>
      <c r="K28" s="270"/>
      <c r="L28" s="270"/>
      <c r="M28" s="852"/>
      <c r="N28" s="270"/>
      <c r="O28" s="270"/>
      <c r="P28" s="270"/>
      <c r="Q28" s="852"/>
      <c r="R28" s="270"/>
      <c r="S28" s="270"/>
      <c r="T28" s="270"/>
      <c r="U28" s="852"/>
      <c r="V28" s="270"/>
      <c r="W28" s="270"/>
      <c r="X28" s="270"/>
      <c r="Y28" s="852"/>
      <c r="Z28" s="270"/>
      <c r="AA28" s="270"/>
      <c r="AB28" s="270"/>
      <c r="AC28" s="852"/>
      <c r="AD28" s="270"/>
      <c r="AE28" s="270"/>
      <c r="AF28" s="270"/>
      <c r="AG28" s="853"/>
      <c r="AH28" s="853"/>
      <c r="AI28" s="854"/>
      <c r="AJ28" s="213"/>
      <c r="AK28" s="213"/>
      <c r="AM28" s="270"/>
    </row>
    <row r="29" spans="1:39" ht="9.9499999999999993" customHeight="1" x14ac:dyDescent="0.25">
      <c r="A29" s="1616">
        <v>6</v>
      </c>
      <c r="B29" s="1617">
        <v>1</v>
      </c>
      <c r="C29" s="1574" t="s">
        <v>5467</v>
      </c>
      <c r="D29" s="1574" t="s">
        <v>5459</v>
      </c>
      <c r="E29" s="1574" t="s">
        <v>978</v>
      </c>
      <c r="F29" s="849"/>
      <c r="G29" s="849"/>
      <c r="H29" s="849"/>
      <c r="I29" s="1610" t="s">
        <v>5346</v>
      </c>
      <c r="J29" s="849"/>
      <c r="K29" s="849"/>
      <c r="L29" s="849"/>
      <c r="M29" s="1509" t="s">
        <v>5359</v>
      </c>
      <c r="N29" s="849"/>
      <c r="O29" s="849"/>
      <c r="P29" s="849"/>
      <c r="Q29" s="1652"/>
      <c r="R29" s="849"/>
      <c r="S29" s="849"/>
      <c r="T29" s="849"/>
      <c r="U29" s="1586" t="s">
        <v>5380</v>
      </c>
      <c r="V29" s="849"/>
      <c r="W29" s="849"/>
      <c r="X29" s="849"/>
      <c r="Y29" s="1521" t="s">
        <v>5386</v>
      </c>
      <c r="Z29" s="849"/>
      <c r="AA29" s="849"/>
      <c r="AB29" s="849"/>
      <c r="AC29" s="1610" t="s">
        <v>5394</v>
      </c>
      <c r="AD29" s="849"/>
      <c r="AE29" s="849"/>
      <c r="AF29" s="849"/>
      <c r="AG29" s="1646" t="s">
        <v>5460</v>
      </c>
      <c r="AH29" s="1646" t="s">
        <v>5461</v>
      </c>
      <c r="AI29" s="1655" t="s">
        <v>5462</v>
      </c>
      <c r="AJ29" s="213"/>
      <c r="AK29" s="1598" t="s">
        <v>5470</v>
      </c>
      <c r="AM29" s="1574" t="s">
        <v>5465</v>
      </c>
    </row>
    <row r="30" spans="1:39" ht="9.9499999999999993" customHeight="1" x14ac:dyDescent="0.25">
      <c r="A30" s="1616"/>
      <c r="B30" s="1617"/>
      <c r="C30" s="1575"/>
      <c r="D30" s="1575"/>
      <c r="E30" s="1575"/>
      <c r="F30" s="850"/>
      <c r="G30" s="851"/>
      <c r="H30" s="850"/>
      <c r="I30" s="1611"/>
      <c r="J30" s="850"/>
      <c r="K30" s="851"/>
      <c r="L30" s="850"/>
      <c r="M30" s="1638"/>
      <c r="N30" s="850"/>
      <c r="O30" s="851"/>
      <c r="P30" s="850"/>
      <c r="Q30" s="1653"/>
      <c r="R30" s="850"/>
      <c r="S30" s="851"/>
      <c r="T30" s="850"/>
      <c r="U30" s="1587"/>
      <c r="V30" s="850"/>
      <c r="W30" s="851"/>
      <c r="X30" s="850"/>
      <c r="Y30" s="1635"/>
      <c r="Z30" s="850"/>
      <c r="AA30" s="851"/>
      <c r="AB30" s="850"/>
      <c r="AC30" s="1611"/>
      <c r="AD30" s="850"/>
      <c r="AE30" s="851"/>
      <c r="AF30" s="850"/>
      <c r="AG30" s="1647"/>
      <c r="AH30" s="1647"/>
      <c r="AI30" s="1656"/>
      <c r="AJ30" s="213"/>
      <c r="AK30" s="1599"/>
      <c r="AM30" s="1575"/>
    </row>
    <row r="31" spans="1:39" ht="9.9499999999999993" customHeight="1" x14ac:dyDescent="0.25">
      <c r="A31" s="1616"/>
      <c r="B31" s="1617"/>
      <c r="C31" s="1576"/>
      <c r="D31" s="1576"/>
      <c r="E31" s="1576"/>
      <c r="F31" s="849"/>
      <c r="G31" s="849"/>
      <c r="H31" s="849"/>
      <c r="I31" s="1612"/>
      <c r="J31" s="849"/>
      <c r="K31" s="849"/>
      <c r="L31" s="849"/>
      <c r="M31" s="1510"/>
      <c r="N31" s="849"/>
      <c r="O31" s="849"/>
      <c r="P31" s="849"/>
      <c r="Q31" s="1654"/>
      <c r="R31" s="849"/>
      <c r="S31" s="849"/>
      <c r="T31" s="849"/>
      <c r="U31" s="1588"/>
      <c r="V31" s="849"/>
      <c r="W31" s="849"/>
      <c r="X31" s="849"/>
      <c r="Y31" s="1522"/>
      <c r="Z31" s="849"/>
      <c r="AA31" s="849"/>
      <c r="AB31" s="849"/>
      <c r="AC31" s="1612"/>
      <c r="AD31" s="849"/>
      <c r="AE31" s="849"/>
      <c r="AF31" s="849"/>
      <c r="AG31" s="1648"/>
      <c r="AH31" s="1648"/>
      <c r="AI31" s="1657"/>
      <c r="AJ31" s="213"/>
      <c r="AK31" s="1600"/>
      <c r="AM31" s="1576"/>
    </row>
    <row r="32" spans="1:39" ht="9.9499999999999993" customHeight="1" x14ac:dyDescent="0.25">
      <c r="A32" s="270"/>
      <c r="B32" s="270"/>
      <c r="C32" s="270"/>
      <c r="D32" s="270"/>
      <c r="E32" s="270"/>
      <c r="F32" s="270"/>
      <c r="G32" s="270"/>
      <c r="H32" s="270"/>
      <c r="I32" s="270"/>
      <c r="J32" s="270"/>
      <c r="K32" s="270"/>
      <c r="L32" s="270"/>
      <c r="M32" s="852"/>
      <c r="N32" s="270"/>
      <c r="O32" s="270"/>
      <c r="P32" s="270"/>
      <c r="Q32" s="852"/>
      <c r="R32" s="270"/>
      <c r="S32" s="270"/>
      <c r="T32" s="270"/>
      <c r="U32" s="852"/>
      <c r="V32" s="270"/>
      <c r="W32" s="270"/>
      <c r="X32" s="270"/>
      <c r="Y32" s="852"/>
      <c r="Z32" s="270"/>
      <c r="AA32" s="270"/>
      <c r="AB32" s="270"/>
      <c r="AC32" s="852"/>
      <c r="AD32" s="270"/>
      <c r="AE32" s="270"/>
      <c r="AF32" s="270"/>
      <c r="AG32" s="853"/>
      <c r="AH32" s="853"/>
      <c r="AI32" s="854"/>
      <c r="AJ32" s="213"/>
      <c r="AK32" s="213"/>
      <c r="AM32" s="270"/>
    </row>
    <row r="33" spans="1:39" ht="9.9499999999999993" customHeight="1" x14ac:dyDescent="0.25">
      <c r="A33" s="1616">
        <v>7</v>
      </c>
      <c r="B33" s="1617">
        <v>1</v>
      </c>
      <c r="C33" s="1574" t="s">
        <v>5468</v>
      </c>
      <c r="D33" s="1574" t="s">
        <v>5459</v>
      </c>
      <c r="E33" s="1574" t="s">
        <v>978</v>
      </c>
      <c r="F33" s="849"/>
      <c r="G33" s="849"/>
      <c r="H33" s="849"/>
      <c r="I33" s="1610" t="s">
        <v>5346</v>
      </c>
      <c r="J33" s="849"/>
      <c r="K33" s="849"/>
      <c r="L33" s="849"/>
      <c r="M33" s="1509" t="s">
        <v>5359</v>
      </c>
      <c r="N33" s="849"/>
      <c r="O33" s="849"/>
      <c r="P33" s="849"/>
      <c r="Q33" s="1652"/>
      <c r="R33" s="849"/>
      <c r="S33" s="849"/>
      <c r="T33" s="849"/>
      <c r="U33" s="1586" t="s">
        <v>5380</v>
      </c>
      <c r="V33" s="849"/>
      <c r="W33" s="849"/>
      <c r="X33" s="849"/>
      <c r="Y33" s="1521" t="s">
        <v>5386</v>
      </c>
      <c r="Z33" s="849"/>
      <c r="AA33" s="849"/>
      <c r="AB33" s="849"/>
      <c r="AC33" s="1610" t="s">
        <v>5394</v>
      </c>
      <c r="AD33" s="849"/>
      <c r="AE33" s="849"/>
      <c r="AF33" s="849"/>
      <c r="AG33" s="1646" t="s">
        <v>5460</v>
      </c>
      <c r="AH33" s="1646" t="s">
        <v>5461</v>
      </c>
      <c r="AI33" s="1655" t="s">
        <v>5462</v>
      </c>
      <c r="AJ33" s="213"/>
      <c r="AK33" s="1497" t="s">
        <v>5350</v>
      </c>
      <c r="AM33" s="1574" t="s">
        <v>5466</v>
      </c>
    </row>
    <row r="34" spans="1:39" ht="9.9499999999999993" customHeight="1" x14ac:dyDescent="0.25">
      <c r="A34" s="1616"/>
      <c r="B34" s="1617"/>
      <c r="C34" s="1575"/>
      <c r="D34" s="1575"/>
      <c r="E34" s="1575"/>
      <c r="F34" s="850"/>
      <c r="G34" s="851"/>
      <c r="H34" s="850"/>
      <c r="I34" s="1611"/>
      <c r="J34" s="850"/>
      <c r="K34" s="851"/>
      <c r="L34" s="850"/>
      <c r="M34" s="1638"/>
      <c r="N34" s="850"/>
      <c r="O34" s="851"/>
      <c r="P34" s="850"/>
      <c r="Q34" s="1653"/>
      <c r="R34" s="850"/>
      <c r="S34" s="851"/>
      <c r="T34" s="850"/>
      <c r="U34" s="1587"/>
      <c r="V34" s="850"/>
      <c r="W34" s="851"/>
      <c r="X34" s="850"/>
      <c r="Y34" s="1635"/>
      <c r="Z34" s="850"/>
      <c r="AA34" s="851"/>
      <c r="AB34" s="850"/>
      <c r="AC34" s="1611"/>
      <c r="AD34" s="850"/>
      <c r="AE34" s="851"/>
      <c r="AF34" s="850"/>
      <c r="AG34" s="1647"/>
      <c r="AH34" s="1647"/>
      <c r="AI34" s="1656"/>
      <c r="AJ34" s="213"/>
      <c r="AK34" s="1637"/>
      <c r="AM34" s="1575"/>
    </row>
    <row r="35" spans="1:39" ht="9.9499999999999993" customHeight="1" x14ac:dyDescent="0.25">
      <c r="A35" s="1616"/>
      <c r="B35" s="1617"/>
      <c r="C35" s="1576"/>
      <c r="D35" s="1576"/>
      <c r="E35" s="1576"/>
      <c r="F35" s="849"/>
      <c r="G35" s="849"/>
      <c r="H35" s="849"/>
      <c r="I35" s="1612"/>
      <c r="J35" s="849"/>
      <c r="K35" s="849"/>
      <c r="L35" s="849"/>
      <c r="M35" s="1510"/>
      <c r="N35" s="849"/>
      <c r="O35" s="849"/>
      <c r="P35" s="849"/>
      <c r="Q35" s="1654"/>
      <c r="R35" s="849"/>
      <c r="S35" s="849"/>
      <c r="T35" s="849"/>
      <c r="U35" s="1588"/>
      <c r="V35" s="849"/>
      <c r="W35" s="849"/>
      <c r="X35" s="849"/>
      <c r="Y35" s="1522"/>
      <c r="Z35" s="849"/>
      <c r="AA35" s="849"/>
      <c r="AB35" s="849"/>
      <c r="AC35" s="1612"/>
      <c r="AD35" s="849"/>
      <c r="AE35" s="849"/>
      <c r="AF35" s="849"/>
      <c r="AG35" s="1648"/>
      <c r="AH35" s="1648"/>
      <c r="AI35" s="1657"/>
      <c r="AJ35" s="213"/>
      <c r="AK35" s="1498"/>
      <c r="AM35" s="1576"/>
    </row>
    <row r="36" spans="1:39" ht="9.9499999999999993" customHeight="1" x14ac:dyDescent="0.25">
      <c r="A36" s="270"/>
      <c r="B36" s="270"/>
      <c r="C36" s="270"/>
      <c r="D36" s="270"/>
      <c r="E36" s="270"/>
      <c r="F36" s="270"/>
      <c r="G36" s="270"/>
      <c r="H36" s="270"/>
      <c r="I36" s="270"/>
      <c r="J36" s="270"/>
      <c r="K36" s="270"/>
      <c r="L36" s="270"/>
      <c r="M36" s="852"/>
      <c r="N36" s="270"/>
      <c r="O36" s="270"/>
      <c r="P36" s="270"/>
      <c r="Q36" s="852"/>
      <c r="R36" s="270"/>
      <c r="S36" s="270"/>
      <c r="T36" s="270"/>
      <c r="U36" s="852"/>
      <c r="V36" s="270"/>
      <c r="W36" s="270"/>
      <c r="X36" s="270"/>
      <c r="Y36" s="852"/>
      <c r="Z36" s="270"/>
      <c r="AA36" s="270"/>
      <c r="AB36" s="270"/>
      <c r="AC36" s="852"/>
      <c r="AD36" s="270"/>
      <c r="AE36" s="270"/>
      <c r="AF36" s="270"/>
      <c r="AG36" s="853"/>
      <c r="AH36" s="853"/>
      <c r="AI36" s="854"/>
      <c r="AJ36" s="213"/>
      <c r="AK36" s="213"/>
      <c r="AM36" s="270"/>
    </row>
    <row r="37" spans="1:39" ht="9.9499999999999993" customHeight="1" x14ac:dyDescent="0.25">
      <c r="A37" s="1616">
        <v>8</v>
      </c>
      <c r="B37" s="1617">
        <v>2</v>
      </c>
      <c r="C37" s="1574" t="s">
        <v>5458</v>
      </c>
      <c r="D37" s="1574" t="s">
        <v>5459</v>
      </c>
      <c r="E37" s="1574" t="s">
        <v>978</v>
      </c>
      <c r="F37" s="849"/>
      <c r="G37" s="849"/>
      <c r="H37" s="849"/>
      <c r="I37" s="1610" t="s">
        <v>5346</v>
      </c>
      <c r="J37" s="849"/>
      <c r="K37" s="849"/>
      <c r="L37" s="849"/>
      <c r="M37" s="1509" t="s">
        <v>5359</v>
      </c>
      <c r="N37" s="849"/>
      <c r="O37" s="849"/>
      <c r="P37" s="849"/>
      <c r="Q37" s="1652"/>
      <c r="R37" s="849"/>
      <c r="S37" s="849"/>
      <c r="T37" s="849"/>
      <c r="U37" s="1586" t="s">
        <v>5380</v>
      </c>
      <c r="V37" s="849"/>
      <c r="W37" s="849"/>
      <c r="X37" s="849"/>
      <c r="Y37" s="1521" t="s">
        <v>5386</v>
      </c>
      <c r="Z37" s="849"/>
      <c r="AA37" s="849"/>
      <c r="AB37" s="849"/>
      <c r="AC37" s="1610" t="s">
        <v>5394</v>
      </c>
      <c r="AD37" s="849"/>
      <c r="AE37" s="849"/>
      <c r="AF37" s="849"/>
      <c r="AG37" s="1646" t="s">
        <v>5460</v>
      </c>
      <c r="AH37" s="1646" t="s">
        <v>5461</v>
      </c>
      <c r="AI37" s="1655" t="s">
        <v>5462</v>
      </c>
      <c r="AJ37" s="213"/>
      <c r="AK37" s="1509" t="s">
        <v>5359</v>
      </c>
      <c r="AM37" s="1574" t="s">
        <v>5467</v>
      </c>
    </row>
    <row r="38" spans="1:39" ht="9.9499999999999993" customHeight="1" x14ac:dyDescent="0.25">
      <c r="A38" s="1616"/>
      <c r="B38" s="1617"/>
      <c r="C38" s="1575"/>
      <c r="D38" s="1575"/>
      <c r="E38" s="1575"/>
      <c r="F38" s="850"/>
      <c r="G38" s="851"/>
      <c r="H38" s="850"/>
      <c r="I38" s="1611"/>
      <c r="J38" s="850"/>
      <c r="K38" s="851"/>
      <c r="L38" s="850"/>
      <c r="M38" s="1638"/>
      <c r="N38" s="850"/>
      <c r="O38" s="851"/>
      <c r="P38" s="850"/>
      <c r="Q38" s="1653"/>
      <c r="R38" s="850"/>
      <c r="S38" s="851"/>
      <c r="T38" s="850"/>
      <c r="U38" s="1587"/>
      <c r="V38" s="850"/>
      <c r="W38" s="851"/>
      <c r="X38" s="850"/>
      <c r="Y38" s="1635"/>
      <c r="Z38" s="850"/>
      <c r="AA38" s="851"/>
      <c r="AB38" s="850"/>
      <c r="AC38" s="1611"/>
      <c r="AD38" s="850"/>
      <c r="AE38" s="851"/>
      <c r="AF38" s="850"/>
      <c r="AG38" s="1647"/>
      <c r="AH38" s="1647"/>
      <c r="AI38" s="1656"/>
      <c r="AJ38" s="213"/>
      <c r="AK38" s="1638"/>
      <c r="AM38" s="1575"/>
    </row>
    <row r="39" spans="1:39" ht="9.9499999999999993" customHeight="1" x14ac:dyDescent="0.25">
      <c r="A39" s="1616"/>
      <c r="B39" s="1617"/>
      <c r="C39" s="1576"/>
      <c r="D39" s="1576"/>
      <c r="E39" s="1576"/>
      <c r="F39" s="849"/>
      <c r="G39" s="849"/>
      <c r="H39" s="849"/>
      <c r="I39" s="1612"/>
      <c r="J39" s="849"/>
      <c r="K39" s="849"/>
      <c r="L39" s="849"/>
      <c r="M39" s="1510"/>
      <c r="N39" s="849"/>
      <c r="O39" s="849"/>
      <c r="P39" s="849"/>
      <c r="Q39" s="1654"/>
      <c r="R39" s="849"/>
      <c r="S39" s="849"/>
      <c r="T39" s="849"/>
      <c r="U39" s="1588"/>
      <c r="V39" s="849"/>
      <c r="W39" s="849"/>
      <c r="X39" s="849"/>
      <c r="Y39" s="1522"/>
      <c r="Z39" s="849"/>
      <c r="AA39" s="849"/>
      <c r="AB39" s="849"/>
      <c r="AC39" s="1612"/>
      <c r="AD39" s="849"/>
      <c r="AE39" s="849"/>
      <c r="AF39" s="849"/>
      <c r="AG39" s="1648"/>
      <c r="AH39" s="1648"/>
      <c r="AI39" s="1657"/>
      <c r="AJ39" s="213"/>
      <c r="AK39" s="1510"/>
      <c r="AM39" s="1576"/>
    </row>
    <row r="40" spans="1:39" ht="9.9499999999999993" customHeight="1" x14ac:dyDescent="0.25">
      <c r="A40" s="270"/>
      <c r="B40" s="270"/>
      <c r="C40" s="270"/>
      <c r="D40" s="270"/>
      <c r="E40" s="270"/>
      <c r="F40" s="270"/>
      <c r="G40" s="270"/>
      <c r="H40" s="270"/>
      <c r="I40" s="270"/>
      <c r="J40" s="270"/>
      <c r="K40" s="270"/>
      <c r="L40" s="270"/>
      <c r="M40" s="852"/>
      <c r="N40" s="270"/>
      <c r="O40" s="270"/>
      <c r="P40" s="270"/>
      <c r="Q40" s="852"/>
      <c r="R40" s="270"/>
      <c r="S40" s="270"/>
      <c r="T40" s="270"/>
      <c r="U40" s="852"/>
      <c r="V40" s="270"/>
      <c r="W40" s="270"/>
      <c r="X40" s="270"/>
      <c r="Y40" s="852"/>
      <c r="Z40" s="270"/>
      <c r="AA40" s="270"/>
      <c r="AB40" s="270"/>
      <c r="AC40" s="852"/>
      <c r="AD40" s="270"/>
      <c r="AE40" s="270"/>
      <c r="AF40" s="270"/>
      <c r="AG40" s="853"/>
      <c r="AH40" s="853"/>
      <c r="AI40" s="854"/>
      <c r="AJ40" s="213"/>
      <c r="AK40" s="213"/>
      <c r="AM40" s="270"/>
    </row>
    <row r="41" spans="1:39" ht="9.9499999999999993" customHeight="1" x14ac:dyDescent="0.25">
      <c r="A41" s="1616">
        <v>9</v>
      </c>
      <c r="B41" s="1617">
        <v>2</v>
      </c>
      <c r="C41" s="1574" t="s">
        <v>5463</v>
      </c>
      <c r="D41" s="1574" t="s">
        <v>5459</v>
      </c>
      <c r="E41" s="1574" t="s">
        <v>978</v>
      </c>
      <c r="F41" s="849"/>
      <c r="G41" s="849"/>
      <c r="H41" s="849"/>
      <c r="I41" s="1497" t="s">
        <v>5350</v>
      </c>
      <c r="J41" s="849"/>
      <c r="K41" s="849"/>
      <c r="L41" s="849"/>
      <c r="M41" s="1509" t="s">
        <v>5367</v>
      </c>
      <c r="N41" s="849"/>
      <c r="O41" s="849"/>
      <c r="P41" s="849"/>
      <c r="Q41" s="1652"/>
      <c r="R41" s="849"/>
      <c r="S41" s="849"/>
      <c r="T41" s="849"/>
      <c r="U41" s="1586" t="s">
        <v>5380</v>
      </c>
      <c r="V41" s="849"/>
      <c r="W41" s="849"/>
      <c r="X41" s="849"/>
      <c r="Y41" s="1521" t="s">
        <v>5386</v>
      </c>
      <c r="Z41" s="849"/>
      <c r="AA41" s="849"/>
      <c r="AB41" s="849"/>
      <c r="AC41" s="1610" t="s">
        <v>5394</v>
      </c>
      <c r="AD41" s="849"/>
      <c r="AE41" s="849"/>
      <c r="AF41" s="849"/>
      <c r="AG41" s="1646" t="s">
        <v>5460</v>
      </c>
      <c r="AH41" s="1646" t="s">
        <v>5461</v>
      </c>
      <c r="AI41" s="1655" t="s">
        <v>5462</v>
      </c>
      <c r="AJ41" s="213"/>
      <c r="AK41" s="1509" t="s">
        <v>5367</v>
      </c>
      <c r="AM41" s="1574" t="s">
        <v>5468</v>
      </c>
    </row>
    <row r="42" spans="1:39" ht="9.9499999999999993" customHeight="1" x14ac:dyDescent="0.25">
      <c r="A42" s="1616"/>
      <c r="B42" s="1617"/>
      <c r="C42" s="1575"/>
      <c r="D42" s="1575"/>
      <c r="E42" s="1575"/>
      <c r="F42" s="850"/>
      <c r="G42" s="851"/>
      <c r="H42" s="850"/>
      <c r="I42" s="1637"/>
      <c r="J42" s="850"/>
      <c r="K42" s="851"/>
      <c r="L42" s="850"/>
      <c r="M42" s="1638"/>
      <c r="N42" s="850"/>
      <c r="O42" s="851"/>
      <c r="P42" s="850"/>
      <c r="Q42" s="1653"/>
      <c r="R42" s="850"/>
      <c r="S42" s="851"/>
      <c r="T42" s="850"/>
      <c r="U42" s="1587"/>
      <c r="V42" s="850"/>
      <c r="W42" s="851"/>
      <c r="X42" s="850"/>
      <c r="Y42" s="1635"/>
      <c r="Z42" s="850"/>
      <c r="AA42" s="851"/>
      <c r="AB42" s="850"/>
      <c r="AC42" s="1611"/>
      <c r="AD42" s="850"/>
      <c r="AE42" s="851"/>
      <c r="AF42" s="850"/>
      <c r="AG42" s="1647"/>
      <c r="AH42" s="1647"/>
      <c r="AI42" s="1656"/>
      <c r="AJ42" s="213"/>
      <c r="AK42" s="1638"/>
      <c r="AM42" s="1575"/>
    </row>
    <row r="43" spans="1:39" ht="9.9499999999999993" customHeight="1" x14ac:dyDescent="0.25">
      <c r="A43" s="1616"/>
      <c r="B43" s="1617"/>
      <c r="C43" s="1576"/>
      <c r="D43" s="1576"/>
      <c r="E43" s="1576"/>
      <c r="F43" s="849"/>
      <c r="G43" s="849"/>
      <c r="H43" s="849"/>
      <c r="I43" s="1498"/>
      <c r="J43" s="849"/>
      <c r="K43" s="849"/>
      <c r="L43" s="849"/>
      <c r="M43" s="1510"/>
      <c r="N43" s="849"/>
      <c r="O43" s="849"/>
      <c r="P43" s="849"/>
      <c r="Q43" s="1654"/>
      <c r="R43" s="849"/>
      <c r="S43" s="849"/>
      <c r="T43" s="849"/>
      <c r="U43" s="1588"/>
      <c r="V43" s="849"/>
      <c r="W43" s="849"/>
      <c r="X43" s="849"/>
      <c r="Y43" s="1522"/>
      <c r="Z43" s="849"/>
      <c r="AA43" s="849"/>
      <c r="AB43" s="849"/>
      <c r="AC43" s="1612"/>
      <c r="AD43" s="849"/>
      <c r="AE43" s="849"/>
      <c r="AF43" s="849"/>
      <c r="AG43" s="1648"/>
      <c r="AH43" s="1648"/>
      <c r="AI43" s="1657"/>
      <c r="AJ43" s="213"/>
      <c r="AK43" s="1510"/>
      <c r="AM43" s="1576"/>
    </row>
    <row r="44" spans="1:39" ht="9.9499999999999993" customHeight="1" x14ac:dyDescent="0.25">
      <c r="A44" s="270"/>
      <c r="B44" s="270"/>
      <c r="C44" s="270"/>
      <c r="D44" s="270"/>
      <c r="E44" s="270"/>
      <c r="F44" s="270"/>
      <c r="G44" s="270"/>
      <c r="H44" s="270"/>
      <c r="I44" s="270"/>
      <c r="J44" s="270"/>
      <c r="K44" s="270"/>
      <c r="L44" s="270"/>
      <c r="M44" s="852"/>
      <c r="N44" s="270"/>
      <c r="O44" s="270"/>
      <c r="P44" s="270"/>
      <c r="Q44" s="852"/>
      <c r="R44" s="270"/>
      <c r="S44" s="270"/>
      <c r="T44" s="270"/>
      <c r="U44" s="852"/>
      <c r="V44" s="270"/>
      <c r="W44" s="270"/>
      <c r="X44" s="270"/>
      <c r="Y44" s="852"/>
      <c r="Z44" s="270"/>
      <c r="AA44" s="270"/>
      <c r="AB44" s="270"/>
      <c r="AC44" s="852"/>
      <c r="AD44" s="270"/>
      <c r="AE44" s="270"/>
      <c r="AF44" s="270"/>
      <c r="AG44" s="853"/>
      <c r="AH44" s="853"/>
      <c r="AI44" s="854"/>
      <c r="AJ44" s="213"/>
      <c r="AK44" s="213"/>
    </row>
    <row r="45" spans="1:39" ht="9.9499999999999993" customHeight="1" x14ac:dyDescent="0.25">
      <c r="A45" s="1616">
        <v>10</v>
      </c>
      <c r="B45" s="1617">
        <v>2</v>
      </c>
      <c r="C45" s="1574" t="s">
        <v>5464</v>
      </c>
      <c r="D45" s="1574" t="s">
        <v>5459</v>
      </c>
      <c r="E45" s="1574" t="s">
        <v>978</v>
      </c>
      <c r="F45" s="849"/>
      <c r="G45" s="849"/>
      <c r="H45" s="849"/>
      <c r="I45" s="1497" t="s">
        <v>5350</v>
      </c>
      <c r="J45" s="849"/>
      <c r="K45" s="849"/>
      <c r="L45" s="849"/>
      <c r="M45" s="1509" t="s">
        <v>5367</v>
      </c>
      <c r="N45" s="849"/>
      <c r="O45" s="849"/>
      <c r="P45" s="849"/>
      <c r="Q45" s="1652"/>
      <c r="R45" s="849"/>
      <c r="S45" s="849"/>
      <c r="T45" s="849"/>
      <c r="U45" s="1586" t="s">
        <v>5380</v>
      </c>
      <c r="V45" s="849"/>
      <c r="W45" s="849"/>
      <c r="X45" s="849"/>
      <c r="Y45" s="1521" t="s">
        <v>5386</v>
      </c>
      <c r="Z45" s="849"/>
      <c r="AA45" s="849"/>
      <c r="AB45" s="849"/>
      <c r="AC45" s="1610" t="s">
        <v>5394</v>
      </c>
      <c r="AD45" s="849"/>
      <c r="AE45" s="849"/>
      <c r="AF45" s="849"/>
      <c r="AG45" s="1646" t="s">
        <v>5460</v>
      </c>
      <c r="AH45" s="1646" t="s">
        <v>5461</v>
      </c>
      <c r="AI45" s="1655" t="s">
        <v>5462</v>
      </c>
      <c r="AJ45" s="213"/>
      <c r="AK45" s="1639" t="s">
        <v>5469</v>
      </c>
      <c r="AM45" s="1574" t="s">
        <v>5459</v>
      </c>
    </row>
    <row r="46" spans="1:39" ht="9.9499999999999993" customHeight="1" x14ac:dyDescent="0.25">
      <c r="A46" s="1616"/>
      <c r="B46" s="1617"/>
      <c r="C46" s="1575"/>
      <c r="D46" s="1575"/>
      <c r="E46" s="1575"/>
      <c r="F46" s="850"/>
      <c r="G46" s="851"/>
      <c r="H46" s="850"/>
      <c r="I46" s="1637"/>
      <c r="J46" s="850"/>
      <c r="K46" s="851"/>
      <c r="L46" s="850"/>
      <c r="M46" s="1638"/>
      <c r="N46" s="850"/>
      <c r="O46" s="851"/>
      <c r="P46" s="850"/>
      <c r="Q46" s="1653"/>
      <c r="R46" s="850"/>
      <c r="S46" s="851"/>
      <c r="T46" s="850"/>
      <c r="U46" s="1587"/>
      <c r="V46" s="850"/>
      <c r="W46" s="851"/>
      <c r="X46" s="850"/>
      <c r="Y46" s="1635"/>
      <c r="Z46" s="850"/>
      <c r="AA46" s="851"/>
      <c r="AB46" s="850"/>
      <c r="AC46" s="1611"/>
      <c r="AD46" s="850"/>
      <c r="AE46" s="851"/>
      <c r="AF46" s="850"/>
      <c r="AG46" s="1647"/>
      <c r="AH46" s="1647"/>
      <c r="AI46" s="1656"/>
      <c r="AJ46" s="213"/>
      <c r="AK46" s="1640"/>
      <c r="AM46" s="1575"/>
    </row>
    <row r="47" spans="1:39" ht="9.9499999999999993" customHeight="1" x14ac:dyDescent="0.25">
      <c r="A47" s="1616"/>
      <c r="B47" s="1617"/>
      <c r="C47" s="1576"/>
      <c r="D47" s="1576"/>
      <c r="E47" s="1576"/>
      <c r="F47" s="849"/>
      <c r="G47" s="849"/>
      <c r="H47" s="849"/>
      <c r="I47" s="1498"/>
      <c r="J47" s="849"/>
      <c r="K47" s="849"/>
      <c r="L47" s="849"/>
      <c r="M47" s="1510"/>
      <c r="N47" s="849"/>
      <c r="O47" s="849"/>
      <c r="P47" s="849"/>
      <c r="Q47" s="1654"/>
      <c r="R47" s="849"/>
      <c r="S47" s="849"/>
      <c r="T47" s="849"/>
      <c r="U47" s="1588"/>
      <c r="V47" s="849"/>
      <c r="W47" s="849"/>
      <c r="X47" s="849"/>
      <c r="Y47" s="1522"/>
      <c r="Z47" s="849"/>
      <c r="AA47" s="849"/>
      <c r="AB47" s="849"/>
      <c r="AC47" s="1612"/>
      <c r="AD47" s="849"/>
      <c r="AE47" s="849"/>
      <c r="AF47" s="849"/>
      <c r="AG47" s="1648"/>
      <c r="AH47" s="1648"/>
      <c r="AI47" s="1657"/>
      <c r="AJ47" s="213"/>
      <c r="AK47" s="1641"/>
      <c r="AM47" s="1576"/>
    </row>
    <row r="48" spans="1:39" ht="9.9499999999999993" customHeight="1" x14ac:dyDescent="0.25">
      <c r="A48" s="270"/>
      <c r="B48" s="270"/>
      <c r="C48" s="270"/>
      <c r="D48" s="270"/>
      <c r="E48" s="270"/>
      <c r="F48" s="270"/>
      <c r="G48" s="270"/>
      <c r="H48" s="270"/>
      <c r="I48" s="270"/>
      <c r="J48" s="270"/>
      <c r="K48" s="270"/>
      <c r="L48" s="270"/>
      <c r="M48" s="852"/>
      <c r="N48" s="270"/>
      <c r="O48" s="270"/>
      <c r="P48" s="270"/>
      <c r="Q48" s="852"/>
      <c r="R48" s="270"/>
      <c r="S48" s="270"/>
      <c r="T48" s="270"/>
      <c r="U48" s="852"/>
      <c r="V48" s="270"/>
      <c r="W48" s="270"/>
      <c r="X48" s="270"/>
      <c r="Y48" s="852"/>
      <c r="Z48" s="270"/>
      <c r="AA48" s="270"/>
      <c r="AB48" s="270"/>
      <c r="AC48" s="852"/>
      <c r="AD48" s="270"/>
      <c r="AE48" s="270"/>
      <c r="AF48" s="270"/>
      <c r="AG48" s="853"/>
      <c r="AH48" s="853"/>
      <c r="AI48" s="854"/>
      <c r="AJ48" s="213"/>
      <c r="AK48" s="213"/>
      <c r="AM48" s="270"/>
    </row>
    <row r="49" spans="1:39" ht="9.9499999999999993" customHeight="1" x14ac:dyDescent="0.25">
      <c r="A49" s="1616">
        <v>11</v>
      </c>
      <c r="B49" s="1617">
        <v>2</v>
      </c>
      <c r="C49" s="1574" t="s">
        <v>5465</v>
      </c>
      <c r="D49" s="1574" t="s">
        <v>5459</v>
      </c>
      <c r="E49" s="1574" t="s">
        <v>978</v>
      </c>
      <c r="F49" s="849"/>
      <c r="G49" s="849"/>
      <c r="H49" s="849"/>
      <c r="I49" s="1497" t="s">
        <v>5350</v>
      </c>
      <c r="J49" s="849"/>
      <c r="K49" s="849"/>
      <c r="L49" s="849"/>
      <c r="M49" s="1509" t="s">
        <v>5367</v>
      </c>
      <c r="N49" s="849"/>
      <c r="O49" s="849"/>
      <c r="P49" s="849"/>
      <c r="Q49" s="1652"/>
      <c r="R49" s="849"/>
      <c r="S49" s="849"/>
      <c r="T49" s="849"/>
      <c r="U49" s="1586" t="s">
        <v>5380</v>
      </c>
      <c r="V49" s="849"/>
      <c r="W49" s="849"/>
      <c r="X49" s="849"/>
      <c r="Y49" s="1521" t="s">
        <v>5386</v>
      </c>
      <c r="Z49" s="849"/>
      <c r="AA49" s="849"/>
      <c r="AB49" s="849"/>
      <c r="AC49" s="1610" t="s">
        <v>5394</v>
      </c>
      <c r="AD49" s="849"/>
      <c r="AE49" s="849"/>
      <c r="AF49" s="849"/>
      <c r="AG49" s="1646" t="s">
        <v>5460</v>
      </c>
      <c r="AH49" s="1646" t="s">
        <v>5461</v>
      </c>
      <c r="AI49" s="1655" t="s">
        <v>5462</v>
      </c>
      <c r="AJ49" s="213"/>
      <c r="AK49" s="1639" t="s">
        <v>5471</v>
      </c>
      <c r="AM49" s="1574" t="s">
        <v>5589</v>
      </c>
    </row>
    <row r="50" spans="1:39" ht="9.9499999999999993" customHeight="1" x14ac:dyDescent="0.25">
      <c r="A50" s="1616"/>
      <c r="B50" s="1617"/>
      <c r="C50" s="1575"/>
      <c r="D50" s="1575"/>
      <c r="E50" s="1575"/>
      <c r="F50" s="850"/>
      <c r="G50" s="851"/>
      <c r="H50" s="850"/>
      <c r="I50" s="1637"/>
      <c r="J50" s="850"/>
      <c r="K50" s="851"/>
      <c r="L50" s="850"/>
      <c r="M50" s="1638"/>
      <c r="N50" s="850"/>
      <c r="O50" s="851"/>
      <c r="P50" s="850"/>
      <c r="Q50" s="1653"/>
      <c r="R50" s="850"/>
      <c r="S50" s="851"/>
      <c r="T50" s="850"/>
      <c r="U50" s="1587"/>
      <c r="V50" s="850"/>
      <c r="W50" s="851"/>
      <c r="X50" s="850"/>
      <c r="Y50" s="1635"/>
      <c r="Z50" s="850"/>
      <c r="AA50" s="851"/>
      <c r="AB50" s="850"/>
      <c r="AC50" s="1611"/>
      <c r="AD50" s="850"/>
      <c r="AE50" s="851"/>
      <c r="AF50" s="850"/>
      <c r="AG50" s="1647"/>
      <c r="AH50" s="1647"/>
      <c r="AI50" s="1656"/>
      <c r="AJ50" s="213"/>
      <c r="AK50" s="1640"/>
      <c r="AM50" s="1575"/>
    </row>
    <row r="51" spans="1:39" ht="9.9499999999999993" customHeight="1" x14ac:dyDescent="0.25">
      <c r="A51" s="1616"/>
      <c r="B51" s="1617"/>
      <c r="C51" s="1576"/>
      <c r="D51" s="1576"/>
      <c r="E51" s="1576"/>
      <c r="F51" s="849"/>
      <c r="G51" s="849"/>
      <c r="H51" s="849"/>
      <c r="I51" s="1498"/>
      <c r="J51" s="849"/>
      <c r="K51" s="849"/>
      <c r="L51" s="849"/>
      <c r="M51" s="1510"/>
      <c r="N51" s="849"/>
      <c r="O51" s="849"/>
      <c r="P51" s="849"/>
      <c r="Q51" s="1654"/>
      <c r="R51" s="849"/>
      <c r="S51" s="849"/>
      <c r="T51" s="849"/>
      <c r="U51" s="1588"/>
      <c r="V51" s="849"/>
      <c r="W51" s="849"/>
      <c r="X51" s="849"/>
      <c r="Y51" s="1522"/>
      <c r="Z51" s="849"/>
      <c r="AA51" s="849"/>
      <c r="AB51" s="849"/>
      <c r="AC51" s="1612"/>
      <c r="AD51" s="849"/>
      <c r="AE51" s="849"/>
      <c r="AF51" s="849"/>
      <c r="AG51" s="1648"/>
      <c r="AH51" s="1648"/>
      <c r="AI51" s="1657"/>
      <c r="AJ51" s="213"/>
      <c r="AK51" s="1641"/>
      <c r="AM51" s="1576"/>
    </row>
    <row r="52" spans="1:39" ht="9.9499999999999993" customHeight="1" x14ac:dyDescent="0.25">
      <c r="A52" s="270"/>
      <c r="B52" s="270"/>
      <c r="C52" s="270"/>
      <c r="D52" s="270"/>
      <c r="E52" s="270"/>
      <c r="F52" s="270"/>
      <c r="G52" s="270"/>
      <c r="H52" s="270"/>
      <c r="I52" s="270"/>
      <c r="J52" s="270"/>
      <c r="K52" s="270"/>
      <c r="L52" s="270"/>
      <c r="M52" s="852"/>
      <c r="N52" s="270"/>
      <c r="O52" s="270"/>
      <c r="P52" s="270"/>
      <c r="Q52" s="852"/>
      <c r="R52" s="270"/>
      <c r="S52" s="270"/>
      <c r="T52" s="270"/>
      <c r="U52" s="852"/>
      <c r="V52" s="270"/>
      <c r="W52" s="270"/>
      <c r="X52" s="270"/>
      <c r="Y52" s="852"/>
      <c r="Z52" s="270"/>
      <c r="AA52" s="270"/>
      <c r="AB52" s="270"/>
      <c r="AC52" s="852"/>
      <c r="AD52" s="270"/>
      <c r="AE52" s="270"/>
      <c r="AF52" s="270"/>
      <c r="AG52" s="853"/>
      <c r="AH52" s="853"/>
      <c r="AI52" s="854"/>
      <c r="AJ52" s="213"/>
      <c r="AK52" s="213"/>
    </row>
    <row r="53" spans="1:39" ht="9.9499999999999993" customHeight="1" x14ac:dyDescent="0.25">
      <c r="A53" s="1616">
        <v>12</v>
      </c>
      <c r="B53" s="1617">
        <v>2</v>
      </c>
      <c r="C53" s="1574" t="s">
        <v>5466</v>
      </c>
      <c r="D53" s="1574" t="s">
        <v>5459</v>
      </c>
      <c r="E53" s="1574" t="s">
        <v>978</v>
      </c>
      <c r="F53" s="849"/>
      <c r="G53" s="849"/>
      <c r="H53" s="849"/>
      <c r="I53" s="1497" t="s">
        <v>5350</v>
      </c>
      <c r="J53" s="849"/>
      <c r="K53" s="849"/>
      <c r="L53" s="849"/>
      <c r="M53" s="1509" t="s">
        <v>5367</v>
      </c>
      <c r="N53" s="849"/>
      <c r="O53" s="849"/>
      <c r="P53" s="849"/>
      <c r="Q53" s="1652"/>
      <c r="R53" s="849"/>
      <c r="S53" s="849"/>
      <c r="T53" s="849"/>
      <c r="U53" s="1586" t="s">
        <v>5380</v>
      </c>
      <c r="V53" s="849"/>
      <c r="W53" s="849"/>
      <c r="X53" s="849"/>
      <c r="Y53" s="1521" t="s">
        <v>5386</v>
      </c>
      <c r="Z53" s="849"/>
      <c r="AA53" s="849"/>
      <c r="AB53" s="849"/>
      <c r="AC53" s="1610" t="s">
        <v>5394</v>
      </c>
      <c r="AD53" s="849"/>
      <c r="AE53" s="849"/>
      <c r="AF53" s="849"/>
      <c r="AG53" s="1646" t="s">
        <v>5460</v>
      </c>
      <c r="AH53" s="1646" t="s">
        <v>5461</v>
      </c>
      <c r="AI53" s="1655" t="s">
        <v>5462</v>
      </c>
      <c r="AJ53" s="213"/>
      <c r="AK53" s="1642" t="s">
        <v>5473</v>
      </c>
      <c r="AM53" s="1574" t="s">
        <v>5590</v>
      </c>
    </row>
    <row r="54" spans="1:39" ht="9.9499999999999993" customHeight="1" x14ac:dyDescent="0.25">
      <c r="A54" s="1616"/>
      <c r="B54" s="1617"/>
      <c r="C54" s="1575"/>
      <c r="D54" s="1575"/>
      <c r="E54" s="1575"/>
      <c r="F54" s="850"/>
      <c r="G54" s="851"/>
      <c r="H54" s="850"/>
      <c r="I54" s="1637"/>
      <c r="J54" s="850"/>
      <c r="K54" s="851"/>
      <c r="L54" s="850"/>
      <c r="M54" s="1638"/>
      <c r="N54" s="850"/>
      <c r="O54" s="851"/>
      <c r="P54" s="850"/>
      <c r="Q54" s="1653"/>
      <c r="R54" s="850"/>
      <c r="S54" s="851"/>
      <c r="T54" s="850"/>
      <c r="U54" s="1587"/>
      <c r="V54" s="850"/>
      <c r="W54" s="851"/>
      <c r="X54" s="850"/>
      <c r="Y54" s="1635"/>
      <c r="Z54" s="850"/>
      <c r="AA54" s="851"/>
      <c r="AB54" s="850"/>
      <c r="AC54" s="1611"/>
      <c r="AD54" s="850"/>
      <c r="AE54" s="851"/>
      <c r="AF54" s="850"/>
      <c r="AG54" s="1647"/>
      <c r="AH54" s="1647"/>
      <c r="AI54" s="1656"/>
      <c r="AJ54" s="213"/>
      <c r="AK54" s="1643"/>
      <c r="AM54" s="1575"/>
    </row>
    <row r="55" spans="1:39" ht="9.9499999999999993" customHeight="1" x14ac:dyDescent="0.25">
      <c r="A55" s="1616"/>
      <c r="B55" s="1617"/>
      <c r="C55" s="1576"/>
      <c r="D55" s="1576"/>
      <c r="E55" s="1576"/>
      <c r="F55" s="849"/>
      <c r="G55" s="849"/>
      <c r="H55" s="849"/>
      <c r="I55" s="1498"/>
      <c r="J55" s="849"/>
      <c r="K55" s="849"/>
      <c r="L55" s="849"/>
      <c r="M55" s="1510"/>
      <c r="N55" s="849"/>
      <c r="O55" s="849"/>
      <c r="P55" s="849"/>
      <c r="Q55" s="1654"/>
      <c r="R55" s="849"/>
      <c r="S55" s="849"/>
      <c r="T55" s="849"/>
      <c r="U55" s="1588"/>
      <c r="V55" s="849"/>
      <c r="W55" s="849"/>
      <c r="X55" s="849"/>
      <c r="Y55" s="1522"/>
      <c r="Z55" s="849"/>
      <c r="AA55" s="849"/>
      <c r="AB55" s="849"/>
      <c r="AC55" s="1612"/>
      <c r="AD55" s="849"/>
      <c r="AE55" s="849"/>
      <c r="AF55" s="849"/>
      <c r="AG55" s="1648"/>
      <c r="AH55" s="1648"/>
      <c r="AI55" s="1657"/>
      <c r="AJ55" s="213"/>
      <c r="AK55" s="1644"/>
      <c r="AM55" s="1576"/>
    </row>
    <row r="56" spans="1:39" ht="9.9499999999999993" customHeight="1" x14ac:dyDescent="0.25">
      <c r="A56" s="270"/>
      <c r="B56" s="270"/>
      <c r="C56" s="270"/>
      <c r="D56" s="270"/>
      <c r="E56" s="270"/>
      <c r="F56" s="270"/>
      <c r="G56" s="270"/>
      <c r="H56" s="270"/>
      <c r="I56" s="270"/>
      <c r="J56" s="270"/>
      <c r="K56" s="270"/>
      <c r="L56" s="270"/>
      <c r="M56" s="852"/>
      <c r="N56" s="270"/>
      <c r="O56" s="270"/>
      <c r="P56" s="270"/>
      <c r="Q56" s="852"/>
      <c r="R56" s="270"/>
      <c r="S56" s="270"/>
      <c r="T56" s="270"/>
      <c r="U56" s="852"/>
      <c r="V56" s="270"/>
      <c r="W56" s="270"/>
      <c r="X56" s="270"/>
      <c r="Y56" s="852"/>
      <c r="Z56" s="270"/>
      <c r="AA56" s="270"/>
      <c r="AB56" s="270"/>
      <c r="AC56" s="852"/>
      <c r="AD56" s="270"/>
      <c r="AE56" s="270"/>
      <c r="AF56" s="270"/>
      <c r="AG56" s="853"/>
      <c r="AH56" s="853"/>
      <c r="AI56" s="854"/>
      <c r="AJ56" s="213"/>
      <c r="AK56" s="213"/>
      <c r="AM56" s="213"/>
    </row>
    <row r="57" spans="1:39" ht="9.9499999999999993" customHeight="1" x14ac:dyDescent="0.25">
      <c r="A57" s="1616">
        <v>13</v>
      </c>
      <c r="B57" s="1617">
        <v>2</v>
      </c>
      <c r="C57" s="1574" t="s">
        <v>5467</v>
      </c>
      <c r="D57" s="1574" t="s">
        <v>5459</v>
      </c>
      <c r="E57" s="1574" t="s">
        <v>978</v>
      </c>
      <c r="F57" s="849"/>
      <c r="G57" s="849"/>
      <c r="H57" s="849"/>
      <c r="I57" s="1586" t="s">
        <v>5355</v>
      </c>
      <c r="J57" s="849"/>
      <c r="K57" s="849"/>
      <c r="L57" s="849"/>
      <c r="M57" s="1509" t="s">
        <v>5367</v>
      </c>
      <c r="N57" s="849"/>
      <c r="O57" s="849"/>
      <c r="P57" s="849"/>
      <c r="Q57" s="1652"/>
      <c r="R57" s="849"/>
      <c r="S57" s="849"/>
      <c r="T57" s="849"/>
      <c r="U57" s="1586" t="s">
        <v>5380</v>
      </c>
      <c r="V57" s="849"/>
      <c r="W57" s="849"/>
      <c r="X57" s="849"/>
      <c r="Y57" s="1521" t="s">
        <v>5386</v>
      </c>
      <c r="Z57" s="849"/>
      <c r="AA57" s="849"/>
      <c r="AB57" s="849"/>
      <c r="AC57" s="1519" t="s">
        <v>5397</v>
      </c>
      <c r="AD57" s="849"/>
      <c r="AE57" s="849"/>
      <c r="AF57" s="849"/>
      <c r="AG57" s="1646" t="s">
        <v>5460</v>
      </c>
      <c r="AH57" s="1646" t="s">
        <v>5461</v>
      </c>
      <c r="AI57" s="1655" t="s">
        <v>5462</v>
      </c>
      <c r="AJ57" s="213"/>
      <c r="AK57" s="1626" t="s">
        <v>5479</v>
      </c>
      <c r="AM57" s="1574" t="s">
        <v>5591</v>
      </c>
    </row>
    <row r="58" spans="1:39" ht="9.9499999999999993" customHeight="1" x14ac:dyDescent="0.25">
      <c r="A58" s="1616"/>
      <c r="B58" s="1617"/>
      <c r="C58" s="1575"/>
      <c r="D58" s="1575"/>
      <c r="E58" s="1575"/>
      <c r="F58" s="850"/>
      <c r="G58" s="851"/>
      <c r="H58" s="850"/>
      <c r="I58" s="1587"/>
      <c r="J58" s="850"/>
      <c r="K58" s="851"/>
      <c r="L58" s="850"/>
      <c r="M58" s="1638"/>
      <c r="N58" s="850"/>
      <c r="O58" s="851"/>
      <c r="P58" s="850"/>
      <c r="Q58" s="1653"/>
      <c r="R58" s="850"/>
      <c r="S58" s="851"/>
      <c r="T58" s="850"/>
      <c r="U58" s="1587"/>
      <c r="V58" s="850"/>
      <c r="W58" s="851"/>
      <c r="X58" s="850"/>
      <c r="Y58" s="1635"/>
      <c r="Z58" s="850"/>
      <c r="AA58" s="851"/>
      <c r="AB58" s="850"/>
      <c r="AC58" s="1618"/>
      <c r="AD58" s="850"/>
      <c r="AE58" s="851"/>
      <c r="AF58" s="850"/>
      <c r="AG58" s="1647"/>
      <c r="AH58" s="1647"/>
      <c r="AI58" s="1656"/>
      <c r="AJ58" s="213"/>
      <c r="AK58" s="1627"/>
      <c r="AM58" s="1575"/>
    </row>
    <row r="59" spans="1:39" ht="9.9499999999999993" customHeight="1" x14ac:dyDescent="0.25">
      <c r="A59" s="1616"/>
      <c r="B59" s="1617"/>
      <c r="C59" s="1576"/>
      <c r="D59" s="1576"/>
      <c r="E59" s="1576"/>
      <c r="F59" s="849"/>
      <c r="G59" s="849"/>
      <c r="H59" s="849"/>
      <c r="I59" s="1588"/>
      <c r="J59" s="849"/>
      <c r="K59" s="849"/>
      <c r="L59" s="849"/>
      <c r="M59" s="1510"/>
      <c r="N59" s="849"/>
      <c r="O59" s="849"/>
      <c r="P59" s="849"/>
      <c r="Q59" s="1654"/>
      <c r="R59" s="849"/>
      <c r="S59" s="849"/>
      <c r="T59" s="849"/>
      <c r="U59" s="1588"/>
      <c r="V59" s="849"/>
      <c r="W59" s="849"/>
      <c r="X59" s="849"/>
      <c r="Y59" s="1522"/>
      <c r="Z59" s="849"/>
      <c r="AA59" s="849"/>
      <c r="AB59" s="849"/>
      <c r="AC59" s="1520"/>
      <c r="AD59" s="849"/>
      <c r="AE59" s="849"/>
      <c r="AF59" s="849"/>
      <c r="AG59" s="1648"/>
      <c r="AH59" s="1648"/>
      <c r="AI59" s="1657"/>
      <c r="AJ59" s="213"/>
      <c r="AK59" s="1628"/>
      <c r="AM59" s="1576"/>
    </row>
    <row r="60" spans="1:39" ht="9.9499999999999993" customHeight="1" x14ac:dyDescent="0.25">
      <c r="A60" s="270"/>
      <c r="B60" s="270"/>
      <c r="C60" s="270"/>
      <c r="D60" s="270"/>
      <c r="E60" s="270"/>
      <c r="F60" s="270"/>
      <c r="G60" s="270"/>
      <c r="H60" s="270"/>
      <c r="I60" s="270"/>
      <c r="J60" s="270"/>
      <c r="K60" s="270"/>
      <c r="L60" s="270"/>
      <c r="M60" s="852"/>
      <c r="N60" s="270"/>
      <c r="O60" s="270"/>
      <c r="P60" s="270"/>
      <c r="Q60" s="852"/>
      <c r="R60" s="270"/>
      <c r="S60" s="270"/>
      <c r="T60" s="270"/>
      <c r="U60" s="852"/>
      <c r="V60" s="270"/>
      <c r="W60" s="270"/>
      <c r="X60" s="270"/>
      <c r="Y60" s="852"/>
      <c r="Z60" s="270"/>
      <c r="AA60" s="270"/>
      <c r="AB60" s="270"/>
      <c r="AC60" s="852"/>
      <c r="AD60" s="270"/>
      <c r="AE60" s="270"/>
      <c r="AF60" s="270"/>
      <c r="AG60" s="853"/>
      <c r="AH60" s="853"/>
      <c r="AI60" s="854"/>
      <c r="AJ60" s="213"/>
      <c r="AK60" s="213"/>
    </row>
    <row r="61" spans="1:39" ht="9.9499999999999993" customHeight="1" x14ac:dyDescent="0.25">
      <c r="A61" s="1616">
        <v>14</v>
      </c>
      <c r="B61" s="1617">
        <v>2</v>
      </c>
      <c r="C61" s="1574" t="s">
        <v>5468</v>
      </c>
      <c r="D61" s="1574" t="s">
        <v>5459</v>
      </c>
      <c r="E61" s="1574" t="s">
        <v>978</v>
      </c>
      <c r="F61" s="849"/>
      <c r="G61" s="849"/>
      <c r="H61" s="849"/>
      <c r="I61" s="1586" t="s">
        <v>5355</v>
      </c>
      <c r="J61" s="849"/>
      <c r="K61" s="849"/>
      <c r="L61" s="849"/>
      <c r="M61" s="1639" t="s">
        <v>5469</v>
      </c>
      <c r="N61" s="849"/>
      <c r="O61" s="849"/>
      <c r="P61" s="849"/>
      <c r="Q61" s="1517" t="s">
        <v>5371</v>
      </c>
      <c r="R61" s="849"/>
      <c r="S61" s="849"/>
      <c r="T61" s="849"/>
      <c r="U61" s="1586" t="s">
        <v>5380</v>
      </c>
      <c r="V61" s="849"/>
      <c r="W61" s="849"/>
      <c r="X61" s="849"/>
      <c r="Y61" s="1521" t="s">
        <v>5386</v>
      </c>
      <c r="Z61" s="849"/>
      <c r="AA61" s="849"/>
      <c r="AB61" s="849"/>
      <c r="AC61" s="1519" t="s">
        <v>5397</v>
      </c>
      <c r="AD61" s="849"/>
      <c r="AE61" s="849"/>
      <c r="AF61" s="849"/>
      <c r="AG61" s="1646" t="s">
        <v>5460</v>
      </c>
      <c r="AH61" s="1646" t="s">
        <v>5461</v>
      </c>
      <c r="AI61" s="1655" t="s">
        <v>5462</v>
      </c>
      <c r="AJ61" s="213"/>
      <c r="AK61" s="1629" t="s">
        <v>5383</v>
      </c>
      <c r="AM61" s="1574" t="s">
        <v>5592</v>
      </c>
    </row>
    <row r="62" spans="1:39" ht="9.9499999999999993" customHeight="1" x14ac:dyDescent="0.25">
      <c r="A62" s="1616"/>
      <c r="B62" s="1617"/>
      <c r="C62" s="1575"/>
      <c r="D62" s="1575"/>
      <c r="E62" s="1575"/>
      <c r="F62" s="850"/>
      <c r="G62" s="851"/>
      <c r="H62" s="850"/>
      <c r="I62" s="1587"/>
      <c r="J62" s="850"/>
      <c r="K62" s="851"/>
      <c r="L62" s="850"/>
      <c r="M62" s="1640"/>
      <c r="N62" s="850"/>
      <c r="O62" s="851"/>
      <c r="P62" s="850"/>
      <c r="Q62" s="1619"/>
      <c r="R62" s="850"/>
      <c r="S62" s="851"/>
      <c r="T62" s="850"/>
      <c r="U62" s="1587"/>
      <c r="V62" s="850"/>
      <c r="W62" s="851"/>
      <c r="X62" s="850"/>
      <c r="Y62" s="1635"/>
      <c r="Z62" s="850"/>
      <c r="AA62" s="851"/>
      <c r="AB62" s="850"/>
      <c r="AC62" s="1618"/>
      <c r="AD62" s="850"/>
      <c r="AE62" s="851"/>
      <c r="AF62" s="850"/>
      <c r="AG62" s="1647"/>
      <c r="AH62" s="1647"/>
      <c r="AI62" s="1656"/>
      <c r="AJ62" s="213"/>
      <c r="AK62" s="1630"/>
      <c r="AM62" s="1575"/>
    </row>
    <row r="63" spans="1:39" ht="9.9499999999999993" customHeight="1" x14ac:dyDescent="0.25">
      <c r="A63" s="1616"/>
      <c r="B63" s="1617"/>
      <c r="C63" s="1576"/>
      <c r="D63" s="1576"/>
      <c r="E63" s="1576"/>
      <c r="F63" s="849"/>
      <c r="G63" s="849"/>
      <c r="H63" s="849"/>
      <c r="I63" s="1588"/>
      <c r="J63" s="849"/>
      <c r="K63" s="849"/>
      <c r="L63" s="849"/>
      <c r="M63" s="1641"/>
      <c r="N63" s="849"/>
      <c r="O63" s="849"/>
      <c r="P63" s="849"/>
      <c r="Q63" s="1518"/>
      <c r="R63" s="849"/>
      <c r="S63" s="849"/>
      <c r="T63" s="849"/>
      <c r="U63" s="1588"/>
      <c r="V63" s="849"/>
      <c r="W63" s="849"/>
      <c r="X63" s="849"/>
      <c r="Y63" s="1522"/>
      <c r="Z63" s="849"/>
      <c r="AA63" s="849"/>
      <c r="AB63" s="849"/>
      <c r="AC63" s="1520"/>
      <c r="AD63" s="849"/>
      <c r="AE63" s="849"/>
      <c r="AF63" s="849"/>
      <c r="AG63" s="1648"/>
      <c r="AH63" s="1648"/>
      <c r="AI63" s="1657"/>
      <c r="AJ63" s="213"/>
      <c r="AK63" s="1631"/>
      <c r="AM63" s="1576"/>
    </row>
    <row r="64" spans="1:39" ht="9.9499999999999993" customHeight="1" x14ac:dyDescent="0.25">
      <c r="A64" s="270"/>
      <c r="B64" s="270"/>
      <c r="C64" s="270"/>
      <c r="D64" s="270"/>
      <c r="E64" s="270"/>
      <c r="F64" s="270"/>
      <c r="G64" s="270"/>
      <c r="H64" s="270"/>
      <c r="I64" s="270"/>
      <c r="J64" s="270"/>
      <c r="K64" s="270"/>
      <c r="L64" s="270"/>
      <c r="M64" s="852"/>
      <c r="N64" s="270"/>
      <c r="O64" s="270"/>
      <c r="P64" s="270"/>
      <c r="Q64" s="852"/>
      <c r="R64" s="270"/>
      <c r="S64" s="270"/>
      <c r="T64" s="270"/>
      <c r="U64" s="852"/>
      <c r="V64" s="270"/>
      <c r="W64" s="270"/>
      <c r="X64" s="270"/>
      <c r="Y64" s="852"/>
      <c r="Z64" s="270"/>
      <c r="AA64" s="270"/>
      <c r="AB64" s="270"/>
      <c r="AC64" s="852"/>
      <c r="AD64" s="270"/>
      <c r="AE64" s="270"/>
      <c r="AF64" s="270"/>
      <c r="AG64" s="853"/>
      <c r="AH64" s="853"/>
      <c r="AI64" s="854"/>
      <c r="AJ64" s="213"/>
      <c r="AK64" s="213"/>
      <c r="AM64" s="213"/>
    </row>
    <row r="65" spans="1:39" ht="9.9499999999999993" customHeight="1" x14ac:dyDescent="0.25">
      <c r="A65" s="1616">
        <v>15</v>
      </c>
      <c r="B65" s="1617">
        <v>3</v>
      </c>
      <c r="C65" s="1574" t="s">
        <v>5458</v>
      </c>
      <c r="D65" s="1574" t="s">
        <v>5459</v>
      </c>
      <c r="E65" s="1574" t="s">
        <v>978</v>
      </c>
      <c r="F65" s="849"/>
      <c r="G65" s="849"/>
      <c r="H65" s="849"/>
      <c r="I65" s="1586" t="s">
        <v>5355</v>
      </c>
      <c r="J65" s="849"/>
      <c r="K65" s="849"/>
      <c r="L65" s="849"/>
      <c r="M65" s="1639" t="s">
        <v>5469</v>
      </c>
      <c r="N65" s="849"/>
      <c r="O65" s="849"/>
      <c r="P65" s="849"/>
      <c r="Q65" s="1517" t="s">
        <v>5371</v>
      </c>
      <c r="R65" s="849"/>
      <c r="S65" s="849"/>
      <c r="T65" s="849"/>
      <c r="U65" s="1629" t="s">
        <v>5383</v>
      </c>
      <c r="V65" s="849"/>
      <c r="W65" s="849"/>
      <c r="X65" s="849"/>
      <c r="Y65" s="1521" t="s">
        <v>5386</v>
      </c>
      <c r="Z65" s="849"/>
      <c r="AA65" s="849"/>
      <c r="AB65" s="849"/>
      <c r="AC65" s="1519" t="s">
        <v>5397</v>
      </c>
      <c r="AD65" s="849"/>
      <c r="AE65" s="849"/>
      <c r="AF65" s="849"/>
      <c r="AG65" s="1646" t="s">
        <v>5460</v>
      </c>
      <c r="AH65" s="1646" t="s">
        <v>5461</v>
      </c>
      <c r="AI65" s="1655" t="s">
        <v>5462</v>
      </c>
      <c r="AJ65" s="213"/>
      <c r="AK65" s="1632" t="s">
        <v>5472</v>
      </c>
      <c r="AM65" s="1574" t="s">
        <v>5593</v>
      </c>
    </row>
    <row r="66" spans="1:39" ht="9.9499999999999993" customHeight="1" x14ac:dyDescent="0.25">
      <c r="A66" s="1616"/>
      <c r="B66" s="1617"/>
      <c r="C66" s="1575"/>
      <c r="D66" s="1575"/>
      <c r="E66" s="1575"/>
      <c r="F66" s="850"/>
      <c r="G66" s="851"/>
      <c r="H66" s="850"/>
      <c r="I66" s="1587"/>
      <c r="J66" s="850"/>
      <c r="K66" s="851"/>
      <c r="L66" s="850"/>
      <c r="M66" s="1640"/>
      <c r="N66" s="850"/>
      <c r="O66" s="851"/>
      <c r="P66" s="850"/>
      <c r="Q66" s="1619"/>
      <c r="R66" s="850"/>
      <c r="S66" s="851"/>
      <c r="T66" s="850"/>
      <c r="U66" s="1630"/>
      <c r="V66" s="850"/>
      <c r="W66" s="851"/>
      <c r="X66" s="850"/>
      <c r="Y66" s="1635"/>
      <c r="Z66" s="850"/>
      <c r="AA66" s="851"/>
      <c r="AB66" s="850"/>
      <c r="AC66" s="1618"/>
      <c r="AD66" s="850"/>
      <c r="AE66" s="851"/>
      <c r="AF66" s="850"/>
      <c r="AG66" s="1647"/>
      <c r="AH66" s="1647"/>
      <c r="AI66" s="1656"/>
      <c r="AJ66" s="213"/>
      <c r="AK66" s="1633"/>
      <c r="AM66" s="1575"/>
    </row>
    <row r="67" spans="1:39" ht="9.9499999999999993" customHeight="1" x14ac:dyDescent="0.25">
      <c r="A67" s="1616"/>
      <c r="B67" s="1617"/>
      <c r="C67" s="1576"/>
      <c r="D67" s="1576"/>
      <c r="E67" s="1576"/>
      <c r="F67" s="849"/>
      <c r="G67" s="849"/>
      <c r="H67" s="849"/>
      <c r="I67" s="1588"/>
      <c r="J67" s="849"/>
      <c r="K67" s="849"/>
      <c r="L67" s="849"/>
      <c r="M67" s="1641"/>
      <c r="N67" s="849"/>
      <c r="O67" s="849"/>
      <c r="P67" s="849"/>
      <c r="Q67" s="1518"/>
      <c r="R67" s="849"/>
      <c r="S67" s="849"/>
      <c r="T67" s="849"/>
      <c r="U67" s="1631"/>
      <c r="V67" s="849"/>
      <c r="W67" s="849"/>
      <c r="X67" s="849"/>
      <c r="Y67" s="1522"/>
      <c r="Z67" s="849"/>
      <c r="AA67" s="849"/>
      <c r="AB67" s="849"/>
      <c r="AC67" s="1520"/>
      <c r="AD67" s="849"/>
      <c r="AE67" s="849"/>
      <c r="AF67" s="849"/>
      <c r="AG67" s="1648"/>
      <c r="AH67" s="1648"/>
      <c r="AI67" s="1657"/>
      <c r="AJ67" s="213"/>
      <c r="AK67" s="1634"/>
      <c r="AM67" s="1576"/>
    </row>
    <row r="68" spans="1:39" ht="9.9499999999999993" customHeight="1" x14ac:dyDescent="0.25">
      <c r="A68" s="270"/>
      <c r="B68" s="270"/>
      <c r="C68" s="270"/>
      <c r="D68" s="270"/>
      <c r="E68" s="270"/>
      <c r="F68" s="270"/>
      <c r="G68" s="270"/>
      <c r="H68" s="270"/>
      <c r="I68" s="270"/>
      <c r="J68" s="270"/>
      <c r="K68" s="270"/>
      <c r="L68" s="270"/>
      <c r="M68" s="852"/>
      <c r="N68" s="270"/>
      <c r="O68" s="270"/>
      <c r="P68" s="270"/>
      <c r="Q68" s="852"/>
      <c r="R68" s="270"/>
      <c r="S68" s="270"/>
      <c r="T68" s="270"/>
      <c r="U68" s="852"/>
      <c r="V68" s="270"/>
      <c r="W68" s="270"/>
      <c r="X68" s="270"/>
      <c r="Y68" s="852"/>
      <c r="Z68" s="270"/>
      <c r="AA68" s="270"/>
      <c r="AB68" s="270"/>
      <c r="AC68" s="852"/>
      <c r="AD68" s="270"/>
      <c r="AE68" s="270"/>
      <c r="AF68" s="270"/>
      <c r="AG68" s="853"/>
      <c r="AH68" s="853"/>
      <c r="AI68" s="854"/>
      <c r="AJ68" s="213"/>
      <c r="AK68" s="213"/>
    </row>
    <row r="69" spans="1:39" ht="9.9499999999999993" customHeight="1" x14ac:dyDescent="0.25">
      <c r="A69" s="1616">
        <v>16</v>
      </c>
      <c r="B69" s="1617">
        <v>3</v>
      </c>
      <c r="C69" s="1574" t="s">
        <v>5463</v>
      </c>
      <c r="D69" s="1574" t="s">
        <v>5459</v>
      </c>
      <c r="E69" s="1574" t="s">
        <v>978</v>
      </c>
      <c r="F69" s="849"/>
      <c r="G69" s="849"/>
      <c r="H69" s="849"/>
      <c r="I69" s="1586" t="s">
        <v>5355</v>
      </c>
      <c r="J69" s="849"/>
      <c r="K69" s="849"/>
      <c r="L69" s="849"/>
      <c r="M69" s="1639" t="s">
        <v>5469</v>
      </c>
      <c r="N69" s="849"/>
      <c r="O69" s="849"/>
      <c r="P69" s="849"/>
      <c r="Q69" s="1517" t="s">
        <v>5371</v>
      </c>
      <c r="R69" s="849"/>
      <c r="S69" s="849"/>
      <c r="T69" s="849"/>
      <c r="U69" s="1629" t="s">
        <v>5383</v>
      </c>
      <c r="V69" s="849"/>
      <c r="W69" s="849"/>
      <c r="X69" s="849"/>
      <c r="Y69" s="1521" t="s">
        <v>5386</v>
      </c>
      <c r="Z69" s="849"/>
      <c r="AA69" s="849"/>
      <c r="AB69" s="849"/>
      <c r="AC69" s="1519" t="s">
        <v>5397</v>
      </c>
      <c r="AD69" s="849"/>
      <c r="AE69" s="849"/>
      <c r="AF69" s="849"/>
      <c r="AG69" s="1646" t="s">
        <v>5460</v>
      </c>
      <c r="AH69" s="1646" t="s">
        <v>5461</v>
      </c>
      <c r="AI69" s="1655" t="s">
        <v>5462</v>
      </c>
      <c r="AJ69" s="213"/>
      <c r="AK69" s="1521" t="s">
        <v>5386</v>
      </c>
      <c r="AM69" s="1574" t="s">
        <v>5594</v>
      </c>
    </row>
    <row r="70" spans="1:39" ht="9.9499999999999993" customHeight="1" x14ac:dyDescent="0.25">
      <c r="A70" s="1616"/>
      <c r="B70" s="1617"/>
      <c r="C70" s="1575"/>
      <c r="D70" s="1575"/>
      <c r="E70" s="1575"/>
      <c r="F70" s="850"/>
      <c r="G70" s="851"/>
      <c r="H70" s="850"/>
      <c r="I70" s="1587"/>
      <c r="J70" s="850"/>
      <c r="K70" s="851"/>
      <c r="L70" s="850"/>
      <c r="M70" s="1640"/>
      <c r="N70" s="850"/>
      <c r="O70" s="851"/>
      <c r="P70" s="850"/>
      <c r="Q70" s="1619"/>
      <c r="R70" s="850"/>
      <c r="S70" s="851"/>
      <c r="T70" s="850"/>
      <c r="U70" s="1630"/>
      <c r="V70" s="850"/>
      <c r="W70" s="851"/>
      <c r="X70" s="850"/>
      <c r="Y70" s="1635"/>
      <c r="Z70" s="850"/>
      <c r="AA70" s="851"/>
      <c r="AB70" s="850"/>
      <c r="AC70" s="1618"/>
      <c r="AD70" s="850"/>
      <c r="AE70" s="851"/>
      <c r="AF70" s="850"/>
      <c r="AG70" s="1647"/>
      <c r="AH70" s="1647"/>
      <c r="AI70" s="1656"/>
      <c r="AJ70" s="213"/>
      <c r="AK70" s="1635"/>
      <c r="AM70" s="1575"/>
    </row>
    <row r="71" spans="1:39" ht="9.9499999999999993" customHeight="1" x14ac:dyDescent="0.25">
      <c r="A71" s="1616"/>
      <c r="B71" s="1617"/>
      <c r="C71" s="1576"/>
      <c r="D71" s="1576"/>
      <c r="E71" s="1576"/>
      <c r="F71" s="849"/>
      <c r="G71" s="849"/>
      <c r="H71" s="849"/>
      <c r="I71" s="1588"/>
      <c r="J71" s="849"/>
      <c r="K71" s="849"/>
      <c r="L71" s="849"/>
      <c r="M71" s="1641"/>
      <c r="N71" s="849"/>
      <c r="O71" s="849"/>
      <c r="P71" s="849"/>
      <c r="Q71" s="1518"/>
      <c r="R71" s="849"/>
      <c r="S71" s="849"/>
      <c r="T71" s="849"/>
      <c r="U71" s="1631"/>
      <c r="V71" s="849"/>
      <c r="W71" s="849"/>
      <c r="X71" s="849"/>
      <c r="Y71" s="1522"/>
      <c r="Z71" s="849"/>
      <c r="AA71" s="849"/>
      <c r="AB71" s="849"/>
      <c r="AC71" s="1520"/>
      <c r="AD71" s="849"/>
      <c r="AE71" s="849"/>
      <c r="AF71" s="849"/>
      <c r="AG71" s="1648"/>
      <c r="AH71" s="1648"/>
      <c r="AI71" s="1657"/>
      <c r="AJ71" s="213"/>
      <c r="AK71" s="1522"/>
      <c r="AM71" s="1576"/>
    </row>
    <row r="72" spans="1:39" ht="9.9499999999999993" customHeight="1" x14ac:dyDescent="0.25">
      <c r="A72" s="270"/>
      <c r="B72" s="270"/>
      <c r="C72" s="270"/>
      <c r="D72" s="270"/>
      <c r="E72" s="270"/>
      <c r="F72" s="270"/>
      <c r="G72" s="270"/>
      <c r="H72" s="270"/>
      <c r="I72" s="270"/>
      <c r="J72" s="270"/>
      <c r="K72" s="270"/>
      <c r="L72" s="270"/>
      <c r="M72" s="852"/>
      <c r="N72" s="270"/>
      <c r="O72" s="270"/>
      <c r="P72" s="270"/>
      <c r="Q72" s="852"/>
      <c r="R72" s="270"/>
      <c r="S72" s="270"/>
      <c r="T72" s="270"/>
      <c r="U72" s="852"/>
      <c r="V72" s="270"/>
      <c r="W72" s="270"/>
      <c r="X72" s="270"/>
      <c r="Y72" s="852"/>
      <c r="Z72" s="270"/>
      <c r="AA72" s="270"/>
      <c r="AB72" s="270"/>
      <c r="AC72" s="852"/>
      <c r="AD72" s="270"/>
      <c r="AE72" s="270"/>
      <c r="AF72" s="270"/>
      <c r="AG72" s="853"/>
      <c r="AH72" s="853"/>
      <c r="AI72" s="854"/>
      <c r="AJ72" s="213"/>
      <c r="AK72" s="213"/>
    </row>
    <row r="73" spans="1:39" ht="9.9499999999999993" customHeight="1" x14ac:dyDescent="0.25">
      <c r="A73" s="1616">
        <v>17</v>
      </c>
      <c r="B73" s="1617">
        <v>3</v>
      </c>
      <c r="C73" s="1574" t="s">
        <v>5464</v>
      </c>
      <c r="D73" s="1574" t="s">
        <v>5459</v>
      </c>
      <c r="E73" s="1574" t="s">
        <v>978</v>
      </c>
      <c r="F73" s="849"/>
      <c r="G73" s="849"/>
      <c r="H73" s="849"/>
      <c r="I73" s="1586" t="s">
        <v>5355</v>
      </c>
      <c r="J73" s="849"/>
      <c r="K73" s="849"/>
      <c r="L73" s="849"/>
      <c r="M73" s="1639" t="s">
        <v>5469</v>
      </c>
      <c r="N73" s="849"/>
      <c r="O73" s="849"/>
      <c r="P73" s="849"/>
      <c r="Q73" s="1517" t="s">
        <v>5371</v>
      </c>
      <c r="R73" s="849"/>
      <c r="S73" s="849"/>
      <c r="T73" s="849"/>
      <c r="U73" s="1629" t="s">
        <v>5383</v>
      </c>
      <c r="V73" s="849"/>
      <c r="W73" s="849"/>
      <c r="X73" s="849"/>
      <c r="Y73" s="1523" t="s">
        <v>5389</v>
      </c>
      <c r="Z73" s="849"/>
      <c r="AA73" s="849"/>
      <c r="AB73" s="849"/>
      <c r="AC73" s="1519" t="s">
        <v>5397</v>
      </c>
      <c r="AD73" s="849"/>
      <c r="AE73" s="849"/>
      <c r="AF73" s="849"/>
      <c r="AG73" s="1646" t="s">
        <v>5460</v>
      </c>
      <c r="AH73" s="1646" t="s">
        <v>5461</v>
      </c>
      <c r="AI73" s="1655" t="s">
        <v>5462</v>
      </c>
      <c r="AJ73" s="213"/>
      <c r="AK73" s="1523" t="s">
        <v>5389</v>
      </c>
      <c r="AM73" s="1574" t="s">
        <v>5595</v>
      </c>
    </row>
    <row r="74" spans="1:39" ht="9.9499999999999993" customHeight="1" x14ac:dyDescent="0.25">
      <c r="A74" s="1616"/>
      <c r="B74" s="1617"/>
      <c r="C74" s="1575"/>
      <c r="D74" s="1575"/>
      <c r="E74" s="1575"/>
      <c r="F74" s="850"/>
      <c r="G74" s="851"/>
      <c r="H74" s="850"/>
      <c r="I74" s="1587"/>
      <c r="J74" s="850"/>
      <c r="K74" s="851"/>
      <c r="L74" s="850"/>
      <c r="M74" s="1640"/>
      <c r="N74" s="850"/>
      <c r="O74" s="851"/>
      <c r="P74" s="850"/>
      <c r="Q74" s="1619"/>
      <c r="R74" s="850"/>
      <c r="S74" s="851"/>
      <c r="T74" s="850"/>
      <c r="U74" s="1630"/>
      <c r="V74" s="850"/>
      <c r="W74" s="851"/>
      <c r="X74" s="850"/>
      <c r="Y74" s="1636"/>
      <c r="Z74" s="850"/>
      <c r="AA74" s="851"/>
      <c r="AB74" s="850"/>
      <c r="AC74" s="1618"/>
      <c r="AD74" s="850"/>
      <c r="AE74" s="851"/>
      <c r="AF74" s="850"/>
      <c r="AG74" s="1647"/>
      <c r="AH74" s="1647"/>
      <c r="AI74" s="1656"/>
      <c r="AJ74" s="213"/>
      <c r="AK74" s="1636"/>
      <c r="AM74" s="1575"/>
    </row>
    <row r="75" spans="1:39" ht="9.9499999999999993" customHeight="1" x14ac:dyDescent="0.25">
      <c r="A75" s="1616"/>
      <c r="B75" s="1617"/>
      <c r="C75" s="1576"/>
      <c r="D75" s="1576"/>
      <c r="E75" s="1576"/>
      <c r="F75" s="849"/>
      <c r="G75" s="849"/>
      <c r="H75" s="849"/>
      <c r="I75" s="1588"/>
      <c r="J75" s="849"/>
      <c r="K75" s="849"/>
      <c r="L75" s="849"/>
      <c r="M75" s="1641"/>
      <c r="N75" s="849"/>
      <c r="O75" s="849"/>
      <c r="P75" s="849"/>
      <c r="Q75" s="1518"/>
      <c r="R75" s="849"/>
      <c r="S75" s="849"/>
      <c r="T75" s="849"/>
      <c r="U75" s="1631"/>
      <c r="V75" s="849"/>
      <c r="W75" s="849"/>
      <c r="X75" s="849"/>
      <c r="Y75" s="1524"/>
      <c r="Z75" s="849"/>
      <c r="AA75" s="849"/>
      <c r="AB75" s="849"/>
      <c r="AC75" s="1520"/>
      <c r="AD75" s="849"/>
      <c r="AE75" s="849"/>
      <c r="AF75" s="849"/>
      <c r="AG75" s="1648"/>
      <c r="AH75" s="1648"/>
      <c r="AI75" s="1657"/>
      <c r="AJ75" s="213"/>
      <c r="AK75" s="1524"/>
      <c r="AM75" s="1576"/>
    </row>
    <row r="76" spans="1:39" ht="9.9499999999999993" customHeight="1" x14ac:dyDescent="0.25">
      <c r="A76" s="270"/>
      <c r="B76" s="270"/>
      <c r="C76" s="270"/>
      <c r="D76" s="270"/>
      <c r="E76" s="270"/>
      <c r="F76" s="270"/>
      <c r="G76" s="270"/>
      <c r="H76" s="270"/>
      <c r="I76" s="270"/>
      <c r="J76" s="270"/>
      <c r="K76" s="270"/>
      <c r="L76" s="270"/>
      <c r="M76" s="852"/>
      <c r="N76" s="270"/>
      <c r="O76" s="270"/>
      <c r="P76" s="270"/>
      <c r="Q76" s="852"/>
      <c r="R76" s="270"/>
      <c r="S76" s="270"/>
      <c r="T76" s="270"/>
      <c r="U76" s="852"/>
      <c r="V76" s="270"/>
      <c r="W76" s="270"/>
      <c r="X76" s="270"/>
      <c r="Y76" s="852"/>
      <c r="Z76" s="270"/>
      <c r="AA76" s="270"/>
      <c r="AB76" s="270"/>
      <c r="AC76" s="852"/>
      <c r="AD76" s="270"/>
      <c r="AE76" s="270"/>
      <c r="AF76" s="270"/>
      <c r="AG76" s="853"/>
      <c r="AH76" s="853"/>
      <c r="AI76" s="854"/>
      <c r="AJ76" s="213"/>
      <c r="AK76" s="213"/>
    </row>
    <row r="77" spans="1:39" ht="9.9499999999999993" customHeight="1" x14ac:dyDescent="0.25">
      <c r="A77" s="1616">
        <v>18</v>
      </c>
      <c r="B77" s="1617">
        <v>3</v>
      </c>
      <c r="C77" s="1574" t="s">
        <v>5465</v>
      </c>
      <c r="D77" s="1574" t="s">
        <v>5459</v>
      </c>
      <c r="E77" s="1574" t="s">
        <v>978</v>
      </c>
      <c r="F77" s="849"/>
      <c r="G77" s="849"/>
      <c r="H77" s="849"/>
      <c r="I77" s="1586" t="s">
        <v>5355</v>
      </c>
      <c r="J77" s="849"/>
      <c r="K77" s="849"/>
      <c r="L77" s="849"/>
      <c r="M77" s="1639" t="s">
        <v>5469</v>
      </c>
      <c r="N77" s="849"/>
      <c r="O77" s="849"/>
      <c r="P77" s="849"/>
      <c r="Q77" s="1652"/>
      <c r="R77" s="849"/>
      <c r="S77" s="849"/>
      <c r="T77" s="849"/>
      <c r="U77" s="1629" t="s">
        <v>5383</v>
      </c>
      <c r="V77" s="849"/>
      <c r="W77" s="849"/>
      <c r="X77" s="849"/>
      <c r="Y77" s="1523" t="s">
        <v>5389</v>
      </c>
      <c r="Z77" s="849"/>
      <c r="AA77" s="849"/>
      <c r="AB77" s="849"/>
      <c r="AC77" s="1519" t="s">
        <v>5397</v>
      </c>
      <c r="AD77" s="849"/>
      <c r="AE77" s="849"/>
      <c r="AF77" s="849"/>
      <c r="AG77" s="1646" t="s">
        <v>5460</v>
      </c>
      <c r="AH77" s="1646" t="s">
        <v>5461</v>
      </c>
      <c r="AI77" s="1655" t="s">
        <v>5462</v>
      </c>
      <c r="AJ77" s="213"/>
      <c r="AK77" s="1519" t="s">
        <v>5391</v>
      </c>
    </row>
    <row r="78" spans="1:39" ht="9.9499999999999993" customHeight="1" x14ac:dyDescent="0.25">
      <c r="A78" s="1616"/>
      <c r="B78" s="1617"/>
      <c r="C78" s="1575"/>
      <c r="D78" s="1575"/>
      <c r="E78" s="1575"/>
      <c r="F78" s="850"/>
      <c r="G78" s="851"/>
      <c r="H78" s="850"/>
      <c r="I78" s="1587"/>
      <c r="J78" s="850"/>
      <c r="K78" s="851"/>
      <c r="L78" s="850"/>
      <c r="M78" s="1640"/>
      <c r="N78" s="850"/>
      <c r="O78" s="851"/>
      <c r="P78" s="850"/>
      <c r="Q78" s="1653"/>
      <c r="R78" s="850"/>
      <c r="S78" s="851"/>
      <c r="T78" s="850"/>
      <c r="U78" s="1630"/>
      <c r="V78" s="850"/>
      <c r="W78" s="851"/>
      <c r="X78" s="850"/>
      <c r="Y78" s="1636"/>
      <c r="Z78" s="850"/>
      <c r="AA78" s="851"/>
      <c r="AB78" s="850"/>
      <c r="AC78" s="1618"/>
      <c r="AD78" s="850"/>
      <c r="AE78" s="851"/>
      <c r="AF78" s="850"/>
      <c r="AG78" s="1647"/>
      <c r="AH78" s="1647"/>
      <c r="AI78" s="1656"/>
      <c r="AJ78" s="213"/>
      <c r="AK78" s="1618"/>
    </row>
    <row r="79" spans="1:39" ht="9.9499999999999993" customHeight="1" x14ac:dyDescent="0.25">
      <c r="A79" s="1616"/>
      <c r="B79" s="1617"/>
      <c r="C79" s="1576"/>
      <c r="D79" s="1576"/>
      <c r="E79" s="1576"/>
      <c r="F79" s="849"/>
      <c r="G79" s="849"/>
      <c r="H79" s="849"/>
      <c r="I79" s="1588"/>
      <c r="J79" s="849"/>
      <c r="K79" s="849"/>
      <c r="L79" s="849"/>
      <c r="M79" s="1641"/>
      <c r="N79" s="849"/>
      <c r="O79" s="849"/>
      <c r="P79" s="849"/>
      <c r="Q79" s="1654"/>
      <c r="R79" s="849"/>
      <c r="S79" s="849"/>
      <c r="T79" s="849"/>
      <c r="U79" s="1631"/>
      <c r="V79" s="849"/>
      <c r="W79" s="849"/>
      <c r="X79" s="849"/>
      <c r="Y79" s="1524"/>
      <c r="Z79" s="849"/>
      <c r="AA79" s="849"/>
      <c r="AB79" s="849"/>
      <c r="AC79" s="1520"/>
      <c r="AD79" s="849"/>
      <c r="AE79" s="849"/>
      <c r="AF79" s="849"/>
      <c r="AG79" s="1648"/>
      <c r="AH79" s="1648"/>
      <c r="AI79" s="1657"/>
      <c r="AJ79" s="213"/>
      <c r="AK79" s="1520"/>
    </row>
    <row r="80" spans="1:39" ht="9.9499999999999993" customHeight="1" x14ac:dyDescent="0.25">
      <c r="A80" s="270"/>
      <c r="B80" s="270"/>
      <c r="C80" s="270"/>
      <c r="D80" s="270"/>
      <c r="E80" s="270"/>
      <c r="F80" s="270"/>
      <c r="G80" s="270"/>
      <c r="H80" s="270"/>
      <c r="I80" s="270"/>
      <c r="J80" s="270"/>
      <c r="K80" s="270"/>
      <c r="L80" s="270"/>
      <c r="M80" s="852"/>
      <c r="N80" s="270"/>
      <c r="O80" s="270"/>
      <c r="P80" s="270"/>
      <c r="Q80" s="852"/>
      <c r="R80" s="270"/>
      <c r="S80" s="270"/>
      <c r="T80" s="270"/>
      <c r="U80" s="852"/>
      <c r="V80" s="270"/>
      <c r="W80" s="270"/>
      <c r="X80" s="270"/>
      <c r="Y80" s="852"/>
      <c r="Z80" s="270"/>
      <c r="AA80" s="270"/>
      <c r="AB80" s="270"/>
      <c r="AC80" s="852"/>
      <c r="AD80" s="270"/>
      <c r="AE80" s="270"/>
      <c r="AF80" s="270"/>
      <c r="AG80" s="853"/>
      <c r="AH80" s="853"/>
      <c r="AI80" s="854"/>
      <c r="AJ80" s="213"/>
      <c r="AK80" s="213"/>
    </row>
    <row r="81" spans="1:37" ht="9.9499999999999993" customHeight="1" x14ac:dyDescent="0.25">
      <c r="A81" s="1616">
        <v>19</v>
      </c>
      <c r="B81" s="1617">
        <v>3</v>
      </c>
      <c r="C81" s="1574" t="s">
        <v>5466</v>
      </c>
      <c r="D81" s="1574" t="s">
        <v>5459</v>
      </c>
      <c r="E81" s="1574" t="s">
        <v>978</v>
      </c>
      <c r="F81" s="849"/>
      <c r="G81" s="849"/>
      <c r="H81" s="849"/>
      <c r="I81" s="1598" t="s">
        <v>5470</v>
      </c>
      <c r="J81" s="849"/>
      <c r="K81" s="849"/>
      <c r="L81" s="849"/>
      <c r="M81" s="1639" t="s">
        <v>5471</v>
      </c>
      <c r="N81" s="849"/>
      <c r="O81" s="849"/>
      <c r="P81" s="849"/>
      <c r="Q81" s="1620" t="s">
        <v>5374</v>
      </c>
      <c r="R81" s="849"/>
      <c r="S81" s="849"/>
      <c r="T81" s="849"/>
      <c r="U81" s="1629" t="s">
        <v>5383</v>
      </c>
      <c r="V81" s="849"/>
      <c r="W81" s="849"/>
      <c r="X81" s="849"/>
      <c r="Y81" s="1523" t="s">
        <v>5389</v>
      </c>
      <c r="Z81" s="849"/>
      <c r="AA81" s="849"/>
      <c r="AB81" s="849"/>
      <c r="AC81" s="1632" t="s">
        <v>5472</v>
      </c>
      <c r="AD81" s="849"/>
      <c r="AE81" s="849"/>
      <c r="AF81" s="849"/>
      <c r="AG81" s="1646" t="s">
        <v>5460</v>
      </c>
      <c r="AH81" s="1646" t="s">
        <v>5461</v>
      </c>
      <c r="AI81" s="1655" t="s">
        <v>5462</v>
      </c>
      <c r="AJ81" s="213"/>
      <c r="AK81" s="1519" t="s">
        <v>5397</v>
      </c>
    </row>
    <row r="82" spans="1:37" ht="9.9499999999999993" customHeight="1" x14ac:dyDescent="0.25">
      <c r="A82" s="1616"/>
      <c r="B82" s="1617"/>
      <c r="C82" s="1575"/>
      <c r="D82" s="1575"/>
      <c r="E82" s="1575"/>
      <c r="F82" s="850"/>
      <c r="G82" s="851"/>
      <c r="H82" s="850"/>
      <c r="I82" s="1599"/>
      <c r="J82" s="850"/>
      <c r="K82" s="851"/>
      <c r="L82" s="850"/>
      <c r="M82" s="1640"/>
      <c r="N82" s="850"/>
      <c r="O82" s="851"/>
      <c r="P82" s="850"/>
      <c r="Q82" s="1621"/>
      <c r="R82" s="850"/>
      <c r="S82" s="851"/>
      <c r="T82" s="850"/>
      <c r="U82" s="1630"/>
      <c r="V82" s="850"/>
      <c r="W82" s="851"/>
      <c r="X82" s="850"/>
      <c r="Y82" s="1636"/>
      <c r="Z82" s="850"/>
      <c r="AA82" s="851"/>
      <c r="AB82" s="850"/>
      <c r="AC82" s="1633"/>
      <c r="AD82" s="850"/>
      <c r="AE82" s="851"/>
      <c r="AF82" s="850"/>
      <c r="AG82" s="1647"/>
      <c r="AH82" s="1647"/>
      <c r="AI82" s="1656"/>
      <c r="AJ82" s="213"/>
      <c r="AK82" s="1618"/>
    </row>
    <row r="83" spans="1:37" ht="9.9499999999999993" customHeight="1" x14ac:dyDescent="0.25">
      <c r="A83" s="1616"/>
      <c r="B83" s="1617"/>
      <c r="C83" s="1576"/>
      <c r="D83" s="1576"/>
      <c r="E83" s="1576"/>
      <c r="F83" s="849"/>
      <c r="G83" s="849"/>
      <c r="H83" s="849"/>
      <c r="I83" s="1600"/>
      <c r="J83" s="849"/>
      <c r="K83" s="849"/>
      <c r="L83" s="849"/>
      <c r="M83" s="1641"/>
      <c r="N83" s="849"/>
      <c r="O83" s="849"/>
      <c r="P83" s="849"/>
      <c r="Q83" s="1622"/>
      <c r="R83" s="849"/>
      <c r="S83" s="849"/>
      <c r="T83" s="849"/>
      <c r="U83" s="1631"/>
      <c r="V83" s="849"/>
      <c r="W83" s="849"/>
      <c r="X83" s="849"/>
      <c r="Y83" s="1524"/>
      <c r="Z83" s="849"/>
      <c r="AA83" s="849"/>
      <c r="AB83" s="849"/>
      <c r="AC83" s="1634"/>
      <c r="AD83" s="849"/>
      <c r="AE83" s="849"/>
      <c r="AF83" s="849"/>
      <c r="AG83" s="1648"/>
      <c r="AH83" s="1648"/>
      <c r="AI83" s="1657"/>
      <c r="AJ83" s="213"/>
      <c r="AK83" s="1520"/>
    </row>
    <row r="84" spans="1:37" ht="9.9499999999999993" customHeight="1" x14ac:dyDescent="0.25">
      <c r="A84" s="270"/>
      <c r="B84" s="270"/>
      <c r="C84" s="270"/>
      <c r="D84" s="270"/>
      <c r="E84" s="270"/>
      <c r="F84" s="270"/>
      <c r="G84" s="270"/>
      <c r="H84" s="270"/>
      <c r="I84" s="270"/>
      <c r="J84" s="270"/>
      <c r="K84" s="270"/>
      <c r="L84" s="270"/>
      <c r="M84" s="852"/>
      <c r="N84" s="270"/>
      <c r="O84" s="270"/>
      <c r="P84" s="270"/>
      <c r="Q84" s="852"/>
      <c r="R84" s="270"/>
      <c r="S84" s="270"/>
      <c r="T84" s="270"/>
      <c r="U84" s="852"/>
      <c r="V84" s="270"/>
      <c r="W84" s="270"/>
      <c r="X84" s="270"/>
      <c r="Y84" s="852"/>
      <c r="Z84" s="270"/>
      <c r="AA84" s="270"/>
      <c r="AB84" s="270"/>
      <c r="AC84" s="852"/>
      <c r="AD84" s="270"/>
      <c r="AE84" s="270"/>
      <c r="AF84" s="270"/>
      <c r="AG84" s="853"/>
      <c r="AH84" s="853"/>
      <c r="AI84" s="854"/>
      <c r="AJ84" s="213"/>
      <c r="AK84" s="213"/>
    </row>
    <row r="85" spans="1:37" ht="9.9499999999999993" customHeight="1" x14ac:dyDescent="0.25">
      <c r="A85" s="1616">
        <v>20</v>
      </c>
      <c r="B85" s="1617">
        <v>3</v>
      </c>
      <c r="C85" s="1574" t="s">
        <v>5467</v>
      </c>
      <c r="D85" s="1574" t="s">
        <v>5459</v>
      </c>
      <c r="E85" s="1574" t="s">
        <v>978</v>
      </c>
      <c r="F85" s="849"/>
      <c r="G85" s="849"/>
      <c r="H85" s="849"/>
      <c r="I85" s="1598" t="s">
        <v>5470</v>
      </c>
      <c r="J85" s="849"/>
      <c r="K85" s="849"/>
      <c r="L85" s="849"/>
      <c r="M85" s="1639" t="s">
        <v>5471</v>
      </c>
      <c r="N85" s="849"/>
      <c r="O85" s="849"/>
      <c r="P85" s="849"/>
      <c r="Q85" s="1620" t="s">
        <v>5374</v>
      </c>
      <c r="R85" s="849"/>
      <c r="S85" s="849"/>
      <c r="T85" s="849"/>
      <c r="U85" s="1629" t="s">
        <v>5383</v>
      </c>
      <c r="V85" s="849"/>
      <c r="W85" s="849"/>
      <c r="X85" s="849"/>
      <c r="Y85" s="1523" t="s">
        <v>5389</v>
      </c>
      <c r="Z85" s="849"/>
      <c r="AA85" s="849"/>
      <c r="AB85" s="849"/>
      <c r="AC85" s="1632" t="s">
        <v>5472</v>
      </c>
      <c r="AD85" s="849"/>
      <c r="AE85" s="849"/>
      <c r="AF85" s="849"/>
      <c r="AG85" s="1646" t="s">
        <v>5460</v>
      </c>
      <c r="AH85" s="1646" t="s">
        <v>5461</v>
      </c>
      <c r="AI85" s="1655" t="s">
        <v>5462</v>
      </c>
      <c r="AJ85" s="213"/>
      <c r="AK85" s="1517" t="s">
        <v>5371</v>
      </c>
    </row>
    <row r="86" spans="1:37" ht="9.9499999999999993" customHeight="1" x14ac:dyDescent="0.25">
      <c r="A86" s="1616"/>
      <c r="B86" s="1617"/>
      <c r="C86" s="1575"/>
      <c r="D86" s="1575"/>
      <c r="E86" s="1575"/>
      <c r="F86" s="850"/>
      <c r="G86" s="851"/>
      <c r="H86" s="850"/>
      <c r="I86" s="1599"/>
      <c r="J86" s="850"/>
      <c r="K86" s="851"/>
      <c r="L86" s="850"/>
      <c r="M86" s="1640"/>
      <c r="N86" s="850"/>
      <c r="O86" s="851"/>
      <c r="P86" s="850"/>
      <c r="Q86" s="1621"/>
      <c r="R86" s="850"/>
      <c r="S86" s="851"/>
      <c r="T86" s="850"/>
      <c r="U86" s="1630"/>
      <c r="V86" s="850"/>
      <c r="W86" s="851"/>
      <c r="X86" s="850"/>
      <c r="Y86" s="1636"/>
      <c r="Z86" s="850"/>
      <c r="AA86" s="851"/>
      <c r="AB86" s="850"/>
      <c r="AC86" s="1633"/>
      <c r="AD86" s="850"/>
      <c r="AE86" s="851"/>
      <c r="AF86" s="850"/>
      <c r="AG86" s="1647"/>
      <c r="AH86" s="1647"/>
      <c r="AI86" s="1656"/>
      <c r="AJ86" s="213"/>
      <c r="AK86" s="1619"/>
    </row>
    <row r="87" spans="1:37" ht="9.9499999999999993" customHeight="1" x14ac:dyDescent="0.25">
      <c r="A87" s="1616"/>
      <c r="B87" s="1617"/>
      <c r="C87" s="1576"/>
      <c r="D87" s="1576"/>
      <c r="E87" s="1576"/>
      <c r="F87" s="849"/>
      <c r="G87" s="849"/>
      <c r="H87" s="849"/>
      <c r="I87" s="1600"/>
      <c r="J87" s="849"/>
      <c r="K87" s="849"/>
      <c r="L87" s="849"/>
      <c r="M87" s="1641"/>
      <c r="N87" s="849"/>
      <c r="O87" s="849"/>
      <c r="P87" s="849"/>
      <c r="Q87" s="1622"/>
      <c r="R87" s="849"/>
      <c r="S87" s="849"/>
      <c r="T87" s="849"/>
      <c r="U87" s="1631"/>
      <c r="V87" s="849"/>
      <c r="W87" s="849"/>
      <c r="X87" s="849"/>
      <c r="Y87" s="1524"/>
      <c r="Z87" s="849"/>
      <c r="AA87" s="849"/>
      <c r="AB87" s="849"/>
      <c r="AC87" s="1634"/>
      <c r="AD87" s="849"/>
      <c r="AE87" s="849"/>
      <c r="AF87" s="849"/>
      <c r="AG87" s="1648"/>
      <c r="AH87" s="1648"/>
      <c r="AI87" s="1657"/>
      <c r="AJ87" s="213"/>
      <c r="AK87" s="1518"/>
    </row>
    <row r="88" spans="1:37" ht="9.9499999999999993" customHeight="1" x14ac:dyDescent="0.25">
      <c r="A88" s="270"/>
      <c r="B88" s="270"/>
      <c r="C88" s="270"/>
      <c r="D88" s="270"/>
      <c r="E88" s="270"/>
      <c r="F88" s="270"/>
      <c r="G88" s="270"/>
      <c r="H88" s="270"/>
      <c r="I88" s="270"/>
      <c r="J88" s="270"/>
      <c r="K88" s="270"/>
      <c r="L88" s="270"/>
      <c r="M88" s="852"/>
      <c r="N88" s="270"/>
      <c r="O88" s="270"/>
      <c r="P88" s="270"/>
      <c r="Q88" s="852"/>
      <c r="R88" s="270"/>
      <c r="S88" s="270"/>
      <c r="T88" s="270"/>
      <c r="U88" s="852"/>
      <c r="V88" s="270"/>
      <c r="W88" s="270"/>
      <c r="X88" s="270"/>
      <c r="Y88" s="852"/>
      <c r="Z88" s="270"/>
      <c r="AA88" s="270"/>
      <c r="AB88" s="270"/>
      <c r="AC88" s="852"/>
      <c r="AD88" s="270"/>
      <c r="AE88" s="270"/>
      <c r="AF88" s="270"/>
      <c r="AG88" s="853"/>
      <c r="AH88" s="853"/>
      <c r="AI88" s="854"/>
      <c r="AJ88" s="213"/>
      <c r="AK88" s="213"/>
    </row>
    <row r="89" spans="1:37" ht="9.9499999999999993" customHeight="1" x14ac:dyDescent="0.25">
      <c r="A89" s="1616">
        <v>21</v>
      </c>
      <c r="B89" s="1617">
        <v>3</v>
      </c>
      <c r="C89" s="1574" t="s">
        <v>5468</v>
      </c>
      <c r="D89" s="1574" t="s">
        <v>5459</v>
      </c>
      <c r="E89" s="1574" t="s">
        <v>978</v>
      </c>
      <c r="F89" s="849"/>
      <c r="G89" s="849"/>
      <c r="H89" s="849"/>
      <c r="I89" s="1598" t="s">
        <v>5470</v>
      </c>
      <c r="J89" s="849"/>
      <c r="K89" s="849"/>
      <c r="L89" s="849"/>
      <c r="M89" s="1639" t="s">
        <v>5471</v>
      </c>
      <c r="N89" s="849"/>
      <c r="O89" s="849"/>
      <c r="P89" s="849"/>
      <c r="Q89" s="1620" t="s">
        <v>5374</v>
      </c>
      <c r="R89" s="849"/>
      <c r="S89" s="849"/>
      <c r="T89" s="849"/>
      <c r="U89" s="1629" t="s">
        <v>5383</v>
      </c>
      <c r="V89" s="849"/>
      <c r="W89" s="849"/>
      <c r="X89" s="849"/>
      <c r="Y89" s="1523" t="s">
        <v>5389</v>
      </c>
      <c r="Z89" s="849"/>
      <c r="AA89" s="849"/>
      <c r="AB89" s="849"/>
      <c r="AC89" s="1632" t="s">
        <v>5472</v>
      </c>
      <c r="AD89" s="849"/>
      <c r="AE89" s="849"/>
      <c r="AF89" s="849"/>
      <c r="AG89" s="1646" t="s">
        <v>5460</v>
      </c>
      <c r="AH89" s="1646" t="s">
        <v>5461</v>
      </c>
      <c r="AI89" s="1655" t="s">
        <v>5462</v>
      </c>
      <c r="AJ89" s="213"/>
      <c r="AK89" s="1620" t="s">
        <v>5374</v>
      </c>
    </row>
    <row r="90" spans="1:37" ht="9.9499999999999993" customHeight="1" x14ac:dyDescent="0.25">
      <c r="A90" s="1616"/>
      <c r="B90" s="1617"/>
      <c r="C90" s="1575"/>
      <c r="D90" s="1575"/>
      <c r="E90" s="1575"/>
      <c r="F90" s="850"/>
      <c r="G90" s="851"/>
      <c r="H90" s="850"/>
      <c r="I90" s="1599"/>
      <c r="J90" s="850"/>
      <c r="K90" s="851"/>
      <c r="L90" s="850"/>
      <c r="M90" s="1640"/>
      <c r="N90" s="850"/>
      <c r="O90" s="851"/>
      <c r="P90" s="850"/>
      <c r="Q90" s="1621"/>
      <c r="R90" s="850"/>
      <c r="S90" s="851"/>
      <c r="T90" s="850"/>
      <c r="U90" s="1630"/>
      <c r="V90" s="850"/>
      <c r="W90" s="851"/>
      <c r="X90" s="850"/>
      <c r="Y90" s="1636"/>
      <c r="Z90" s="850"/>
      <c r="AA90" s="851"/>
      <c r="AB90" s="850"/>
      <c r="AC90" s="1633"/>
      <c r="AD90" s="850"/>
      <c r="AE90" s="851"/>
      <c r="AF90" s="850"/>
      <c r="AG90" s="1647"/>
      <c r="AH90" s="1647"/>
      <c r="AI90" s="1656"/>
      <c r="AJ90" s="213"/>
      <c r="AK90" s="1621"/>
    </row>
    <row r="91" spans="1:37" ht="9.9499999999999993" customHeight="1" x14ac:dyDescent="0.25">
      <c r="A91" s="1616"/>
      <c r="B91" s="1617"/>
      <c r="C91" s="1576"/>
      <c r="D91" s="1576"/>
      <c r="E91" s="1576"/>
      <c r="F91" s="849"/>
      <c r="G91" s="849"/>
      <c r="H91" s="849"/>
      <c r="I91" s="1600"/>
      <c r="J91" s="849"/>
      <c r="K91" s="849"/>
      <c r="L91" s="849"/>
      <c r="M91" s="1641"/>
      <c r="N91" s="849"/>
      <c r="O91" s="849"/>
      <c r="P91" s="849"/>
      <c r="Q91" s="1622"/>
      <c r="R91" s="849"/>
      <c r="S91" s="849"/>
      <c r="T91" s="849"/>
      <c r="U91" s="1631"/>
      <c r="V91" s="849"/>
      <c r="W91" s="849"/>
      <c r="X91" s="849"/>
      <c r="Y91" s="1524"/>
      <c r="Z91" s="849"/>
      <c r="AA91" s="849"/>
      <c r="AB91" s="849"/>
      <c r="AC91" s="1634"/>
      <c r="AD91" s="849"/>
      <c r="AE91" s="849"/>
      <c r="AF91" s="849"/>
      <c r="AG91" s="1648"/>
      <c r="AH91" s="1648"/>
      <c r="AI91" s="1657"/>
      <c r="AJ91" s="213"/>
      <c r="AK91" s="1622"/>
    </row>
    <row r="92" spans="1:37" ht="9.9499999999999993" customHeight="1" x14ac:dyDescent="0.25">
      <c r="A92" s="270"/>
      <c r="B92" s="270"/>
      <c r="C92" s="270"/>
      <c r="D92" s="270"/>
      <c r="E92" s="270"/>
      <c r="F92" s="270"/>
      <c r="G92" s="270"/>
      <c r="H92" s="270"/>
      <c r="I92" s="270"/>
      <c r="J92" s="270"/>
      <c r="K92" s="270"/>
      <c r="L92" s="270"/>
      <c r="M92" s="852"/>
      <c r="N92" s="270"/>
      <c r="O92" s="270"/>
      <c r="P92" s="270"/>
      <c r="Q92" s="852"/>
      <c r="R92" s="270"/>
      <c r="S92" s="270"/>
      <c r="T92" s="270"/>
      <c r="U92" s="852"/>
      <c r="V92" s="270"/>
      <c r="W92" s="270"/>
      <c r="X92" s="270"/>
      <c r="Y92" s="852"/>
      <c r="Z92" s="270"/>
      <c r="AA92" s="270"/>
      <c r="AB92" s="270"/>
      <c r="AC92" s="852"/>
      <c r="AD92" s="270"/>
      <c r="AE92" s="270"/>
      <c r="AF92" s="270"/>
      <c r="AG92" s="853"/>
      <c r="AH92" s="853"/>
      <c r="AI92" s="854"/>
      <c r="AJ92" s="213"/>
      <c r="AK92" s="213"/>
    </row>
    <row r="93" spans="1:37" ht="9.9499999999999993" customHeight="1" x14ac:dyDescent="0.25">
      <c r="A93" s="1616">
        <v>22</v>
      </c>
      <c r="B93" s="1617">
        <v>4</v>
      </c>
      <c r="C93" s="1574" t="s">
        <v>5458</v>
      </c>
      <c r="D93" s="1574" t="s">
        <v>5459</v>
      </c>
      <c r="E93" s="1574" t="s">
        <v>978</v>
      </c>
      <c r="F93" s="849"/>
      <c r="G93" s="849"/>
      <c r="H93" s="849"/>
      <c r="I93" s="1598" t="s">
        <v>5470</v>
      </c>
      <c r="J93" s="849"/>
      <c r="K93" s="849"/>
      <c r="L93" s="849"/>
      <c r="M93" s="1639" t="s">
        <v>5471</v>
      </c>
      <c r="N93" s="849"/>
      <c r="O93" s="849"/>
      <c r="P93" s="849"/>
      <c r="Q93" s="1623" t="s">
        <v>5377</v>
      </c>
      <c r="R93" s="849"/>
      <c r="S93" s="849"/>
      <c r="T93" s="849"/>
      <c r="U93" s="1629" t="s">
        <v>5383</v>
      </c>
      <c r="V93" s="849"/>
      <c r="W93" s="849"/>
      <c r="X93" s="849"/>
      <c r="Y93" s="1523" t="s">
        <v>5389</v>
      </c>
      <c r="Z93" s="849"/>
      <c r="AA93" s="849"/>
      <c r="AB93" s="849"/>
      <c r="AC93" s="1632" t="s">
        <v>5472</v>
      </c>
      <c r="AD93" s="849"/>
      <c r="AE93" s="849"/>
      <c r="AF93" s="849"/>
      <c r="AG93" s="1646" t="s">
        <v>5460</v>
      </c>
      <c r="AH93" s="1646" t="s">
        <v>5461</v>
      </c>
      <c r="AI93" s="1655" t="s">
        <v>5462</v>
      </c>
      <c r="AJ93" s="213"/>
      <c r="AK93" s="1623" t="s">
        <v>5377</v>
      </c>
    </row>
    <row r="94" spans="1:37" ht="9.9499999999999993" customHeight="1" x14ac:dyDescent="0.25">
      <c r="A94" s="1616"/>
      <c r="B94" s="1617"/>
      <c r="C94" s="1575"/>
      <c r="D94" s="1575"/>
      <c r="E94" s="1575"/>
      <c r="F94" s="850"/>
      <c r="G94" s="851"/>
      <c r="H94" s="850"/>
      <c r="I94" s="1599"/>
      <c r="J94" s="850"/>
      <c r="K94" s="851"/>
      <c r="L94" s="850"/>
      <c r="M94" s="1640"/>
      <c r="N94" s="850"/>
      <c r="O94" s="851"/>
      <c r="P94" s="850"/>
      <c r="Q94" s="1624"/>
      <c r="R94" s="850"/>
      <c r="S94" s="851"/>
      <c r="T94" s="850"/>
      <c r="U94" s="1630"/>
      <c r="V94" s="850"/>
      <c r="W94" s="851"/>
      <c r="X94" s="850"/>
      <c r="Y94" s="1636"/>
      <c r="Z94" s="850"/>
      <c r="AA94" s="851"/>
      <c r="AB94" s="850"/>
      <c r="AC94" s="1633"/>
      <c r="AD94" s="850"/>
      <c r="AE94" s="851"/>
      <c r="AF94" s="850"/>
      <c r="AG94" s="1647"/>
      <c r="AH94" s="1647"/>
      <c r="AI94" s="1656"/>
      <c r="AJ94" s="213"/>
      <c r="AK94" s="1624"/>
    </row>
    <row r="95" spans="1:37" ht="9.9499999999999993" customHeight="1" x14ac:dyDescent="0.25">
      <c r="A95" s="1616"/>
      <c r="B95" s="1617"/>
      <c r="C95" s="1576"/>
      <c r="D95" s="1576"/>
      <c r="E95" s="1576"/>
      <c r="F95" s="849"/>
      <c r="G95" s="849"/>
      <c r="H95" s="849"/>
      <c r="I95" s="1600"/>
      <c r="J95" s="849"/>
      <c r="K95" s="849"/>
      <c r="L95" s="849"/>
      <c r="M95" s="1641"/>
      <c r="N95" s="849"/>
      <c r="O95" s="849"/>
      <c r="P95" s="849"/>
      <c r="Q95" s="1625"/>
      <c r="R95" s="849"/>
      <c r="S95" s="849"/>
      <c r="T95" s="849"/>
      <c r="U95" s="1631"/>
      <c r="V95" s="849"/>
      <c r="W95" s="849"/>
      <c r="X95" s="849"/>
      <c r="Y95" s="1524"/>
      <c r="Z95" s="849"/>
      <c r="AA95" s="849"/>
      <c r="AB95" s="849"/>
      <c r="AC95" s="1634"/>
      <c r="AD95" s="849"/>
      <c r="AE95" s="849"/>
      <c r="AF95" s="849"/>
      <c r="AG95" s="1648"/>
      <c r="AH95" s="1648"/>
      <c r="AI95" s="1657"/>
      <c r="AJ95" s="213"/>
      <c r="AK95" s="1625"/>
    </row>
    <row r="96" spans="1:37" ht="9.9499999999999993" customHeight="1" x14ac:dyDescent="0.25">
      <c r="A96" s="270"/>
      <c r="B96" s="270"/>
      <c r="C96" s="270"/>
      <c r="D96" s="270"/>
      <c r="E96" s="270"/>
      <c r="F96" s="270"/>
      <c r="G96" s="270"/>
      <c r="H96" s="270"/>
      <c r="I96" s="270"/>
      <c r="J96" s="270"/>
      <c r="K96" s="270"/>
      <c r="L96" s="270"/>
      <c r="M96" s="852"/>
      <c r="N96" s="270"/>
      <c r="O96" s="270"/>
      <c r="P96" s="270"/>
      <c r="Q96" s="852"/>
      <c r="R96" s="270"/>
      <c r="S96" s="270"/>
      <c r="T96" s="270"/>
      <c r="U96" s="852"/>
      <c r="V96" s="270"/>
      <c r="W96" s="270"/>
      <c r="X96" s="270"/>
      <c r="Y96" s="852"/>
      <c r="Z96" s="270"/>
      <c r="AA96" s="270"/>
      <c r="AB96" s="270"/>
      <c r="AC96" s="852"/>
      <c r="AD96" s="270"/>
      <c r="AE96" s="270"/>
      <c r="AF96" s="270"/>
      <c r="AG96" s="853"/>
      <c r="AH96" s="853"/>
      <c r="AI96" s="854"/>
      <c r="AJ96" s="213"/>
      <c r="AK96" s="213"/>
    </row>
    <row r="97" spans="1:37" ht="9.9499999999999993" customHeight="1" x14ac:dyDescent="0.25">
      <c r="A97" s="1616">
        <v>23</v>
      </c>
      <c r="B97" s="1617">
        <v>4</v>
      </c>
      <c r="C97" s="1574" t="s">
        <v>5463</v>
      </c>
      <c r="D97" s="1574" t="s">
        <v>5459</v>
      </c>
      <c r="E97" s="1574" t="s">
        <v>978</v>
      </c>
      <c r="F97" s="849"/>
      <c r="G97" s="849"/>
      <c r="H97" s="849"/>
      <c r="I97" s="1598" t="s">
        <v>5470</v>
      </c>
      <c r="J97" s="849"/>
      <c r="K97" s="849"/>
      <c r="L97" s="849"/>
      <c r="M97" s="1642" t="s">
        <v>5473</v>
      </c>
      <c r="N97" s="849"/>
      <c r="O97" s="849"/>
      <c r="P97" s="849"/>
      <c r="Q97" s="1623" t="s">
        <v>5377</v>
      </c>
      <c r="R97" s="849"/>
      <c r="S97" s="849"/>
      <c r="T97" s="849"/>
      <c r="U97" s="1629" t="s">
        <v>5383</v>
      </c>
      <c r="V97" s="849"/>
      <c r="W97" s="849"/>
      <c r="X97" s="849"/>
      <c r="Y97" s="1523" t="s">
        <v>5389</v>
      </c>
      <c r="Z97" s="849"/>
      <c r="AA97" s="849"/>
      <c r="AB97" s="849"/>
      <c r="AC97" s="1511" t="s">
        <v>5474</v>
      </c>
      <c r="AD97" s="849"/>
      <c r="AE97" s="849"/>
      <c r="AF97" s="849"/>
      <c r="AG97" s="1646" t="s">
        <v>5460</v>
      </c>
      <c r="AH97" s="1646" t="s">
        <v>5461</v>
      </c>
      <c r="AI97" s="1655" t="s">
        <v>5462</v>
      </c>
      <c r="AJ97" s="213"/>
      <c r="AK97" s="213"/>
    </row>
    <row r="98" spans="1:37" ht="9.9499999999999993" customHeight="1" x14ac:dyDescent="0.25">
      <c r="A98" s="1616"/>
      <c r="B98" s="1617"/>
      <c r="C98" s="1575"/>
      <c r="D98" s="1575"/>
      <c r="E98" s="1575"/>
      <c r="F98" s="850"/>
      <c r="G98" s="851"/>
      <c r="H98" s="850"/>
      <c r="I98" s="1599"/>
      <c r="J98" s="850"/>
      <c r="K98" s="851"/>
      <c r="L98" s="850"/>
      <c r="M98" s="1643"/>
      <c r="N98" s="850"/>
      <c r="O98" s="851"/>
      <c r="P98" s="850"/>
      <c r="Q98" s="1624"/>
      <c r="R98" s="850"/>
      <c r="S98" s="851"/>
      <c r="T98" s="850"/>
      <c r="U98" s="1630"/>
      <c r="V98" s="850"/>
      <c r="W98" s="851"/>
      <c r="X98" s="850"/>
      <c r="Y98" s="1636"/>
      <c r="Z98" s="850"/>
      <c r="AA98" s="851"/>
      <c r="AB98" s="850"/>
      <c r="AC98" s="1645"/>
      <c r="AD98" s="850"/>
      <c r="AE98" s="851"/>
      <c r="AF98" s="850"/>
      <c r="AG98" s="1647"/>
      <c r="AH98" s="1647"/>
      <c r="AI98" s="1656"/>
      <c r="AJ98" s="213"/>
      <c r="AK98" s="213"/>
    </row>
    <row r="99" spans="1:37" ht="9.9499999999999993" customHeight="1" x14ac:dyDescent="0.25">
      <c r="A99" s="1616"/>
      <c r="B99" s="1617"/>
      <c r="C99" s="1576"/>
      <c r="D99" s="1576"/>
      <c r="E99" s="1576"/>
      <c r="F99" s="849"/>
      <c r="G99" s="849"/>
      <c r="H99" s="849"/>
      <c r="I99" s="1600"/>
      <c r="J99" s="849"/>
      <c r="K99" s="849"/>
      <c r="L99" s="849"/>
      <c r="M99" s="1644"/>
      <c r="N99" s="849"/>
      <c r="O99" s="849"/>
      <c r="P99" s="849"/>
      <c r="Q99" s="1625"/>
      <c r="R99" s="849"/>
      <c r="S99" s="849"/>
      <c r="T99" s="849"/>
      <c r="U99" s="1631"/>
      <c r="V99" s="849"/>
      <c r="W99" s="849"/>
      <c r="X99" s="849"/>
      <c r="Y99" s="1524"/>
      <c r="Z99" s="849"/>
      <c r="AA99" s="849"/>
      <c r="AB99" s="849"/>
      <c r="AC99" s="1512"/>
      <c r="AD99" s="849"/>
      <c r="AE99" s="849"/>
      <c r="AF99" s="849"/>
      <c r="AG99" s="1648"/>
      <c r="AH99" s="1648"/>
      <c r="AI99" s="1657"/>
      <c r="AJ99" s="213"/>
      <c r="AK99" s="213"/>
    </row>
    <row r="100" spans="1:37" ht="9.9499999999999993" customHeight="1" x14ac:dyDescent="0.25">
      <c r="A100" s="270"/>
      <c r="B100" s="270"/>
      <c r="C100" s="270"/>
      <c r="D100" s="270"/>
      <c r="E100" s="270"/>
      <c r="F100" s="270"/>
      <c r="G100" s="270"/>
      <c r="H100" s="270"/>
      <c r="I100" s="270"/>
      <c r="J100" s="270"/>
      <c r="K100" s="270"/>
      <c r="L100" s="270"/>
      <c r="M100" s="852"/>
      <c r="N100" s="270"/>
      <c r="O100" s="270"/>
      <c r="P100" s="270"/>
      <c r="Q100" s="852"/>
      <c r="R100" s="270"/>
      <c r="S100" s="270"/>
      <c r="T100" s="270"/>
      <c r="U100" s="852"/>
      <c r="V100" s="270"/>
      <c r="W100" s="270"/>
      <c r="X100" s="270"/>
      <c r="Y100" s="852"/>
      <c r="Z100" s="270"/>
      <c r="AA100" s="270"/>
      <c r="AB100" s="270"/>
      <c r="AC100" s="852"/>
      <c r="AD100" s="270"/>
      <c r="AE100" s="270"/>
      <c r="AF100" s="270"/>
      <c r="AG100" s="853"/>
      <c r="AH100" s="853"/>
      <c r="AI100" s="854"/>
      <c r="AJ100" s="213"/>
      <c r="AK100" s="213"/>
    </row>
    <row r="101" spans="1:37" ht="9.9499999999999993" customHeight="1" x14ac:dyDescent="0.25">
      <c r="A101" s="1616">
        <v>24</v>
      </c>
      <c r="B101" s="1617">
        <v>4</v>
      </c>
      <c r="C101" s="1574" t="s">
        <v>5464</v>
      </c>
      <c r="D101" s="1574" t="s">
        <v>5459</v>
      </c>
      <c r="E101" s="1574" t="s">
        <v>978</v>
      </c>
      <c r="F101" s="849"/>
      <c r="G101" s="849"/>
      <c r="H101" s="849"/>
      <c r="I101" s="1598" t="s">
        <v>5470</v>
      </c>
      <c r="J101" s="849"/>
      <c r="K101" s="849"/>
      <c r="L101" s="849"/>
      <c r="M101" s="1642" t="s">
        <v>5473</v>
      </c>
      <c r="N101" s="849"/>
      <c r="O101" s="849"/>
      <c r="P101" s="849"/>
      <c r="Q101" s="1652"/>
      <c r="R101" s="849"/>
      <c r="S101" s="849"/>
      <c r="T101" s="849"/>
      <c r="U101" s="1629" t="s">
        <v>5383</v>
      </c>
      <c r="V101" s="849"/>
      <c r="W101" s="849"/>
      <c r="X101" s="849"/>
      <c r="Y101" s="1523" t="s">
        <v>5389</v>
      </c>
      <c r="Z101" s="849"/>
      <c r="AA101" s="849"/>
      <c r="AB101" s="849"/>
      <c r="AC101" s="1511" t="s">
        <v>5474</v>
      </c>
      <c r="AD101" s="849"/>
      <c r="AE101" s="849"/>
      <c r="AF101" s="849"/>
      <c r="AG101" s="1646" t="s">
        <v>5460</v>
      </c>
      <c r="AH101" s="1646" t="s">
        <v>5461</v>
      </c>
      <c r="AI101" s="1655" t="s">
        <v>5462</v>
      </c>
      <c r="AJ101" s="213"/>
      <c r="AK101" s="213"/>
    </row>
    <row r="102" spans="1:37" ht="9.9499999999999993" customHeight="1" x14ac:dyDescent="0.25">
      <c r="A102" s="1616"/>
      <c r="B102" s="1617"/>
      <c r="C102" s="1575"/>
      <c r="D102" s="1575"/>
      <c r="E102" s="1575"/>
      <c r="F102" s="850"/>
      <c r="G102" s="851"/>
      <c r="H102" s="850"/>
      <c r="I102" s="1599"/>
      <c r="J102" s="850"/>
      <c r="K102" s="851"/>
      <c r="L102" s="850"/>
      <c r="M102" s="1643"/>
      <c r="N102" s="850"/>
      <c r="O102" s="851"/>
      <c r="P102" s="850"/>
      <c r="Q102" s="1653"/>
      <c r="R102" s="850"/>
      <c r="S102" s="851"/>
      <c r="T102" s="850"/>
      <c r="U102" s="1630"/>
      <c r="V102" s="850"/>
      <c r="W102" s="851"/>
      <c r="X102" s="850"/>
      <c r="Y102" s="1636"/>
      <c r="Z102" s="850"/>
      <c r="AA102" s="851"/>
      <c r="AB102" s="850"/>
      <c r="AC102" s="1645"/>
      <c r="AD102" s="850"/>
      <c r="AE102" s="851"/>
      <c r="AF102" s="850"/>
      <c r="AG102" s="1647"/>
      <c r="AH102" s="1647"/>
      <c r="AI102" s="1656"/>
      <c r="AJ102" s="213"/>
      <c r="AK102" s="213"/>
    </row>
    <row r="103" spans="1:37" ht="9.9499999999999993" customHeight="1" x14ac:dyDescent="0.25">
      <c r="A103" s="1616"/>
      <c r="B103" s="1617"/>
      <c r="C103" s="1576"/>
      <c r="D103" s="1576"/>
      <c r="E103" s="1576"/>
      <c r="F103" s="849"/>
      <c r="G103" s="849"/>
      <c r="H103" s="849"/>
      <c r="I103" s="1600"/>
      <c r="J103" s="849"/>
      <c r="K103" s="849"/>
      <c r="L103" s="849"/>
      <c r="M103" s="1644"/>
      <c r="N103" s="849"/>
      <c r="O103" s="849"/>
      <c r="P103" s="849"/>
      <c r="Q103" s="1654"/>
      <c r="R103" s="849"/>
      <c r="S103" s="849"/>
      <c r="T103" s="849"/>
      <c r="U103" s="1631"/>
      <c r="V103" s="849"/>
      <c r="W103" s="849"/>
      <c r="X103" s="849"/>
      <c r="Y103" s="1524"/>
      <c r="Z103" s="849"/>
      <c r="AA103" s="849"/>
      <c r="AB103" s="849"/>
      <c r="AC103" s="1512"/>
      <c r="AD103" s="849"/>
      <c r="AE103" s="849"/>
      <c r="AF103" s="849"/>
      <c r="AG103" s="1648"/>
      <c r="AH103" s="1648"/>
      <c r="AI103" s="1657"/>
      <c r="AJ103" s="213"/>
      <c r="AK103" s="213"/>
    </row>
    <row r="104" spans="1:37" ht="9.9499999999999993" customHeight="1" x14ac:dyDescent="0.25">
      <c r="A104" s="270"/>
      <c r="B104" s="270"/>
      <c r="C104" s="270"/>
      <c r="D104" s="270"/>
      <c r="E104" s="270"/>
      <c r="F104" s="270"/>
      <c r="G104" s="270"/>
      <c r="H104" s="270"/>
      <c r="I104" s="270"/>
      <c r="J104" s="270"/>
      <c r="K104" s="270"/>
      <c r="L104" s="270"/>
      <c r="M104" s="852"/>
      <c r="N104" s="270"/>
      <c r="O104" s="270"/>
      <c r="P104" s="270"/>
      <c r="Q104" s="852"/>
      <c r="R104" s="270"/>
      <c r="S104" s="270"/>
      <c r="T104" s="270"/>
      <c r="U104" s="852"/>
      <c r="V104" s="270"/>
      <c r="W104" s="270"/>
      <c r="X104" s="270"/>
      <c r="Y104" s="852"/>
      <c r="Z104" s="270"/>
      <c r="AA104" s="270"/>
      <c r="AB104" s="270"/>
      <c r="AC104" s="852"/>
      <c r="AD104" s="270"/>
      <c r="AE104" s="270"/>
      <c r="AF104" s="270"/>
      <c r="AG104" s="853"/>
      <c r="AH104" s="853"/>
      <c r="AI104" s="854"/>
      <c r="AJ104" s="213"/>
      <c r="AK104" s="213"/>
    </row>
    <row r="105" spans="1:37" ht="9.9499999999999993" customHeight="1" x14ac:dyDescent="0.25">
      <c r="A105" s="1616">
        <v>25</v>
      </c>
      <c r="B105" s="1617">
        <v>4</v>
      </c>
      <c r="C105" s="1574" t="s">
        <v>5465</v>
      </c>
      <c r="D105" s="1574" t="s">
        <v>5459</v>
      </c>
      <c r="E105" s="1574" t="s">
        <v>978</v>
      </c>
      <c r="F105" s="849"/>
      <c r="G105" s="849"/>
      <c r="H105" s="849"/>
      <c r="I105" s="1598" t="s">
        <v>5470</v>
      </c>
      <c r="J105" s="849"/>
      <c r="K105" s="849"/>
      <c r="L105" s="849"/>
      <c r="M105" s="1642" t="s">
        <v>5473</v>
      </c>
      <c r="N105" s="849"/>
      <c r="O105" s="849"/>
      <c r="P105" s="849"/>
      <c r="Q105" s="1652"/>
      <c r="R105" s="849"/>
      <c r="S105" s="849"/>
      <c r="T105" s="849"/>
      <c r="U105" s="1629" t="s">
        <v>5383</v>
      </c>
      <c r="V105" s="849"/>
      <c r="W105" s="849"/>
      <c r="X105" s="849"/>
      <c r="Y105" s="1523" t="s">
        <v>5389</v>
      </c>
      <c r="Z105" s="849"/>
      <c r="AA105" s="849"/>
      <c r="AB105" s="849"/>
      <c r="AC105" s="1511" t="s">
        <v>5474</v>
      </c>
      <c r="AD105" s="849"/>
      <c r="AE105" s="849"/>
      <c r="AF105" s="849"/>
      <c r="AG105" s="1646" t="s">
        <v>5460</v>
      </c>
      <c r="AH105" s="1646" t="s">
        <v>5461</v>
      </c>
      <c r="AI105" s="1655" t="s">
        <v>5462</v>
      </c>
      <c r="AJ105" s="213"/>
      <c r="AK105" s="213"/>
    </row>
    <row r="106" spans="1:37" ht="9.9499999999999993" customHeight="1" x14ac:dyDescent="0.25">
      <c r="A106" s="1616"/>
      <c r="B106" s="1617"/>
      <c r="C106" s="1575"/>
      <c r="D106" s="1575"/>
      <c r="E106" s="1575"/>
      <c r="F106" s="850"/>
      <c r="G106" s="851"/>
      <c r="H106" s="850"/>
      <c r="I106" s="1599"/>
      <c r="J106" s="850"/>
      <c r="K106" s="851"/>
      <c r="L106" s="850"/>
      <c r="M106" s="1643"/>
      <c r="N106" s="850"/>
      <c r="O106" s="851"/>
      <c r="P106" s="850"/>
      <c r="Q106" s="1653"/>
      <c r="R106" s="850"/>
      <c r="S106" s="851"/>
      <c r="T106" s="850"/>
      <c r="U106" s="1630"/>
      <c r="V106" s="850"/>
      <c r="W106" s="851"/>
      <c r="X106" s="850"/>
      <c r="Y106" s="1636"/>
      <c r="Z106" s="850"/>
      <c r="AA106" s="851"/>
      <c r="AB106" s="850"/>
      <c r="AC106" s="1645"/>
      <c r="AD106" s="850"/>
      <c r="AE106" s="851"/>
      <c r="AF106" s="850"/>
      <c r="AG106" s="1647"/>
      <c r="AH106" s="1647"/>
      <c r="AI106" s="1656"/>
      <c r="AJ106" s="213"/>
      <c r="AK106" s="213"/>
    </row>
    <row r="107" spans="1:37" ht="9.9499999999999993" customHeight="1" x14ac:dyDescent="0.25">
      <c r="A107" s="1616"/>
      <c r="B107" s="1617"/>
      <c r="C107" s="1576"/>
      <c r="D107" s="1576"/>
      <c r="E107" s="1576"/>
      <c r="F107" s="849"/>
      <c r="G107" s="849"/>
      <c r="H107" s="849"/>
      <c r="I107" s="1600"/>
      <c r="J107" s="849"/>
      <c r="K107" s="849"/>
      <c r="L107" s="849"/>
      <c r="M107" s="1644"/>
      <c r="N107" s="849"/>
      <c r="O107" s="849"/>
      <c r="P107" s="849"/>
      <c r="Q107" s="1654"/>
      <c r="R107" s="849"/>
      <c r="S107" s="849"/>
      <c r="T107" s="849"/>
      <c r="U107" s="1631"/>
      <c r="V107" s="849"/>
      <c r="W107" s="849"/>
      <c r="X107" s="849"/>
      <c r="Y107" s="1524"/>
      <c r="Z107" s="849"/>
      <c r="AA107" s="849"/>
      <c r="AB107" s="849"/>
      <c r="AC107" s="1512"/>
      <c r="AD107" s="849"/>
      <c r="AE107" s="849"/>
      <c r="AF107" s="849"/>
      <c r="AG107" s="1648"/>
      <c r="AH107" s="1648"/>
      <c r="AI107" s="1657"/>
      <c r="AJ107" s="213"/>
      <c r="AK107" s="213"/>
    </row>
    <row r="108" spans="1:37" ht="9.9499999999999993" customHeight="1" x14ac:dyDescent="0.25">
      <c r="A108" s="270"/>
      <c r="B108" s="270"/>
      <c r="C108" s="270"/>
      <c r="D108" s="270"/>
      <c r="E108" s="270"/>
      <c r="F108" s="270"/>
      <c r="G108" s="270"/>
      <c r="H108" s="270"/>
      <c r="I108" s="270"/>
      <c r="J108" s="270"/>
      <c r="K108" s="270"/>
      <c r="L108" s="270"/>
      <c r="M108" s="852"/>
      <c r="N108" s="270"/>
      <c r="O108" s="270"/>
      <c r="P108" s="270"/>
      <c r="Q108" s="852"/>
      <c r="R108" s="270"/>
      <c r="S108" s="270"/>
      <c r="T108" s="270"/>
      <c r="U108" s="852"/>
      <c r="V108" s="270"/>
      <c r="W108" s="270"/>
      <c r="X108" s="270"/>
      <c r="Y108" s="852"/>
      <c r="Z108" s="270"/>
      <c r="AA108" s="270"/>
      <c r="AB108" s="270"/>
      <c r="AC108" s="852"/>
      <c r="AD108" s="270"/>
      <c r="AE108" s="270"/>
      <c r="AF108" s="270"/>
      <c r="AG108" s="853"/>
      <c r="AH108" s="853"/>
      <c r="AI108" s="854"/>
      <c r="AJ108" s="213"/>
      <c r="AK108" s="213"/>
    </row>
    <row r="109" spans="1:37" ht="9.9499999999999993" customHeight="1" x14ac:dyDescent="0.25">
      <c r="A109" s="1616">
        <v>26</v>
      </c>
      <c r="B109" s="1617">
        <v>4</v>
      </c>
      <c r="C109" s="1574" t="s">
        <v>5466</v>
      </c>
      <c r="D109" s="1574" t="s">
        <v>5459</v>
      </c>
      <c r="E109" s="1574" t="s">
        <v>978</v>
      </c>
      <c r="F109" s="849"/>
      <c r="G109" s="849"/>
      <c r="H109" s="849"/>
      <c r="I109" s="1598" t="s">
        <v>5470</v>
      </c>
      <c r="J109" s="849"/>
      <c r="K109" s="849"/>
      <c r="L109" s="849"/>
      <c r="M109" s="1642" t="s">
        <v>5473</v>
      </c>
      <c r="N109" s="849"/>
      <c r="O109" s="849"/>
      <c r="P109" s="849"/>
      <c r="Q109" s="1652"/>
      <c r="R109" s="849"/>
      <c r="S109" s="849"/>
      <c r="T109" s="849"/>
      <c r="U109" s="1629" t="s">
        <v>5383</v>
      </c>
      <c r="V109" s="849"/>
      <c r="W109" s="849"/>
      <c r="X109" s="849"/>
      <c r="Y109" s="1523" t="s">
        <v>5389</v>
      </c>
      <c r="Z109" s="849"/>
      <c r="AA109" s="849"/>
      <c r="AB109" s="849"/>
      <c r="AC109" s="1511" t="s">
        <v>5474</v>
      </c>
      <c r="AD109" s="849"/>
      <c r="AE109" s="849"/>
      <c r="AF109" s="849"/>
      <c r="AG109" s="1646" t="s">
        <v>5460</v>
      </c>
      <c r="AH109" s="1646" t="s">
        <v>5461</v>
      </c>
      <c r="AI109" s="1655" t="s">
        <v>5462</v>
      </c>
      <c r="AJ109" s="213"/>
      <c r="AK109" s="213"/>
    </row>
    <row r="110" spans="1:37" ht="9.9499999999999993" customHeight="1" x14ac:dyDescent="0.25">
      <c r="A110" s="1616"/>
      <c r="B110" s="1617"/>
      <c r="C110" s="1575"/>
      <c r="D110" s="1575"/>
      <c r="E110" s="1575"/>
      <c r="F110" s="850"/>
      <c r="G110" s="851"/>
      <c r="H110" s="850"/>
      <c r="I110" s="1599"/>
      <c r="J110" s="850"/>
      <c r="K110" s="851"/>
      <c r="L110" s="850"/>
      <c r="M110" s="1643"/>
      <c r="N110" s="850"/>
      <c r="O110" s="851"/>
      <c r="P110" s="850"/>
      <c r="Q110" s="1653"/>
      <c r="R110" s="850"/>
      <c r="S110" s="851"/>
      <c r="T110" s="850"/>
      <c r="U110" s="1630"/>
      <c r="V110" s="850"/>
      <c r="W110" s="851"/>
      <c r="X110" s="850"/>
      <c r="Y110" s="1636"/>
      <c r="Z110" s="850"/>
      <c r="AA110" s="851"/>
      <c r="AB110" s="850"/>
      <c r="AC110" s="1645"/>
      <c r="AD110" s="850"/>
      <c r="AE110" s="851"/>
      <c r="AF110" s="850"/>
      <c r="AG110" s="1647"/>
      <c r="AH110" s="1647"/>
      <c r="AI110" s="1656"/>
      <c r="AJ110" s="213"/>
      <c r="AK110" s="213"/>
    </row>
    <row r="111" spans="1:37" ht="9.9499999999999993" customHeight="1" x14ac:dyDescent="0.25">
      <c r="A111" s="1616"/>
      <c r="B111" s="1617"/>
      <c r="C111" s="1576"/>
      <c r="D111" s="1576"/>
      <c r="E111" s="1576"/>
      <c r="F111" s="849"/>
      <c r="G111" s="849"/>
      <c r="H111" s="849"/>
      <c r="I111" s="1600"/>
      <c r="J111" s="849"/>
      <c r="K111" s="849"/>
      <c r="L111" s="849"/>
      <c r="M111" s="1644"/>
      <c r="N111" s="849"/>
      <c r="O111" s="849"/>
      <c r="P111" s="849"/>
      <c r="Q111" s="1654"/>
      <c r="R111" s="849"/>
      <c r="S111" s="849"/>
      <c r="T111" s="849"/>
      <c r="U111" s="1631"/>
      <c r="V111" s="849"/>
      <c r="W111" s="849"/>
      <c r="X111" s="849"/>
      <c r="Y111" s="1524"/>
      <c r="Z111" s="849"/>
      <c r="AA111" s="849"/>
      <c r="AB111" s="849"/>
      <c r="AC111" s="1512"/>
      <c r="AD111" s="849"/>
      <c r="AE111" s="849"/>
      <c r="AF111" s="849"/>
      <c r="AG111" s="1648"/>
      <c r="AH111" s="1648"/>
      <c r="AI111" s="1657"/>
      <c r="AJ111" s="213"/>
      <c r="AK111" s="213"/>
    </row>
    <row r="112" spans="1:37" ht="9.9499999999999993" customHeight="1" x14ac:dyDescent="0.25">
      <c r="A112" s="270"/>
      <c r="B112" s="270"/>
      <c r="C112" s="270"/>
      <c r="D112" s="270"/>
      <c r="E112" s="270"/>
      <c r="F112" s="270"/>
      <c r="G112" s="270"/>
      <c r="H112" s="270"/>
      <c r="I112" s="270"/>
      <c r="J112" s="270"/>
      <c r="K112" s="270"/>
      <c r="L112" s="270"/>
      <c r="M112" s="852"/>
      <c r="N112" s="270"/>
      <c r="O112" s="270"/>
      <c r="P112" s="270"/>
      <c r="Q112" s="852"/>
      <c r="R112" s="270"/>
      <c r="S112" s="270"/>
      <c r="T112" s="270"/>
      <c r="U112" s="852"/>
      <c r="V112" s="270"/>
      <c r="W112" s="270"/>
      <c r="X112" s="270"/>
      <c r="Y112" s="852"/>
      <c r="Z112" s="270"/>
      <c r="AA112" s="270"/>
      <c r="AB112" s="270"/>
      <c r="AC112" s="852"/>
      <c r="AD112" s="270"/>
      <c r="AE112" s="270"/>
      <c r="AF112" s="270"/>
      <c r="AG112" s="853"/>
      <c r="AH112" s="853"/>
      <c r="AI112" s="854"/>
      <c r="AJ112" s="213"/>
      <c r="AK112" s="213"/>
    </row>
    <row r="113" spans="1:37" ht="9.9499999999999993" customHeight="1" x14ac:dyDescent="0.25">
      <c r="A113" s="1616">
        <v>27</v>
      </c>
      <c r="B113" s="1617">
        <v>4</v>
      </c>
      <c r="C113" s="1574" t="s">
        <v>5467</v>
      </c>
      <c r="D113" s="1574" t="s">
        <v>5459</v>
      </c>
      <c r="E113" s="1574" t="s">
        <v>978</v>
      </c>
      <c r="F113" s="849"/>
      <c r="G113" s="849"/>
      <c r="H113" s="849"/>
      <c r="I113" s="1598" t="s">
        <v>5470</v>
      </c>
      <c r="J113" s="849"/>
      <c r="K113" s="849"/>
      <c r="L113" s="849"/>
      <c r="M113" s="1642" t="s">
        <v>5473</v>
      </c>
      <c r="N113" s="849"/>
      <c r="O113" s="849"/>
      <c r="P113" s="849"/>
      <c r="Q113" s="1652"/>
      <c r="R113" s="849"/>
      <c r="S113" s="849"/>
      <c r="T113" s="849"/>
      <c r="U113" s="1629" t="s">
        <v>5383</v>
      </c>
      <c r="V113" s="849"/>
      <c r="W113" s="849"/>
      <c r="X113" s="849"/>
      <c r="Y113" s="1523" t="s">
        <v>5389</v>
      </c>
      <c r="Z113" s="849"/>
      <c r="AA113" s="849"/>
      <c r="AB113" s="849"/>
      <c r="AC113" s="1511" t="s">
        <v>5474</v>
      </c>
      <c r="AD113" s="849"/>
      <c r="AE113" s="849"/>
      <c r="AF113" s="849"/>
      <c r="AG113" s="1646" t="s">
        <v>5460</v>
      </c>
      <c r="AH113" s="1646" t="s">
        <v>5461</v>
      </c>
      <c r="AI113" s="1655" t="s">
        <v>5462</v>
      </c>
      <c r="AJ113" s="213"/>
      <c r="AK113" s="213"/>
    </row>
    <row r="114" spans="1:37" ht="9.9499999999999993" customHeight="1" x14ac:dyDescent="0.25">
      <c r="A114" s="1616"/>
      <c r="B114" s="1617"/>
      <c r="C114" s="1575"/>
      <c r="D114" s="1575"/>
      <c r="E114" s="1575"/>
      <c r="F114" s="850"/>
      <c r="G114" s="851"/>
      <c r="H114" s="850"/>
      <c r="I114" s="1599"/>
      <c r="J114" s="850"/>
      <c r="K114" s="851"/>
      <c r="L114" s="850"/>
      <c r="M114" s="1643"/>
      <c r="N114" s="850"/>
      <c r="O114" s="851"/>
      <c r="P114" s="850"/>
      <c r="Q114" s="1653"/>
      <c r="R114" s="850"/>
      <c r="S114" s="851"/>
      <c r="T114" s="850"/>
      <c r="U114" s="1630"/>
      <c r="V114" s="850"/>
      <c r="W114" s="851"/>
      <c r="X114" s="850"/>
      <c r="Y114" s="1636"/>
      <c r="Z114" s="850"/>
      <c r="AA114" s="851"/>
      <c r="AB114" s="850"/>
      <c r="AC114" s="1645"/>
      <c r="AD114" s="850"/>
      <c r="AE114" s="851"/>
      <c r="AF114" s="850"/>
      <c r="AG114" s="1647"/>
      <c r="AH114" s="1647"/>
      <c r="AI114" s="1656"/>
      <c r="AJ114" s="213"/>
      <c r="AK114" s="213"/>
    </row>
    <row r="115" spans="1:37" ht="9.9499999999999993" customHeight="1" x14ac:dyDescent="0.25">
      <c r="A115" s="1616"/>
      <c r="B115" s="1617"/>
      <c r="C115" s="1576"/>
      <c r="D115" s="1576"/>
      <c r="E115" s="1576"/>
      <c r="F115" s="849"/>
      <c r="G115" s="849"/>
      <c r="H115" s="849"/>
      <c r="I115" s="1600"/>
      <c r="J115" s="849"/>
      <c r="K115" s="849"/>
      <c r="L115" s="849"/>
      <c r="M115" s="1644"/>
      <c r="N115" s="849"/>
      <c r="O115" s="849"/>
      <c r="P115" s="849"/>
      <c r="Q115" s="1654"/>
      <c r="R115" s="849"/>
      <c r="S115" s="849"/>
      <c r="T115" s="849"/>
      <c r="U115" s="1631"/>
      <c r="V115" s="849"/>
      <c r="W115" s="849"/>
      <c r="X115" s="849"/>
      <c r="Y115" s="1524"/>
      <c r="Z115" s="849"/>
      <c r="AA115" s="849"/>
      <c r="AB115" s="849"/>
      <c r="AC115" s="1512"/>
      <c r="AD115" s="849"/>
      <c r="AE115" s="849"/>
      <c r="AF115" s="849"/>
      <c r="AG115" s="1648"/>
      <c r="AH115" s="1648"/>
      <c r="AI115" s="1657"/>
      <c r="AJ115" s="213"/>
      <c r="AK115" s="213"/>
    </row>
    <row r="116" spans="1:37" ht="9.9499999999999993" customHeight="1" x14ac:dyDescent="0.25">
      <c r="A116" s="270"/>
      <c r="B116" s="270"/>
      <c r="C116" s="270"/>
      <c r="D116" s="270"/>
      <c r="E116" s="270"/>
      <c r="F116" s="270"/>
      <c r="G116" s="270"/>
      <c r="H116" s="270"/>
      <c r="I116" s="270"/>
      <c r="J116" s="270"/>
      <c r="K116" s="270"/>
      <c r="L116" s="270"/>
      <c r="M116" s="852"/>
      <c r="N116" s="270"/>
      <c r="O116" s="270"/>
      <c r="P116" s="270"/>
      <c r="Q116" s="852"/>
      <c r="R116" s="270"/>
      <c r="S116" s="270"/>
      <c r="T116" s="270"/>
      <c r="U116" s="852"/>
      <c r="V116" s="270"/>
      <c r="W116" s="270"/>
      <c r="X116" s="270"/>
      <c r="Y116" s="852"/>
      <c r="Z116" s="270"/>
      <c r="AA116" s="270"/>
      <c r="AB116" s="270"/>
      <c r="AC116" s="852"/>
      <c r="AD116" s="270"/>
      <c r="AE116" s="270"/>
      <c r="AF116" s="270"/>
      <c r="AG116" s="853"/>
      <c r="AH116" s="853"/>
      <c r="AI116" s="854"/>
      <c r="AJ116" s="213"/>
      <c r="AK116" s="213"/>
    </row>
    <row r="117" spans="1:37" ht="9.9499999999999993" customHeight="1" x14ac:dyDescent="0.25">
      <c r="A117" s="1616">
        <v>28</v>
      </c>
      <c r="B117" s="1617">
        <v>4</v>
      </c>
      <c r="C117" s="1574" t="s">
        <v>5468</v>
      </c>
      <c r="D117" s="1574" t="s">
        <v>5459</v>
      </c>
      <c r="E117" s="1574" t="s">
        <v>978</v>
      </c>
      <c r="F117" s="849"/>
      <c r="G117" s="849"/>
      <c r="H117" s="849"/>
      <c r="I117" s="1598" t="s">
        <v>5470</v>
      </c>
      <c r="J117" s="849"/>
      <c r="K117" s="849"/>
      <c r="L117" s="849"/>
      <c r="M117" s="1642" t="s">
        <v>5473</v>
      </c>
      <c r="N117" s="849"/>
      <c r="O117" s="849"/>
      <c r="P117" s="849"/>
      <c r="Q117" s="1652"/>
      <c r="R117" s="849"/>
      <c r="S117" s="849"/>
      <c r="T117" s="849"/>
      <c r="U117" s="1629" t="s">
        <v>5383</v>
      </c>
      <c r="V117" s="849"/>
      <c r="W117" s="849"/>
      <c r="X117" s="849"/>
      <c r="Y117" s="1523" t="s">
        <v>5389</v>
      </c>
      <c r="Z117" s="849"/>
      <c r="AA117" s="849"/>
      <c r="AB117" s="849"/>
      <c r="AC117" s="1511" t="s">
        <v>5474</v>
      </c>
      <c r="AD117" s="849"/>
      <c r="AE117" s="849"/>
      <c r="AF117" s="849"/>
      <c r="AG117" s="1646" t="s">
        <v>5460</v>
      </c>
      <c r="AH117" s="1646" t="s">
        <v>5461</v>
      </c>
      <c r="AI117" s="1655" t="s">
        <v>5462</v>
      </c>
      <c r="AJ117" s="213"/>
      <c r="AK117" s="213"/>
    </row>
    <row r="118" spans="1:37" ht="9.9499999999999993" customHeight="1" x14ac:dyDescent="0.25">
      <c r="A118" s="1616"/>
      <c r="B118" s="1617"/>
      <c r="C118" s="1575"/>
      <c r="D118" s="1575"/>
      <c r="E118" s="1575"/>
      <c r="F118" s="850"/>
      <c r="G118" s="851"/>
      <c r="H118" s="850"/>
      <c r="I118" s="1599"/>
      <c r="J118" s="850"/>
      <c r="K118" s="851"/>
      <c r="L118" s="850"/>
      <c r="M118" s="1643"/>
      <c r="N118" s="850"/>
      <c r="O118" s="851"/>
      <c r="P118" s="850"/>
      <c r="Q118" s="1653"/>
      <c r="R118" s="850"/>
      <c r="S118" s="851"/>
      <c r="T118" s="850"/>
      <c r="U118" s="1630"/>
      <c r="V118" s="850"/>
      <c r="W118" s="851"/>
      <c r="X118" s="850"/>
      <c r="Y118" s="1636"/>
      <c r="Z118" s="850"/>
      <c r="AA118" s="851"/>
      <c r="AB118" s="850"/>
      <c r="AC118" s="1645"/>
      <c r="AD118" s="850"/>
      <c r="AE118" s="851"/>
      <c r="AF118" s="850"/>
      <c r="AG118" s="1647"/>
      <c r="AH118" s="1647"/>
      <c r="AI118" s="1656"/>
      <c r="AJ118" s="213"/>
      <c r="AK118" s="213"/>
    </row>
    <row r="119" spans="1:37" ht="9.9499999999999993" customHeight="1" x14ac:dyDescent="0.25">
      <c r="A119" s="1616"/>
      <c r="B119" s="1617"/>
      <c r="C119" s="1576"/>
      <c r="D119" s="1576"/>
      <c r="E119" s="1576"/>
      <c r="F119" s="849"/>
      <c r="G119" s="849"/>
      <c r="H119" s="849"/>
      <c r="I119" s="1600"/>
      <c r="J119" s="849"/>
      <c r="K119" s="849"/>
      <c r="L119" s="849"/>
      <c r="M119" s="1644"/>
      <c r="N119" s="849"/>
      <c r="O119" s="849"/>
      <c r="P119" s="849"/>
      <c r="Q119" s="1654"/>
      <c r="R119" s="849"/>
      <c r="S119" s="849"/>
      <c r="T119" s="849"/>
      <c r="U119" s="1631"/>
      <c r="V119" s="849"/>
      <c r="W119" s="849"/>
      <c r="X119" s="849"/>
      <c r="Y119" s="1524"/>
      <c r="Z119" s="849"/>
      <c r="AA119" s="849"/>
      <c r="AB119" s="849"/>
      <c r="AC119" s="1512"/>
      <c r="AD119" s="849"/>
      <c r="AE119" s="849"/>
      <c r="AF119" s="849"/>
      <c r="AG119" s="1648"/>
      <c r="AH119" s="1648"/>
      <c r="AI119" s="1657"/>
      <c r="AJ119" s="213"/>
      <c r="AK119" s="213"/>
    </row>
    <row r="120" spans="1:37" ht="9.9499999999999993" customHeight="1" x14ac:dyDescent="0.25">
      <c r="A120" s="270"/>
      <c r="B120" s="270"/>
      <c r="C120" s="270"/>
      <c r="D120" s="270"/>
      <c r="E120" s="270"/>
      <c r="F120" s="270"/>
      <c r="G120" s="270"/>
      <c r="H120" s="270"/>
      <c r="I120" s="270"/>
      <c r="J120" s="270"/>
      <c r="K120" s="270"/>
      <c r="L120" s="270"/>
      <c r="M120" s="852"/>
      <c r="N120" s="270"/>
      <c r="O120" s="270"/>
      <c r="P120" s="270"/>
      <c r="Q120" s="852"/>
      <c r="R120" s="270"/>
      <c r="S120" s="270"/>
      <c r="T120" s="270"/>
      <c r="U120" s="852"/>
      <c r="V120" s="270"/>
      <c r="W120" s="270"/>
      <c r="X120" s="270"/>
      <c r="Y120" s="852"/>
      <c r="Z120" s="270"/>
      <c r="AA120" s="270"/>
      <c r="AB120" s="270"/>
      <c r="AC120" s="852"/>
      <c r="AD120" s="270"/>
      <c r="AE120" s="270"/>
      <c r="AF120" s="270"/>
      <c r="AG120" s="853"/>
      <c r="AH120" s="853"/>
      <c r="AI120" s="855"/>
      <c r="AJ120" s="213"/>
      <c r="AK120" s="213"/>
    </row>
    <row r="121" spans="1:37" ht="9.9499999999999993" customHeight="1" x14ac:dyDescent="0.25">
      <c r="A121" s="1616">
        <v>1</v>
      </c>
      <c r="B121" s="1617">
        <v>1</v>
      </c>
      <c r="C121" s="1574" t="s">
        <v>5458</v>
      </c>
      <c r="D121" s="1574" t="s">
        <v>5475</v>
      </c>
      <c r="E121" s="1574" t="s">
        <v>978</v>
      </c>
      <c r="F121" s="849"/>
      <c r="G121" s="849"/>
      <c r="H121" s="849"/>
      <c r="I121" s="1586" t="s">
        <v>5355</v>
      </c>
      <c r="J121" s="849"/>
      <c r="K121" s="849"/>
      <c r="L121" s="849"/>
      <c r="M121" s="1509" t="s">
        <v>5367</v>
      </c>
      <c r="N121" s="849"/>
      <c r="O121" s="849"/>
      <c r="P121" s="849"/>
      <c r="Q121" s="1517" t="s">
        <v>5371</v>
      </c>
      <c r="R121" s="849"/>
      <c r="S121" s="849"/>
      <c r="T121" s="849"/>
      <c r="U121" s="1586" t="s">
        <v>5380</v>
      </c>
      <c r="V121" s="849"/>
      <c r="W121" s="849"/>
      <c r="X121" s="849"/>
      <c r="Y121" s="1521" t="s">
        <v>5386</v>
      </c>
      <c r="Z121" s="849"/>
      <c r="AA121" s="849"/>
      <c r="AB121" s="849"/>
      <c r="AC121" s="1610" t="s">
        <v>5394</v>
      </c>
      <c r="AD121" s="849"/>
      <c r="AE121" s="849"/>
      <c r="AF121" s="849"/>
      <c r="AG121" s="1646" t="s">
        <v>5476</v>
      </c>
      <c r="AH121" s="1646" t="s">
        <v>5477</v>
      </c>
      <c r="AI121" s="1649" t="s">
        <v>5478</v>
      </c>
      <c r="AJ121" s="213"/>
      <c r="AK121" s="213"/>
    </row>
    <row r="122" spans="1:37" ht="9.9499999999999993" customHeight="1" x14ac:dyDescent="0.25">
      <c r="A122" s="1616"/>
      <c r="B122" s="1617"/>
      <c r="C122" s="1575"/>
      <c r="D122" s="1575"/>
      <c r="E122" s="1575"/>
      <c r="F122" s="850"/>
      <c r="G122" s="851"/>
      <c r="H122" s="850"/>
      <c r="I122" s="1587"/>
      <c r="J122" s="850"/>
      <c r="K122" s="851"/>
      <c r="L122" s="850"/>
      <c r="M122" s="1638"/>
      <c r="N122" s="850"/>
      <c r="O122" s="851"/>
      <c r="P122" s="850"/>
      <c r="Q122" s="1619"/>
      <c r="R122" s="850"/>
      <c r="S122" s="851"/>
      <c r="T122" s="850"/>
      <c r="U122" s="1587"/>
      <c r="V122" s="850"/>
      <c r="W122" s="851"/>
      <c r="X122" s="850"/>
      <c r="Y122" s="1635"/>
      <c r="Z122" s="850"/>
      <c r="AA122" s="851"/>
      <c r="AB122" s="850"/>
      <c r="AC122" s="1611"/>
      <c r="AD122" s="850"/>
      <c r="AE122" s="851"/>
      <c r="AF122" s="850"/>
      <c r="AG122" s="1647"/>
      <c r="AH122" s="1647"/>
      <c r="AI122" s="1650"/>
      <c r="AJ122" s="213"/>
      <c r="AK122" s="213"/>
    </row>
    <row r="123" spans="1:37" ht="9.9499999999999993" customHeight="1" x14ac:dyDescent="0.25">
      <c r="A123" s="1616"/>
      <c r="B123" s="1617"/>
      <c r="C123" s="1576"/>
      <c r="D123" s="1576"/>
      <c r="E123" s="1576"/>
      <c r="F123" s="849"/>
      <c r="G123" s="849"/>
      <c r="H123" s="849"/>
      <c r="I123" s="1588"/>
      <c r="J123" s="849"/>
      <c r="K123" s="849"/>
      <c r="L123" s="849"/>
      <c r="M123" s="1510"/>
      <c r="N123" s="849"/>
      <c r="O123" s="849"/>
      <c r="P123" s="849"/>
      <c r="Q123" s="1518"/>
      <c r="R123" s="849"/>
      <c r="S123" s="849"/>
      <c r="T123" s="849"/>
      <c r="U123" s="1588"/>
      <c r="V123" s="849"/>
      <c r="W123" s="849"/>
      <c r="X123" s="849"/>
      <c r="Y123" s="1522"/>
      <c r="Z123" s="849"/>
      <c r="AA123" s="849"/>
      <c r="AB123" s="849"/>
      <c r="AC123" s="1612"/>
      <c r="AD123" s="849"/>
      <c r="AE123" s="849"/>
      <c r="AF123" s="849"/>
      <c r="AG123" s="1648"/>
      <c r="AH123" s="1648"/>
      <c r="AI123" s="1651"/>
      <c r="AJ123" s="213"/>
      <c r="AK123" s="213"/>
    </row>
    <row r="124" spans="1:37" ht="9.9499999999999993" customHeight="1" x14ac:dyDescent="0.25">
      <c r="A124" s="270"/>
      <c r="B124" s="270"/>
      <c r="C124" s="270"/>
      <c r="D124" s="270"/>
      <c r="E124" s="270"/>
      <c r="F124" s="270"/>
      <c r="G124" s="270"/>
      <c r="H124" s="270"/>
      <c r="I124" s="270"/>
      <c r="J124" s="270"/>
      <c r="K124" s="270"/>
      <c r="L124" s="270"/>
      <c r="M124" s="852"/>
      <c r="N124" s="270"/>
      <c r="O124" s="270"/>
      <c r="P124" s="270"/>
      <c r="Q124" s="852"/>
      <c r="R124" s="270"/>
      <c r="S124" s="270"/>
      <c r="T124" s="270"/>
      <c r="U124" s="852"/>
      <c r="V124" s="270"/>
      <c r="W124" s="270"/>
      <c r="X124" s="270"/>
      <c r="Y124" s="852"/>
      <c r="Z124" s="270"/>
      <c r="AA124" s="270"/>
      <c r="AB124" s="270"/>
      <c r="AC124" s="852"/>
      <c r="AD124" s="270"/>
      <c r="AE124" s="270"/>
      <c r="AF124" s="270"/>
      <c r="AG124" s="853"/>
      <c r="AH124" s="853"/>
      <c r="AI124" s="856"/>
      <c r="AJ124" s="213"/>
      <c r="AK124" s="213"/>
    </row>
    <row r="125" spans="1:37" ht="9.9499999999999993" customHeight="1" x14ac:dyDescent="0.25">
      <c r="A125" s="1616">
        <v>2</v>
      </c>
      <c r="B125" s="1617">
        <v>1</v>
      </c>
      <c r="C125" s="1574" t="s">
        <v>5463</v>
      </c>
      <c r="D125" s="1574" t="s">
        <v>5475</v>
      </c>
      <c r="E125" s="1574" t="s">
        <v>978</v>
      </c>
      <c r="F125" s="849"/>
      <c r="G125" s="849"/>
      <c r="H125" s="849"/>
      <c r="I125" s="1586" t="s">
        <v>5355</v>
      </c>
      <c r="J125" s="849"/>
      <c r="K125" s="849"/>
      <c r="L125" s="849"/>
      <c r="M125" s="1509" t="s">
        <v>5367</v>
      </c>
      <c r="N125" s="849"/>
      <c r="O125" s="849"/>
      <c r="P125" s="849"/>
      <c r="Q125" s="1517" t="s">
        <v>5371</v>
      </c>
      <c r="R125" s="849"/>
      <c r="S125" s="849"/>
      <c r="T125" s="849"/>
      <c r="U125" s="1586" t="s">
        <v>5380</v>
      </c>
      <c r="V125" s="849"/>
      <c r="W125" s="849"/>
      <c r="X125" s="849"/>
      <c r="Y125" s="1521" t="s">
        <v>5386</v>
      </c>
      <c r="Z125" s="849"/>
      <c r="AA125" s="849"/>
      <c r="AB125" s="849"/>
      <c r="AC125" s="1610" t="s">
        <v>5394</v>
      </c>
      <c r="AD125" s="849"/>
      <c r="AE125" s="849"/>
      <c r="AF125" s="849"/>
      <c r="AG125" s="1646" t="s">
        <v>5476</v>
      </c>
      <c r="AH125" s="1646" t="s">
        <v>5477</v>
      </c>
      <c r="AI125" s="1649" t="s">
        <v>5478</v>
      </c>
      <c r="AJ125" s="213"/>
      <c r="AK125" s="213"/>
    </row>
    <row r="126" spans="1:37" ht="9.9499999999999993" customHeight="1" x14ac:dyDescent="0.25">
      <c r="A126" s="1616"/>
      <c r="B126" s="1617"/>
      <c r="C126" s="1575"/>
      <c r="D126" s="1575"/>
      <c r="E126" s="1575"/>
      <c r="F126" s="850"/>
      <c r="G126" s="851"/>
      <c r="H126" s="850"/>
      <c r="I126" s="1587"/>
      <c r="J126" s="850"/>
      <c r="K126" s="851"/>
      <c r="L126" s="850"/>
      <c r="M126" s="1638"/>
      <c r="N126" s="850"/>
      <c r="O126" s="851"/>
      <c r="P126" s="850"/>
      <c r="Q126" s="1619"/>
      <c r="R126" s="850"/>
      <c r="S126" s="851"/>
      <c r="T126" s="850"/>
      <c r="U126" s="1587"/>
      <c r="V126" s="850"/>
      <c r="W126" s="851"/>
      <c r="X126" s="850"/>
      <c r="Y126" s="1635"/>
      <c r="Z126" s="850"/>
      <c r="AA126" s="851"/>
      <c r="AB126" s="850"/>
      <c r="AC126" s="1611"/>
      <c r="AD126" s="850"/>
      <c r="AE126" s="851"/>
      <c r="AF126" s="850"/>
      <c r="AG126" s="1647"/>
      <c r="AH126" s="1647"/>
      <c r="AI126" s="1650"/>
      <c r="AJ126" s="213"/>
      <c r="AK126" s="213"/>
    </row>
    <row r="127" spans="1:37" ht="9.9499999999999993" customHeight="1" x14ac:dyDescent="0.25">
      <c r="A127" s="1616"/>
      <c r="B127" s="1617"/>
      <c r="C127" s="1576"/>
      <c r="D127" s="1576"/>
      <c r="E127" s="1576"/>
      <c r="F127" s="849"/>
      <c r="G127" s="849"/>
      <c r="H127" s="849"/>
      <c r="I127" s="1588"/>
      <c r="J127" s="849"/>
      <c r="K127" s="849"/>
      <c r="L127" s="849"/>
      <c r="M127" s="1510"/>
      <c r="N127" s="849"/>
      <c r="O127" s="849"/>
      <c r="P127" s="849"/>
      <c r="Q127" s="1518"/>
      <c r="R127" s="849"/>
      <c r="S127" s="849"/>
      <c r="T127" s="849"/>
      <c r="U127" s="1588"/>
      <c r="V127" s="849"/>
      <c r="W127" s="849"/>
      <c r="X127" s="849"/>
      <c r="Y127" s="1522"/>
      <c r="Z127" s="849"/>
      <c r="AA127" s="849"/>
      <c r="AB127" s="849"/>
      <c r="AC127" s="1612"/>
      <c r="AD127" s="849"/>
      <c r="AE127" s="849"/>
      <c r="AF127" s="849"/>
      <c r="AG127" s="1648"/>
      <c r="AH127" s="1648"/>
      <c r="AI127" s="1651"/>
      <c r="AJ127" s="213"/>
      <c r="AK127" s="213"/>
    </row>
    <row r="128" spans="1:37" ht="9.9499999999999993" customHeight="1" x14ac:dyDescent="0.25">
      <c r="A128" s="270"/>
      <c r="B128" s="270"/>
      <c r="C128" s="270"/>
      <c r="D128" s="270"/>
      <c r="E128" s="270"/>
      <c r="F128" s="270"/>
      <c r="G128" s="270"/>
      <c r="H128" s="270"/>
      <c r="I128" s="270"/>
      <c r="J128" s="270"/>
      <c r="K128" s="270"/>
      <c r="L128" s="270"/>
      <c r="M128" s="852"/>
      <c r="N128" s="270"/>
      <c r="O128" s="270"/>
      <c r="P128" s="270"/>
      <c r="Q128" s="852"/>
      <c r="R128" s="270"/>
      <c r="S128" s="270"/>
      <c r="T128" s="270"/>
      <c r="U128" s="852"/>
      <c r="V128" s="270"/>
      <c r="W128" s="270"/>
      <c r="X128" s="270"/>
      <c r="Y128" s="852"/>
      <c r="Z128" s="270"/>
      <c r="AA128" s="270"/>
      <c r="AB128" s="270"/>
      <c r="AC128" s="852"/>
      <c r="AD128" s="270"/>
      <c r="AE128" s="270"/>
      <c r="AF128" s="270"/>
      <c r="AG128" s="853"/>
      <c r="AH128" s="853"/>
      <c r="AI128" s="856"/>
      <c r="AJ128" s="213"/>
      <c r="AK128" s="213"/>
    </row>
    <row r="129" spans="1:37" ht="9.9499999999999993" customHeight="1" x14ac:dyDescent="0.25">
      <c r="A129" s="1616">
        <v>3</v>
      </c>
      <c r="B129" s="1617">
        <v>1</v>
      </c>
      <c r="C129" s="1574" t="s">
        <v>5464</v>
      </c>
      <c r="D129" s="1574" t="s">
        <v>5475</v>
      </c>
      <c r="E129" s="1574" t="s">
        <v>978</v>
      </c>
      <c r="F129" s="849"/>
      <c r="G129" s="849"/>
      <c r="H129" s="849"/>
      <c r="I129" s="1586" t="s">
        <v>5355</v>
      </c>
      <c r="J129" s="849"/>
      <c r="K129" s="849"/>
      <c r="L129" s="849"/>
      <c r="M129" s="1509" t="s">
        <v>5367</v>
      </c>
      <c r="N129" s="849"/>
      <c r="O129" s="849"/>
      <c r="P129" s="849"/>
      <c r="Q129" s="1517" t="s">
        <v>5371</v>
      </c>
      <c r="R129" s="849"/>
      <c r="S129" s="849"/>
      <c r="T129" s="849"/>
      <c r="U129" s="1586" t="s">
        <v>5380</v>
      </c>
      <c r="V129" s="849"/>
      <c r="W129" s="849"/>
      <c r="X129" s="849"/>
      <c r="Y129" s="1521" t="s">
        <v>5386</v>
      </c>
      <c r="Z129" s="849"/>
      <c r="AA129" s="849"/>
      <c r="AB129" s="849"/>
      <c r="AC129" s="1610" t="s">
        <v>5394</v>
      </c>
      <c r="AD129" s="849"/>
      <c r="AE129" s="849"/>
      <c r="AF129" s="849"/>
      <c r="AG129" s="1646" t="s">
        <v>5476</v>
      </c>
      <c r="AH129" s="1646" t="s">
        <v>5477</v>
      </c>
      <c r="AI129" s="1649" t="s">
        <v>5478</v>
      </c>
      <c r="AJ129" s="213"/>
      <c r="AK129" s="213"/>
    </row>
    <row r="130" spans="1:37" ht="9.9499999999999993" customHeight="1" x14ac:dyDescent="0.25">
      <c r="A130" s="1616"/>
      <c r="B130" s="1617"/>
      <c r="C130" s="1575"/>
      <c r="D130" s="1575"/>
      <c r="E130" s="1575"/>
      <c r="F130" s="850"/>
      <c r="G130" s="851"/>
      <c r="H130" s="850"/>
      <c r="I130" s="1587"/>
      <c r="J130" s="850"/>
      <c r="K130" s="851"/>
      <c r="L130" s="850"/>
      <c r="M130" s="1638"/>
      <c r="N130" s="850"/>
      <c r="O130" s="851"/>
      <c r="P130" s="850"/>
      <c r="Q130" s="1619"/>
      <c r="R130" s="850"/>
      <c r="S130" s="851"/>
      <c r="T130" s="850"/>
      <c r="U130" s="1587"/>
      <c r="V130" s="850"/>
      <c r="W130" s="851"/>
      <c r="X130" s="850"/>
      <c r="Y130" s="1635"/>
      <c r="Z130" s="850"/>
      <c r="AA130" s="851"/>
      <c r="AB130" s="850"/>
      <c r="AC130" s="1611"/>
      <c r="AD130" s="850"/>
      <c r="AE130" s="851"/>
      <c r="AF130" s="850"/>
      <c r="AG130" s="1647"/>
      <c r="AH130" s="1647"/>
      <c r="AI130" s="1650"/>
      <c r="AJ130" s="213"/>
      <c r="AK130" s="213"/>
    </row>
    <row r="131" spans="1:37" ht="9.9499999999999993" customHeight="1" x14ac:dyDescent="0.25">
      <c r="A131" s="1616"/>
      <c r="B131" s="1617"/>
      <c r="C131" s="1576"/>
      <c r="D131" s="1576"/>
      <c r="E131" s="1576"/>
      <c r="F131" s="849"/>
      <c r="G131" s="849"/>
      <c r="H131" s="849"/>
      <c r="I131" s="1588"/>
      <c r="J131" s="849"/>
      <c r="K131" s="849"/>
      <c r="L131" s="849"/>
      <c r="M131" s="1510"/>
      <c r="N131" s="849"/>
      <c r="O131" s="849"/>
      <c r="P131" s="849"/>
      <c r="Q131" s="1518"/>
      <c r="R131" s="849"/>
      <c r="S131" s="849"/>
      <c r="T131" s="849"/>
      <c r="U131" s="1588"/>
      <c r="V131" s="849"/>
      <c r="W131" s="849"/>
      <c r="X131" s="849"/>
      <c r="Y131" s="1522"/>
      <c r="Z131" s="849"/>
      <c r="AA131" s="849"/>
      <c r="AB131" s="849"/>
      <c r="AC131" s="1612"/>
      <c r="AD131" s="849"/>
      <c r="AE131" s="849"/>
      <c r="AF131" s="849"/>
      <c r="AG131" s="1648"/>
      <c r="AH131" s="1648"/>
      <c r="AI131" s="1651"/>
      <c r="AJ131" s="213"/>
      <c r="AK131" s="213"/>
    </row>
    <row r="132" spans="1:37" ht="9.9499999999999993" customHeight="1" x14ac:dyDescent="0.25">
      <c r="A132" s="270"/>
      <c r="B132" s="270"/>
      <c r="C132" s="270"/>
      <c r="D132" s="270"/>
      <c r="E132" s="270"/>
      <c r="F132" s="270"/>
      <c r="G132" s="270"/>
      <c r="H132" s="270"/>
      <c r="I132" s="270"/>
      <c r="J132" s="270"/>
      <c r="K132" s="270"/>
      <c r="L132" s="270"/>
      <c r="M132" s="852"/>
      <c r="N132" s="270"/>
      <c r="O132" s="270"/>
      <c r="P132" s="270"/>
      <c r="Q132" s="852"/>
      <c r="R132" s="270"/>
      <c r="S132" s="270"/>
      <c r="T132" s="270"/>
      <c r="U132" s="852"/>
      <c r="V132" s="270"/>
      <c r="W132" s="270"/>
      <c r="X132" s="270"/>
      <c r="Y132" s="852"/>
      <c r="Z132" s="270"/>
      <c r="AA132" s="270"/>
      <c r="AB132" s="270"/>
      <c r="AC132" s="852"/>
      <c r="AD132" s="270"/>
      <c r="AE132" s="270"/>
      <c r="AF132" s="270"/>
      <c r="AG132" s="853"/>
      <c r="AH132" s="853"/>
      <c r="AI132" s="856"/>
      <c r="AJ132" s="213"/>
      <c r="AK132" s="213"/>
    </row>
    <row r="133" spans="1:37" ht="9.9499999999999993" customHeight="1" x14ac:dyDescent="0.25">
      <c r="A133" s="1616">
        <v>4</v>
      </c>
      <c r="B133" s="1617">
        <v>1</v>
      </c>
      <c r="C133" s="1574" t="s">
        <v>5465</v>
      </c>
      <c r="D133" s="1574" t="s">
        <v>5475</v>
      </c>
      <c r="E133" s="1574" t="s">
        <v>978</v>
      </c>
      <c r="F133" s="849"/>
      <c r="G133" s="849"/>
      <c r="H133" s="849"/>
      <c r="I133" s="1586" t="s">
        <v>5355</v>
      </c>
      <c r="J133" s="849"/>
      <c r="K133" s="849"/>
      <c r="L133" s="849"/>
      <c r="M133" s="1639" t="s">
        <v>5469</v>
      </c>
      <c r="N133" s="849"/>
      <c r="O133" s="849"/>
      <c r="P133" s="849"/>
      <c r="Q133" s="1623" t="s">
        <v>5377</v>
      </c>
      <c r="R133" s="849"/>
      <c r="S133" s="849"/>
      <c r="T133" s="849"/>
      <c r="U133" s="1586" t="s">
        <v>5380</v>
      </c>
      <c r="V133" s="849"/>
      <c r="W133" s="849"/>
      <c r="X133" s="849"/>
      <c r="Y133" s="1521" t="s">
        <v>5386</v>
      </c>
      <c r="Z133" s="849"/>
      <c r="AA133" s="849"/>
      <c r="AB133" s="849"/>
      <c r="AC133" s="1610" t="s">
        <v>5394</v>
      </c>
      <c r="AD133" s="849"/>
      <c r="AE133" s="849"/>
      <c r="AF133" s="849"/>
      <c r="AG133" s="1646" t="s">
        <v>5476</v>
      </c>
      <c r="AH133" s="1646" t="s">
        <v>5477</v>
      </c>
      <c r="AI133" s="1649" t="s">
        <v>5478</v>
      </c>
      <c r="AJ133" s="213"/>
      <c r="AK133" s="213"/>
    </row>
    <row r="134" spans="1:37" ht="9.9499999999999993" customHeight="1" x14ac:dyDescent="0.25">
      <c r="A134" s="1616"/>
      <c r="B134" s="1617"/>
      <c r="C134" s="1575"/>
      <c r="D134" s="1575"/>
      <c r="E134" s="1575"/>
      <c r="F134" s="850"/>
      <c r="G134" s="851"/>
      <c r="H134" s="850"/>
      <c r="I134" s="1587"/>
      <c r="J134" s="850"/>
      <c r="K134" s="851"/>
      <c r="L134" s="850"/>
      <c r="M134" s="1640"/>
      <c r="N134" s="850"/>
      <c r="O134" s="851"/>
      <c r="P134" s="850"/>
      <c r="Q134" s="1624"/>
      <c r="R134" s="850"/>
      <c r="S134" s="851"/>
      <c r="T134" s="850"/>
      <c r="U134" s="1587"/>
      <c r="V134" s="850"/>
      <c r="W134" s="851"/>
      <c r="X134" s="850"/>
      <c r="Y134" s="1635"/>
      <c r="Z134" s="850"/>
      <c r="AA134" s="851"/>
      <c r="AB134" s="850"/>
      <c r="AC134" s="1611"/>
      <c r="AD134" s="850"/>
      <c r="AE134" s="851"/>
      <c r="AF134" s="850"/>
      <c r="AG134" s="1647"/>
      <c r="AH134" s="1647"/>
      <c r="AI134" s="1650"/>
      <c r="AJ134" s="213"/>
      <c r="AK134" s="213"/>
    </row>
    <row r="135" spans="1:37" ht="9.9499999999999993" customHeight="1" x14ac:dyDescent="0.25">
      <c r="A135" s="1616"/>
      <c r="B135" s="1617"/>
      <c r="C135" s="1576"/>
      <c r="D135" s="1576"/>
      <c r="E135" s="1576"/>
      <c r="F135" s="849"/>
      <c r="G135" s="849"/>
      <c r="H135" s="849"/>
      <c r="I135" s="1588"/>
      <c r="J135" s="849"/>
      <c r="K135" s="849"/>
      <c r="L135" s="849"/>
      <c r="M135" s="1641"/>
      <c r="N135" s="849"/>
      <c r="O135" s="849"/>
      <c r="P135" s="849"/>
      <c r="Q135" s="1625"/>
      <c r="R135" s="849"/>
      <c r="S135" s="849"/>
      <c r="T135" s="849"/>
      <c r="U135" s="1588"/>
      <c r="V135" s="849"/>
      <c r="W135" s="849"/>
      <c r="X135" s="849"/>
      <c r="Y135" s="1522"/>
      <c r="Z135" s="849"/>
      <c r="AA135" s="849"/>
      <c r="AB135" s="849"/>
      <c r="AC135" s="1612"/>
      <c r="AD135" s="849"/>
      <c r="AE135" s="849"/>
      <c r="AF135" s="849"/>
      <c r="AG135" s="1648"/>
      <c r="AH135" s="1648"/>
      <c r="AI135" s="1651"/>
      <c r="AJ135" s="213"/>
      <c r="AK135" s="213"/>
    </row>
    <row r="136" spans="1:37" ht="9.9499999999999993" customHeight="1" x14ac:dyDescent="0.25">
      <c r="A136" s="270"/>
      <c r="B136" s="270"/>
      <c r="C136" s="270"/>
      <c r="D136" s="270"/>
      <c r="E136" s="270"/>
      <c r="F136" s="270"/>
      <c r="G136" s="270"/>
      <c r="H136" s="270"/>
      <c r="I136" s="270"/>
      <c r="J136" s="270"/>
      <c r="K136" s="270"/>
      <c r="L136" s="270"/>
      <c r="M136" s="852"/>
      <c r="N136" s="270"/>
      <c r="O136" s="270"/>
      <c r="P136" s="270"/>
      <c r="Q136" s="852"/>
      <c r="R136" s="270"/>
      <c r="S136" s="270"/>
      <c r="T136" s="270"/>
      <c r="U136" s="852"/>
      <c r="V136" s="270"/>
      <c r="W136" s="270"/>
      <c r="X136" s="270"/>
      <c r="Y136" s="852"/>
      <c r="Z136" s="270"/>
      <c r="AA136" s="270"/>
      <c r="AB136" s="270"/>
      <c r="AC136" s="852"/>
      <c r="AD136" s="270"/>
      <c r="AE136" s="270"/>
      <c r="AF136" s="270"/>
      <c r="AG136" s="853"/>
      <c r="AH136" s="853"/>
      <c r="AI136" s="856"/>
      <c r="AJ136" s="213"/>
      <c r="AK136" s="213"/>
    </row>
    <row r="137" spans="1:37" ht="9.9499999999999993" customHeight="1" x14ac:dyDescent="0.25">
      <c r="A137" s="1616">
        <v>5</v>
      </c>
      <c r="B137" s="1617">
        <v>1</v>
      </c>
      <c r="C137" s="1574" t="s">
        <v>5466</v>
      </c>
      <c r="D137" s="1574" t="s">
        <v>5475</v>
      </c>
      <c r="E137" s="1574" t="s">
        <v>978</v>
      </c>
      <c r="F137" s="849"/>
      <c r="G137" s="849"/>
      <c r="H137" s="849"/>
      <c r="I137" s="1586" t="s">
        <v>5355</v>
      </c>
      <c r="J137" s="849"/>
      <c r="K137" s="849"/>
      <c r="L137" s="849"/>
      <c r="M137" s="1639" t="s">
        <v>5469</v>
      </c>
      <c r="N137" s="849"/>
      <c r="O137" s="849"/>
      <c r="P137" s="849"/>
      <c r="Q137" s="1623" t="s">
        <v>5377</v>
      </c>
      <c r="R137" s="849"/>
      <c r="S137" s="849"/>
      <c r="T137" s="849"/>
      <c r="U137" s="1586" t="s">
        <v>5380</v>
      </c>
      <c r="V137" s="849"/>
      <c r="W137" s="849"/>
      <c r="X137" s="849"/>
      <c r="Y137" s="1521" t="s">
        <v>5386</v>
      </c>
      <c r="Z137" s="849"/>
      <c r="AA137" s="849"/>
      <c r="AB137" s="849"/>
      <c r="AC137" s="1610" t="s">
        <v>5394</v>
      </c>
      <c r="AD137" s="849"/>
      <c r="AE137" s="849"/>
      <c r="AF137" s="849"/>
      <c r="AG137" s="1646" t="s">
        <v>5476</v>
      </c>
      <c r="AH137" s="1646" t="s">
        <v>5477</v>
      </c>
      <c r="AI137" s="1649" t="s">
        <v>5478</v>
      </c>
      <c r="AJ137" s="213"/>
      <c r="AK137" s="213"/>
    </row>
    <row r="138" spans="1:37" ht="9.9499999999999993" customHeight="1" x14ac:dyDescent="0.25">
      <c r="A138" s="1616"/>
      <c r="B138" s="1617"/>
      <c r="C138" s="1575"/>
      <c r="D138" s="1575"/>
      <c r="E138" s="1575"/>
      <c r="F138" s="850"/>
      <c r="G138" s="851"/>
      <c r="H138" s="850"/>
      <c r="I138" s="1587"/>
      <c r="J138" s="850"/>
      <c r="K138" s="851"/>
      <c r="L138" s="850"/>
      <c r="M138" s="1640"/>
      <c r="N138" s="850"/>
      <c r="O138" s="851"/>
      <c r="P138" s="850"/>
      <c r="Q138" s="1624"/>
      <c r="R138" s="850"/>
      <c r="S138" s="851"/>
      <c r="T138" s="850"/>
      <c r="U138" s="1587"/>
      <c r="V138" s="850"/>
      <c r="W138" s="851"/>
      <c r="X138" s="850"/>
      <c r="Y138" s="1635"/>
      <c r="Z138" s="850"/>
      <c r="AA138" s="851"/>
      <c r="AB138" s="850"/>
      <c r="AC138" s="1611"/>
      <c r="AD138" s="850"/>
      <c r="AE138" s="851"/>
      <c r="AF138" s="850"/>
      <c r="AG138" s="1647"/>
      <c r="AH138" s="1647"/>
      <c r="AI138" s="1650"/>
      <c r="AJ138" s="213"/>
      <c r="AK138" s="213"/>
    </row>
    <row r="139" spans="1:37" ht="9.9499999999999993" customHeight="1" x14ac:dyDescent="0.25">
      <c r="A139" s="1616"/>
      <c r="B139" s="1617"/>
      <c r="C139" s="1576"/>
      <c r="D139" s="1576"/>
      <c r="E139" s="1576"/>
      <c r="F139" s="849"/>
      <c r="G139" s="849"/>
      <c r="H139" s="849"/>
      <c r="I139" s="1588"/>
      <c r="J139" s="849"/>
      <c r="K139" s="849"/>
      <c r="L139" s="849"/>
      <c r="M139" s="1641"/>
      <c r="N139" s="849"/>
      <c r="O139" s="849"/>
      <c r="P139" s="849"/>
      <c r="Q139" s="1625"/>
      <c r="R139" s="849"/>
      <c r="S139" s="849"/>
      <c r="T139" s="849"/>
      <c r="U139" s="1588"/>
      <c r="V139" s="849"/>
      <c r="W139" s="849"/>
      <c r="X139" s="849"/>
      <c r="Y139" s="1522"/>
      <c r="Z139" s="849"/>
      <c r="AA139" s="849"/>
      <c r="AB139" s="849"/>
      <c r="AC139" s="1612"/>
      <c r="AD139" s="849"/>
      <c r="AE139" s="849"/>
      <c r="AF139" s="849"/>
      <c r="AG139" s="1648"/>
      <c r="AH139" s="1648"/>
      <c r="AI139" s="1651"/>
      <c r="AJ139" s="213"/>
      <c r="AK139" s="213"/>
    </row>
    <row r="140" spans="1:37" ht="9.9499999999999993" customHeight="1" x14ac:dyDescent="0.25">
      <c r="A140" s="270"/>
      <c r="B140" s="270"/>
      <c r="C140" s="270"/>
      <c r="D140" s="270"/>
      <c r="E140" s="270"/>
      <c r="F140" s="270"/>
      <c r="G140" s="270"/>
      <c r="H140" s="270"/>
      <c r="I140" s="270"/>
      <c r="J140" s="270"/>
      <c r="K140" s="270"/>
      <c r="L140" s="270"/>
      <c r="M140" s="852"/>
      <c r="N140" s="270"/>
      <c r="O140" s="270"/>
      <c r="P140" s="270"/>
      <c r="Q140" s="852"/>
      <c r="R140" s="270"/>
      <c r="S140" s="270"/>
      <c r="T140" s="270"/>
      <c r="U140" s="852"/>
      <c r="V140" s="270"/>
      <c r="W140" s="270"/>
      <c r="X140" s="270"/>
      <c r="Y140" s="852"/>
      <c r="Z140" s="270"/>
      <c r="AA140" s="270"/>
      <c r="AB140" s="270"/>
      <c r="AC140" s="852"/>
      <c r="AD140" s="270"/>
      <c r="AE140" s="270"/>
      <c r="AF140" s="270"/>
      <c r="AG140" s="853"/>
      <c r="AH140" s="853"/>
      <c r="AI140" s="856"/>
      <c r="AJ140" s="213"/>
      <c r="AK140" s="213"/>
    </row>
    <row r="141" spans="1:37" ht="9.9499999999999993" customHeight="1" x14ac:dyDescent="0.25">
      <c r="A141" s="1616">
        <v>6</v>
      </c>
      <c r="B141" s="1617">
        <v>1</v>
      </c>
      <c r="C141" s="1574" t="s">
        <v>5467</v>
      </c>
      <c r="D141" s="1574" t="s">
        <v>5475</v>
      </c>
      <c r="E141" s="1574" t="s">
        <v>978</v>
      </c>
      <c r="F141" s="849"/>
      <c r="G141" s="849"/>
      <c r="H141" s="849"/>
      <c r="I141" s="1586" t="s">
        <v>5355</v>
      </c>
      <c r="J141" s="849"/>
      <c r="K141" s="849"/>
      <c r="L141" s="849"/>
      <c r="M141" s="1639" t="s">
        <v>5469</v>
      </c>
      <c r="N141" s="849"/>
      <c r="O141" s="849"/>
      <c r="P141" s="849"/>
      <c r="Q141" s="1623" t="s">
        <v>5377</v>
      </c>
      <c r="R141" s="849"/>
      <c r="S141" s="849"/>
      <c r="T141" s="849"/>
      <c r="U141" s="1586" t="s">
        <v>5380</v>
      </c>
      <c r="V141" s="849"/>
      <c r="W141" s="849"/>
      <c r="X141" s="849"/>
      <c r="Y141" s="1521" t="s">
        <v>5386</v>
      </c>
      <c r="Z141" s="849"/>
      <c r="AA141" s="849"/>
      <c r="AB141" s="849"/>
      <c r="AC141" s="1610" t="s">
        <v>5394</v>
      </c>
      <c r="AD141" s="849"/>
      <c r="AE141" s="849"/>
      <c r="AF141" s="849"/>
      <c r="AG141" s="1646" t="s">
        <v>5476</v>
      </c>
      <c r="AH141" s="1646" t="s">
        <v>5477</v>
      </c>
      <c r="AI141" s="1649" t="s">
        <v>5478</v>
      </c>
      <c r="AJ141" s="213"/>
      <c r="AK141" s="213"/>
    </row>
    <row r="142" spans="1:37" ht="9.9499999999999993" customHeight="1" x14ac:dyDescent="0.25">
      <c r="A142" s="1616"/>
      <c r="B142" s="1617"/>
      <c r="C142" s="1575"/>
      <c r="D142" s="1575"/>
      <c r="E142" s="1575"/>
      <c r="F142" s="850"/>
      <c r="G142" s="851"/>
      <c r="H142" s="850"/>
      <c r="I142" s="1587"/>
      <c r="J142" s="850"/>
      <c r="K142" s="851"/>
      <c r="L142" s="850"/>
      <c r="M142" s="1640"/>
      <c r="N142" s="850"/>
      <c r="O142" s="851"/>
      <c r="P142" s="850"/>
      <c r="Q142" s="1624"/>
      <c r="R142" s="850"/>
      <c r="S142" s="851"/>
      <c r="T142" s="850"/>
      <c r="U142" s="1587"/>
      <c r="V142" s="850"/>
      <c r="W142" s="851"/>
      <c r="X142" s="850"/>
      <c r="Y142" s="1635"/>
      <c r="Z142" s="850"/>
      <c r="AA142" s="851"/>
      <c r="AB142" s="850"/>
      <c r="AC142" s="1611"/>
      <c r="AD142" s="850"/>
      <c r="AE142" s="851"/>
      <c r="AF142" s="850"/>
      <c r="AG142" s="1647"/>
      <c r="AH142" s="1647"/>
      <c r="AI142" s="1650"/>
      <c r="AJ142" s="213"/>
      <c r="AK142" s="213"/>
    </row>
    <row r="143" spans="1:37" ht="9.9499999999999993" customHeight="1" x14ac:dyDescent="0.25">
      <c r="A143" s="1616"/>
      <c r="B143" s="1617"/>
      <c r="C143" s="1576"/>
      <c r="D143" s="1576"/>
      <c r="E143" s="1576"/>
      <c r="F143" s="849"/>
      <c r="G143" s="849"/>
      <c r="H143" s="849"/>
      <c r="I143" s="1588"/>
      <c r="J143" s="849"/>
      <c r="K143" s="849"/>
      <c r="L143" s="849"/>
      <c r="M143" s="1641"/>
      <c r="N143" s="849"/>
      <c r="O143" s="849"/>
      <c r="P143" s="849"/>
      <c r="Q143" s="1625"/>
      <c r="R143" s="849"/>
      <c r="S143" s="849"/>
      <c r="T143" s="849"/>
      <c r="U143" s="1588"/>
      <c r="V143" s="849"/>
      <c r="W143" s="849"/>
      <c r="X143" s="849"/>
      <c r="Y143" s="1522"/>
      <c r="Z143" s="849"/>
      <c r="AA143" s="849"/>
      <c r="AB143" s="849"/>
      <c r="AC143" s="1612"/>
      <c r="AD143" s="849"/>
      <c r="AE143" s="849"/>
      <c r="AF143" s="849"/>
      <c r="AG143" s="1648"/>
      <c r="AH143" s="1648"/>
      <c r="AI143" s="1651"/>
      <c r="AJ143" s="213"/>
      <c r="AK143" s="213"/>
    </row>
    <row r="144" spans="1:37" ht="9.9499999999999993" customHeight="1" x14ac:dyDescent="0.25">
      <c r="A144" s="270"/>
      <c r="B144" s="270"/>
      <c r="C144" s="270"/>
      <c r="D144" s="270"/>
      <c r="E144" s="270"/>
      <c r="F144" s="270"/>
      <c r="G144" s="270"/>
      <c r="H144" s="270"/>
      <c r="I144" s="270"/>
      <c r="J144" s="270"/>
      <c r="K144" s="270"/>
      <c r="L144" s="270"/>
      <c r="M144" s="852"/>
      <c r="N144" s="270"/>
      <c r="O144" s="270"/>
      <c r="P144" s="270"/>
      <c r="Q144" s="852"/>
      <c r="R144" s="270"/>
      <c r="S144" s="270"/>
      <c r="T144" s="270"/>
      <c r="U144" s="852"/>
      <c r="V144" s="270"/>
      <c r="W144" s="270"/>
      <c r="X144" s="270"/>
      <c r="Y144" s="852"/>
      <c r="Z144" s="270"/>
      <c r="AA144" s="270"/>
      <c r="AB144" s="270"/>
      <c r="AC144" s="852"/>
      <c r="AD144" s="270"/>
      <c r="AE144" s="270"/>
      <c r="AF144" s="270"/>
      <c r="AG144" s="853"/>
      <c r="AH144" s="853"/>
      <c r="AI144" s="856"/>
      <c r="AJ144" s="213"/>
      <c r="AK144" s="213"/>
    </row>
    <row r="145" spans="1:37" ht="9.9499999999999993" customHeight="1" x14ac:dyDescent="0.25">
      <c r="A145" s="1616">
        <v>7</v>
      </c>
      <c r="B145" s="1617">
        <v>1</v>
      </c>
      <c r="C145" s="1574" t="s">
        <v>5468</v>
      </c>
      <c r="D145" s="1574" t="s">
        <v>5475</v>
      </c>
      <c r="E145" s="1574" t="s">
        <v>978</v>
      </c>
      <c r="F145" s="849"/>
      <c r="G145" s="849"/>
      <c r="H145" s="849"/>
      <c r="I145" s="1586" t="s">
        <v>5355</v>
      </c>
      <c r="J145" s="849"/>
      <c r="K145" s="849"/>
      <c r="L145" s="849"/>
      <c r="M145" s="1639" t="s">
        <v>5469</v>
      </c>
      <c r="N145" s="849"/>
      <c r="O145" s="849"/>
      <c r="P145" s="849"/>
      <c r="Q145" s="1623" t="s">
        <v>5377</v>
      </c>
      <c r="R145" s="849"/>
      <c r="S145" s="849"/>
      <c r="T145" s="849"/>
      <c r="U145" s="1586" t="s">
        <v>5380</v>
      </c>
      <c r="V145" s="849"/>
      <c r="W145" s="849"/>
      <c r="X145" s="849"/>
      <c r="Y145" s="1521" t="s">
        <v>5386</v>
      </c>
      <c r="Z145" s="849"/>
      <c r="AA145" s="849"/>
      <c r="AB145" s="849"/>
      <c r="AC145" s="1610" t="s">
        <v>5394</v>
      </c>
      <c r="AD145" s="849"/>
      <c r="AE145" s="849"/>
      <c r="AF145" s="849"/>
      <c r="AG145" s="1646" t="s">
        <v>5476</v>
      </c>
      <c r="AH145" s="1646" t="s">
        <v>5477</v>
      </c>
      <c r="AI145" s="1649" t="s">
        <v>5478</v>
      </c>
      <c r="AJ145" s="213"/>
      <c r="AK145" s="213"/>
    </row>
    <row r="146" spans="1:37" ht="9.9499999999999993" customHeight="1" x14ac:dyDescent="0.25">
      <c r="A146" s="1616"/>
      <c r="B146" s="1617"/>
      <c r="C146" s="1575"/>
      <c r="D146" s="1575"/>
      <c r="E146" s="1575"/>
      <c r="F146" s="850"/>
      <c r="G146" s="851"/>
      <c r="H146" s="850"/>
      <c r="I146" s="1587"/>
      <c r="J146" s="850"/>
      <c r="K146" s="851"/>
      <c r="L146" s="850"/>
      <c r="M146" s="1640"/>
      <c r="N146" s="850"/>
      <c r="O146" s="851"/>
      <c r="P146" s="850"/>
      <c r="Q146" s="1624"/>
      <c r="R146" s="850"/>
      <c r="S146" s="851"/>
      <c r="T146" s="850"/>
      <c r="U146" s="1587"/>
      <c r="V146" s="850"/>
      <c r="W146" s="851"/>
      <c r="X146" s="850"/>
      <c r="Y146" s="1635"/>
      <c r="Z146" s="850"/>
      <c r="AA146" s="851"/>
      <c r="AB146" s="850"/>
      <c r="AC146" s="1611"/>
      <c r="AD146" s="850"/>
      <c r="AE146" s="851"/>
      <c r="AF146" s="850"/>
      <c r="AG146" s="1647"/>
      <c r="AH146" s="1647"/>
      <c r="AI146" s="1650"/>
      <c r="AJ146" s="213"/>
      <c r="AK146" s="213"/>
    </row>
    <row r="147" spans="1:37" ht="9.9499999999999993" customHeight="1" x14ac:dyDescent="0.25">
      <c r="A147" s="1616"/>
      <c r="B147" s="1617"/>
      <c r="C147" s="1576"/>
      <c r="D147" s="1576"/>
      <c r="E147" s="1576"/>
      <c r="F147" s="849"/>
      <c r="G147" s="849"/>
      <c r="H147" s="849"/>
      <c r="I147" s="1588"/>
      <c r="J147" s="849"/>
      <c r="K147" s="849"/>
      <c r="L147" s="849"/>
      <c r="M147" s="1641"/>
      <c r="N147" s="849"/>
      <c r="O147" s="849"/>
      <c r="P147" s="849"/>
      <c r="Q147" s="1625"/>
      <c r="R147" s="849"/>
      <c r="S147" s="849"/>
      <c r="T147" s="849"/>
      <c r="U147" s="1588"/>
      <c r="V147" s="849"/>
      <c r="W147" s="849"/>
      <c r="X147" s="849"/>
      <c r="Y147" s="1522"/>
      <c r="Z147" s="849"/>
      <c r="AA147" s="849"/>
      <c r="AB147" s="849"/>
      <c r="AC147" s="1612"/>
      <c r="AD147" s="849"/>
      <c r="AE147" s="849"/>
      <c r="AF147" s="849"/>
      <c r="AG147" s="1648"/>
      <c r="AH147" s="1648"/>
      <c r="AI147" s="1651"/>
      <c r="AJ147" s="213"/>
      <c r="AK147" s="213"/>
    </row>
    <row r="148" spans="1:37" ht="9.9499999999999993" customHeight="1" x14ac:dyDescent="0.25">
      <c r="A148" s="270"/>
      <c r="B148" s="270"/>
      <c r="C148" s="270"/>
      <c r="D148" s="270"/>
      <c r="E148" s="270"/>
      <c r="F148" s="270"/>
      <c r="G148" s="270"/>
      <c r="H148" s="270"/>
      <c r="I148" s="270"/>
      <c r="J148" s="270"/>
      <c r="K148" s="270"/>
      <c r="L148" s="270"/>
      <c r="M148" s="852"/>
      <c r="N148" s="270"/>
      <c r="O148" s="270"/>
      <c r="P148" s="270"/>
      <c r="Q148" s="852"/>
      <c r="R148" s="270"/>
      <c r="S148" s="270"/>
      <c r="T148" s="270"/>
      <c r="U148" s="852"/>
      <c r="V148" s="270"/>
      <c r="W148" s="270"/>
      <c r="X148" s="270"/>
      <c r="Y148" s="852"/>
      <c r="Z148" s="270"/>
      <c r="AA148" s="270"/>
      <c r="AB148" s="270"/>
      <c r="AC148" s="852"/>
      <c r="AD148" s="270"/>
      <c r="AE148" s="270"/>
      <c r="AF148" s="270"/>
      <c r="AG148" s="853"/>
      <c r="AH148" s="853"/>
      <c r="AI148" s="856"/>
      <c r="AJ148" s="213"/>
      <c r="AK148" s="213"/>
    </row>
    <row r="149" spans="1:37" ht="9.9499999999999993" customHeight="1" x14ac:dyDescent="0.25">
      <c r="A149" s="1616">
        <v>8</v>
      </c>
      <c r="B149" s="1617">
        <v>2</v>
      </c>
      <c r="C149" s="1574" t="s">
        <v>5458</v>
      </c>
      <c r="D149" s="1574" t="s">
        <v>5475</v>
      </c>
      <c r="E149" s="1574" t="s">
        <v>978</v>
      </c>
      <c r="F149" s="849"/>
      <c r="G149" s="849"/>
      <c r="H149" s="849"/>
      <c r="I149" s="1586" t="s">
        <v>5355</v>
      </c>
      <c r="J149" s="849"/>
      <c r="K149" s="849"/>
      <c r="L149" s="849"/>
      <c r="M149" s="1639" t="s">
        <v>5469</v>
      </c>
      <c r="N149" s="849"/>
      <c r="O149" s="849"/>
      <c r="P149" s="849"/>
      <c r="Q149" s="1620" t="s">
        <v>5374</v>
      </c>
      <c r="R149" s="849"/>
      <c r="S149" s="849"/>
      <c r="T149" s="849"/>
      <c r="U149" s="1586" t="s">
        <v>5380</v>
      </c>
      <c r="V149" s="849"/>
      <c r="W149" s="849"/>
      <c r="X149" s="849"/>
      <c r="Y149" s="1521" t="s">
        <v>5386</v>
      </c>
      <c r="Z149" s="849"/>
      <c r="AA149" s="849"/>
      <c r="AB149" s="849"/>
      <c r="AC149" s="1610" t="s">
        <v>5394</v>
      </c>
      <c r="AD149" s="849"/>
      <c r="AE149" s="849"/>
      <c r="AF149" s="849"/>
      <c r="AG149" s="1646" t="s">
        <v>5476</v>
      </c>
      <c r="AH149" s="1646" t="s">
        <v>5477</v>
      </c>
      <c r="AI149" s="1649" t="s">
        <v>5478</v>
      </c>
      <c r="AJ149" s="213"/>
      <c r="AK149" s="213"/>
    </row>
    <row r="150" spans="1:37" ht="9.9499999999999993" customHeight="1" x14ac:dyDescent="0.25">
      <c r="A150" s="1616"/>
      <c r="B150" s="1617"/>
      <c r="C150" s="1575"/>
      <c r="D150" s="1575"/>
      <c r="E150" s="1575"/>
      <c r="F150" s="850"/>
      <c r="G150" s="851"/>
      <c r="H150" s="850"/>
      <c r="I150" s="1587"/>
      <c r="J150" s="850"/>
      <c r="K150" s="851"/>
      <c r="L150" s="850"/>
      <c r="M150" s="1640"/>
      <c r="N150" s="850"/>
      <c r="O150" s="851"/>
      <c r="P150" s="850"/>
      <c r="Q150" s="1621"/>
      <c r="R150" s="850"/>
      <c r="S150" s="851"/>
      <c r="T150" s="850"/>
      <c r="U150" s="1587"/>
      <c r="V150" s="850"/>
      <c r="W150" s="851"/>
      <c r="X150" s="850"/>
      <c r="Y150" s="1635"/>
      <c r="Z150" s="850"/>
      <c r="AA150" s="851"/>
      <c r="AB150" s="850"/>
      <c r="AC150" s="1611"/>
      <c r="AD150" s="850"/>
      <c r="AE150" s="851"/>
      <c r="AF150" s="850"/>
      <c r="AG150" s="1647"/>
      <c r="AH150" s="1647"/>
      <c r="AI150" s="1650"/>
      <c r="AJ150" s="213"/>
      <c r="AK150" s="213"/>
    </row>
    <row r="151" spans="1:37" ht="9.9499999999999993" customHeight="1" x14ac:dyDescent="0.25">
      <c r="A151" s="1616"/>
      <c r="B151" s="1617"/>
      <c r="C151" s="1576"/>
      <c r="D151" s="1576"/>
      <c r="E151" s="1576"/>
      <c r="F151" s="849"/>
      <c r="G151" s="849"/>
      <c r="H151" s="849"/>
      <c r="I151" s="1588"/>
      <c r="J151" s="849"/>
      <c r="K151" s="849"/>
      <c r="L151" s="849"/>
      <c r="M151" s="1641"/>
      <c r="N151" s="849"/>
      <c r="O151" s="849"/>
      <c r="P151" s="849"/>
      <c r="Q151" s="1622"/>
      <c r="R151" s="849"/>
      <c r="S151" s="849"/>
      <c r="T151" s="849"/>
      <c r="U151" s="1588"/>
      <c r="V151" s="849"/>
      <c r="W151" s="849"/>
      <c r="X151" s="849"/>
      <c r="Y151" s="1522"/>
      <c r="Z151" s="849"/>
      <c r="AA151" s="849"/>
      <c r="AB151" s="849"/>
      <c r="AC151" s="1612"/>
      <c r="AD151" s="849"/>
      <c r="AE151" s="849"/>
      <c r="AF151" s="849"/>
      <c r="AG151" s="1648"/>
      <c r="AH151" s="1648"/>
      <c r="AI151" s="1651"/>
      <c r="AJ151" s="213"/>
      <c r="AK151" s="213"/>
    </row>
    <row r="152" spans="1:37" ht="9.9499999999999993" customHeight="1" x14ac:dyDescent="0.25">
      <c r="A152" s="270"/>
      <c r="B152" s="270"/>
      <c r="C152" s="270"/>
      <c r="D152" s="270"/>
      <c r="E152" s="270"/>
      <c r="F152" s="270"/>
      <c r="G152" s="270"/>
      <c r="H152" s="270"/>
      <c r="I152" s="270"/>
      <c r="J152" s="270"/>
      <c r="K152" s="270"/>
      <c r="L152" s="270"/>
      <c r="M152" s="852"/>
      <c r="N152" s="270"/>
      <c r="O152" s="270"/>
      <c r="P152" s="270"/>
      <c r="Q152" s="852"/>
      <c r="R152" s="270"/>
      <c r="S152" s="270"/>
      <c r="T152" s="270"/>
      <c r="U152" s="852"/>
      <c r="V152" s="270"/>
      <c r="W152" s="270"/>
      <c r="X152" s="270"/>
      <c r="Y152" s="852"/>
      <c r="Z152" s="270"/>
      <c r="AA152" s="270"/>
      <c r="AB152" s="270"/>
      <c r="AC152" s="852"/>
      <c r="AD152" s="270"/>
      <c r="AE152" s="270"/>
      <c r="AF152" s="270"/>
      <c r="AG152" s="853"/>
      <c r="AH152" s="853"/>
      <c r="AI152" s="856"/>
      <c r="AJ152" s="213"/>
      <c r="AK152" s="213"/>
    </row>
    <row r="153" spans="1:37" ht="9.9499999999999993" customHeight="1" x14ac:dyDescent="0.25">
      <c r="A153" s="1616">
        <v>9</v>
      </c>
      <c r="B153" s="1617">
        <v>2</v>
      </c>
      <c r="C153" s="1574" t="s">
        <v>5463</v>
      </c>
      <c r="D153" s="1574" t="s">
        <v>5475</v>
      </c>
      <c r="E153" s="1574" t="s">
        <v>978</v>
      </c>
      <c r="F153" s="849"/>
      <c r="G153" s="849"/>
      <c r="H153" s="849"/>
      <c r="I153" s="1586" t="s">
        <v>5355</v>
      </c>
      <c r="J153" s="849"/>
      <c r="K153" s="849"/>
      <c r="L153" s="849"/>
      <c r="M153" s="1639" t="s">
        <v>5471</v>
      </c>
      <c r="N153" s="849"/>
      <c r="O153" s="849"/>
      <c r="P153" s="849"/>
      <c r="Q153" s="1620" t="s">
        <v>5374</v>
      </c>
      <c r="R153" s="849"/>
      <c r="S153" s="849"/>
      <c r="T153" s="849"/>
      <c r="U153" s="1586" t="s">
        <v>5380</v>
      </c>
      <c r="V153" s="849"/>
      <c r="W153" s="849"/>
      <c r="X153" s="849"/>
      <c r="Y153" s="1521" t="s">
        <v>5386</v>
      </c>
      <c r="Z153" s="849"/>
      <c r="AA153" s="849"/>
      <c r="AB153" s="849"/>
      <c r="AC153" s="1519" t="s">
        <v>5397</v>
      </c>
      <c r="AD153" s="849"/>
      <c r="AE153" s="849"/>
      <c r="AF153" s="849"/>
      <c r="AG153" s="1646" t="s">
        <v>5476</v>
      </c>
      <c r="AH153" s="1646" t="s">
        <v>5477</v>
      </c>
      <c r="AI153" s="1649" t="s">
        <v>5478</v>
      </c>
      <c r="AJ153" s="213"/>
      <c r="AK153" s="213"/>
    </row>
    <row r="154" spans="1:37" ht="9.9499999999999993" customHeight="1" x14ac:dyDescent="0.25">
      <c r="A154" s="1616"/>
      <c r="B154" s="1617"/>
      <c r="C154" s="1575"/>
      <c r="D154" s="1575"/>
      <c r="E154" s="1575"/>
      <c r="F154" s="850"/>
      <c r="G154" s="851"/>
      <c r="H154" s="850"/>
      <c r="I154" s="1587"/>
      <c r="J154" s="850"/>
      <c r="K154" s="851"/>
      <c r="L154" s="850"/>
      <c r="M154" s="1640"/>
      <c r="N154" s="850"/>
      <c r="O154" s="851"/>
      <c r="P154" s="850"/>
      <c r="Q154" s="1621"/>
      <c r="R154" s="850"/>
      <c r="S154" s="851"/>
      <c r="T154" s="850"/>
      <c r="U154" s="1587"/>
      <c r="V154" s="850"/>
      <c r="W154" s="851"/>
      <c r="X154" s="850"/>
      <c r="Y154" s="1635"/>
      <c r="Z154" s="850"/>
      <c r="AA154" s="851"/>
      <c r="AB154" s="850"/>
      <c r="AC154" s="1618"/>
      <c r="AD154" s="850"/>
      <c r="AE154" s="851"/>
      <c r="AF154" s="850"/>
      <c r="AG154" s="1647"/>
      <c r="AH154" s="1647"/>
      <c r="AI154" s="1650"/>
      <c r="AJ154" s="213"/>
      <c r="AK154" s="213"/>
    </row>
    <row r="155" spans="1:37" ht="9.9499999999999993" customHeight="1" x14ac:dyDescent="0.25">
      <c r="A155" s="1616"/>
      <c r="B155" s="1617"/>
      <c r="C155" s="1576"/>
      <c r="D155" s="1576"/>
      <c r="E155" s="1576"/>
      <c r="F155" s="849"/>
      <c r="G155" s="849"/>
      <c r="H155" s="849"/>
      <c r="I155" s="1588"/>
      <c r="J155" s="849"/>
      <c r="K155" s="849"/>
      <c r="L155" s="849"/>
      <c r="M155" s="1641"/>
      <c r="N155" s="849"/>
      <c r="O155" s="849"/>
      <c r="P155" s="849"/>
      <c r="Q155" s="1622"/>
      <c r="R155" s="849"/>
      <c r="S155" s="849"/>
      <c r="T155" s="849"/>
      <c r="U155" s="1588"/>
      <c r="V155" s="849"/>
      <c r="W155" s="849"/>
      <c r="X155" s="849"/>
      <c r="Y155" s="1522"/>
      <c r="Z155" s="849"/>
      <c r="AA155" s="849"/>
      <c r="AB155" s="849"/>
      <c r="AC155" s="1520"/>
      <c r="AD155" s="849"/>
      <c r="AE155" s="849"/>
      <c r="AF155" s="849"/>
      <c r="AG155" s="1648"/>
      <c r="AH155" s="1648"/>
      <c r="AI155" s="1651"/>
      <c r="AJ155" s="213"/>
      <c r="AK155" s="213"/>
    </row>
    <row r="156" spans="1:37" ht="9.9499999999999993" customHeight="1" x14ac:dyDescent="0.25">
      <c r="A156" s="270"/>
      <c r="B156" s="270"/>
      <c r="C156" s="270"/>
      <c r="D156" s="270"/>
      <c r="E156" s="270"/>
      <c r="F156" s="270"/>
      <c r="G156" s="270"/>
      <c r="H156" s="270"/>
      <c r="I156" s="270"/>
      <c r="J156" s="270"/>
      <c r="K156" s="270"/>
      <c r="L156" s="270"/>
      <c r="M156" s="852"/>
      <c r="N156" s="270"/>
      <c r="O156" s="270"/>
      <c r="P156" s="270"/>
      <c r="Q156" s="852"/>
      <c r="R156" s="270"/>
      <c r="S156" s="270"/>
      <c r="T156" s="270"/>
      <c r="U156" s="852"/>
      <c r="V156" s="270"/>
      <c r="W156" s="270"/>
      <c r="X156" s="270"/>
      <c r="Y156" s="852"/>
      <c r="Z156" s="270"/>
      <c r="AA156" s="270"/>
      <c r="AB156" s="270"/>
      <c r="AC156" s="852"/>
      <c r="AD156" s="270"/>
      <c r="AE156" s="270"/>
      <c r="AF156" s="270"/>
      <c r="AG156" s="853"/>
      <c r="AH156" s="853"/>
      <c r="AI156" s="856"/>
      <c r="AJ156" s="213"/>
      <c r="AK156" s="213"/>
    </row>
    <row r="157" spans="1:37" ht="9.9499999999999993" customHeight="1" x14ac:dyDescent="0.25">
      <c r="A157" s="1616">
        <v>10</v>
      </c>
      <c r="B157" s="1617">
        <v>2</v>
      </c>
      <c r="C157" s="1574" t="s">
        <v>5464</v>
      </c>
      <c r="D157" s="1574" t="s">
        <v>5475</v>
      </c>
      <c r="E157" s="1574" t="s">
        <v>978</v>
      </c>
      <c r="F157" s="849"/>
      <c r="G157" s="849"/>
      <c r="H157" s="849"/>
      <c r="I157" s="1586" t="s">
        <v>5355</v>
      </c>
      <c r="J157" s="849"/>
      <c r="K157" s="849"/>
      <c r="L157" s="849"/>
      <c r="M157" s="1639" t="s">
        <v>5471</v>
      </c>
      <c r="N157" s="849"/>
      <c r="O157" s="849"/>
      <c r="P157" s="849"/>
      <c r="Q157" s="1620" t="s">
        <v>5374</v>
      </c>
      <c r="R157" s="849"/>
      <c r="S157" s="849"/>
      <c r="T157" s="849"/>
      <c r="U157" s="1586" t="s">
        <v>5380</v>
      </c>
      <c r="V157" s="849"/>
      <c r="W157" s="849"/>
      <c r="X157" s="849"/>
      <c r="Y157" s="1521" t="s">
        <v>5386</v>
      </c>
      <c r="Z157" s="849"/>
      <c r="AA157" s="849"/>
      <c r="AB157" s="849"/>
      <c r="AC157" s="1519" t="s">
        <v>5397</v>
      </c>
      <c r="AD157" s="849"/>
      <c r="AE157" s="849"/>
      <c r="AF157" s="849"/>
      <c r="AG157" s="1646" t="s">
        <v>5476</v>
      </c>
      <c r="AH157" s="1646" t="s">
        <v>5477</v>
      </c>
      <c r="AI157" s="1649" t="s">
        <v>5478</v>
      </c>
      <c r="AJ157" s="213"/>
      <c r="AK157" s="213"/>
    </row>
    <row r="158" spans="1:37" ht="9.9499999999999993" customHeight="1" x14ac:dyDescent="0.25">
      <c r="A158" s="1616"/>
      <c r="B158" s="1617"/>
      <c r="C158" s="1575"/>
      <c r="D158" s="1575"/>
      <c r="E158" s="1575"/>
      <c r="F158" s="850"/>
      <c r="G158" s="851"/>
      <c r="H158" s="850"/>
      <c r="I158" s="1587"/>
      <c r="J158" s="850"/>
      <c r="K158" s="851"/>
      <c r="L158" s="850"/>
      <c r="M158" s="1640"/>
      <c r="N158" s="850"/>
      <c r="O158" s="851"/>
      <c r="P158" s="850"/>
      <c r="Q158" s="1621"/>
      <c r="R158" s="850"/>
      <c r="S158" s="851"/>
      <c r="T158" s="850"/>
      <c r="U158" s="1587"/>
      <c r="V158" s="850"/>
      <c r="W158" s="851"/>
      <c r="X158" s="850"/>
      <c r="Y158" s="1635"/>
      <c r="Z158" s="850"/>
      <c r="AA158" s="851"/>
      <c r="AB158" s="850"/>
      <c r="AC158" s="1618"/>
      <c r="AD158" s="850"/>
      <c r="AE158" s="851"/>
      <c r="AF158" s="850"/>
      <c r="AG158" s="1647"/>
      <c r="AH158" s="1647"/>
      <c r="AI158" s="1650"/>
      <c r="AJ158" s="213"/>
      <c r="AK158" s="213"/>
    </row>
    <row r="159" spans="1:37" ht="9.9499999999999993" customHeight="1" x14ac:dyDescent="0.25">
      <c r="A159" s="1616"/>
      <c r="B159" s="1617"/>
      <c r="C159" s="1576"/>
      <c r="D159" s="1576"/>
      <c r="E159" s="1576"/>
      <c r="F159" s="849"/>
      <c r="G159" s="849"/>
      <c r="H159" s="849"/>
      <c r="I159" s="1588"/>
      <c r="J159" s="849"/>
      <c r="K159" s="849"/>
      <c r="L159" s="849"/>
      <c r="M159" s="1641"/>
      <c r="N159" s="849"/>
      <c r="O159" s="849"/>
      <c r="P159" s="849"/>
      <c r="Q159" s="1622"/>
      <c r="R159" s="849"/>
      <c r="S159" s="849"/>
      <c r="T159" s="849"/>
      <c r="U159" s="1588"/>
      <c r="V159" s="849"/>
      <c r="W159" s="849"/>
      <c r="X159" s="849"/>
      <c r="Y159" s="1522"/>
      <c r="Z159" s="849"/>
      <c r="AA159" s="849"/>
      <c r="AB159" s="849"/>
      <c r="AC159" s="1520"/>
      <c r="AD159" s="849"/>
      <c r="AE159" s="849"/>
      <c r="AF159" s="849"/>
      <c r="AG159" s="1648"/>
      <c r="AH159" s="1648"/>
      <c r="AI159" s="1651"/>
      <c r="AJ159" s="213"/>
      <c r="AK159" s="213"/>
    </row>
    <row r="160" spans="1:37" ht="9.9499999999999993" customHeight="1" x14ac:dyDescent="0.25">
      <c r="A160" s="270"/>
      <c r="B160" s="270"/>
      <c r="C160" s="270"/>
      <c r="D160" s="270"/>
      <c r="E160" s="270"/>
      <c r="F160" s="270"/>
      <c r="G160" s="270"/>
      <c r="H160" s="270"/>
      <c r="I160" s="270"/>
      <c r="J160" s="270"/>
      <c r="K160" s="270"/>
      <c r="L160" s="270"/>
      <c r="M160" s="852"/>
      <c r="N160" s="270"/>
      <c r="O160" s="270"/>
      <c r="P160" s="270"/>
      <c r="Q160" s="852"/>
      <c r="R160" s="270"/>
      <c r="S160" s="270"/>
      <c r="T160" s="270"/>
      <c r="U160" s="852"/>
      <c r="V160" s="270"/>
      <c r="W160" s="270"/>
      <c r="X160" s="270"/>
      <c r="Y160" s="852"/>
      <c r="Z160" s="270"/>
      <c r="AA160" s="270"/>
      <c r="AB160" s="270"/>
      <c r="AC160" s="852"/>
      <c r="AD160" s="270"/>
      <c r="AE160" s="270"/>
      <c r="AF160" s="270"/>
      <c r="AG160" s="853"/>
      <c r="AH160" s="853"/>
      <c r="AI160" s="856"/>
      <c r="AJ160" s="213"/>
      <c r="AK160" s="213"/>
    </row>
    <row r="161" spans="1:37" ht="9.9499999999999993" customHeight="1" x14ac:dyDescent="0.25">
      <c r="A161" s="1616">
        <v>11</v>
      </c>
      <c r="B161" s="1617">
        <v>2</v>
      </c>
      <c r="C161" s="1574" t="s">
        <v>5465</v>
      </c>
      <c r="D161" s="1574" t="s">
        <v>5475</v>
      </c>
      <c r="E161" s="1574" t="s">
        <v>978</v>
      </c>
      <c r="F161" s="849"/>
      <c r="G161" s="849"/>
      <c r="H161" s="849"/>
      <c r="I161" s="1586" t="s">
        <v>5355</v>
      </c>
      <c r="J161" s="849"/>
      <c r="K161" s="849"/>
      <c r="L161" s="849"/>
      <c r="M161" s="1639" t="s">
        <v>5471</v>
      </c>
      <c r="N161" s="849"/>
      <c r="O161" s="849"/>
      <c r="P161" s="849"/>
      <c r="Q161" s="1620" t="s">
        <v>5374</v>
      </c>
      <c r="R161" s="849"/>
      <c r="S161" s="849"/>
      <c r="T161" s="849"/>
      <c r="U161" s="1586" t="s">
        <v>5380</v>
      </c>
      <c r="V161" s="849"/>
      <c r="W161" s="849"/>
      <c r="X161" s="849"/>
      <c r="Y161" s="1521" t="s">
        <v>5386</v>
      </c>
      <c r="Z161" s="849"/>
      <c r="AA161" s="849"/>
      <c r="AB161" s="849"/>
      <c r="AC161" s="1519" t="s">
        <v>5397</v>
      </c>
      <c r="AD161" s="849"/>
      <c r="AE161" s="849"/>
      <c r="AF161" s="849"/>
      <c r="AG161" s="1646" t="s">
        <v>5476</v>
      </c>
      <c r="AH161" s="1646" t="s">
        <v>5477</v>
      </c>
      <c r="AI161" s="1649" t="s">
        <v>5478</v>
      </c>
      <c r="AJ161" s="213"/>
      <c r="AK161" s="213"/>
    </row>
    <row r="162" spans="1:37" ht="9.9499999999999993" customHeight="1" x14ac:dyDescent="0.25">
      <c r="A162" s="1616"/>
      <c r="B162" s="1617"/>
      <c r="C162" s="1575"/>
      <c r="D162" s="1575"/>
      <c r="E162" s="1575"/>
      <c r="F162" s="850"/>
      <c r="G162" s="851"/>
      <c r="H162" s="850"/>
      <c r="I162" s="1587"/>
      <c r="J162" s="850"/>
      <c r="K162" s="851"/>
      <c r="L162" s="850"/>
      <c r="M162" s="1640"/>
      <c r="N162" s="850"/>
      <c r="O162" s="851"/>
      <c r="P162" s="850"/>
      <c r="Q162" s="1621"/>
      <c r="R162" s="850"/>
      <c r="S162" s="851"/>
      <c r="T162" s="850"/>
      <c r="U162" s="1587"/>
      <c r="V162" s="850"/>
      <c r="W162" s="851"/>
      <c r="X162" s="850"/>
      <c r="Y162" s="1635"/>
      <c r="Z162" s="850"/>
      <c r="AA162" s="851"/>
      <c r="AB162" s="850"/>
      <c r="AC162" s="1618"/>
      <c r="AD162" s="850"/>
      <c r="AE162" s="851"/>
      <c r="AF162" s="850"/>
      <c r="AG162" s="1647"/>
      <c r="AH162" s="1647"/>
      <c r="AI162" s="1650"/>
      <c r="AJ162" s="213"/>
      <c r="AK162" s="213"/>
    </row>
    <row r="163" spans="1:37" ht="9.9499999999999993" customHeight="1" x14ac:dyDescent="0.25">
      <c r="A163" s="1616"/>
      <c r="B163" s="1617"/>
      <c r="C163" s="1576"/>
      <c r="D163" s="1576"/>
      <c r="E163" s="1576"/>
      <c r="F163" s="849"/>
      <c r="G163" s="849"/>
      <c r="H163" s="849"/>
      <c r="I163" s="1588"/>
      <c r="J163" s="849"/>
      <c r="K163" s="849"/>
      <c r="L163" s="849"/>
      <c r="M163" s="1641"/>
      <c r="N163" s="849"/>
      <c r="O163" s="849"/>
      <c r="P163" s="849"/>
      <c r="Q163" s="1622"/>
      <c r="R163" s="849"/>
      <c r="S163" s="849"/>
      <c r="T163" s="849"/>
      <c r="U163" s="1588"/>
      <c r="V163" s="849"/>
      <c r="W163" s="849"/>
      <c r="X163" s="849"/>
      <c r="Y163" s="1522"/>
      <c r="Z163" s="849"/>
      <c r="AA163" s="849"/>
      <c r="AB163" s="849"/>
      <c r="AC163" s="1520"/>
      <c r="AD163" s="849"/>
      <c r="AE163" s="849"/>
      <c r="AF163" s="849"/>
      <c r="AG163" s="1648"/>
      <c r="AH163" s="1648"/>
      <c r="AI163" s="1651"/>
      <c r="AJ163" s="213"/>
      <c r="AK163" s="213"/>
    </row>
    <row r="164" spans="1:37" ht="9.9499999999999993" customHeight="1" x14ac:dyDescent="0.25">
      <c r="A164" s="270"/>
      <c r="B164" s="270"/>
      <c r="C164" s="270"/>
      <c r="D164" s="270"/>
      <c r="E164" s="270"/>
      <c r="F164" s="270"/>
      <c r="G164" s="270"/>
      <c r="H164" s="270"/>
      <c r="I164" s="270"/>
      <c r="J164" s="270"/>
      <c r="K164" s="270"/>
      <c r="L164" s="270"/>
      <c r="M164" s="852"/>
      <c r="N164" s="270"/>
      <c r="O164" s="270"/>
      <c r="P164" s="270"/>
      <c r="Q164" s="852"/>
      <c r="R164" s="270"/>
      <c r="S164" s="270"/>
      <c r="T164" s="270"/>
      <c r="U164" s="852"/>
      <c r="V164" s="270"/>
      <c r="W164" s="270"/>
      <c r="X164" s="270"/>
      <c r="Y164" s="852"/>
      <c r="Z164" s="270"/>
      <c r="AA164" s="270"/>
      <c r="AB164" s="270"/>
      <c r="AC164" s="852"/>
      <c r="AD164" s="270"/>
      <c r="AE164" s="270"/>
      <c r="AF164" s="270"/>
      <c r="AG164" s="853"/>
      <c r="AH164" s="853"/>
      <c r="AI164" s="856"/>
      <c r="AJ164" s="213"/>
      <c r="AK164" s="213"/>
    </row>
    <row r="165" spans="1:37" ht="9.9499999999999993" customHeight="1" x14ac:dyDescent="0.25">
      <c r="A165" s="1616">
        <v>12</v>
      </c>
      <c r="B165" s="1617">
        <v>2</v>
      </c>
      <c r="C165" s="1574" t="s">
        <v>5466</v>
      </c>
      <c r="D165" s="1574" t="s">
        <v>5475</v>
      </c>
      <c r="E165" s="1574" t="s">
        <v>978</v>
      </c>
      <c r="F165" s="849"/>
      <c r="G165" s="849"/>
      <c r="H165" s="849"/>
      <c r="I165" s="1586" t="s">
        <v>5355</v>
      </c>
      <c r="J165" s="849"/>
      <c r="K165" s="849"/>
      <c r="L165" s="849"/>
      <c r="M165" s="1639" t="s">
        <v>5471</v>
      </c>
      <c r="N165" s="849"/>
      <c r="O165" s="849"/>
      <c r="P165" s="849"/>
      <c r="Q165" s="1620" t="s">
        <v>5374</v>
      </c>
      <c r="R165" s="849"/>
      <c r="S165" s="849"/>
      <c r="T165" s="849"/>
      <c r="U165" s="1586" t="s">
        <v>5380</v>
      </c>
      <c r="V165" s="849"/>
      <c r="W165" s="849"/>
      <c r="X165" s="849"/>
      <c r="Y165" s="1521" t="s">
        <v>5386</v>
      </c>
      <c r="Z165" s="849"/>
      <c r="AA165" s="849"/>
      <c r="AB165" s="849"/>
      <c r="AC165" s="1519" t="s">
        <v>5397</v>
      </c>
      <c r="AD165" s="849"/>
      <c r="AE165" s="849"/>
      <c r="AF165" s="849"/>
      <c r="AG165" s="1646" t="s">
        <v>5476</v>
      </c>
      <c r="AH165" s="1646" t="s">
        <v>5477</v>
      </c>
      <c r="AI165" s="1649" t="s">
        <v>5478</v>
      </c>
      <c r="AJ165" s="213"/>
      <c r="AK165" s="213"/>
    </row>
    <row r="166" spans="1:37" ht="9.9499999999999993" customHeight="1" x14ac:dyDescent="0.25">
      <c r="A166" s="1616"/>
      <c r="B166" s="1617"/>
      <c r="C166" s="1575"/>
      <c r="D166" s="1575"/>
      <c r="E166" s="1575"/>
      <c r="F166" s="850"/>
      <c r="G166" s="851"/>
      <c r="H166" s="850"/>
      <c r="I166" s="1587"/>
      <c r="J166" s="850"/>
      <c r="K166" s="851"/>
      <c r="L166" s="850"/>
      <c r="M166" s="1640"/>
      <c r="N166" s="850"/>
      <c r="O166" s="851"/>
      <c r="P166" s="850"/>
      <c r="Q166" s="1621"/>
      <c r="R166" s="850"/>
      <c r="S166" s="851"/>
      <c r="T166" s="850"/>
      <c r="U166" s="1587"/>
      <c r="V166" s="850"/>
      <c r="W166" s="851"/>
      <c r="X166" s="850"/>
      <c r="Y166" s="1635"/>
      <c r="Z166" s="850"/>
      <c r="AA166" s="851"/>
      <c r="AB166" s="850"/>
      <c r="AC166" s="1618"/>
      <c r="AD166" s="850"/>
      <c r="AE166" s="851"/>
      <c r="AF166" s="850"/>
      <c r="AG166" s="1647"/>
      <c r="AH166" s="1647"/>
      <c r="AI166" s="1650"/>
      <c r="AJ166" s="213"/>
      <c r="AK166" s="213"/>
    </row>
    <row r="167" spans="1:37" ht="9.9499999999999993" customHeight="1" x14ac:dyDescent="0.25">
      <c r="A167" s="1616"/>
      <c r="B167" s="1617"/>
      <c r="C167" s="1576"/>
      <c r="D167" s="1576"/>
      <c r="E167" s="1576"/>
      <c r="F167" s="849"/>
      <c r="G167" s="849"/>
      <c r="H167" s="849"/>
      <c r="I167" s="1588"/>
      <c r="J167" s="849"/>
      <c r="K167" s="849"/>
      <c r="L167" s="849"/>
      <c r="M167" s="1641"/>
      <c r="N167" s="849"/>
      <c r="O167" s="849"/>
      <c r="P167" s="849"/>
      <c r="Q167" s="1622"/>
      <c r="R167" s="849"/>
      <c r="S167" s="849"/>
      <c r="T167" s="849"/>
      <c r="U167" s="1588"/>
      <c r="V167" s="849"/>
      <c r="W167" s="849"/>
      <c r="X167" s="849"/>
      <c r="Y167" s="1522"/>
      <c r="Z167" s="849"/>
      <c r="AA167" s="849"/>
      <c r="AB167" s="849"/>
      <c r="AC167" s="1520"/>
      <c r="AD167" s="849"/>
      <c r="AE167" s="849"/>
      <c r="AF167" s="849"/>
      <c r="AG167" s="1648"/>
      <c r="AH167" s="1648"/>
      <c r="AI167" s="1651"/>
      <c r="AJ167" s="213"/>
      <c r="AK167" s="213"/>
    </row>
    <row r="168" spans="1:37" ht="9.9499999999999993" customHeight="1" x14ac:dyDescent="0.25">
      <c r="A168" s="270"/>
      <c r="B168" s="270"/>
      <c r="C168" s="270"/>
      <c r="D168" s="270"/>
      <c r="E168" s="270"/>
      <c r="F168" s="270"/>
      <c r="G168" s="270"/>
      <c r="H168" s="270"/>
      <c r="I168" s="270"/>
      <c r="J168" s="270"/>
      <c r="K168" s="270"/>
      <c r="L168" s="270"/>
      <c r="M168" s="852"/>
      <c r="N168" s="270"/>
      <c r="O168" s="270"/>
      <c r="P168" s="270"/>
      <c r="Q168" s="852"/>
      <c r="R168" s="270"/>
      <c r="S168" s="270"/>
      <c r="T168" s="270"/>
      <c r="U168" s="852"/>
      <c r="V168" s="270"/>
      <c r="W168" s="270"/>
      <c r="X168" s="270"/>
      <c r="Y168" s="852"/>
      <c r="Z168" s="270"/>
      <c r="AA168" s="270"/>
      <c r="AB168" s="270"/>
      <c r="AC168" s="852"/>
      <c r="AD168" s="270"/>
      <c r="AE168" s="270"/>
      <c r="AF168" s="270"/>
      <c r="AG168" s="853"/>
      <c r="AH168" s="853"/>
      <c r="AI168" s="856"/>
      <c r="AJ168" s="213"/>
      <c r="AK168" s="213"/>
    </row>
    <row r="169" spans="1:37" ht="9.9499999999999993" customHeight="1" x14ac:dyDescent="0.25">
      <c r="A169" s="1616">
        <v>13</v>
      </c>
      <c r="B169" s="1617">
        <v>2</v>
      </c>
      <c r="C169" s="1574" t="s">
        <v>5467</v>
      </c>
      <c r="D169" s="1574" t="s">
        <v>5475</v>
      </c>
      <c r="E169" s="1574" t="s">
        <v>978</v>
      </c>
      <c r="F169" s="849"/>
      <c r="G169" s="849"/>
      <c r="H169" s="849"/>
      <c r="I169" s="1586" t="s">
        <v>5355</v>
      </c>
      <c r="J169" s="849"/>
      <c r="K169" s="849"/>
      <c r="L169" s="849"/>
      <c r="M169" s="1642" t="s">
        <v>5473</v>
      </c>
      <c r="N169" s="849"/>
      <c r="O169" s="849"/>
      <c r="P169" s="849"/>
      <c r="Q169" s="1620" t="s">
        <v>5374</v>
      </c>
      <c r="R169" s="849"/>
      <c r="S169" s="849"/>
      <c r="T169" s="849"/>
      <c r="U169" s="1586" t="s">
        <v>5380</v>
      </c>
      <c r="V169" s="849"/>
      <c r="W169" s="849"/>
      <c r="X169" s="849"/>
      <c r="Y169" s="1523" t="s">
        <v>5389</v>
      </c>
      <c r="Z169" s="849"/>
      <c r="AA169" s="849"/>
      <c r="AB169" s="849"/>
      <c r="AC169" s="1519" t="s">
        <v>5397</v>
      </c>
      <c r="AD169" s="849"/>
      <c r="AE169" s="849"/>
      <c r="AF169" s="849"/>
      <c r="AG169" s="1646" t="s">
        <v>5476</v>
      </c>
      <c r="AH169" s="1646" t="s">
        <v>5477</v>
      </c>
      <c r="AI169" s="1649" t="s">
        <v>5478</v>
      </c>
      <c r="AJ169" s="213"/>
      <c r="AK169" s="213"/>
    </row>
    <row r="170" spans="1:37" ht="9.9499999999999993" customHeight="1" x14ac:dyDescent="0.25">
      <c r="A170" s="1616"/>
      <c r="B170" s="1617"/>
      <c r="C170" s="1575"/>
      <c r="D170" s="1575"/>
      <c r="E170" s="1575"/>
      <c r="F170" s="850"/>
      <c r="G170" s="851"/>
      <c r="H170" s="850"/>
      <c r="I170" s="1587"/>
      <c r="J170" s="850"/>
      <c r="K170" s="851"/>
      <c r="L170" s="850"/>
      <c r="M170" s="1643"/>
      <c r="N170" s="850"/>
      <c r="O170" s="851"/>
      <c r="P170" s="850"/>
      <c r="Q170" s="1621"/>
      <c r="R170" s="850"/>
      <c r="S170" s="851"/>
      <c r="T170" s="850"/>
      <c r="U170" s="1587"/>
      <c r="V170" s="850"/>
      <c r="W170" s="851"/>
      <c r="X170" s="850"/>
      <c r="Y170" s="1636"/>
      <c r="Z170" s="850"/>
      <c r="AA170" s="851"/>
      <c r="AB170" s="850"/>
      <c r="AC170" s="1618"/>
      <c r="AD170" s="850"/>
      <c r="AE170" s="851"/>
      <c r="AF170" s="850"/>
      <c r="AG170" s="1647"/>
      <c r="AH170" s="1647"/>
      <c r="AI170" s="1650"/>
      <c r="AJ170" s="213"/>
      <c r="AK170" s="213"/>
    </row>
    <row r="171" spans="1:37" ht="9.9499999999999993" customHeight="1" x14ac:dyDescent="0.25">
      <c r="A171" s="1616"/>
      <c r="B171" s="1617"/>
      <c r="C171" s="1576"/>
      <c r="D171" s="1576"/>
      <c r="E171" s="1576"/>
      <c r="F171" s="849"/>
      <c r="G171" s="849"/>
      <c r="H171" s="849"/>
      <c r="I171" s="1588"/>
      <c r="J171" s="849"/>
      <c r="K171" s="849"/>
      <c r="L171" s="849"/>
      <c r="M171" s="1644"/>
      <c r="N171" s="849"/>
      <c r="O171" s="849"/>
      <c r="P171" s="849"/>
      <c r="Q171" s="1622"/>
      <c r="R171" s="849"/>
      <c r="S171" s="849"/>
      <c r="T171" s="849"/>
      <c r="U171" s="1588"/>
      <c r="V171" s="849"/>
      <c r="W171" s="849"/>
      <c r="X171" s="849"/>
      <c r="Y171" s="1524"/>
      <c r="Z171" s="849"/>
      <c r="AA171" s="849"/>
      <c r="AB171" s="849"/>
      <c r="AC171" s="1520"/>
      <c r="AD171" s="849"/>
      <c r="AE171" s="849"/>
      <c r="AF171" s="849"/>
      <c r="AG171" s="1648"/>
      <c r="AH171" s="1648"/>
      <c r="AI171" s="1651"/>
      <c r="AJ171" s="213"/>
      <c r="AK171" s="213"/>
    </row>
    <row r="172" spans="1:37" ht="9.9499999999999993" customHeight="1" x14ac:dyDescent="0.25">
      <c r="A172" s="270"/>
      <c r="B172" s="270"/>
      <c r="C172" s="270"/>
      <c r="D172" s="270"/>
      <c r="E172" s="270"/>
      <c r="F172" s="270"/>
      <c r="G172" s="270"/>
      <c r="H172" s="270"/>
      <c r="I172" s="270"/>
      <c r="J172" s="270"/>
      <c r="K172" s="270"/>
      <c r="L172" s="270"/>
      <c r="M172" s="852"/>
      <c r="N172" s="270"/>
      <c r="O172" s="270"/>
      <c r="P172" s="270"/>
      <c r="Q172" s="852"/>
      <c r="R172" s="270"/>
      <c r="S172" s="270"/>
      <c r="T172" s="270"/>
      <c r="U172" s="852"/>
      <c r="V172" s="270"/>
      <c r="W172" s="270"/>
      <c r="X172" s="270"/>
      <c r="Y172" s="852"/>
      <c r="Z172" s="270"/>
      <c r="AA172" s="270"/>
      <c r="AB172" s="270"/>
      <c r="AC172" s="852"/>
      <c r="AD172" s="270"/>
      <c r="AE172" s="270"/>
      <c r="AF172" s="270"/>
      <c r="AG172" s="853"/>
      <c r="AH172" s="853"/>
      <c r="AI172" s="856"/>
      <c r="AJ172" s="213"/>
      <c r="AK172" s="213"/>
    </row>
    <row r="173" spans="1:37" ht="9.9499999999999993" customHeight="1" x14ac:dyDescent="0.25">
      <c r="A173" s="1616">
        <v>14</v>
      </c>
      <c r="B173" s="1617">
        <v>2</v>
      </c>
      <c r="C173" s="1574" t="s">
        <v>5468</v>
      </c>
      <c r="D173" s="1574" t="s">
        <v>5475</v>
      </c>
      <c r="E173" s="1574" t="s">
        <v>978</v>
      </c>
      <c r="F173" s="849"/>
      <c r="G173" s="849"/>
      <c r="H173" s="849"/>
      <c r="I173" s="1586" t="s">
        <v>5355</v>
      </c>
      <c r="J173" s="849"/>
      <c r="K173" s="849"/>
      <c r="L173" s="849"/>
      <c r="M173" s="1642" t="s">
        <v>5473</v>
      </c>
      <c r="N173" s="849"/>
      <c r="O173" s="849"/>
      <c r="P173" s="849"/>
      <c r="Q173" s="1652"/>
      <c r="R173" s="849"/>
      <c r="S173" s="849"/>
      <c r="T173" s="849"/>
      <c r="U173" s="1586" t="s">
        <v>5380</v>
      </c>
      <c r="V173" s="849"/>
      <c r="W173" s="849"/>
      <c r="X173" s="849"/>
      <c r="Y173" s="1523" t="s">
        <v>5389</v>
      </c>
      <c r="Z173" s="849"/>
      <c r="AA173" s="849"/>
      <c r="AB173" s="849"/>
      <c r="AC173" s="1519" t="s">
        <v>5397</v>
      </c>
      <c r="AD173" s="849"/>
      <c r="AE173" s="849"/>
      <c r="AF173" s="849"/>
      <c r="AG173" s="1646" t="s">
        <v>5476</v>
      </c>
      <c r="AH173" s="1646" t="s">
        <v>5477</v>
      </c>
      <c r="AI173" s="1649" t="s">
        <v>5478</v>
      </c>
      <c r="AJ173" s="213"/>
      <c r="AK173" s="213"/>
    </row>
    <row r="174" spans="1:37" ht="9.9499999999999993" customHeight="1" x14ac:dyDescent="0.25">
      <c r="A174" s="1616"/>
      <c r="B174" s="1617"/>
      <c r="C174" s="1575"/>
      <c r="D174" s="1575"/>
      <c r="E174" s="1575"/>
      <c r="F174" s="850"/>
      <c r="G174" s="851"/>
      <c r="H174" s="850"/>
      <c r="I174" s="1587"/>
      <c r="J174" s="850"/>
      <c r="K174" s="851"/>
      <c r="L174" s="850"/>
      <c r="M174" s="1643"/>
      <c r="N174" s="850"/>
      <c r="O174" s="851"/>
      <c r="P174" s="850"/>
      <c r="Q174" s="1653"/>
      <c r="R174" s="850"/>
      <c r="S174" s="851"/>
      <c r="T174" s="850"/>
      <c r="U174" s="1587"/>
      <c r="V174" s="850"/>
      <c r="W174" s="851"/>
      <c r="X174" s="850"/>
      <c r="Y174" s="1636"/>
      <c r="Z174" s="850"/>
      <c r="AA174" s="851"/>
      <c r="AB174" s="850"/>
      <c r="AC174" s="1618"/>
      <c r="AD174" s="850"/>
      <c r="AE174" s="851"/>
      <c r="AF174" s="850"/>
      <c r="AG174" s="1647"/>
      <c r="AH174" s="1647"/>
      <c r="AI174" s="1650"/>
      <c r="AJ174" s="213"/>
      <c r="AK174" s="213"/>
    </row>
    <row r="175" spans="1:37" ht="9.9499999999999993" customHeight="1" x14ac:dyDescent="0.25">
      <c r="A175" s="1616"/>
      <c r="B175" s="1617"/>
      <c r="C175" s="1576"/>
      <c r="D175" s="1576"/>
      <c r="E175" s="1576"/>
      <c r="F175" s="849"/>
      <c r="G175" s="849"/>
      <c r="H175" s="849"/>
      <c r="I175" s="1588"/>
      <c r="J175" s="849"/>
      <c r="K175" s="849"/>
      <c r="L175" s="849"/>
      <c r="M175" s="1644"/>
      <c r="N175" s="849"/>
      <c r="O175" s="849"/>
      <c r="P175" s="849"/>
      <c r="Q175" s="1654"/>
      <c r="R175" s="849"/>
      <c r="S175" s="849"/>
      <c r="T175" s="849"/>
      <c r="U175" s="1588"/>
      <c r="V175" s="849"/>
      <c r="W175" s="849"/>
      <c r="X175" s="849"/>
      <c r="Y175" s="1524"/>
      <c r="Z175" s="849"/>
      <c r="AA175" s="849"/>
      <c r="AB175" s="849"/>
      <c r="AC175" s="1520"/>
      <c r="AD175" s="849"/>
      <c r="AE175" s="849"/>
      <c r="AF175" s="849"/>
      <c r="AG175" s="1648"/>
      <c r="AH175" s="1648"/>
      <c r="AI175" s="1651"/>
      <c r="AJ175" s="213"/>
      <c r="AK175" s="213"/>
    </row>
    <row r="176" spans="1:37" ht="9.9499999999999993" customHeight="1" x14ac:dyDescent="0.25">
      <c r="A176" s="270"/>
      <c r="B176" s="270"/>
      <c r="C176" s="270"/>
      <c r="D176" s="270"/>
      <c r="E176" s="270"/>
      <c r="F176" s="270"/>
      <c r="G176" s="270"/>
      <c r="H176" s="270"/>
      <c r="I176" s="270"/>
      <c r="J176" s="270"/>
      <c r="K176" s="270"/>
      <c r="L176" s="270"/>
      <c r="M176" s="852"/>
      <c r="N176" s="270"/>
      <c r="O176" s="270"/>
      <c r="P176" s="270"/>
      <c r="Q176" s="852"/>
      <c r="R176" s="270"/>
      <c r="S176" s="270"/>
      <c r="T176" s="270"/>
      <c r="U176" s="852"/>
      <c r="V176" s="270"/>
      <c r="W176" s="270"/>
      <c r="X176" s="270"/>
      <c r="Y176" s="852"/>
      <c r="Z176" s="270"/>
      <c r="AA176" s="270"/>
      <c r="AB176" s="270"/>
      <c r="AC176" s="852"/>
      <c r="AD176" s="270"/>
      <c r="AE176" s="270"/>
      <c r="AF176" s="270"/>
      <c r="AG176" s="853"/>
      <c r="AH176" s="853"/>
      <c r="AI176" s="856"/>
      <c r="AJ176" s="213"/>
      <c r="AK176" s="213"/>
    </row>
    <row r="177" spans="1:37" ht="9.9499999999999993" customHeight="1" x14ac:dyDescent="0.25">
      <c r="A177" s="1616">
        <v>15</v>
      </c>
      <c r="B177" s="1617">
        <v>3</v>
      </c>
      <c r="C177" s="1574" t="s">
        <v>5458</v>
      </c>
      <c r="D177" s="1574" t="s">
        <v>5475</v>
      </c>
      <c r="E177" s="1574" t="s">
        <v>978</v>
      </c>
      <c r="F177" s="849"/>
      <c r="G177" s="849"/>
      <c r="H177" s="849"/>
      <c r="I177" s="1497" t="s">
        <v>5350</v>
      </c>
      <c r="J177" s="849"/>
      <c r="K177" s="849"/>
      <c r="L177" s="849"/>
      <c r="M177" s="1642" t="s">
        <v>5473</v>
      </c>
      <c r="N177" s="849"/>
      <c r="O177" s="849"/>
      <c r="P177" s="849"/>
      <c r="Q177" s="1652"/>
      <c r="R177" s="849"/>
      <c r="S177" s="849"/>
      <c r="T177" s="849"/>
      <c r="U177" s="1629" t="s">
        <v>5383</v>
      </c>
      <c r="V177" s="849"/>
      <c r="W177" s="849"/>
      <c r="X177" s="849"/>
      <c r="Y177" s="1519" t="s">
        <v>5391</v>
      </c>
      <c r="Z177" s="849"/>
      <c r="AA177" s="849"/>
      <c r="AB177" s="849"/>
      <c r="AC177" s="1519" t="s">
        <v>5397</v>
      </c>
      <c r="AD177" s="849"/>
      <c r="AE177" s="849"/>
      <c r="AF177" s="849"/>
      <c r="AG177" s="1646" t="s">
        <v>5476</v>
      </c>
      <c r="AH177" s="1646" t="s">
        <v>5477</v>
      </c>
      <c r="AI177" s="1649" t="s">
        <v>5478</v>
      </c>
      <c r="AJ177" s="213"/>
      <c r="AK177" s="213"/>
    </row>
    <row r="178" spans="1:37" ht="9.9499999999999993" customHeight="1" x14ac:dyDescent="0.25">
      <c r="A178" s="1616"/>
      <c r="B178" s="1617"/>
      <c r="C178" s="1575"/>
      <c r="D178" s="1575"/>
      <c r="E178" s="1575"/>
      <c r="F178" s="850"/>
      <c r="G178" s="851"/>
      <c r="H178" s="850"/>
      <c r="I178" s="1637"/>
      <c r="J178" s="850"/>
      <c r="K178" s="851"/>
      <c r="L178" s="850"/>
      <c r="M178" s="1643"/>
      <c r="N178" s="850"/>
      <c r="O178" s="851"/>
      <c r="P178" s="850"/>
      <c r="Q178" s="1653"/>
      <c r="R178" s="850"/>
      <c r="S178" s="851"/>
      <c r="T178" s="850"/>
      <c r="U178" s="1630"/>
      <c r="V178" s="850"/>
      <c r="W178" s="851"/>
      <c r="X178" s="850"/>
      <c r="Y178" s="1618"/>
      <c r="Z178" s="850"/>
      <c r="AA178" s="851"/>
      <c r="AB178" s="850"/>
      <c r="AC178" s="1618"/>
      <c r="AD178" s="850"/>
      <c r="AE178" s="851"/>
      <c r="AF178" s="850"/>
      <c r="AG178" s="1647"/>
      <c r="AH178" s="1647"/>
      <c r="AI178" s="1650"/>
      <c r="AJ178" s="213"/>
      <c r="AK178" s="213"/>
    </row>
    <row r="179" spans="1:37" ht="9.9499999999999993" customHeight="1" x14ac:dyDescent="0.25">
      <c r="A179" s="1616"/>
      <c r="B179" s="1617"/>
      <c r="C179" s="1576"/>
      <c r="D179" s="1576"/>
      <c r="E179" s="1576"/>
      <c r="F179" s="849"/>
      <c r="G179" s="849"/>
      <c r="H179" s="849"/>
      <c r="I179" s="1498"/>
      <c r="J179" s="849"/>
      <c r="K179" s="849"/>
      <c r="L179" s="849"/>
      <c r="M179" s="1644"/>
      <c r="N179" s="849"/>
      <c r="O179" s="849"/>
      <c r="P179" s="849"/>
      <c r="Q179" s="1654"/>
      <c r="R179" s="849"/>
      <c r="S179" s="849"/>
      <c r="T179" s="849"/>
      <c r="U179" s="1631"/>
      <c r="V179" s="849"/>
      <c r="W179" s="849"/>
      <c r="X179" s="849"/>
      <c r="Y179" s="1520"/>
      <c r="Z179" s="849"/>
      <c r="AA179" s="849"/>
      <c r="AB179" s="849"/>
      <c r="AC179" s="1520"/>
      <c r="AD179" s="849"/>
      <c r="AE179" s="849"/>
      <c r="AF179" s="849"/>
      <c r="AG179" s="1648"/>
      <c r="AH179" s="1648"/>
      <c r="AI179" s="1651"/>
      <c r="AJ179" s="213"/>
      <c r="AK179" s="213"/>
    </row>
    <row r="180" spans="1:37" ht="9.9499999999999993" customHeight="1" x14ac:dyDescent="0.25">
      <c r="A180" s="270"/>
      <c r="B180" s="270"/>
      <c r="C180" s="270"/>
      <c r="D180" s="270"/>
      <c r="E180" s="270"/>
      <c r="F180" s="270"/>
      <c r="G180" s="270"/>
      <c r="H180" s="270"/>
      <c r="I180" s="270"/>
      <c r="J180" s="270"/>
      <c r="K180" s="270"/>
      <c r="L180" s="270"/>
      <c r="M180" s="852"/>
      <c r="N180" s="270"/>
      <c r="O180" s="270"/>
      <c r="P180" s="270"/>
      <c r="Q180" s="852"/>
      <c r="R180" s="270"/>
      <c r="S180" s="270"/>
      <c r="T180" s="270"/>
      <c r="U180" s="852"/>
      <c r="V180" s="270"/>
      <c r="W180" s="270"/>
      <c r="X180" s="270"/>
      <c r="Y180" s="852"/>
      <c r="Z180" s="270"/>
      <c r="AA180" s="270"/>
      <c r="AB180" s="270"/>
      <c r="AC180" s="852"/>
      <c r="AD180" s="270"/>
      <c r="AE180" s="270"/>
      <c r="AF180" s="270"/>
      <c r="AG180" s="853"/>
      <c r="AH180" s="853"/>
      <c r="AI180" s="856"/>
      <c r="AJ180" s="213"/>
      <c r="AK180" s="213"/>
    </row>
    <row r="181" spans="1:37" ht="9.9499999999999993" customHeight="1" x14ac:dyDescent="0.25">
      <c r="A181" s="1616">
        <v>16</v>
      </c>
      <c r="B181" s="1617">
        <v>3</v>
      </c>
      <c r="C181" s="1574" t="s">
        <v>5463</v>
      </c>
      <c r="D181" s="1574" t="s">
        <v>5475</v>
      </c>
      <c r="E181" s="1574" t="s">
        <v>978</v>
      </c>
      <c r="F181" s="849"/>
      <c r="G181" s="849"/>
      <c r="H181" s="849"/>
      <c r="I181" s="1497" t="s">
        <v>5350</v>
      </c>
      <c r="J181" s="849"/>
      <c r="K181" s="849"/>
      <c r="L181" s="849"/>
      <c r="M181" s="1642" t="s">
        <v>5473</v>
      </c>
      <c r="N181" s="849"/>
      <c r="O181" s="849"/>
      <c r="P181" s="849"/>
      <c r="Q181" s="1652"/>
      <c r="R181" s="849"/>
      <c r="S181" s="849"/>
      <c r="T181" s="849"/>
      <c r="U181" s="1629" t="s">
        <v>5383</v>
      </c>
      <c r="V181" s="849"/>
      <c r="W181" s="849"/>
      <c r="X181" s="849"/>
      <c r="Y181" s="1519" t="s">
        <v>5391</v>
      </c>
      <c r="Z181" s="849"/>
      <c r="AA181" s="849"/>
      <c r="AB181" s="849"/>
      <c r="AC181" s="1519" t="s">
        <v>5397</v>
      </c>
      <c r="AD181" s="849"/>
      <c r="AE181" s="849"/>
      <c r="AF181" s="849"/>
      <c r="AG181" s="1646" t="s">
        <v>5476</v>
      </c>
      <c r="AH181" s="1646" t="s">
        <v>5477</v>
      </c>
      <c r="AI181" s="1649" t="s">
        <v>5478</v>
      </c>
      <c r="AJ181" s="213"/>
      <c r="AK181" s="213"/>
    </row>
    <row r="182" spans="1:37" ht="9.9499999999999993" customHeight="1" x14ac:dyDescent="0.25">
      <c r="A182" s="1616"/>
      <c r="B182" s="1617"/>
      <c r="C182" s="1575"/>
      <c r="D182" s="1575"/>
      <c r="E182" s="1575"/>
      <c r="F182" s="850"/>
      <c r="G182" s="851"/>
      <c r="H182" s="850"/>
      <c r="I182" s="1637"/>
      <c r="J182" s="850"/>
      <c r="K182" s="851"/>
      <c r="L182" s="850"/>
      <c r="M182" s="1643"/>
      <c r="N182" s="850"/>
      <c r="O182" s="851"/>
      <c r="P182" s="850"/>
      <c r="Q182" s="1653"/>
      <c r="R182" s="850"/>
      <c r="S182" s="851"/>
      <c r="T182" s="850"/>
      <c r="U182" s="1630"/>
      <c r="V182" s="850"/>
      <c r="W182" s="851"/>
      <c r="X182" s="850"/>
      <c r="Y182" s="1618"/>
      <c r="Z182" s="850"/>
      <c r="AA182" s="851"/>
      <c r="AB182" s="850"/>
      <c r="AC182" s="1618"/>
      <c r="AD182" s="850"/>
      <c r="AE182" s="851"/>
      <c r="AF182" s="850"/>
      <c r="AG182" s="1647"/>
      <c r="AH182" s="1647"/>
      <c r="AI182" s="1650"/>
      <c r="AJ182" s="213"/>
      <c r="AK182" s="213"/>
    </row>
    <row r="183" spans="1:37" ht="9.9499999999999993" customHeight="1" x14ac:dyDescent="0.25">
      <c r="A183" s="1616"/>
      <c r="B183" s="1617"/>
      <c r="C183" s="1576"/>
      <c r="D183" s="1576"/>
      <c r="E183" s="1576"/>
      <c r="F183" s="849"/>
      <c r="G183" s="849"/>
      <c r="H183" s="849"/>
      <c r="I183" s="1498"/>
      <c r="J183" s="849"/>
      <c r="K183" s="849"/>
      <c r="L183" s="849"/>
      <c r="M183" s="1644"/>
      <c r="N183" s="849"/>
      <c r="O183" s="849"/>
      <c r="P183" s="849"/>
      <c r="Q183" s="1654"/>
      <c r="R183" s="849"/>
      <c r="S183" s="849"/>
      <c r="T183" s="849"/>
      <c r="U183" s="1631"/>
      <c r="V183" s="849"/>
      <c r="W183" s="849"/>
      <c r="X183" s="849"/>
      <c r="Y183" s="1520"/>
      <c r="Z183" s="849"/>
      <c r="AA183" s="849"/>
      <c r="AB183" s="849"/>
      <c r="AC183" s="1520"/>
      <c r="AD183" s="849"/>
      <c r="AE183" s="849"/>
      <c r="AF183" s="849"/>
      <c r="AG183" s="1648"/>
      <c r="AH183" s="1648"/>
      <c r="AI183" s="1651"/>
      <c r="AJ183" s="213"/>
      <c r="AK183" s="213"/>
    </row>
    <row r="184" spans="1:37" ht="9.9499999999999993" customHeight="1" x14ac:dyDescent="0.25">
      <c r="A184" s="270"/>
      <c r="B184" s="270"/>
      <c r="C184" s="270"/>
      <c r="D184" s="270"/>
      <c r="E184" s="270"/>
      <c r="F184" s="270"/>
      <c r="G184" s="270"/>
      <c r="H184" s="270"/>
      <c r="I184" s="270"/>
      <c r="J184" s="270"/>
      <c r="K184" s="270"/>
      <c r="L184" s="270"/>
      <c r="M184" s="852"/>
      <c r="N184" s="270"/>
      <c r="O184" s="270"/>
      <c r="P184" s="270"/>
      <c r="Q184" s="852"/>
      <c r="R184" s="270"/>
      <c r="S184" s="270"/>
      <c r="T184" s="270"/>
      <c r="U184" s="852"/>
      <c r="V184" s="270"/>
      <c r="W184" s="270"/>
      <c r="X184" s="270"/>
      <c r="Y184" s="852"/>
      <c r="Z184" s="270"/>
      <c r="AA184" s="270"/>
      <c r="AB184" s="270"/>
      <c r="AC184" s="852"/>
      <c r="AD184" s="270"/>
      <c r="AE184" s="270"/>
      <c r="AF184" s="270"/>
      <c r="AG184" s="853"/>
      <c r="AH184" s="853"/>
      <c r="AI184" s="856"/>
      <c r="AJ184" s="213"/>
      <c r="AK184" s="213"/>
    </row>
    <row r="185" spans="1:37" ht="9.9499999999999993" customHeight="1" x14ac:dyDescent="0.25">
      <c r="A185" s="1616">
        <v>17</v>
      </c>
      <c r="B185" s="1617">
        <v>3</v>
      </c>
      <c r="C185" s="1574" t="s">
        <v>5464</v>
      </c>
      <c r="D185" s="1574" t="s">
        <v>5475</v>
      </c>
      <c r="E185" s="1574" t="s">
        <v>978</v>
      </c>
      <c r="F185" s="849"/>
      <c r="G185" s="849"/>
      <c r="H185" s="849"/>
      <c r="I185" s="1610" t="s">
        <v>5346</v>
      </c>
      <c r="J185" s="849"/>
      <c r="K185" s="849"/>
      <c r="L185" s="849"/>
      <c r="M185" s="1642" t="s">
        <v>5473</v>
      </c>
      <c r="N185" s="849"/>
      <c r="O185" s="849"/>
      <c r="P185" s="849"/>
      <c r="Q185" s="1652"/>
      <c r="R185" s="849"/>
      <c r="S185" s="849"/>
      <c r="T185" s="849"/>
      <c r="U185" s="1629" t="s">
        <v>5383</v>
      </c>
      <c r="V185" s="849"/>
      <c r="W185" s="849"/>
      <c r="X185" s="849"/>
      <c r="Y185" s="1519" t="s">
        <v>5391</v>
      </c>
      <c r="Z185" s="849"/>
      <c r="AA185" s="849"/>
      <c r="AB185" s="849"/>
      <c r="AC185" s="1519" t="s">
        <v>5397</v>
      </c>
      <c r="AD185" s="849"/>
      <c r="AE185" s="849"/>
      <c r="AF185" s="849"/>
      <c r="AG185" s="1646" t="s">
        <v>5476</v>
      </c>
      <c r="AH185" s="1646" t="s">
        <v>5477</v>
      </c>
      <c r="AI185" s="1649" t="s">
        <v>5478</v>
      </c>
      <c r="AJ185" s="213"/>
      <c r="AK185" s="213"/>
    </row>
    <row r="186" spans="1:37" ht="9.9499999999999993" customHeight="1" x14ac:dyDescent="0.25">
      <c r="A186" s="1616"/>
      <c r="B186" s="1617"/>
      <c r="C186" s="1575"/>
      <c r="D186" s="1575"/>
      <c r="E186" s="1575"/>
      <c r="F186" s="850"/>
      <c r="G186" s="851"/>
      <c r="H186" s="850"/>
      <c r="I186" s="1611"/>
      <c r="J186" s="850"/>
      <c r="K186" s="851"/>
      <c r="L186" s="850"/>
      <c r="M186" s="1643"/>
      <c r="N186" s="850"/>
      <c r="O186" s="851"/>
      <c r="P186" s="850"/>
      <c r="Q186" s="1653"/>
      <c r="R186" s="850"/>
      <c r="S186" s="851"/>
      <c r="T186" s="850"/>
      <c r="U186" s="1630"/>
      <c r="V186" s="850"/>
      <c r="W186" s="851"/>
      <c r="X186" s="850"/>
      <c r="Y186" s="1618"/>
      <c r="Z186" s="850"/>
      <c r="AA186" s="851"/>
      <c r="AB186" s="850"/>
      <c r="AC186" s="1618"/>
      <c r="AD186" s="850"/>
      <c r="AE186" s="851"/>
      <c r="AF186" s="850"/>
      <c r="AG186" s="1647"/>
      <c r="AH186" s="1647"/>
      <c r="AI186" s="1650"/>
      <c r="AJ186" s="213"/>
      <c r="AK186" s="213"/>
    </row>
    <row r="187" spans="1:37" ht="9.9499999999999993" customHeight="1" x14ac:dyDescent="0.25">
      <c r="A187" s="1616"/>
      <c r="B187" s="1617"/>
      <c r="C187" s="1576"/>
      <c r="D187" s="1576"/>
      <c r="E187" s="1576"/>
      <c r="F187" s="849"/>
      <c r="G187" s="849"/>
      <c r="H187" s="849"/>
      <c r="I187" s="1612"/>
      <c r="J187" s="849"/>
      <c r="K187" s="849"/>
      <c r="L187" s="849"/>
      <c r="M187" s="1644"/>
      <c r="N187" s="849"/>
      <c r="O187" s="849"/>
      <c r="P187" s="849"/>
      <c r="Q187" s="1654"/>
      <c r="R187" s="849"/>
      <c r="S187" s="849"/>
      <c r="T187" s="849"/>
      <c r="U187" s="1631"/>
      <c r="V187" s="849"/>
      <c r="W187" s="849"/>
      <c r="X187" s="849"/>
      <c r="Y187" s="1520"/>
      <c r="Z187" s="849"/>
      <c r="AA187" s="849"/>
      <c r="AB187" s="849"/>
      <c r="AC187" s="1520"/>
      <c r="AD187" s="849"/>
      <c r="AE187" s="849"/>
      <c r="AF187" s="849"/>
      <c r="AG187" s="1648"/>
      <c r="AH187" s="1648"/>
      <c r="AI187" s="1651"/>
      <c r="AJ187" s="213"/>
      <c r="AK187" s="213"/>
    </row>
    <row r="188" spans="1:37" ht="9.9499999999999993" customHeight="1" x14ac:dyDescent="0.25">
      <c r="A188" s="270"/>
      <c r="B188" s="270"/>
      <c r="C188" s="270"/>
      <c r="D188" s="270"/>
      <c r="E188" s="270"/>
      <c r="F188" s="270"/>
      <c r="G188" s="270"/>
      <c r="H188" s="270"/>
      <c r="I188" s="270"/>
      <c r="J188" s="270"/>
      <c r="K188" s="270"/>
      <c r="L188" s="270"/>
      <c r="M188" s="852"/>
      <c r="N188" s="270"/>
      <c r="O188" s="270"/>
      <c r="P188" s="270"/>
      <c r="Q188" s="852"/>
      <c r="R188" s="270"/>
      <c r="S188" s="270"/>
      <c r="T188" s="270"/>
      <c r="U188" s="852"/>
      <c r="V188" s="270"/>
      <c r="W188" s="270"/>
      <c r="X188" s="270"/>
      <c r="Y188" s="852"/>
      <c r="Z188" s="270"/>
      <c r="AA188" s="270"/>
      <c r="AB188" s="270"/>
      <c r="AC188" s="852"/>
      <c r="AD188" s="270"/>
      <c r="AE188" s="270"/>
      <c r="AF188" s="270"/>
      <c r="AG188" s="853"/>
      <c r="AH188" s="853"/>
      <c r="AI188" s="856"/>
      <c r="AJ188" s="213"/>
      <c r="AK188" s="213"/>
    </row>
    <row r="189" spans="1:37" ht="9.9499999999999993" customHeight="1" x14ac:dyDescent="0.25">
      <c r="A189" s="1616">
        <v>18</v>
      </c>
      <c r="B189" s="1617">
        <v>3</v>
      </c>
      <c r="C189" s="1574" t="s">
        <v>5465</v>
      </c>
      <c r="D189" s="1574" t="s">
        <v>5475</v>
      </c>
      <c r="E189" s="1574" t="s">
        <v>978</v>
      </c>
      <c r="F189" s="849"/>
      <c r="G189" s="849"/>
      <c r="H189" s="849"/>
      <c r="I189" s="1610" t="s">
        <v>5346</v>
      </c>
      <c r="J189" s="849"/>
      <c r="K189" s="849"/>
      <c r="L189" s="849"/>
      <c r="M189" s="1642" t="s">
        <v>5473</v>
      </c>
      <c r="N189" s="849"/>
      <c r="O189" s="849"/>
      <c r="P189" s="849"/>
      <c r="Q189" s="1652"/>
      <c r="R189" s="849"/>
      <c r="S189" s="849"/>
      <c r="T189" s="849"/>
      <c r="U189" s="1629" t="s">
        <v>5383</v>
      </c>
      <c r="V189" s="849"/>
      <c r="W189" s="849"/>
      <c r="X189" s="849"/>
      <c r="Y189" s="1519" t="s">
        <v>5391</v>
      </c>
      <c r="Z189" s="849"/>
      <c r="AA189" s="849"/>
      <c r="AB189" s="849"/>
      <c r="AC189" s="1519" t="s">
        <v>5397</v>
      </c>
      <c r="AD189" s="849"/>
      <c r="AE189" s="849"/>
      <c r="AF189" s="849"/>
      <c r="AG189" s="1646" t="s">
        <v>5476</v>
      </c>
      <c r="AH189" s="1646" t="s">
        <v>5477</v>
      </c>
      <c r="AI189" s="1649" t="s">
        <v>5478</v>
      </c>
      <c r="AJ189" s="213"/>
      <c r="AK189" s="213"/>
    </row>
    <row r="190" spans="1:37" ht="9.9499999999999993" customHeight="1" x14ac:dyDescent="0.25">
      <c r="A190" s="1616"/>
      <c r="B190" s="1617"/>
      <c r="C190" s="1575"/>
      <c r="D190" s="1575"/>
      <c r="E190" s="1575"/>
      <c r="F190" s="850"/>
      <c r="G190" s="851"/>
      <c r="H190" s="850"/>
      <c r="I190" s="1611"/>
      <c r="J190" s="850"/>
      <c r="K190" s="851"/>
      <c r="L190" s="850"/>
      <c r="M190" s="1643"/>
      <c r="N190" s="850"/>
      <c r="O190" s="851"/>
      <c r="P190" s="850"/>
      <c r="Q190" s="1653"/>
      <c r="R190" s="850"/>
      <c r="S190" s="851"/>
      <c r="T190" s="850"/>
      <c r="U190" s="1630"/>
      <c r="V190" s="850"/>
      <c r="W190" s="851"/>
      <c r="X190" s="850"/>
      <c r="Y190" s="1618"/>
      <c r="Z190" s="850"/>
      <c r="AA190" s="851"/>
      <c r="AB190" s="850"/>
      <c r="AC190" s="1618"/>
      <c r="AD190" s="850"/>
      <c r="AE190" s="851"/>
      <c r="AF190" s="850"/>
      <c r="AG190" s="1647"/>
      <c r="AH190" s="1647"/>
      <c r="AI190" s="1650"/>
      <c r="AJ190" s="213"/>
      <c r="AK190" s="213"/>
    </row>
    <row r="191" spans="1:37" ht="9.9499999999999993" customHeight="1" x14ac:dyDescent="0.25">
      <c r="A191" s="1616"/>
      <c r="B191" s="1617"/>
      <c r="C191" s="1576"/>
      <c r="D191" s="1576"/>
      <c r="E191" s="1576"/>
      <c r="F191" s="849"/>
      <c r="G191" s="849"/>
      <c r="H191" s="849"/>
      <c r="I191" s="1612"/>
      <c r="J191" s="849"/>
      <c r="K191" s="849"/>
      <c r="L191" s="849"/>
      <c r="M191" s="1644"/>
      <c r="N191" s="849"/>
      <c r="O191" s="849"/>
      <c r="P191" s="849"/>
      <c r="Q191" s="1654"/>
      <c r="R191" s="849"/>
      <c r="S191" s="849"/>
      <c r="T191" s="849"/>
      <c r="U191" s="1631"/>
      <c r="V191" s="849"/>
      <c r="W191" s="849"/>
      <c r="X191" s="849"/>
      <c r="Y191" s="1520"/>
      <c r="Z191" s="849"/>
      <c r="AA191" s="849"/>
      <c r="AB191" s="849"/>
      <c r="AC191" s="1520"/>
      <c r="AD191" s="849"/>
      <c r="AE191" s="849"/>
      <c r="AF191" s="849"/>
      <c r="AG191" s="1648"/>
      <c r="AH191" s="1648"/>
      <c r="AI191" s="1651"/>
      <c r="AJ191" s="213"/>
      <c r="AK191" s="213"/>
    </row>
    <row r="192" spans="1:37" ht="9.9499999999999993" customHeight="1" x14ac:dyDescent="0.25">
      <c r="A192" s="270"/>
      <c r="B192" s="270"/>
      <c r="C192" s="270"/>
      <c r="D192" s="270"/>
      <c r="E192" s="270"/>
      <c r="F192" s="270"/>
      <c r="G192" s="270"/>
      <c r="H192" s="270"/>
      <c r="I192" s="270"/>
      <c r="J192" s="270"/>
      <c r="K192" s="270"/>
      <c r="L192" s="270"/>
      <c r="M192" s="852"/>
      <c r="N192" s="270"/>
      <c r="O192" s="270"/>
      <c r="P192" s="270"/>
      <c r="Q192" s="852"/>
      <c r="R192" s="270"/>
      <c r="S192" s="270"/>
      <c r="T192" s="270"/>
      <c r="U192" s="852"/>
      <c r="V192" s="270"/>
      <c r="W192" s="270"/>
      <c r="X192" s="270"/>
      <c r="Y192" s="852"/>
      <c r="Z192" s="270"/>
      <c r="AA192" s="270"/>
      <c r="AB192" s="270"/>
      <c r="AC192" s="852"/>
      <c r="AD192" s="270"/>
      <c r="AE192" s="270"/>
      <c r="AF192" s="270"/>
      <c r="AG192" s="853"/>
      <c r="AH192" s="853"/>
      <c r="AI192" s="856"/>
      <c r="AJ192" s="213"/>
      <c r="AK192" s="213"/>
    </row>
    <row r="193" spans="1:37" ht="9.9499999999999993" customHeight="1" x14ac:dyDescent="0.25">
      <c r="A193" s="1616">
        <v>19</v>
      </c>
      <c r="B193" s="1617">
        <v>3</v>
      </c>
      <c r="C193" s="1574" t="s">
        <v>5466</v>
      </c>
      <c r="D193" s="1574" t="s">
        <v>5475</v>
      </c>
      <c r="E193" s="1574" t="s">
        <v>978</v>
      </c>
      <c r="F193" s="849"/>
      <c r="G193" s="849"/>
      <c r="H193" s="849"/>
      <c r="I193" s="1610" t="s">
        <v>5346</v>
      </c>
      <c r="J193" s="849"/>
      <c r="K193" s="849"/>
      <c r="L193" s="849"/>
      <c r="M193" s="1626" t="s">
        <v>5479</v>
      </c>
      <c r="N193" s="849"/>
      <c r="O193" s="849"/>
      <c r="P193" s="849"/>
      <c r="Q193" s="1652"/>
      <c r="R193" s="849"/>
      <c r="S193" s="849"/>
      <c r="T193" s="849"/>
      <c r="U193" s="1629" t="s">
        <v>5383</v>
      </c>
      <c r="V193" s="849"/>
      <c r="W193" s="849"/>
      <c r="X193" s="849"/>
      <c r="Y193" s="1519" t="s">
        <v>5391</v>
      </c>
      <c r="Z193" s="849"/>
      <c r="AA193" s="849"/>
      <c r="AB193" s="849"/>
      <c r="AC193" s="1632" t="s">
        <v>5472</v>
      </c>
      <c r="AD193" s="849"/>
      <c r="AE193" s="849"/>
      <c r="AF193" s="849"/>
      <c r="AG193" s="1646" t="s">
        <v>5476</v>
      </c>
      <c r="AH193" s="1646" t="s">
        <v>5477</v>
      </c>
      <c r="AI193" s="1649" t="s">
        <v>5478</v>
      </c>
      <c r="AJ193" s="213"/>
      <c r="AK193" s="213"/>
    </row>
    <row r="194" spans="1:37" ht="9.9499999999999993" customHeight="1" x14ac:dyDescent="0.25">
      <c r="A194" s="1616"/>
      <c r="B194" s="1617"/>
      <c r="C194" s="1575"/>
      <c r="D194" s="1575"/>
      <c r="E194" s="1575"/>
      <c r="F194" s="850"/>
      <c r="G194" s="851"/>
      <c r="H194" s="850"/>
      <c r="I194" s="1611"/>
      <c r="J194" s="850"/>
      <c r="K194" s="851"/>
      <c r="L194" s="850"/>
      <c r="M194" s="1627"/>
      <c r="N194" s="850"/>
      <c r="O194" s="851"/>
      <c r="P194" s="850"/>
      <c r="Q194" s="1653"/>
      <c r="R194" s="850"/>
      <c r="S194" s="851"/>
      <c r="T194" s="850"/>
      <c r="U194" s="1630"/>
      <c r="V194" s="850"/>
      <c r="W194" s="851"/>
      <c r="X194" s="850"/>
      <c r="Y194" s="1618"/>
      <c r="Z194" s="850"/>
      <c r="AA194" s="851"/>
      <c r="AB194" s="850"/>
      <c r="AC194" s="1633"/>
      <c r="AD194" s="850"/>
      <c r="AE194" s="851"/>
      <c r="AF194" s="850"/>
      <c r="AG194" s="1647"/>
      <c r="AH194" s="1647"/>
      <c r="AI194" s="1650"/>
      <c r="AJ194" s="213"/>
      <c r="AK194" s="213"/>
    </row>
    <row r="195" spans="1:37" ht="9.9499999999999993" customHeight="1" x14ac:dyDescent="0.25">
      <c r="A195" s="1616"/>
      <c r="B195" s="1617"/>
      <c r="C195" s="1576"/>
      <c r="D195" s="1576"/>
      <c r="E195" s="1576"/>
      <c r="F195" s="849"/>
      <c r="G195" s="849"/>
      <c r="H195" s="849"/>
      <c r="I195" s="1612"/>
      <c r="J195" s="849"/>
      <c r="K195" s="849"/>
      <c r="L195" s="849"/>
      <c r="M195" s="1628"/>
      <c r="N195" s="849"/>
      <c r="O195" s="849"/>
      <c r="P195" s="849"/>
      <c r="Q195" s="1654"/>
      <c r="R195" s="849"/>
      <c r="S195" s="849"/>
      <c r="T195" s="849"/>
      <c r="U195" s="1631"/>
      <c r="V195" s="849"/>
      <c r="W195" s="849"/>
      <c r="X195" s="849"/>
      <c r="Y195" s="1520"/>
      <c r="Z195" s="849"/>
      <c r="AA195" s="849"/>
      <c r="AB195" s="849"/>
      <c r="AC195" s="1634"/>
      <c r="AD195" s="849"/>
      <c r="AE195" s="849"/>
      <c r="AF195" s="849"/>
      <c r="AG195" s="1648"/>
      <c r="AH195" s="1648"/>
      <c r="AI195" s="1651"/>
      <c r="AJ195" s="213"/>
      <c r="AK195" s="213"/>
    </row>
    <row r="196" spans="1:37" ht="9.9499999999999993" customHeight="1" x14ac:dyDescent="0.25">
      <c r="A196" s="270"/>
      <c r="B196" s="270"/>
      <c r="C196" s="270"/>
      <c r="D196" s="270"/>
      <c r="E196" s="270"/>
      <c r="F196" s="270"/>
      <c r="G196" s="270"/>
      <c r="H196" s="270"/>
      <c r="I196" s="270"/>
      <c r="J196" s="270"/>
      <c r="K196" s="270"/>
      <c r="L196" s="270"/>
      <c r="M196" s="852"/>
      <c r="N196" s="270"/>
      <c r="O196" s="270"/>
      <c r="P196" s="270"/>
      <c r="Q196" s="852"/>
      <c r="R196" s="270"/>
      <c r="S196" s="270"/>
      <c r="T196" s="270"/>
      <c r="U196" s="852"/>
      <c r="V196" s="270"/>
      <c r="W196" s="270"/>
      <c r="X196" s="270"/>
      <c r="Y196" s="852"/>
      <c r="Z196" s="270"/>
      <c r="AA196" s="270"/>
      <c r="AB196" s="270"/>
      <c r="AC196" s="852"/>
      <c r="AD196" s="270"/>
      <c r="AE196" s="270"/>
      <c r="AF196" s="270"/>
      <c r="AG196" s="853"/>
      <c r="AH196" s="853"/>
      <c r="AI196" s="856"/>
      <c r="AJ196" s="213"/>
      <c r="AK196" s="213"/>
    </row>
    <row r="197" spans="1:37" ht="9.9499999999999993" customHeight="1" x14ac:dyDescent="0.25">
      <c r="A197" s="1616">
        <v>20</v>
      </c>
      <c r="B197" s="1617">
        <v>3</v>
      </c>
      <c r="C197" s="1574" t="s">
        <v>5467</v>
      </c>
      <c r="D197" s="1574" t="s">
        <v>5475</v>
      </c>
      <c r="E197" s="1574" t="s">
        <v>978</v>
      </c>
      <c r="F197" s="849"/>
      <c r="G197" s="849"/>
      <c r="H197" s="849"/>
      <c r="I197" s="1610" t="s">
        <v>5346</v>
      </c>
      <c r="J197" s="849"/>
      <c r="K197" s="849"/>
      <c r="L197" s="849"/>
      <c r="M197" s="1626" t="s">
        <v>5479</v>
      </c>
      <c r="N197" s="849"/>
      <c r="O197" s="849"/>
      <c r="P197" s="849"/>
      <c r="Q197" s="1652"/>
      <c r="R197" s="849"/>
      <c r="S197" s="849"/>
      <c r="T197" s="849"/>
      <c r="U197" s="1629" t="s">
        <v>5383</v>
      </c>
      <c r="V197" s="849"/>
      <c r="W197" s="849"/>
      <c r="X197" s="849"/>
      <c r="Y197" s="1519" t="s">
        <v>5391</v>
      </c>
      <c r="Z197" s="849"/>
      <c r="AA197" s="849"/>
      <c r="AB197" s="849"/>
      <c r="AC197" s="1632" t="s">
        <v>5472</v>
      </c>
      <c r="AD197" s="849"/>
      <c r="AE197" s="849"/>
      <c r="AF197" s="849"/>
      <c r="AG197" s="1646" t="s">
        <v>5476</v>
      </c>
      <c r="AH197" s="1646" t="s">
        <v>5477</v>
      </c>
      <c r="AI197" s="1649" t="s">
        <v>5478</v>
      </c>
      <c r="AJ197" s="213"/>
      <c r="AK197" s="213"/>
    </row>
    <row r="198" spans="1:37" ht="9.9499999999999993" customHeight="1" x14ac:dyDescent="0.25">
      <c r="A198" s="1616"/>
      <c r="B198" s="1617"/>
      <c r="C198" s="1575"/>
      <c r="D198" s="1575"/>
      <c r="E198" s="1575"/>
      <c r="F198" s="850"/>
      <c r="G198" s="851"/>
      <c r="H198" s="850"/>
      <c r="I198" s="1611"/>
      <c r="J198" s="850"/>
      <c r="K198" s="851"/>
      <c r="L198" s="850"/>
      <c r="M198" s="1627"/>
      <c r="N198" s="850"/>
      <c r="O198" s="851"/>
      <c r="P198" s="850"/>
      <c r="Q198" s="1653"/>
      <c r="R198" s="850"/>
      <c r="S198" s="851"/>
      <c r="T198" s="850"/>
      <c r="U198" s="1630"/>
      <c r="V198" s="850"/>
      <c r="W198" s="851"/>
      <c r="X198" s="850"/>
      <c r="Y198" s="1618"/>
      <c r="Z198" s="850"/>
      <c r="AA198" s="851"/>
      <c r="AB198" s="850"/>
      <c r="AC198" s="1633"/>
      <c r="AD198" s="850"/>
      <c r="AE198" s="851"/>
      <c r="AF198" s="850"/>
      <c r="AG198" s="1647"/>
      <c r="AH198" s="1647"/>
      <c r="AI198" s="1650"/>
      <c r="AJ198" s="213"/>
      <c r="AK198" s="213"/>
    </row>
    <row r="199" spans="1:37" ht="9.9499999999999993" customHeight="1" x14ac:dyDescent="0.25">
      <c r="A199" s="1616"/>
      <c r="B199" s="1617"/>
      <c r="C199" s="1576"/>
      <c r="D199" s="1576"/>
      <c r="E199" s="1576"/>
      <c r="F199" s="849"/>
      <c r="G199" s="849"/>
      <c r="H199" s="849"/>
      <c r="I199" s="1612"/>
      <c r="J199" s="849"/>
      <c r="K199" s="849"/>
      <c r="L199" s="849"/>
      <c r="M199" s="1628"/>
      <c r="N199" s="849"/>
      <c r="O199" s="849"/>
      <c r="P199" s="849"/>
      <c r="Q199" s="1654"/>
      <c r="R199" s="849"/>
      <c r="S199" s="849"/>
      <c r="T199" s="849"/>
      <c r="U199" s="1631"/>
      <c r="V199" s="849"/>
      <c r="W199" s="849"/>
      <c r="X199" s="849"/>
      <c r="Y199" s="1520"/>
      <c r="Z199" s="849"/>
      <c r="AA199" s="849"/>
      <c r="AB199" s="849"/>
      <c r="AC199" s="1634"/>
      <c r="AD199" s="849"/>
      <c r="AE199" s="849"/>
      <c r="AF199" s="849"/>
      <c r="AG199" s="1648"/>
      <c r="AH199" s="1648"/>
      <c r="AI199" s="1651"/>
      <c r="AJ199" s="213"/>
      <c r="AK199" s="213"/>
    </row>
    <row r="200" spans="1:37" ht="9.9499999999999993" customHeight="1" x14ac:dyDescent="0.25">
      <c r="A200" s="270"/>
      <c r="B200" s="270"/>
      <c r="C200" s="270"/>
      <c r="D200" s="270"/>
      <c r="E200" s="270"/>
      <c r="F200" s="270"/>
      <c r="G200" s="270"/>
      <c r="H200" s="270"/>
      <c r="I200" s="270"/>
      <c r="J200" s="270"/>
      <c r="K200" s="270"/>
      <c r="L200" s="270"/>
      <c r="M200" s="852"/>
      <c r="N200" s="270"/>
      <c r="O200" s="270"/>
      <c r="P200" s="270"/>
      <c r="Q200" s="852"/>
      <c r="R200" s="270"/>
      <c r="S200" s="270"/>
      <c r="T200" s="270"/>
      <c r="U200" s="852"/>
      <c r="V200" s="270"/>
      <c r="W200" s="270"/>
      <c r="X200" s="270"/>
      <c r="Y200" s="852"/>
      <c r="Z200" s="270"/>
      <c r="AA200" s="270"/>
      <c r="AB200" s="270"/>
      <c r="AC200" s="852"/>
      <c r="AD200" s="270"/>
      <c r="AE200" s="270"/>
      <c r="AF200" s="270"/>
      <c r="AG200" s="853"/>
      <c r="AH200" s="853"/>
      <c r="AI200" s="856"/>
      <c r="AJ200" s="213"/>
      <c r="AK200" s="213"/>
    </row>
    <row r="201" spans="1:37" ht="9.9499999999999993" customHeight="1" x14ac:dyDescent="0.25">
      <c r="A201" s="1616">
        <v>21</v>
      </c>
      <c r="B201" s="1617">
        <v>3</v>
      </c>
      <c r="C201" s="1574" t="s">
        <v>5468</v>
      </c>
      <c r="D201" s="1574" t="s">
        <v>5475</v>
      </c>
      <c r="E201" s="1574" t="s">
        <v>978</v>
      </c>
      <c r="F201" s="849"/>
      <c r="G201" s="849"/>
      <c r="H201" s="849"/>
      <c r="I201" s="1610" t="s">
        <v>5346</v>
      </c>
      <c r="J201" s="849"/>
      <c r="K201" s="849"/>
      <c r="L201" s="849"/>
      <c r="M201" s="1626" t="s">
        <v>5479</v>
      </c>
      <c r="N201" s="849"/>
      <c r="O201" s="849"/>
      <c r="P201" s="849"/>
      <c r="Q201" s="1652"/>
      <c r="R201" s="849"/>
      <c r="S201" s="849"/>
      <c r="T201" s="849"/>
      <c r="U201" s="1629" t="s">
        <v>5383</v>
      </c>
      <c r="V201" s="849"/>
      <c r="W201" s="849"/>
      <c r="X201" s="849"/>
      <c r="Y201" s="1519" t="s">
        <v>5391</v>
      </c>
      <c r="Z201" s="849"/>
      <c r="AA201" s="849"/>
      <c r="AB201" s="849"/>
      <c r="AC201" s="1632" t="s">
        <v>5472</v>
      </c>
      <c r="AD201" s="849"/>
      <c r="AE201" s="849"/>
      <c r="AF201" s="849"/>
      <c r="AG201" s="1646" t="s">
        <v>5476</v>
      </c>
      <c r="AH201" s="1646" t="s">
        <v>5477</v>
      </c>
      <c r="AI201" s="1649" t="s">
        <v>5478</v>
      </c>
      <c r="AJ201" s="213"/>
      <c r="AK201" s="213"/>
    </row>
    <row r="202" spans="1:37" ht="9.9499999999999993" customHeight="1" x14ac:dyDescent="0.25">
      <c r="A202" s="1616"/>
      <c r="B202" s="1617"/>
      <c r="C202" s="1575"/>
      <c r="D202" s="1575"/>
      <c r="E202" s="1575"/>
      <c r="F202" s="850"/>
      <c r="G202" s="851"/>
      <c r="H202" s="850"/>
      <c r="I202" s="1611"/>
      <c r="J202" s="850"/>
      <c r="K202" s="851"/>
      <c r="L202" s="850"/>
      <c r="M202" s="1627"/>
      <c r="N202" s="850"/>
      <c r="O202" s="851"/>
      <c r="P202" s="850"/>
      <c r="Q202" s="1653"/>
      <c r="R202" s="850"/>
      <c r="S202" s="851"/>
      <c r="T202" s="850"/>
      <c r="U202" s="1630"/>
      <c r="V202" s="850"/>
      <c r="W202" s="851"/>
      <c r="X202" s="850"/>
      <c r="Y202" s="1618"/>
      <c r="Z202" s="850"/>
      <c r="AA202" s="851"/>
      <c r="AB202" s="850"/>
      <c r="AC202" s="1633"/>
      <c r="AD202" s="850"/>
      <c r="AE202" s="851"/>
      <c r="AF202" s="850"/>
      <c r="AG202" s="1647"/>
      <c r="AH202" s="1647"/>
      <c r="AI202" s="1650"/>
      <c r="AJ202" s="213"/>
      <c r="AK202" s="213"/>
    </row>
    <row r="203" spans="1:37" ht="9.9499999999999993" customHeight="1" x14ac:dyDescent="0.25">
      <c r="A203" s="1616"/>
      <c r="B203" s="1617"/>
      <c r="C203" s="1576"/>
      <c r="D203" s="1576"/>
      <c r="E203" s="1576"/>
      <c r="F203" s="849"/>
      <c r="G203" s="849"/>
      <c r="H203" s="849"/>
      <c r="I203" s="1612"/>
      <c r="J203" s="849"/>
      <c r="K203" s="849"/>
      <c r="L203" s="849"/>
      <c r="M203" s="1628"/>
      <c r="N203" s="849"/>
      <c r="O203" s="849"/>
      <c r="P203" s="849"/>
      <c r="Q203" s="1654"/>
      <c r="R203" s="849"/>
      <c r="S203" s="849"/>
      <c r="T203" s="849"/>
      <c r="U203" s="1631"/>
      <c r="V203" s="849"/>
      <c r="W203" s="849"/>
      <c r="X203" s="849"/>
      <c r="Y203" s="1520"/>
      <c r="Z203" s="849"/>
      <c r="AA203" s="849"/>
      <c r="AB203" s="849"/>
      <c r="AC203" s="1634"/>
      <c r="AD203" s="849"/>
      <c r="AE203" s="849"/>
      <c r="AF203" s="849"/>
      <c r="AG203" s="1648"/>
      <c r="AH203" s="1648"/>
      <c r="AI203" s="1651"/>
      <c r="AJ203" s="213"/>
      <c r="AK203" s="213"/>
    </row>
    <row r="204" spans="1:37" ht="9.9499999999999993" customHeight="1" x14ac:dyDescent="0.25">
      <c r="A204" s="270"/>
      <c r="B204" s="270"/>
      <c r="C204" s="270"/>
      <c r="D204" s="270"/>
      <c r="E204" s="270"/>
      <c r="F204" s="270"/>
      <c r="G204" s="270"/>
      <c r="H204" s="270"/>
      <c r="I204" s="270"/>
      <c r="J204" s="270"/>
      <c r="K204" s="270"/>
      <c r="L204" s="270"/>
      <c r="M204" s="852"/>
      <c r="N204" s="270"/>
      <c r="O204" s="270"/>
      <c r="P204" s="270"/>
      <c r="Q204" s="852"/>
      <c r="R204" s="270"/>
      <c r="S204" s="270"/>
      <c r="T204" s="270"/>
      <c r="U204" s="852"/>
      <c r="V204" s="270"/>
      <c r="W204" s="270"/>
      <c r="X204" s="270"/>
      <c r="Y204" s="852"/>
      <c r="Z204" s="270"/>
      <c r="AA204" s="270"/>
      <c r="AB204" s="270"/>
      <c r="AC204" s="852"/>
      <c r="AD204" s="270"/>
      <c r="AE204" s="270"/>
      <c r="AF204" s="270"/>
      <c r="AG204" s="853"/>
      <c r="AH204" s="853"/>
      <c r="AI204" s="856"/>
      <c r="AJ204" s="213"/>
      <c r="AK204" s="213"/>
    </row>
    <row r="205" spans="1:37" ht="9.9499999999999993" customHeight="1" x14ac:dyDescent="0.25">
      <c r="A205" s="1616">
        <v>22</v>
      </c>
      <c r="B205" s="1617">
        <v>4</v>
      </c>
      <c r="C205" s="1574" t="s">
        <v>5458</v>
      </c>
      <c r="D205" s="1574" t="s">
        <v>5475</v>
      </c>
      <c r="E205" s="1574" t="s">
        <v>978</v>
      </c>
      <c r="F205" s="849"/>
      <c r="G205" s="849"/>
      <c r="H205" s="849"/>
      <c r="I205" s="1610" t="s">
        <v>5346</v>
      </c>
      <c r="J205" s="849"/>
      <c r="K205" s="849"/>
      <c r="L205" s="849"/>
      <c r="M205" s="1626" t="s">
        <v>5479</v>
      </c>
      <c r="N205" s="849"/>
      <c r="O205" s="849"/>
      <c r="P205" s="849"/>
      <c r="Q205" s="1652"/>
      <c r="R205" s="849"/>
      <c r="S205" s="849"/>
      <c r="T205" s="849"/>
      <c r="U205" s="1629" t="s">
        <v>5383</v>
      </c>
      <c r="V205" s="849"/>
      <c r="W205" s="849"/>
      <c r="X205" s="849"/>
      <c r="Y205" s="1519" t="s">
        <v>5391</v>
      </c>
      <c r="Z205" s="849"/>
      <c r="AA205" s="849"/>
      <c r="AB205" s="849"/>
      <c r="AC205" s="1632" t="s">
        <v>5472</v>
      </c>
      <c r="AD205" s="849"/>
      <c r="AE205" s="849"/>
      <c r="AF205" s="849"/>
      <c r="AG205" s="1646" t="s">
        <v>5476</v>
      </c>
      <c r="AH205" s="1646" t="s">
        <v>5477</v>
      </c>
      <c r="AI205" s="1649" t="s">
        <v>5478</v>
      </c>
      <c r="AJ205" s="213"/>
      <c r="AK205" s="213"/>
    </row>
    <row r="206" spans="1:37" ht="9.9499999999999993" customHeight="1" x14ac:dyDescent="0.25">
      <c r="A206" s="1616"/>
      <c r="B206" s="1617"/>
      <c r="C206" s="1575"/>
      <c r="D206" s="1575"/>
      <c r="E206" s="1575"/>
      <c r="F206" s="850"/>
      <c r="G206" s="851"/>
      <c r="H206" s="850"/>
      <c r="I206" s="1611"/>
      <c r="J206" s="850"/>
      <c r="K206" s="851"/>
      <c r="L206" s="850"/>
      <c r="M206" s="1627"/>
      <c r="N206" s="850"/>
      <c r="O206" s="851"/>
      <c r="P206" s="850"/>
      <c r="Q206" s="1653"/>
      <c r="R206" s="850"/>
      <c r="S206" s="851"/>
      <c r="T206" s="850"/>
      <c r="U206" s="1630"/>
      <c r="V206" s="850"/>
      <c r="W206" s="851"/>
      <c r="X206" s="850"/>
      <c r="Y206" s="1618"/>
      <c r="Z206" s="850"/>
      <c r="AA206" s="851"/>
      <c r="AB206" s="850"/>
      <c r="AC206" s="1633"/>
      <c r="AD206" s="850"/>
      <c r="AE206" s="851"/>
      <c r="AF206" s="850"/>
      <c r="AG206" s="1647"/>
      <c r="AH206" s="1647"/>
      <c r="AI206" s="1650"/>
      <c r="AJ206" s="213"/>
      <c r="AK206" s="213"/>
    </row>
    <row r="207" spans="1:37" ht="9.9499999999999993" customHeight="1" x14ac:dyDescent="0.25">
      <c r="A207" s="1616"/>
      <c r="B207" s="1617"/>
      <c r="C207" s="1576"/>
      <c r="D207" s="1576"/>
      <c r="E207" s="1576"/>
      <c r="F207" s="849"/>
      <c r="G207" s="849"/>
      <c r="H207" s="849"/>
      <c r="I207" s="1612"/>
      <c r="J207" s="849"/>
      <c r="K207" s="849"/>
      <c r="L207" s="849"/>
      <c r="M207" s="1628"/>
      <c r="N207" s="849"/>
      <c r="O207" s="849"/>
      <c r="P207" s="849"/>
      <c r="Q207" s="1654"/>
      <c r="R207" s="849"/>
      <c r="S207" s="849"/>
      <c r="T207" s="849"/>
      <c r="U207" s="1631"/>
      <c r="V207" s="849"/>
      <c r="W207" s="849"/>
      <c r="X207" s="849"/>
      <c r="Y207" s="1520"/>
      <c r="Z207" s="849"/>
      <c r="AA207" s="849"/>
      <c r="AB207" s="849"/>
      <c r="AC207" s="1634"/>
      <c r="AD207" s="849"/>
      <c r="AE207" s="849"/>
      <c r="AF207" s="849"/>
      <c r="AG207" s="1648"/>
      <c r="AH207" s="1648"/>
      <c r="AI207" s="1651"/>
      <c r="AJ207" s="213"/>
      <c r="AK207" s="213"/>
    </row>
    <row r="208" spans="1:37" ht="9.9499999999999993" customHeight="1" x14ac:dyDescent="0.25">
      <c r="A208" s="270"/>
      <c r="B208" s="270"/>
      <c r="C208" s="270"/>
      <c r="D208" s="270"/>
      <c r="E208" s="270"/>
      <c r="F208" s="270"/>
      <c r="G208" s="270"/>
      <c r="H208" s="270"/>
      <c r="I208" s="270"/>
      <c r="J208" s="270"/>
      <c r="K208" s="270"/>
      <c r="L208" s="270"/>
      <c r="M208" s="852"/>
      <c r="N208" s="270"/>
      <c r="O208" s="270"/>
      <c r="P208" s="270"/>
      <c r="Q208" s="852"/>
      <c r="R208" s="270"/>
      <c r="S208" s="270"/>
      <c r="T208" s="270"/>
      <c r="U208" s="852"/>
      <c r="V208" s="270"/>
      <c r="W208" s="270"/>
      <c r="X208" s="270"/>
      <c r="Y208" s="852"/>
      <c r="Z208" s="270"/>
      <c r="AA208" s="270"/>
      <c r="AB208" s="270"/>
      <c r="AC208" s="852"/>
      <c r="AD208" s="270"/>
      <c r="AE208" s="270"/>
      <c r="AF208" s="270"/>
      <c r="AG208" s="853"/>
      <c r="AH208" s="853"/>
      <c r="AI208" s="856"/>
      <c r="AJ208" s="213"/>
      <c r="AK208" s="213"/>
    </row>
    <row r="209" spans="1:37" ht="9.9499999999999993" customHeight="1" x14ac:dyDescent="0.25">
      <c r="A209" s="1616">
        <v>23</v>
      </c>
      <c r="B209" s="1617">
        <v>4</v>
      </c>
      <c r="C209" s="1574" t="s">
        <v>5463</v>
      </c>
      <c r="D209" s="1574" t="s">
        <v>5475</v>
      </c>
      <c r="E209" s="1574" t="s">
        <v>978</v>
      </c>
      <c r="F209" s="849"/>
      <c r="G209" s="849"/>
      <c r="H209" s="849"/>
      <c r="I209" s="1598" t="s">
        <v>5470</v>
      </c>
      <c r="J209" s="849"/>
      <c r="K209" s="849"/>
      <c r="L209" s="849"/>
      <c r="M209" s="1626" t="s">
        <v>5479</v>
      </c>
      <c r="N209" s="849"/>
      <c r="O209" s="849"/>
      <c r="P209" s="849"/>
      <c r="Q209" s="1652"/>
      <c r="R209" s="849"/>
      <c r="S209" s="849"/>
      <c r="T209" s="849"/>
      <c r="U209" s="1629" t="s">
        <v>5383</v>
      </c>
      <c r="V209" s="849"/>
      <c r="W209" s="849"/>
      <c r="X209" s="849"/>
      <c r="Y209" s="1519" t="s">
        <v>5391</v>
      </c>
      <c r="Z209" s="849"/>
      <c r="AA209" s="849"/>
      <c r="AB209" s="849"/>
      <c r="AC209" s="1632" t="s">
        <v>5472</v>
      </c>
      <c r="AD209" s="849"/>
      <c r="AE209" s="849"/>
      <c r="AF209" s="849"/>
      <c r="AG209" s="1646" t="s">
        <v>5476</v>
      </c>
      <c r="AH209" s="1646" t="s">
        <v>5477</v>
      </c>
      <c r="AI209" s="1649" t="s">
        <v>5478</v>
      </c>
      <c r="AJ209" s="213"/>
      <c r="AK209" s="213"/>
    </row>
    <row r="210" spans="1:37" ht="9.9499999999999993" customHeight="1" x14ac:dyDescent="0.25">
      <c r="A210" s="1616"/>
      <c r="B210" s="1617"/>
      <c r="C210" s="1575"/>
      <c r="D210" s="1575"/>
      <c r="E210" s="1575"/>
      <c r="F210" s="850"/>
      <c r="G210" s="851"/>
      <c r="H210" s="850"/>
      <c r="I210" s="1599"/>
      <c r="J210" s="850"/>
      <c r="K210" s="851"/>
      <c r="L210" s="850"/>
      <c r="M210" s="1627"/>
      <c r="N210" s="850"/>
      <c r="O210" s="851"/>
      <c r="P210" s="850"/>
      <c r="Q210" s="1653"/>
      <c r="R210" s="850"/>
      <c r="S210" s="851"/>
      <c r="T210" s="850"/>
      <c r="U210" s="1630"/>
      <c r="V210" s="850"/>
      <c r="W210" s="851"/>
      <c r="X210" s="850"/>
      <c r="Y210" s="1618"/>
      <c r="Z210" s="850"/>
      <c r="AA210" s="851"/>
      <c r="AB210" s="850"/>
      <c r="AC210" s="1633"/>
      <c r="AD210" s="850"/>
      <c r="AE210" s="851"/>
      <c r="AF210" s="850"/>
      <c r="AG210" s="1647"/>
      <c r="AH210" s="1647"/>
      <c r="AI210" s="1650"/>
      <c r="AJ210" s="213"/>
      <c r="AK210" s="213"/>
    </row>
    <row r="211" spans="1:37" ht="9.9499999999999993" customHeight="1" x14ac:dyDescent="0.25">
      <c r="A211" s="1616"/>
      <c r="B211" s="1617"/>
      <c r="C211" s="1576"/>
      <c r="D211" s="1576"/>
      <c r="E211" s="1576"/>
      <c r="F211" s="849"/>
      <c r="G211" s="849"/>
      <c r="H211" s="849"/>
      <c r="I211" s="1600"/>
      <c r="J211" s="849"/>
      <c r="K211" s="849"/>
      <c r="L211" s="849"/>
      <c r="M211" s="1628"/>
      <c r="N211" s="849"/>
      <c r="O211" s="849"/>
      <c r="P211" s="849"/>
      <c r="Q211" s="1654"/>
      <c r="R211" s="849"/>
      <c r="S211" s="849"/>
      <c r="T211" s="849"/>
      <c r="U211" s="1631"/>
      <c r="V211" s="849"/>
      <c r="W211" s="849"/>
      <c r="X211" s="849"/>
      <c r="Y211" s="1520"/>
      <c r="Z211" s="849"/>
      <c r="AA211" s="849"/>
      <c r="AB211" s="849"/>
      <c r="AC211" s="1634"/>
      <c r="AD211" s="849"/>
      <c r="AE211" s="849"/>
      <c r="AF211" s="849"/>
      <c r="AG211" s="1648"/>
      <c r="AH211" s="1648"/>
      <c r="AI211" s="1651"/>
      <c r="AJ211" s="213"/>
      <c r="AK211" s="213"/>
    </row>
    <row r="212" spans="1:37" ht="9.9499999999999993" customHeight="1" x14ac:dyDescent="0.25">
      <c r="A212" s="270"/>
      <c r="B212" s="270"/>
      <c r="C212" s="270"/>
      <c r="D212" s="270"/>
      <c r="E212" s="270"/>
      <c r="F212" s="270"/>
      <c r="G212" s="270"/>
      <c r="H212" s="270"/>
      <c r="I212" s="270"/>
      <c r="J212" s="270"/>
      <c r="K212" s="270"/>
      <c r="L212" s="270"/>
      <c r="M212" s="852"/>
      <c r="N212" s="270"/>
      <c r="O212" s="270"/>
      <c r="P212" s="270"/>
      <c r="Q212" s="852"/>
      <c r="R212" s="270"/>
      <c r="S212" s="270"/>
      <c r="T212" s="270"/>
      <c r="U212" s="852"/>
      <c r="V212" s="270"/>
      <c r="W212" s="270"/>
      <c r="X212" s="270"/>
      <c r="Y212" s="852"/>
      <c r="Z212" s="270"/>
      <c r="AA212" s="270"/>
      <c r="AB212" s="270"/>
      <c r="AC212" s="852"/>
      <c r="AD212" s="270"/>
      <c r="AE212" s="270"/>
      <c r="AF212" s="270"/>
      <c r="AG212" s="853"/>
      <c r="AH212" s="853"/>
      <c r="AI212" s="856"/>
      <c r="AJ212" s="213"/>
      <c r="AK212" s="213"/>
    </row>
    <row r="213" spans="1:37" ht="9.9499999999999993" customHeight="1" x14ac:dyDescent="0.25">
      <c r="A213" s="1616">
        <v>24</v>
      </c>
      <c r="B213" s="1617">
        <v>4</v>
      </c>
      <c r="C213" s="1574" t="s">
        <v>5464</v>
      </c>
      <c r="D213" s="1574" t="s">
        <v>5475</v>
      </c>
      <c r="E213" s="1574" t="s">
        <v>978</v>
      </c>
      <c r="F213" s="849"/>
      <c r="G213" s="849"/>
      <c r="H213" s="849"/>
      <c r="I213" s="1598" t="s">
        <v>5470</v>
      </c>
      <c r="J213" s="849"/>
      <c r="K213" s="849"/>
      <c r="L213" s="849"/>
      <c r="M213" s="1626" t="s">
        <v>5479</v>
      </c>
      <c r="N213" s="849"/>
      <c r="O213" s="849"/>
      <c r="P213" s="849"/>
      <c r="Q213" s="1652"/>
      <c r="R213" s="849"/>
      <c r="S213" s="849"/>
      <c r="T213" s="849"/>
      <c r="U213" s="1629" t="s">
        <v>5383</v>
      </c>
      <c r="V213" s="849"/>
      <c r="W213" s="849"/>
      <c r="X213" s="849"/>
      <c r="Y213" s="1519" t="s">
        <v>5391</v>
      </c>
      <c r="Z213" s="849"/>
      <c r="AA213" s="849"/>
      <c r="AB213" s="849"/>
      <c r="AC213" s="1511" t="s">
        <v>5474</v>
      </c>
      <c r="AD213" s="849"/>
      <c r="AE213" s="849"/>
      <c r="AF213" s="849"/>
      <c r="AG213" s="1646" t="s">
        <v>5476</v>
      </c>
      <c r="AH213" s="1646" t="s">
        <v>5477</v>
      </c>
      <c r="AI213" s="1649" t="s">
        <v>5478</v>
      </c>
      <c r="AJ213" s="213"/>
      <c r="AK213" s="213"/>
    </row>
    <row r="214" spans="1:37" ht="9.9499999999999993" customHeight="1" x14ac:dyDescent="0.25">
      <c r="A214" s="1616"/>
      <c r="B214" s="1617"/>
      <c r="C214" s="1575"/>
      <c r="D214" s="1575"/>
      <c r="E214" s="1575"/>
      <c r="F214" s="850"/>
      <c r="G214" s="851"/>
      <c r="H214" s="850"/>
      <c r="I214" s="1599"/>
      <c r="J214" s="850"/>
      <c r="K214" s="851"/>
      <c r="L214" s="850"/>
      <c r="M214" s="1627"/>
      <c r="N214" s="850"/>
      <c r="O214" s="851"/>
      <c r="P214" s="850"/>
      <c r="Q214" s="1653"/>
      <c r="R214" s="850"/>
      <c r="S214" s="851"/>
      <c r="T214" s="850"/>
      <c r="U214" s="1630"/>
      <c r="V214" s="850"/>
      <c r="W214" s="851"/>
      <c r="X214" s="850"/>
      <c r="Y214" s="1618"/>
      <c r="Z214" s="850"/>
      <c r="AA214" s="851"/>
      <c r="AB214" s="850"/>
      <c r="AC214" s="1645"/>
      <c r="AD214" s="850"/>
      <c r="AE214" s="851"/>
      <c r="AF214" s="850"/>
      <c r="AG214" s="1647"/>
      <c r="AH214" s="1647"/>
      <c r="AI214" s="1650"/>
      <c r="AJ214" s="213"/>
      <c r="AK214" s="213"/>
    </row>
    <row r="215" spans="1:37" ht="9.9499999999999993" customHeight="1" x14ac:dyDescent="0.25">
      <c r="A215" s="1616"/>
      <c r="B215" s="1617"/>
      <c r="C215" s="1576"/>
      <c r="D215" s="1576"/>
      <c r="E215" s="1576"/>
      <c r="F215" s="849"/>
      <c r="G215" s="849"/>
      <c r="H215" s="849"/>
      <c r="I215" s="1600"/>
      <c r="J215" s="849"/>
      <c r="K215" s="849"/>
      <c r="L215" s="849"/>
      <c r="M215" s="1628"/>
      <c r="N215" s="849"/>
      <c r="O215" s="849"/>
      <c r="P215" s="849"/>
      <c r="Q215" s="1654"/>
      <c r="R215" s="849"/>
      <c r="S215" s="849"/>
      <c r="T215" s="849"/>
      <c r="U215" s="1631"/>
      <c r="V215" s="849"/>
      <c r="W215" s="849"/>
      <c r="X215" s="849"/>
      <c r="Y215" s="1520"/>
      <c r="Z215" s="849"/>
      <c r="AA215" s="849"/>
      <c r="AB215" s="849"/>
      <c r="AC215" s="1512"/>
      <c r="AD215" s="849"/>
      <c r="AE215" s="849"/>
      <c r="AF215" s="849"/>
      <c r="AG215" s="1648"/>
      <c r="AH215" s="1648"/>
      <c r="AI215" s="1651"/>
      <c r="AJ215" s="213"/>
      <c r="AK215" s="213"/>
    </row>
    <row r="216" spans="1:37" ht="9.9499999999999993" customHeight="1" x14ac:dyDescent="0.25">
      <c r="A216" s="270"/>
      <c r="B216" s="270"/>
      <c r="C216" s="270"/>
      <c r="D216" s="270"/>
      <c r="E216" s="270"/>
      <c r="F216" s="270"/>
      <c r="G216" s="270"/>
      <c r="H216" s="270"/>
      <c r="I216" s="270"/>
      <c r="J216" s="270"/>
      <c r="K216" s="270"/>
      <c r="L216" s="270"/>
      <c r="M216" s="852"/>
      <c r="N216" s="270"/>
      <c r="O216" s="270"/>
      <c r="P216" s="270"/>
      <c r="Q216" s="852"/>
      <c r="R216" s="270"/>
      <c r="S216" s="270"/>
      <c r="T216" s="270"/>
      <c r="U216" s="852"/>
      <c r="V216" s="270"/>
      <c r="W216" s="270"/>
      <c r="X216" s="270"/>
      <c r="Y216" s="852"/>
      <c r="Z216" s="270"/>
      <c r="AA216" s="270"/>
      <c r="AB216" s="270"/>
      <c r="AC216" s="852"/>
      <c r="AD216" s="270"/>
      <c r="AE216" s="270"/>
      <c r="AF216" s="270"/>
      <c r="AG216" s="853"/>
      <c r="AH216" s="853"/>
      <c r="AI216" s="856"/>
      <c r="AJ216" s="213"/>
      <c r="AK216" s="213"/>
    </row>
    <row r="217" spans="1:37" ht="9.9499999999999993" customHeight="1" x14ac:dyDescent="0.25">
      <c r="A217" s="1616">
        <v>25</v>
      </c>
      <c r="B217" s="1617">
        <v>4</v>
      </c>
      <c r="C217" s="1574" t="s">
        <v>5465</v>
      </c>
      <c r="D217" s="1574" t="s">
        <v>5475</v>
      </c>
      <c r="E217" s="1574" t="s">
        <v>978</v>
      </c>
      <c r="F217" s="849"/>
      <c r="G217" s="849"/>
      <c r="H217" s="849"/>
      <c r="I217" s="1598" t="s">
        <v>5470</v>
      </c>
      <c r="J217" s="849"/>
      <c r="K217" s="849"/>
      <c r="L217" s="849"/>
      <c r="M217" s="1626" t="s">
        <v>5479</v>
      </c>
      <c r="N217" s="849"/>
      <c r="O217" s="849"/>
      <c r="P217" s="849"/>
      <c r="Q217" s="1652"/>
      <c r="R217" s="849"/>
      <c r="S217" s="849"/>
      <c r="T217" s="849"/>
      <c r="U217" s="1629" t="s">
        <v>5383</v>
      </c>
      <c r="V217" s="849"/>
      <c r="W217" s="849"/>
      <c r="X217" s="849"/>
      <c r="Y217" s="1519" t="s">
        <v>5391</v>
      </c>
      <c r="Z217" s="849"/>
      <c r="AA217" s="849"/>
      <c r="AB217" s="849"/>
      <c r="AC217" s="1511" t="s">
        <v>5474</v>
      </c>
      <c r="AD217" s="849"/>
      <c r="AE217" s="849"/>
      <c r="AF217" s="849"/>
      <c r="AG217" s="1646" t="s">
        <v>5476</v>
      </c>
      <c r="AH217" s="1646" t="s">
        <v>5477</v>
      </c>
      <c r="AI217" s="1649" t="s">
        <v>5478</v>
      </c>
      <c r="AJ217" s="213"/>
      <c r="AK217" s="213"/>
    </row>
    <row r="218" spans="1:37" ht="9.9499999999999993" customHeight="1" x14ac:dyDescent="0.25">
      <c r="A218" s="1616"/>
      <c r="B218" s="1617"/>
      <c r="C218" s="1575"/>
      <c r="D218" s="1575"/>
      <c r="E218" s="1575"/>
      <c r="F218" s="850"/>
      <c r="G218" s="851"/>
      <c r="H218" s="850"/>
      <c r="I218" s="1599"/>
      <c r="J218" s="850"/>
      <c r="K218" s="851"/>
      <c r="L218" s="850"/>
      <c r="M218" s="1627"/>
      <c r="N218" s="850"/>
      <c r="O218" s="851"/>
      <c r="P218" s="850"/>
      <c r="Q218" s="1653"/>
      <c r="R218" s="850"/>
      <c r="S218" s="851"/>
      <c r="T218" s="850"/>
      <c r="U218" s="1630"/>
      <c r="V218" s="850"/>
      <c r="W218" s="851"/>
      <c r="X218" s="850"/>
      <c r="Y218" s="1618"/>
      <c r="Z218" s="850"/>
      <c r="AA218" s="851"/>
      <c r="AB218" s="850"/>
      <c r="AC218" s="1645"/>
      <c r="AD218" s="850"/>
      <c r="AE218" s="851"/>
      <c r="AF218" s="850"/>
      <c r="AG218" s="1647"/>
      <c r="AH218" s="1647"/>
      <c r="AI218" s="1650"/>
      <c r="AJ218" s="213"/>
      <c r="AK218" s="213"/>
    </row>
    <row r="219" spans="1:37" ht="9.9499999999999993" customHeight="1" x14ac:dyDescent="0.25">
      <c r="A219" s="1616"/>
      <c r="B219" s="1617"/>
      <c r="C219" s="1576"/>
      <c r="D219" s="1576"/>
      <c r="E219" s="1576"/>
      <c r="F219" s="849"/>
      <c r="G219" s="849"/>
      <c r="H219" s="849"/>
      <c r="I219" s="1600"/>
      <c r="J219" s="849"/>
      <c r="K219" s="849"/>
      <c r="L219" s="849"/>
      <c r="M219" s="1628"/>
      <c r="N219" s="849"/>
      <c r="O219" s="849"/>
      <c r="P219" s="849"/>
      <c r="Q219" s="1654"/>
      <c r="R219" s="849"/>
      <c r="S219" s="849"/>
      <c r="T219" s="849"/>
      <c r="U219" s="1631"/>
      <c r="V219" s="849"/>
      <c r="W219" s="849"/>
      <c r="X219" s="849"/>
      <c r="Y219" s="1520"/>
      <c r="Z219" s="849"/>
      <c r="AA219" s="849"/>
      <c r="AB219" s="849"/>
      <c r="AC219" s="1512"/>
      <c r="AD219" s="849"/>
      <c r="AE219" s="849"/>
      <c r="AF219" s="849"/>
      <c r="AG219" s="1648"/>
      <c r="AH219" s="1648"/>
      <c r="AI219" s="1651"/>
      <c r="AJ219" s="213"/>
      <c r="AK219" s="213"/>
    </row>
    <row r="220" spans="1:37" ht="9.9499999999999993" customHeight="1" x14ac:dyDescent="0.25">
      <c r="A220" s="270"/>
      <c r="B220" s="270"/>
      <c r="C220" s="270"/>
      <c r="D220" s="270"/>
      <c r="E220" s="270"/>
      <c r="F220" s="270"/>
      <c r="G220" s="270"/>
      <c r="H220" s="270"/>
      <c r="I220" s="270"/>
      <c r="J220" s="270"/>
      <c r="K220" s="270"/>
      <c r="L220" s="270"/>
      <c r="M220" s="852"/>
      <c r="N220" s="270"/>
      <c r="O220" s="270"/>
      <c r="P220" s="270"/>
      <c r="Q220" s="852"/>
      <c r="R220" s="270"/>
      <c r="S220" s="270"/>
      <c r="T220" s="270"/>
      <c r="U220" s="852"/>
      <c r="V220" s="270"/>
      <c r="W220" s="270"/>
      <c r="X220" s="270"/>
      <c r="Y220" s="852"/>
      <c r="Z220" s="270"/>
      <c r="AA220" s="270"/>
      <c r="AB220" s="270"/>
      <c r="AC220" s="852"/>
      <c r="AD220" s="270"/>
      <c r="AE220" s="270"/>
      <c r="AF220" s="270"/>
      <c r="AG220" s="853"/>
      <c r="AH220" s="853"/>
      <c r="AI220" s="856"/>
      <c r="AJ220" s="213"/>
      <c r="AK220" s="213"/>
    </row>
    <row r="221" spans="1:37" ht="9.9499999999999993" customHeight="1" x14ac:dyDescent="0.25">
      <c r="A221" s="1616">
        <v>26</v>
      </c>
      <c r="B221" s="1617">
        <v>4</v>
      </c>
      <c r="C221" s="1574" t="s">
        <v>5466</v>
      </c>
      <c r="D221" s="1574" t="s">
        <v>5475</v>
      </c>
      <c r="E221" s="1574" t="s">
        <v>978</v>
      </c>
      <c r="F221" s="849"/>
      <c r="G221" s="849"/>
      <c r="H221" s="849"/>
      <c r="I221" s="1598" t="s">
        <v>5470</v>
      </c>
      <c r="J221" s="849"/>
      <c r="K221" s="849"/>
      <c r="L221" s="849"/>
      <c r="M221" s="1626" t="s">
        <v>5479</v>
      </c>
      <c r="N221" s="849"/>
      <c r="O221" s="849"/>
      <c r="P221" s="849"/>
      <c r="Q221" s="1652"/>
      <c r="R221" s="849"/>
      <c r="S221" s="849"/>
      <c r="T221" s="849"/>
      <c r="U221" s="1629" t="s">
        <v>5383</v>
      </c>
      <c r="V221" s="849"/>
      <c r="W221" s="849"/>
      <c r="X221" s="849"/>
      <c r="Y221" s="1519" t="s">
        <v>5391</v>
      </c>
      <c r="Z221" s="849"/>
      <c r="AA221" s="849"/>
      <c r="AB221" s="849"/>
      <c r="AC221" s="1511" t="s">
        <v>5474</v>
      </c>
      <c r="AD221" s="849"/>
      <c r="AE221" s="849"/>
      <c r="AF221" s="849"/>
      <c r="AG221" s="1646" t="s">
        <v>5476</v>
      </c>
      <c r="AH221" s="1646" t="s">
        <v>5477</v>
      </c>
      <c r="AI221" s="1649" t="s">
        <v>5478</v>
      </c>
      <c r="AJ221" s="213"/>
      <c r="AK221" s="213"/>
    </row>
    <row r="222" spans="1:37" ht="9.9499999999999993" customHeight="1" x14ac:dyDescent="0.25">
      <c r="A222" s="1616"/>
      <c r="B222" s="1617"/>
      <c r="C222" s="1575"/>
      <c r="D222" s="1575"/>
      <c r="E222" s="1575"/>
      <c r="F222" s="850"/>
      <c r="G222" s="851"/>
      <c r="H222" s="850"/>
      <c r="I222" s="1599"/>
      <c r="J222" s="850"/>
      <c r="K222" s="851"/>
      <c r="L222" s="850"/>
      <c r="M222" s="1627"/>
      <c r="N222" s="850"/>
      <c r="O222" s="851"/>
      <c r="P222" s="850"/>
      <c r="Q222" s="1653"/>
      <c r="R222" s="850"/>
      <c r="S222" s="851"/>
      <c r="T222" s="850"/>
      <c r="U222" s="1630"/>
      <c r="V222" s="850"/>
      <c r="W222" s="851"/>
      <c r="X222" s="850"/>
      <c r="Y222" s="1618"/>
      <c r="Z222" s="850"/>
      <c r="AA222" s="851"/>
      <c r="AB222" s="850"/>
      <c r="AC222" s="1645"/>
      <c r="AD222" s="850"/>
      <c r="AE222" s="851"/>
      <c r="AF222" s="850"/>
      <c r="AG222" s="1647"/>
      <c r="AH222" s="1647"/>
      <c r="AI222" s="1650"/>
      <c r="AJ222" s="213"/>
      <c r="AK222" s="213"/>
    </row>
    <row r="223" spans="1:37" ht="9.9499999999999993" customHeight="1" x14ac:dyDescent="0.25">
      <c r="A223" s="1616"/>
      <c r="B223" s="1617"/>
      <c r="C223" s="1576"/>
      <c r="D223" s="1576"/>
      <c r="E223" s="1576"/>
      <c r="F223" s="849"/>
      <c r="G223" s="849"/>
      <c r="H223" s="849"/>
      <c r="I223" s="1600"/>
      <c r="J223" s="849"/>
      <c r="K223" s="849"/>
      <c r="L223" s="849"/>
      <c r="M223" s="1628"/>
      <c r="N223" s="849"/>
      <c r="O223" s="849"/>
      <c r="P223" s="849"/>
      <c r="Q223" s="1654"/>
      <c r="R223" s="849"/>
      <c r="S223" s="849"/>
      <c r="T223" s="849"/>
      <c r="U223" s="1631"/>
      <c r="V223" s="849"/>
      <c r="W223" s="849"/>
      <c r="X223" s="849"/>
      <c r="Y223" s="1520"/>
      <c r="Z223" s="849"/>
      <c r="AA223" s="849"/>
      <c r="AB223" s="849"/>
      <c r="AC223" s="1512"/>
      <c r="AD223" s="849"/>
      <c r="AE223" s="849"/>
      <c r="AF223" s="849"/>
      <c r="AG223" s="1648"/>
      <c r="AH223" s="1648"/>
      <c r="AI223" s="1651"/>
      <c r="AJ223" s="213"/>
      <c r="AK223" s="213"/>
    </row>
    <row r="224" spans="1:37" ht="9.9499999999999993" customHeight="1" x14ac:dyDescent="0.25">
      <c r="A224" s="270"/>
      <c r="B224" s="270"/>
      <c r="C224" s="270"/>
      <c r="D224" s="270"/>
      <c r="E224" s="270"/>
      <c r="F224" s="270"/>
      <c r="G224" s="270"/>
      <c r="H224" s="270"/>
      <c r="I224" s="270"/>
      <c r="J224" s="270"/>
      <c r="K224" s="270"/>
      <c r="L224" s="270"/>
      <c r="M224" s="852"/>
      <c r="N224" s="270"/>
      <c r="O224" s="270"/>
      <c r="P224" s="270"/>
      <c r="Q224" s="852"/>
      <c r="R224" s="270"/>
      <c r="S224" s="270"/>
      <c r="T224" s="270"/>
      <c r="U224" s="852"/>
      <c r="V224" s="270"/>
      <c r="W224" s="270"/>
      <c r="X224" s="270"/>
      <c r="Y224" s="852"/>
      <c r="Z224" s="270"/>
      <c r="AA224" s="270"/>
      <c r="AB224" s="270"/>
      <c r="AC224" s="852"/>
      <c r="AD224" s="270"/>
      <c r="AE224" s="270"/>
      <c r="AF224" s="270"/>
      <c r="AG224" s="853"/>
      <c r="AH224" s="853"/>
      <c r="AI224" s="856"/>
      <c r="AJ224" s="213"/>
      <c r="AK224" s="213"/>
    </row>
    <row r="225" spans="1:37" ht="9.9499999999999993" customHeight="1" x14ac:dyDescent="0.25">
      <c r="A225" s="1616">
        <v>27</v>
      </c>
      <c r="B225" s="1617">
        <v>4</v>
      </c>
      <c r="C225" s="1574" t="s">
        <v>5467</v>
      </c>
      <c r="D225" s="1574" t="s">
        <v>5475</v>
      </c>
      <c r="E225" s="1574" t="s">
        <v>978</v>
      </c>
      <c r="F225" s="849"/>
      <c r="G225" s="849"/>
      <c r="H225" s="849"/>
      <c r="I225" s="1598" t="s">
        <v>5470</v>
      </c>
      <c r="J225" s="849"/>
      <c r="K225" s="849"/>
      <c r="L225" s="849"/>
      <c r="M225" s="1626" t="s">
        <v>5479</v>
      </c>
      <c r="N225" s="849"/>
      <c r="O225" s="849"/>
      <c r="P225" s="849"/>
      <c r="Q225" s="1652"/>
      <c r="R225" s="849"/>
      <c r="S225" s="849"/>
      <c r="T225" s="849"/>
      <c r="U225" s="1629" t="s">
        <v>5383</v>
      </c>
      <c r="V225" s="849"/>
      <c r="W225" s="849"/>
      <c r="X225" s="849"/>
      <c r="Y225" s="1519" t="s">
        <v>5391</v>
      </c>
      <c r="Z225" s="849"/>
      <c r="AA225" s="849"/>
      <c r="AB225" s="849"/>
      <c r="AC225" s="1511" t="s">
        <v>5474</v>
      </c>
      <c r="AD225" s="849"/>
      <c r="AE225" s="849"/>
      <c r="AF225" s="849"/>
      <c r="AG225" s="1646" t="s">
        <v>5476</v>
      </c>
      <c r="AH225" s="1646" t="s">
        <v>5477</v>
      </c>
      <c r="AI225" s="1649" t="s">
        <v>5478</v>
      </c>
      <c r="AJ225" s="213"/>
      <c r="AK225" s="213"/>
    </row>
    <row r="226" spans="1:37" ht="9.9499999999999993" customHeight="1" x14ac:dyDescent="0.25">
      <c r="A226" s="1616"/>
      <c r="B226" s="1617"/>
      <c r="C226" s="1575"/>
      <c r="D226" s="1575"/>
      <c r="E226" s="1575"/>
      <c r="F226" s="850"/>
      <c r="G226" s="851"/>
      <c r="H226" s="850"/>
      <c r="I226" s="1599"/>
      <c r="J226" s="850"/>
      <c r="K226" s="851"/>
      <c r="L226" s="850"/>
      <c r="M226" s="1627"/>
      <c r="N226" s="850"/>
      <c r="O226" s="851"/>
      <c r="P226" s="850"/>
      <c r="Q226" s="1653"/>
      <c r="R226" s="850"/>
      <c r="S226" s="851"/>
      <c r="T226" s="850"/>
      <c r="U226" s="1630"/>
      <c r="V226" s="850"/>
      <c r="W226" s="851"/>
      <c r="X226" s="850"/>
      <c r="Y226" s="1618"/>
      <c r="Z226" s="850"/>
      <c r="AA226" s="851"/>
      <c r="AB226" s="850"/>
      <c r="AC226" s="1645"/>
      <c r="AD226" s="850"/>
      <c r="AE226" s="851"/>
      <c r="AF226" s="850"/>
      <c r="AG226" s="1647"/>
      <c r="AH226" s="1647"/>
      <c r="AI226" s="1650"/>
      <c r="AJ226" s="213"/>
      <c r="AK226" s="213"/>
    </row>
    <row r="227" spans="1:37" ht="9.9499999999999993" customHeight="1" x14ac:dyDescent="0.25">
      <c r="A227" s="1616"/>
      <c r="B227" s="1617"/>
      <c r="C227" s="1576"/>
      <c r="D227" s="1576"/>
      <c r="E227" s="1576"/>
      <c r="F227" s="849"/>
      <c r="G227" s="849"/>
      <c r="H227" s="849"/>
      <c r="I227" s="1600"/>
      <c r="J227" s="849"/>
      <c r="K227" s="849"/>
      <c r="L227" s="849"/>
      <c r="M227" s="1628"/>
      <c r="N227" s="849"/>
      <c r="O227" s="849"/>
      <c r="P227" s="849"/>
      <c r="Q227" s="1654"/>
      <c r="R227" s="849"/>
      <c r="S227" s="849"/>
      <c r="T227" s="849"/>
      <c r="U227" s="1631"/>
      <c r="V227" s="849"/>
      <c r="W227" s="849"/>
      <c r="X227" s="849"/>
      <c r="Y227" s="1520"/>
      <c r="Z227" s="849"/>
      <c r="AA227" s="849"/>
      <c r="AB227" s="849"/>
      <c r="AC227" s="1512"/>
      <c r="AD227" s="849"/>
      <c r="AE227" s="849"/>
      <c r="AF227" s="849"/>
      <c r="AG227" s="1648"/>
      <c r="AH227" s="1648"/>
      <c r="AI227" s="1651"/>
      <c r="AJ227" s="213"/>
      <c r="AK227" s="213"/>
    </row>
    <row r="228" spans="1:37" ht="9.9499999999999993" customHeight="1" x14ac:dyDescent="0.25">
      <c r="A228" s="270"/>
      <c r="B228" s="270"/>
      <c r="C228" s="270"/>
      <c r="D228" s="270"/>
      <c r="E228" s="270"/>
      <c r="F228" s="270"/>
      <c r="G228" s="270"/>
      <c r="H228" s="270"/>
      <c r="I228" s="270"/>
      <c r="J228" s="270"/>
      <c r="K228" s="270"/>
      <c r="L228" s="270"/>
      <c r="M228" s="852"/>
      <c r="N228" s="270"/>
      <c r="O228" s="270"/>
      <c r="P228" s="270"/>
      <c r="Q228" s="852"/>
      <c r="R228" s="270"/>
      <c r="S228" s="270"/>
      <c r="T228" s="270"/>
      <c r="U228" s="852"/>
      <c r="V228" s="270"/>
      <c r="W228" s="270"/>
      <c r="X228" s="270"/>
      <c r="Y228" s="852"/>
      <c r="Z228" s="270"/>
      <c r="AA228" s="270"/>
      <c r="AB228" s="270"/>
      <c r="AC228" s="852"/>
      <c r="AD228" s="270"/>
      <c r="AE228" s="270"/>
      <c r="AF228" s="270"/>
      <c r="AG228" s="853"/>
      <c r="AH228" s="853"/>
      <c r="AI228" s="856"/>
      <c r="AJ228" s="213"/>
      <c r="AK228" s="213"/>
    </row>
    <row r="229" spans="1:37" ht="9.9499999999999993" customHeight="1" x14ac:dyDescent="0.25">
      <c r="A229" s="1616">
        <v>28</v>
      </c>
      <c r="B229" s="1617">
        <v>4</v>
      </c>
      <c r="C229" s="1574" t="s">
        <v>5468</v>
      </c>
      <c r="D229" s="1574" t="s">
        <v>5475</v>
      </c>
      <c r="E229" s="1574" t="s">
        <v>978</v>
      </c>
      <c r="F229" s="849"/>
      <c r="G229" s="849"/>
      <c r="H229" s="849"/>
      <c r="I229" s="1598" t="s">
        <v>5470</v>
      </c>
      <c r="J229" s="849"/>
      <c r="K229" s="849"/>
      <c r="L229" s="849"/>
      <c r="M229" s="1626" t="s">
        <v>5479</v>
      </c>
      <c r="N229" s="849"/>
      <c r="O229" s="849"/>
      <c r="P229" s="849"/>
      <c r="Q229" s="1652"/>
      <c r="R229" s="849"/>
      <c r="S229" s="849"/>
      <c r="T229" s="849"/>
      <c r="U229" s="1629" t="s">
        <v>5383</v>
      </c>
      <c r="V229" s="849"/>
      <c r="W229" s="849"/>
      <c r="X229" s="849"/>
      <c r="Y229" s="1519" t="s">
        <v>5391</v>
      </c>
      <c r="Z229" s="849"/>
      <c r="AA229" s="849"/>
      <c r="AB229" s="849"/>
      <c r="AC229" s="1511" t="s">
        <v>5474</v>
      </c>
      <c r="AD229" s="849"/>
      <c r="AE229" s="849"/>
      <c r="AF229" s="849"/>
      <c r="AG229" s="1646" t="s">
        <v>5476</v>
      </c>
      <c r="AH229" s="1646" t="s">
        <v>5477</v>
      </c>
      <c r="AI229" s="1649" t="s">
        <v>5478</v>
      </c>
      <c r="AJ229" s="213"/>
      <c r="AK229" s="213"/>
    </row>
    <row r="230" spans="1:37" ht="9.9499999999999993" customHeight="1" x14ac:dyDescent="0.25">
      <c r="A230" s="1616"/>
      <c r="B230" s="1617"/>
      <c r="C230" s="1575"/>
      <c r="D230" s="1575"/>
      <c r="E230" s="1575"/>
      <c r="F230" s="850"/>
      <c r="G230" s="851"/>
      <c r="H230" s="850"/>
      <c r="I230" s="1599"/>
      <c r="J230" s="850"/>
      <c r="K230" s="851"/>
      <c r="L230" s="850"/>
      <c r="M230" s="1627"/>
      <c r="N230" s="850"/>
      <c r="O230" s="851"/>
      <c r="P230" s="850"/>
      <c r="Q230" s="1653"/>
      <c r="R230" s="850"/>
      <c r="S230" s="851"/>
      <c r="T230" s="850"/>
      <c r="U230" s="1630"/>
      <c r="V230" s="850"/>
      <c r="W230" s="851"/>
      <c r="X230" s="850"/>
      <c r="Y230" s="1618"/>
      <c r="Z230" s="850"/>
      <c r="AA230" s="851"/>
      <c r="AB230" s="850"/>
      <c r="AC230" s="1645"/>
      <c r="AD230" s="850"/>
      <c r="AE230" s="851"/>
      <c r="AF230" s="850"/>
      <c r="AG230" s="1647"/>
      <c r="AH230" s="1647"/>
      <c r="AI230" s="1650"/>
      <c r="AJ230" s="213"/>
      <c r="AK230" s="213"/>
    </row>
    <row r="231" spans="1:37" ht="9.9499999999999993" customHeight="1" x14ac:dyDescent="0.25">
      <c r="A231" s="1616"/>
      <c r="B231" s="1617"/>
      <c r="C231" s="1576"/>
      <c r="D231" s="1576"/>
      <c r="E231" s="1576"/>
      <c r="F231" s="849"/>
      <c r="G231" s="849"/>
      <c r="H231" s="849"/>
      <c r="I231" s="1600"/>
      <c r="J231" s="849"/>
      <c r="K231" s="849"/>
      <c r="L231" s="849"/>
      <c r="M231" s="1628"/>
      <c r="N231" s="849"/>
      <c r="O231" s="849"/>
      <c r="P231" s="849"/>
      <c r="Q231" s="1654"/>
      <c r="R231" s="849"/>
      <c r="S231" s="849"/>
      <c r="T231" s="849"/>
      <c r="U231" s="1631"/>
      <c r="V231" s="849"/>
      <c r="W231" s="849"/>
      <c r="X231" s="849"/>
      <c r="Y231" s="1520"/>
      <c r="Z231" s="849"/>
      <c r="AA231" s="849"/>
      <c r="AB231" s="849"/>
      <c r="AC231" s="1512"/>
      <c r="AD231" s="849"/>
      <c r="AE231" s="849"/>
      <c r="AF231" s="849"/>
      <c r="AG231" s="1648"/>
      <c r="AH231" s="1648"/>
      <c r="AI231" s="1651"/>
      <c r="AJ231" s="213"/>
      <c r="AK231" s="213"/>
    </row>
    <row r="232" spans="1:37" ht="9.9499999999999993" customHeight="1" x14ac:dyDescent="0.25">
      <c r="A232" s="270"/>
      <c r="B232" s="270"/>
      <c r="C232" s="270"/>
      <c r="D232" s="270"/>
      <c r="E232" s="270"/>
      <c r="F232" s="270"/>
      <c r="G232" s="270"/>
      <c r="H232" s="270"/>
      <c r="I232" s="270"/>
      <c r="J232" s="270"/>
      <c r="K232" s="270"/>
      <c r="L232" s="270"/>
      <c r="M232" s="852"/>
      <c r="N232" s="270"/>
      <c r="O232" s="270"/>
      <c r="P232" s="270"/>
      <c r="Q232" s="852"/>
      <c r="R232" s="270"/>
      <c r="S232" s="270"/>
      <c r="T232" s="270"/>
      <c r="U232" s="852"/>
      <c r="V232" s="270"/>
      <c r="W232" s="270"/>
      <c r="X232" s="270"/>
      <c r="Y232" s="852"/>
      <c r="Z232" s="270"/>
      <c r="AA232" s="270"/>
      <c r="AB232" s="270"/>
      <c r="AC232" s="852"/>
      <c r="AD232" s="270"/>
      <c r="AE232" s="270"/>
      <c r="AF232" s="270"/>
      <c r="AG232" s="852"/>
      <c r="AH232" s="852"/>
      <c r="AI232" s="852"/>
      <c r="AJ232" s="213"/>
      <c r="AK232" s="213"/>
    </row>
    <row r="233" spans="1:37" x14ac:dyDescent="0.25">
      <c r="A233" s="213"/>
      <c r="B233" s="213"/>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row>
    <row r="234" spans="1:37" x14ac:dyDescent="0.25">
      <c r="A234" s="213"/>
      <c r="B234" s="213"/>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row>
    <row r="235" spans="1:37" ht="50.1" customHeight="1" x14ac:dyDescent="0.25">
      <c r="A235" s="857" t="s">
        <v>5480</v>
      </c>
      <c r="B235" s="857" t="s">
        <v>5481</v>
      </c>
      <c r="C235" s="857" t="s">
        <v>5482</v>
      </c>
      <c r="D235" s="857" t="s">
        <v>5483</v>
      </c>
      <c r="E235" s="857" t="s">
        <v>5484</v>
      </c>
      <c r="F235" s="857"/>
      <c r="G235" s="857"/>
      <c r="H235" s="857"/>
      <c r="I235" s="857" t="s">
        <v>5485</v>
      </c>
      <c r="J235" s="857"/>
      <c r="K235" s="857"/>
      <c r="L235" s="857"/>
      <c r="M235" s="857" t="s">
        <v>5486</v>
      </c>
      <c r="N235" s="857"/>
      <c r="O235" s="857"/>
      <c r="P235" s="857"/>
      <c r="Q235" s="857" t="s">
        <v>5487</v>
      </c>
      <c r="R235" s="857"/>
      <c r="S235" s="857"/>
      <c r="T235" s="857"/>
      <c r="U235" s="857" t="s">
        <v>5488</v>
      </c>
      <c r="V235" s="857"/>
      <c r="W235" s="857"/>
      <c r="X235" s="857"/>
      <c r="Y235" s="857" t="s">
        <v>5489</v>
      </c>
      <c r="Z235" s="857"/>
      <c r="AA235" s="857"/>
      <c r="AB235" s="857"/>
      <c r="AC235" s="857" t="s">
        <v>5490</v>
      </c>
      <c r="AD235" s="857"/>
      <c r="AE235" s="857"/>
      <c r="AF235" s="857"/>
      <c r="AG235" s="857" t="s">
        <v>5491</v>
      </c>
      <c r="AH235" s="213"/>
      <c r="AI235" s="858" t="s">
        <v>5492</v>
      </c>
      <c r="AJ235" s="858" t="s">
        <v>5459</v>
      </c>
      <c r="AK235" s="858" t="s">
        <v>5493</v>
      </c>
    </row>
    <row r="236" spans="1:37" ht="50.1" customHeight="1" x14ac:dyDescent="0.25">
      <c r="A236" s="859" t="s">
        <v>5494</v>
      </c>
      <c r="B236" s="197" t="s">
        <v>5350</v>
      </c>
      <c r="C236" s="166" t="s">
        <v>55</v>
      </c>
      <c r="D236" s="860"/>
      <c r="E236" s="860">
        <v>12</v>
      </c>
      <c r="F236" s="850"/>
      <c r="G236" s="851"/>
      <c r="H236" s="850"/>
      <c r="I236" s="860"/>
      <c r="J236" s="850"/>
      <c r="K236" s="851"/>
      <c r="L236" s="850"/>
      <c r="M236" s="860">
        <v>2</v>
      </c>
      <c r="N236" s="850"/>
      <c r="O236" s="851"/>
      <c r="P236" s="850"/>
      <c r="Q236" s="860">
        <f>COUNTIFS(D9:D229,"Déjeuner",I9:I229,"Entrée &gt;15% lipides")</f>
        <v>4</v>
      </c>
      <c r="R236" s="850"/>
      <c r="S236" s="851"/>
      <c r="T236" s="850"/>
      <c r="U236" s="166" t="str">
        <f>IF(COUNTIF(I9:AC117,"&lt;&gt;")=0,"A SAISIR",IF(AND(D236="",E236=""),"LIBRE",IF(AND(D236&lt;&gt;"",Q236&lt;D236),"MANQUE",IF(AND(E236&lt;&gt;"",Q236&gt;E236),"TROP","OK"))))</f>
        <v>OK</v>
      </c>
      <c r="V236" s="850"/>
      <c r="W236" s="851"/>
      <c r="X236" s="850"/>
      <c r="Y236" s="861">
        <f>COUNTIFS(D9:D229,"Dîner",I9:I229,"Entrée &gt;15% lipides")</f>
        <v>2</v>
      </c>
      <c r="Z236" s="850"/>
      <c r="AA236" s="851"/>
      <c r="AB236" s="850"/>
      <c r="AC236" s="166" t="str">
        <f>IF(COUNTIF(I121:AC229,"&lt;&gt;")=0,"A SAISIR",IF(AND(I236="",M236=""),"LIBRE",IF(AND(I236&lt;&gt;"",Y236&lt;I236),"MANQUE",IF(AND(M236&lt;&gt;"",Y236&gt;M236),"TROP","OK"))))</f>
        <v>OK</v>
      </c>
      <c r="AD236" s="850"/>
      <c r="AE236" s="851"/>
      <c r="AF236" s="850"/>
      <c r="AG236" s="862" t="s">
        <v>5495</v>
      </c>
      <c r="AH236" s="197"/>
      <c r="AI236" s="170" t="s">
        <v>5496</v>
      </c>
      <c r="AJ236" s="861">
        <f>COUNTIF(U236:U249,"OK")</f>
        <v>12</v>
      </c>
      <c r="AK236" s="170" t="s">
        <v>5497</v>
      </c>
    </row>
    <row r="237" spans="1:37" ht="50.1" customHeight="1" x14ac:dyDescent="0.25">
      <c r="A237" s="863" t="s">
        <v>5498</v>
      </c>
      <c r="B237" s="197" t="s">
        <v>5346</v>
      </c>
      <c r="C237" s="166" t="s">
        <v>55</v>
      </c>
      <c r="D237" s="860">
        <v>8</v>
      </c>
      <c r="E237" s="860"/>
      <c r="F237" s="850"/>
      <c r="G237" s="851"/>
      <c r="H237" s="850"/>
      <c r="I237" s="860"/>
      <c r="J237" s="850"/>
      <c r="K237" s="851"/>
      <c r="L237" s="850"/>
      <c r="M237" s="860"/>
      <c r="N237" s="850"/>
      <c r="O237" s="851"/>
      <c r="P237" s="850"/>
      <c r="Q237" s="860">
        <f>COUNTIFS(D9:D229,"Déjeuner",I9:I229,"Crudité ou fruit frais")</f>
        <v>8</v>
      </c>
      <c r="R237" s="850"/>
      <c r="S237" s="851"/>
      <c r="T237" s="850"/>
      <c r="U237" s="166" t="str">
        <f>IF(COUNTIF(I9:AC117,"&lt;&gt;")=0,"A SAISIR",IF(AND(D237="",E237=""),"LIBRE",IF(AND(D237&lt;&gt;"",Q237&lt;D237),"MANQUE",IF(AND(E237&lt;&gt;"",Q237&gt;E237),"TROP","OK"))))</f>
        <v>OK</v>
      </c>
      <c r="V237" s="850"/>
      <c r="W237" s="851"/>
      <c r="X237" s="850"/>
      <c r="Y237" s="861">
        <f>COUNTIFS(D9:D229,"Dîner",I9:I229,"Crudité ou fruit frais")</f>
        <v>6</v>
      </c>
      <c r="Z237" s="850"/>
      <c r="AA237" s="851"/>
      <c r="AB237" s="850"/>
      <c r="AC237" s="166" t="str">
        <f>IF(COUNTIF(I121:AC229,"&lt;&gt;")=0,"A SAISIR",IF(AND(I237="",M237=""),"LIBRE",IF(AND(I237&lt;&gt;"",Y237&lt;I237),"MANQUE",IF(AND(M237&lt;&gt;"",Y237&gt;M237),"TROP","OK"))))</f>
        <v>LIBRE</v>
      </c>
      <c r="AD237" s="850"/>
      <c r="AE237" s="851"/>
      <c r="AF237" s="850"/>
      <c r="AG237" s="862" t="s">
        <v>5499</v>
      </c>
      <c r="AH237" s="197"/>
      <c r="AI237" s="170" t="s">
        <v>5500</v>
      </c>
      <c r="AJ237" s="861">
        <f>COUNTIF(U236:U249,"MANQUE")</f>
        <v>1</v>
      </c>
      <c r="AK237" s="170" t="s">
        <v>5501</v>
      </c>
    </row>
    <row r="238" spans="1:37" ht="50.1" customHeight="1" x14ac:dyDescent="0.25">
      <c r="A238" s="864" t="s">
        <v>5502</v>
      </c>
      <c r="B238" s="197" t="s">
        <v>5355</v>
      </c>
      <c r="C238" s="166" t="s">
        <v>55</v>
      </c>
      <c r="D238" s="860"/>
      <c r="E238" s="860"/>
      <c r="F238" s="850"/>
      <c r="G238" s="851"/>
      <c r="H238" s="850"/>
      <c r="I238" s="860">
        <v>14</v>
      </c>
      <c r="J238" s="850"/>
      <c r="K238" s="851"/>
      <c r="L238" s="850"/>
      <c r="M238" s="860"/>
      <c r="N238" s="850"/>
      <c r="O238" s="851"/>
      <c r="P238" s="850"/>
      <c r="Q238" s="860">
        <f>COUNTIFS(D9:D229,"Déjeuner",I9:I229,"Entrée légumes cuits/potage")</f>
        <v>6</v>
      </c>
      <c r="R238" s="850"/>
      <c r="S238" s="851"/>
      <c r="T238" s="850"/>
      <c r="U238" s="166" t="str">
        <f>IF(COUNTIF(I9:AC117,"&lt;&gt;")=0,"A SAISIR",IF(AND(D238="",E238=""),"LIBRE",IF(AND(D238&lt;&gt;"",Q238&lt;D238),"MANQUE",IF(AND(E238&lt;&gt;"",Q238&gt;E238),"TROP","OK"))))</f>
        <v>LIBRE</v>
      </c>
      <c r="V238" s="850"/>
      <c r="W238" s="851"/>
      <c r="X238" s="850"/>
      <c r="Y238" s="861">
        <f>COUNTIFS(D9:D229,"Dîner",I9:I229,"Entrée légumes cuits/potage")</f>
        <v>14</v>
      </c>
      <c r="Z238" s="850"/>
      <c r="AA238" s="851"/>
      <c r="AB238" s="850"/>
      <c r="AC238" s="166" t="str">
        <f>IF(COUNTIF(I121:AC229,"&lt;&gt;")=0,"A SAISIR",IF(AND(I238="",M238=""),"LIBRE",IF(AND(I238&lt;&gt;"",Y238&lt;I238),"MANQUE",IF(AND(M238&lt;&gt;"",Y238&gt;M238),"TROP","OK"))))</f>
        <v>OK</v>
      </c>
      <c r="AD238" s="850"/>
      <c r="AE238" s="851"/>
      <c r="AF238" s="850"/>
      <c r="AG238" s="862" t="s">
        <v>5503</v>
      </c>
      <c r="AH238" s="197"/>
      <c r="AI238" s="170" t="s">
        <v>5504</v>
      </c>
      <c r="AJ238" s="861">
        <f>COUNTIF(U236:U249,"TROP")</f>
        <v>0</v>
      </c>
      <c r="AK238" s="170" t="s">
        <v>5505</v>
      </c>
    </row>
    <row r="239" spans="1:37" ht="50.1" customHeight="1" x14ac:dyDescent="0.25">
      <c r="A239" s="865" t="s">
        <v>5506</v>
      </c>
      <c r="B239" s="197" t="s">
        <v>5371</v>
      </c>
      <c r="C239" s="166" t="s">
        <v>5507</v>
      </c>
      <c r="D239" s="860"/>
      <c r="E239" s="860">
        <v>6</v>
      </c>
      <c r="F239" s="850"/>
      <c r="G239" s="851"/>
      <c r="H239" s="850"/>
      <c r="I239" s="860"/>
      <c r="J239" s="850"/>
      <c r="K239" s="851"/>
      <c r="L239" s="850"/>
      <c r="M239" s="860">
        <v>4</v>
      </c>
      <c r="N239" s="850"/>
      <c r="O239" s="851"/>
      <c r="P239" s="850"/>
      <c r="Q239" s="860">
        <f>COUNTIFS(D9:D229,"Déjeuner",Q9:Q229,"Frit/préfrit &gt;15% lipides")</f>
        <v>4</v>
      </c>
      <c r="R239" s="850"/>
      <c r="S239" s="851"/>
      <c r="T239" s="850"/>
      <c r="U239" s="166" t="str">
        <f>IF(COUNTIF(I9:AC117,"&lt;&gt;")=0,"A SAISIR",IF(AND(D239="",E239=""),"LIBRE",IF(AND(D239&lt;&gt;"",Q239&lt;D239),"MANQUE",IF(AND(E239&lt;&gt;"",Q239&gt;E239),"TROP","OK"))))</f>
        <v>OK</v>
      </c>
      <c r="V239" s="850"/>
      <c r="W239" s="851"/>
      <c r="X239" s="850"/>
      <c r="Y239" s="861">
        <f>COUNTIFS(D9:D229,"Dîner",Q9:Q229,"Frit/préfrit &gt;15% lipides")</f>
        <v>3</v>
      </c>
      <c r="Z239" s="850"/>
      <c r="AA239" s="851"/>
      <c r="AB239" s="850"/>
      <c r="AC239" s="166" t="str">
        <f>IF(COUNTIF(I121:AC229,"&lt;&gt;")=0,"A SAISIR",IF(AND(I239="",M239=""),"LIBRE",IF(AND(I239&lt;&gt;"",Y239&lt;I239),"MANQUE",IF(AND(M239&lt;&gt;"",Y239&gt;M239),"TROP","OK"))))</f>
        <v>OK</v>
      </c>
      <c r="AD239" s="850"/>
      <c r="AE239" s="851"/>
      <c r="AF239" s="850"/>
      <c r="AG239" s="862" t="s">
        <v>5508</v>
      </c>
      <c r="AH239" s="197"/>
      <c r="AI239" s="170" t="s">
        <v>5509</v>
      </c>
      <c r="AJ239" s="861">
        <f>COUNTIF(U236:U249,"LIBRE")</f>
        <v>1</v>
      </c>
      <c r="AK239" s="170" t="s">
        <v>5510</v>
      </c>
    </row>
    <row r="240" spans="1:37" ht="50.1" customHeight="1" x14ac:dyDescent="0.25">
      <c r="A240" s="866" t="s">
        <v>5511</v>
      </c>
      <c r="B240" s="197" t="s">
        <v>5377</v>
      </c>
      <c r="C240" s="166" t="s">
        <v>5358</v>
      </c>
      <c r="D240" s="860"/>
      <c r="E240" s="860">
        <v>3</v>
      </c>
      <c r="F240" s="850"/>
      <c r="G240" s="851"/>
      <c r="H240" s="850"/>
      <c r="I240" s="860"/>
      <c r="J240" s="850"/>
      <c r="K240" s="851"/>
      <c r="L240" s="850"/>
      <c r="M240" s="860">
        <v>6</v>
      </c>
      <c r="N240" s="850"/>
      <c r="O240" s="851"/>
      <c r="P240" s="850"/>
      <c r="Q240" s="860">
        <f>COUNTIFS(D9:D229,"Déjeuner",Q9:Q229,"P/L &lt;=1")</f>
        <v>2</v>
      </c>
      <c r="R240" s="850"/>
      <c r="S240" s="851"/>
      <c r="T240" s="850"/>
      <c r="U240" s="166" t="str">
        <f>IF(COUNTIF(I9:AC117,"&lt;&gt;")=0,"A SAISIR",IF(AND(D240="",E240=""),"LIBRE",IF(AND(D240&lt;&gt;"",Q240&lt;D240),"MANQUE",IF(AND(E240&lt;&gt;"",Q240&gt;E240),"TROP","OK"))))</f>
        <v>OK</v>
      </c>
      <c r="V240" s="850"/>
      <c r="W240" s="851"/>
      <c r="X240" s="850"/>
      <c r="Y240" s="861">
        <f>COUNTIFS(D9:D229,"Dîner",Q9:Q229,"P/L &lt;=1")</f>
        <v>4</v>
      </c>
      <c r="Z240" s="850"/>
      <c r="AA240" s="851"/>
      <c r="AB240" s="850"/>
      <c r="AC240" s="166" t="str">
        <f>IF(COUNTIF(I121:AC229,"&lt;&gt;")=0,"A SAISIR",IF(AND(I240="",M240=""),"LIBRE",IF(AND(I240&lt;&gt;"",Y240&lt;I240),"MANQUE",IF(AND(M240&lt;&gt;"",Y240&gt;M240),"TROP","OK"))))</f>
        <v>OK</v>
      </c>
      <c r="AD240" s="850"/>
      <c r="AE240" s="851"/>
      <c r="AF240" s="850"/>
      <c r="AG240" s="862" t="s">
        <v>5512</v>
      </c>
      <c r="AH240" s="197"/>
      <c r="AI240" s="197"/>
      <c r="AJ240" s="197"/>
      <c r="AK240" s="197"/>
    </row>
    <row r="241" spans="1:37" ht="50.1" customHeight="1" x14ac:dyDescent="0.25">
      <c r="A241" s="867" t="s">
        <v>5513</v>
      </c>
      <c r="B241" s="197" t="s">
        <v>5367</v>
      </c>
      <c r="C241" s="166" t="s">
        <v>5358</v>
      </c>
      <c r="D241" s="860">
        <v>5</v>
      </c>
      <c r="E241" s="860"/>
      <c r="F241" s="850"/>
      <c r="G241" s="851"/>
      <c r="H241" s="850"/>
      <c r="I241" s="860">
        <v>3</v>
      </c>
      <c r="J241" s="850"/>
      <c r="K241" s="851"/>
      <c r="L241" s="850"/>
      <c r="M241" s="860"/>
      <c r="N241" s="850"/>
      <c r="O241" s="851"/>
      <c r="P241" s="850"/>
      <c r="Q241" s="860">
        <f>COUNTIFS(D9:D229,"Déjeuner",M9:M229,"Poisson &gt;=70% P/L &gt;=2")</f>
        <v>5</v>
      </c>
      <c r="R241" s="850"/>
      <c r="S241" s="851"/>
      <c r="T241" s="850"/>
      <c r="U241" s="166" t="str">
        <f>IF(COUNTIF(I9:AC117,"&lt;&gt;")=0,"A SAISIR",IF(AND(D241="",E241=""),"LIBRE",IF(AND(D241&lt;&gt;"",Q241&lt;D241),"MANQUE",IF(AND(E241&lt;&gt;"",Q241&gt;E241),"TROP","OK"))))</f>
        <v>OK</v>
      </c>
      <c r="V241" s="850"/>
      <c r="W241" s="851"/>
      <c r="X241" s="850"/>
      <c r="Y241" s="861">
        <f>COUNTIFS(D9:D229,"Dîner",M9:M229,"Poisson &gt;=70% P/L &gt;=2")</f>
        <v>3</v>
      </c>
      <c r="Z241" s="850"/>
      <c r="AA241" s="851"/>
      <c r="AB241" s="850"/>
      <c r="AC241" s="166" t="str">
        <f>IF(COUNTIF(I121:AC229,"&lt;&gt;")=0,"A SAISIR",IF(AND(I241="",M241=""),"LIBRE",IF(AND(I241&lt;&gt;"",Y241&lt;I241),"MANQUE",IF(AND(M241&lt;&gt;"",Y241&gt;M241),"TROP","OK"))))</f>
        <v>OK</v>
      </c>
      <c r="AD241" s="850"/>
      <c r="AE241" s="851"/>
      <c r="AF241" s="850"/>
      <c r="AG241" s="862" t="s">
        <v>5514</v>
      </c>
      <c r="AH241" s="197"/>
      <c r="AI241" s="197"/>
      <c r="AJ241" s="197"/>
      <c r="AK241" s="197"/>
    </row>
    <row r="242" spans="1:37" ht="50.1" customHeight="1" x14ac:dyDescent="0.25">
      <c r="A242" s="867" t="s">
        <v>5515</v>
      </c>
      <c r="B242" s="197" t="s">
        <v>5359</v>
      </c>
      <c r="C242" s="166" t="s">
        <v>5358</v>
      </c>
      <c r="D242" s="860">
        <v>8</v>
      </c>
      <c r="E242" s="860"/>
      <c r="F242" s="850"/>
      <c r="G242" s="851"/>
      <c r="H242" s="850"/>
      <c r="I242" s="860"/>
      <c r="J242" s="850"/>
      <c r="K242" s="851"/>
      <c r="L242" s="850"/>
      <c r="M242" s="860"/>
      <c r="N242" s="850"/>
      <c r="O242" s="851"/>
      <c r="P242" s="850"/>
      <c r="Q242" s="860">
        <f>COUNTIFS(D9:D229,"Déjeuner",M9:M229,"Viande non hachée BVA/abats")</f>
        <v>8</v>
      </c>
      <c r="R242" s="850"/>
      <c r="S242" s="851"/>
      <c r="T242" s="850"/>
      <c r="U242" s="166" t="str">
        <f>IF(COUNTIF(I9:AC117,"&lt;&gt;")=0,"A SAISIR",IF(AND(D242="",E242=""),"LIBRE",IF(AND(D242&lt;&gt;"",Q242&lt;D242),"MANQUE",IF(AND(E242&lt;&gt;"",Q242&gt;E242),"TROP","OK"))))</f>
        <v>OK</v>
      </c>
      <c r="V242" s="850"/>
      <c r="W242" s="851"/>
      <c r="X242" s="850"/>
      <c r="Y242" s="861">
        <f>COUNTIFS(D9:D229,"Dîner",M9:M229,"Viande non hachée BVA/abats")</f>
        <v>0</v>
      </c>
      <c r="Z242" s="850"/>
      <c r="AA242" s="851"/>
      <c r="AB242" s="850"/>
      <c r="AC242" s="166" t="str">
        <f>IF(COUNTIF(I121:AC229,"&lt;&gt;")=0,"A SAISIR",IF(AND(I242="",M242=""),"LIBRE",IF(AND(I242&lt;&gt;"",Y242&lt;I242),"MANQUE",IF(AND(M242&lt;&gt;"",Y242&gt;M242),"TROP","OK"))))</f>
        <v>LIBRE</v>
      </c>
      <c r="AD242" s="850"/>
      <c r="AE242" s="851"/>
      <c r="AF242" s="850"/>
      <c r="AG242" s="862" t="s">
        <v>5516</v>
      </c>
      <c r="AH242" s="197"/>
      <c r="AI242" s="197"/>
      <c r="AJ242" s="197"/>
      <c r="AK242" s="197"/>
    </row>
    <row r="243" spans="1:37" ht="50.1" customHeight="1" x14ac:dyDescent="0.25">
      <c r="A243" s="866" t="s">
        <v>5517</v>
      </c>
      <c r="B243" s="197" t="s">
        <v>5374</v>
      </c>
      <c r="C243" s="166" t="s">
        <v>5358</v>
      </c>
      <c r="D243" s="860"/>
      <c r="E243" s="860">
        <v>3</v>
      </c>
      <c r="F243" s="850"/>
      <c r="G243" s="851"/>
      <c r="H243" s="850"/>
      <c r="I243" s="860"/>
      <c r="J243" s="850"/>
      <c r="K243" s="851"/>
      <c r="L243" s="850"/>
      <c r="M243" s="860">
        <v>8</v>
      </c>
      <c r="N243" s="850"/>
      <c r="O243" s="851"/>
      <c r="P243" s="850"/>
      <c r="Q243" s="860">
        <f>COUNTIFS(D9:D229,"Déjeuner",Q9:Q229,"VPO &lt;70%")</f>
        <v>3</v>
      </c>
      <c r="R243" s="850"/>
      <c r="S243" s="851"/>
      <c r="T243" s="850"/>
      <c r="U243" s="166" t="str">
        <f>IF(COUNTIF(I9:AC117,"&lt;&gt;")=0,"A SAISIR",IF(AND(D243="",E243=""),"LIBRE",IF(AND(D243&lt;&gt;"",Q243&lt;D243),"MANQUE",IF(AND(E243&lt;&gt;"",Q243&gt;E243),"TROP","OK"))))</f>
        <v>OK</v>
      </c>
      <c r="V243" s="850"/>
      <c r="W243" s="851"/>
      <c r="X243" s="850"/>
      <c r="Y243" s="861">
        <f>COUNTIFS(D9:D229,"Dîner",Q9:Q229,"VPO &lt;70%")</f>
        <v>6</v>
      </c>
      <c r="Z243" s="850"/>
      <c r="AA243" s="851"/>
      <c r="AB243" s="850"/>
      <c r="AC243" s="166" t="str">
        <f>IF(COUNTIF(I121:AC229,"&lt;&gt;")=0,"A SAISIR",IF(AND(I243="",M243=""),"LIBRE",IF(AND(I243&lt;&gt;"",Y243&lt;I243),"MANQUE",IF(AND(M243&lt;&gt;"",Y243&gt;M243),"TROP","OK"))))</f>
        <v>OK</v>
      </c>
      <c r="AD243" s="850"/>
      <c r="AE243" s="851"/>
      <c r="AF243" s="850"/>
      <c r="AG243" s="862" t="s">
        <v>5518</v>
      </c>
      <c r="AH243" s="197"/>
      <c r="AI243" s="197"/>
      <c r="AJ243" s="197"/>
      <c r="AK243" s="197"/>
    </row>
    <row r="244" spans="1:37" ht="50.1" customHeight="1" x14ac:dyDescent="0.25">
      <c r="A244" s="868" t="s">
        <v>5519</v>
      </c>
      <c r="B244" s="197" t="s">
        <v>5380</v>
      </c>
      <c r="C244" s="166" t="s">
        <v>53</v>
      </c>
      <c r="D244" s="860">
        <v>14</v>
      </c>
      <c r="E244" s="860">
        <v>14</v>
      </c>
      <c r="F244" s="850"/>
      <c r="G244" s="851"/>
      <c r="H244" s="850"/>
      <c r="I244" s="860">
        <v>12</v>
      </c>
      <c r="J244" s="850"/>
      <c r="K244" s="851"/>
      <c r="L244" s="850"/>
      <c r="M244" s="860"/>
      <c r="N244" s="850"/>
      <c r="O244" s="851"/>
      <c r="P244" s="850"/>
      <c r="Q244" s="860">
        <f>COUNTIFS(D9:D229,"Déjeuner",U9:U229,"Légume cuit")</f>
        <v>14</v>
      </c>
      <c r="R244" s="850"/>
      <c r="S244" s="851"/>
      <c r="T244" s="850"/>
      <c r="U244" s="166" t="str">
        <f>IF(COUNTIF(I9:AC117,"&lt;&gt;")=0,"A SAISIR",IF(AND(D244="",E244=""),"LIBRE",IF(AND(D244&lt;&gt;"",Q244&lt;D244),"MANQUE",IF(AND(E244&lt;&gt;"",Q244&gt;E244),"TROP","OK"))))</f>
        <v>OK</v>
      </c>
      <c r="V244" s="850"/>
      <c r="W244" s="851"/>
      <c r="X244" s="850"/>
      <c r="Y244" s="861">
        <f>COUNTIFS(D9:D229,"Dîner",U9:U229,"Légume cuit")</f>
        <v>14</v>
      </c>
      <c r="Z244" s="850"/>
      <c r="AA244" s="851"/>
      <c r="AB244" s="850"/>
      <c r="AC244" s="166" t="str">
        <f>IF(COUNTIF(I121:AC229,"&lt;&gt;")=0,"A SAISIR",IF(AND(I244="",M244=""),"LIBRE",IF(AND(I244&lt;&gt;"",Y244&lt;I244),"MANQUE",IF(AND(M244&lt;&gt;"",Y244&gt;M244),"TROP","OK"))))</f>
        <v>OK</v>
      </c>
      <c r="AD244" s="850"/>
      <c r="AE244" s="851"/>
      <c r="AF244" s="850"/>
      <c r="AG244" s="862" t="s">
        <v>5520</v>
      </c>
      <c r="AH244" s="197"/>
      <c r="AI244" s="197"/>
      <c r="AJ244" s="197"/>
      <c r="AK244" s="197"/>
    </row>
    <row r="245" spans="1:37" ht="50.1" customHeight="1" x14ac:dyDescent="0.25">
      <c r="A245" s="869" t="s">
        <v>5521</v>
      </c>
      <c r="B245" s="197" t="s">
        <v>5383</v>
      </c>
      <c r="C245" s="166" t="s">
        <v>53</v>
      </c>
      <c r="D245" s="860">
        <v>14</v>
      </c>
      <c r="E245" s="860">
        <v>14</v>
      </c>
      <c r="F245" s="850"/>
      <c r="G245" s="851"/>
      <c r="H245" s="850"/>
      <c r="I245" s="860">
        <v>12</v>
      </c>
      <c r="J245" s="850"/>
      <c r="K245" s="851"/>
      <c r="L245" s="850"/>
      <c r="M245" s="860"/>
      <c r="N245" s="850"/>
      <c r="O245" s="851"/>
      <c r="P245" s="850"/>
      <c r="Q245" s="860">
        <f>COUNTIFS(D9:D229,"Déjeuner",U9:U229,"Féculent/légume sec/céréale")</f>
        <v>14</v>
      </c>
      <c r="R245" s="850"/>
      <c r="S245" s="851"/>
      <c r="T245" s="850"/>
      <c r="U245" s="166" t="str">
        <f>IF(COUNTIF(I9:AC117,"&lt;&gt;")=0,"A SAISIR",IF(AND(D245="",E245=""),"LIBRE",IF(AND(D245&lt;&gt;"",Q245&lt;D245),"MANQUE",IF(AND(E245&lt;&gt;"",Q245&gt;E245),"TROP","OK"))))</f>
        <v>OK</v>
      </c>
      <c r="V245" s="850"/>
      <c r="W245" s="851"/>
      <c r="X245" s="850"/>
      <c r="Y245" s="861">
        <f>COUNTIFS(D9:D229,"Dîner",U9:U229,"Féculent/légume sec/céréale")</f>
        <v>14</v>
      </c>
      <c r="Z245" s="850"/>
      <c r="AA245" s="851"/>
      <c r="AB245" s="850"/>
      <c r="AC245" s="166" t="str">
        <f>IF(COUNTIF(I121:AC229,"&lt;&gt;")=0,"A SAISIR",IF(AND(I245="",M245=""),"LIBRE",IF(AND(I245&lt;&gt;"",Y245&lt;I245),"MANQUE",IF(AND(M245&lt;&gt;"",Y245&gt;M245),"TROP","OK"))))</f>
        <v>OK</v>
      </c>
      <c r="AD245" s="850"/>
      <c r="AE245" s="851"/>
      <c r="AF245" s="850"/>
      <c r="AG245" s="862" t="s">
        <v>5522</v>
      </c>
      <c r="AH245" s="197"/>
      <c r="AI245" s="197"/>
      <c r="AJ245" s="197"/>
      <c r="AK245" s="197"/>
    </row>
    <row r="246" spans="1:37" ht="50.1" customHeight="1" x14ac:dyDescent="0.25">
      <c r="A246" s="870" t="s">
        <v>5523</v>
      </c>
      <c r="B246" s="197" t="s">
        <v>5386</v>
      </c>
      <c r="C246" s="166" t="s">
        <v>5129</v>
      </c>
      <c r="D246" s="860">
        <v>16</v>
      </c>
      <c r="E246" s="860"/>
      <c r="F246" s="850"/>
      <c r="G246" s="851"/>
      <c r="H246" s="850"/>
      <c r="I246" s="860">
        <v>12</v>
      </c>
      <c r="J246" s="850"/>
      <c r="K246" s="851"/>
      <c r="L246" s="850"/>
      <c r="M246" s="860"/>
      <c r="N246" s="850"/>
      <c r="O246" s="851"/>
      <c r="P246" s="850"/>
      <c r="Q246" s="860">
        <f>COUNTIFS(D9:D229,"Déjeuner",Y9:Y229,"Fromage Ca &gt;=150 mg")</f>
        <v>16</v>
      </c>
      <c r="R246" s="850"/>
      <c r="S246" s="851"/>
      <c r="T246" s="850"/>
      <c r="U246" s="166" t="str">
        <f>IF(COUNTIF(I9:AC117,"&lt;&gt;")=0,"A SAISIR",IF(AND(D246="",E246=""),"LIBRE",IF(AND(D246&lt;&gt;"",Q246&lt;D246),"MANQUE",IF(AND(E246&lt;&gt;"",Q246&gt;E246),"TROP","OK"))))</f>
        <v>OK</v>
      </c>
      <c r="V246" s="850"/>
      <c r="W246" s="851"/>
      <c r="X246" s="850"/>
      <c r="Y246" s="861">
        <f>COUNTIFS(D9:D229,"Dîner",Y9:Y229,"Fromage Ca &gt;=150 mg")</f>
        <v>12</v>
      </c>
      <c r="Z246" s="850"/>
      <c r="AA246" s="851"/>
      <c r="AB246" s="850"/>
      <c r="AC246" s="166" t="str">
        <f>IF(COUNTIF(I121:AC229,"&lt;&gt;")=0,"A SAISIR",IF(AND(I246="",M246=""),"LIBRE",IF(AND(I246&lt;&gt;"",Y246&lt;I246),"MANQUE",IF(AND(M246&lt;&gt;"",Y246&gt;M246),"TROP","OK"))))</f>
        <v>OK</v>
      </c>
      <c r="AD246" s="850"/>
      <c r="AE246" s="851"/>
      <c r="AF246" s="850"/>
      <c r="AG246" s="862" t="s">
        <v>5524</v>
      </c>
      <c r="AH246" s="197"/>
      <c r="AI246" s="197"/>
      <c r="AJ246" s="197"/>
      <c r="AK246" s="197"/>
    </row>
    <row r="247" spans="1:37" ht="50.1" customHeight="1" x14ac:dyDescent="0.25">
      <c r="A247" s="871" t="s">
        <v>5525</v>
      </c>
      <c r="B247" s="197" t="s">
        <v>5389</v>
      </c>
      <c r="C247" s="166" t="s">
        <v>5129</v>
      </c>
      <c r="D247" s="860">
        <v>2</v>
      </c>
      <c r="E247" s="860"/>
      <c r="F247" s="850"/>
      <c r="G247" s="851"/>
      <c r="H247" s="850"/>
      <c r="I247" s="860">
        <v>2</v>
      </c>
      <c r="J247" s="850"/>
      <c r="K247" s="851"/>
      <c r="L247" s="850"/>
      <c r="M247" s="860"/>
      <c r="N247" s="850"/>
      <c r="O247" s="851"/>
      <c r="P247" s="850"/>
      <c r="Q247" s="860">
        <f>COUNTIFS(D9:D229,"Déjeuner",Y9:Y229,"Fromage Ca 100-150 mg")</f>
        <v>12</v>
      </c>
      <c r="R247" s="850"/>
      <c r="S247" s="851"/>
      <c r="T247" s="850"/>
      <c r="U247" s="166" t="str">
        <f>IF(COUNTIF(I9:AC117,"&lt;&gt;")=0,"A SAISIR",IF(AND(D247="",E247=""),"LIBRE",IF(AND(D247&lt;&gt;"",Q247&lt;D247),"MANQUE",IF(AND(E247&lt;&gt;"",Q247&gt;E247),"TROP","OK"))))</f>
        <v>OK</v>
      </c>
      <c r="V247" s="850"/>
      <c r="W247" s="851"/>
      <c r="X247" s="850"/>
      <c r="Y247" s="861">
        <f>COUNTIFS(D9:D229,"Dîner",Y9:Y229,"Fromage Ca 100-150 mg")</f>
        <v>2</v>
      </c>
      <c r="Z247" s="850"/>
      <c r="AA247" s="851"/>
      <c r="AB247" s="850"/>
      <c r="AC247" s="166" t="str">
        <f>IF(COUNTIF(I121:AC229,"&lt;&gt;")=0,"A SAISIR",IF(AND(I247="",M247=""),"LIBRE",IF(AND(I247&lt;&gt;"",Y247&lt;I247),"MANQUE",IF(AND(M247&lt;&gt;"",Y247&gt;M247),"TROP","OK"))))</f>
        <v>OK</v>
      </c>
      <c r="AD247" s="850"/>
      <c r="AE247" s="851"/>
      <c r="AF247" s="850"/>
      <c r="AG247" s="862" t="s">
        <v>5526</v>
      </c>
      <c r="AH247" s="197"/>
      <c r="AI247" s="197"/>
      <c r="AJ247" s="197"/>
      <c r="AK247" s="197"/>
    </row>
    <row r="248" spans="1:37" ht="50.1" customHeight="1" x14ac:dyDescent="0.25">
      <c r="A248" s="872" t="s">
        <v>5527</v>
      </c>
      <c r="B248" s="197" t="s">
        <v>5391</v>
      </c>
      <c r="C248" s="166" t="s">
        <v>5528</v>
      </c>
      <c r="D248" s="860">
        <v>10</v>
      </c>
      <c r="E248" s="860"/>
      <c r="F248" s="850"/>
      <c r="G248" s="851"/>
      <c r="H248" s="850"/>
      <c r="I248" s="860">
        <v>12</v>
      </c>
      <c r="J248" s="850"/>
      <c r="K248" s="851"/>
      <c r="L248" s="850"/>
      <c r="M248" s="860"/>
      <c r="N248" s="850"/>
      <c r="O248" s="851"/>
      <c r="P248" s="850"/>
      <c r="Q248" s="860">
        <f>COUNTIFS(D9:D229,"Déjeuner",Y9:Y229,"Laitage Ca &gt;100mg MG&lt;5g")+COUNTIFS(D9:D229,"Déjeuner",AC9:AC229,"Dessert lacté Ca &gt;100mg MG&lt;5g")</f>
        <v>6</v>
      </c>
      <c r="R248" s="850"/>
      <c r="S248" s="851"/>
      <c r="T248" s="850"/>
      <c r="U248" s="166" t="str">
        <f>IF(COUNTIF(I9:AC117,"&lt;&gt;")=0,"A SAISIR",IF(AND(D248="",E248=""),"LIBRE",IF(AND(D248&lt;&gt;"",Q248&lt;D248),"MANQUE",IF(AND(E248&lt;&gt;"",Q248&gt;E248),"TROP","OK"))))</f>
        <v>MANQUE</v>
      </c>
      <c r="V248" s="850"/>
      <c r="W248" s="851"/>
      <c r="X248" s="850"/>
      <c r="Y248" s="861">
        <f>COUNTIFS(D9:D229,"Dîner",Y9:Y229,"Laitage Ca &gt;100mg MG&lt;5g")+COUNTIFS(D9:D229,"Dîner",AC9:AC229,"Dessert lacté Ca &gt;100mg MG&lt;5g")</f>
        <v>24</v>
      </c>
      <c r="Z248" s="850"/>
      <c r="AA248" s="851"/>
      <c r="AB248" s="850"/>
      <c r="AC248" s="166" t="str">
        <f>IF(COUNTIF(I121:AC229,"&lt;&gt;")=0,"A SAISIR",IF(AND(I248="",M248=""),"LIBRE",IF(AND(I248&lt;&gt;"",Y248&lt;I248),"MANQUE",IF(AND(M248&lt;&gt;"",Y248&gt;M248),"TROP","OK"))))</f>
        <v>OK</v>
      </c>
      <c r="AD248" s="850"/>
      <c r="AE248" s="851"/>
      <c r="AF248" s="850"/>
      <c r="AG248" s="862" t="s">
        <v>5529</v>
      </c>
      <c r="AH248" s="197"/>
      <c r="AI248" s="197"/>
      <c r="AJ248" s="197"/>
      <c r="AK248" s="197"/>
    </row>
    <row r="249" spans="1:37" ht="50.1" customHeight="1" x14ac:dyDescent="0.25">
      <c r="A249" s="873" t="s">
        <v>5530</v>
      </c>
      <c r="B249" s="197" t="s">
        <v>5394</v>
      </c>
      <c r="C249" s="166" t="s">
        <v>56</v>
      </c>
      <c r="D249" s="860">
        <v>12</v>
      </c>
      <c r="E249" s="860"/>
      <c r="F249" s="850"/>
      <c r="G249" s="851"/>
      <c r="H249" s="850"/>
      <c r="I249" s="860">
        <v>8</v>
      </c>
      <c r="J249" s="850"/>
      <c r="K249" s="851"/>
      <c r="L249" s="850"/>
      <c r="M249" s="860"/>
      <c r="N249" s="850"/>
      <c r="O249" s="851"/>
      <c r="P249" s="850"/>
      <c r="Q249" s="860">
        <f>COUNTIFS(D9:D229,"Déjeuner",AC9:AC229,"Fruit cru")</f>
        <v>12</v>
      </c>
      <c r="R249" s="850"/>
      <c r="S249" s="851"/>
      <c r="T249" s="850"/>
      <c r="U249" s="166" t="str">
        <f>IF(COUNTIF(I9:AC117,"&lt;&gt;")=0,"A SAISIR",IF(AND(D249="",E249=""),"LIBRE",IF(AND(D249&lt;&gt;"",Q249&lt;D249),"MANQUE",IF(AND(E249&lt;&gt;"",Q249&gt;E249),"TROP","OK"))))</f>
        <v>OK</v>
      </c>
      <c r="V249" s="850"/>
      <c r="W249" s="851"/>
      <c r="X249" s="850"/>
      <c r="Y249" s="861">
        <f>COUNTIFS(D9:D229,"Dîner",AC9:AC229,"Fruit cru")</f>
        <v>8</v>
      </c>
      <c r="Z249" s="850"/>
      <c r="AA249" s="851"/>
      <c r="AB249" s="850"/>
      <c r="AC249" s="166" t="str">
        <f>IF(COUNTIF(I121:AC229,"&lt;&gt;")=0,"A SAISIR",IF(AND(I249="",M249=""),"LIBRE",IF(AND(I249&lt;&gt;"",Y249&lt;I249),"MANQUE",IF(AND(M249&lt;&gt;"",Y249&gt;M249),"TROP","OK"))))</f>
        <v>OK</v>
      </c>
      <c r="AD249" s="850"/>
      <c r="AE249" s="851"/>
      <c r="AF249" s="850"/>
      <c r="AG249" s="862" t="s">
        <v>5531</v>
      </c>
      <c r="AH249" s="197"/>
      <c r="AI249" s="197"/>
      <c r="AJ249" s="197"/>
      <c r="AK249" s="197"/>
    </row>
  </sheetData>
  <mergeCells count="823">
    <mergeCell ref="AI13:AI15"/>
    <mergeCell ref="AH9:AH11"/>
    <mergeCell ref="AI9:AI11"/>
    <mergeCell ref="A13:A15"/>
    <mergeCell ref="B13:B15"/>
    <mergeCell ref="C13:C15"/>
    <mergeCell ref="D13:D15"/>
    <mergeCell ref="E13:E15"/>
    <mergeCell ref="I13:I15"/>
    <mergeCell ref="M13:M15"/>
    <mergeCell ref="Q13:Q15"/>
    <mergeCell ref="M9:M11"/>
    <mergeCell ref="Q9:Q11"/>
    <mergeCell ref="U9:U11"/>
    <mergeCell ref="Y9:Y11"/>
    <mergeCell ref="AC9:AC11"/>
    <mergeCell ref="AG9:AG11"/>
    <mergeCell ref="A9:A11"/>
    <mergeCell ref="B9:B11"/>
    <mergeCell ref="C9:C11"/>
    <mergeCell ref="D9:D11"/>
    <mergeCell ref="E9:E11"/>
    <mergeCell ref="I9:I11"/>
    <mergeCell ref="C17:C19"/>
    <mergeCell ref="D17:D19"/>
    <mergeCell ref="E17:E19"/>
    <mergeCell ref="I17:I19"/>
    <mergeCell ref="U13:U15"/>
    <mergeCell ref="Y13:Y15"/>
    <mergeCell ref="AC13:AC15"/>
    <mergeCell ref="AG13:AG15"/>
    <mergeCell ref="AH13:AH15"/>
    <mergeCell ref="U21:U23"/>
    <mergeCell ref="Y21:Y23"/>
    <mergeCell ref="AC21:AC23"/>
    <mergeCell ref="AG21:AG23"/>
    <mergeCell ref="AH21:AH23"/>
    <mergeCell ref="AI21:AI23"/>
    <mergeCell ref="AH17:AH19"/>
    <mergeCell ref="AI17:AI19"/>
    <mergeCell ref="A21:A23"/>
    <mergeCell ref="B21:B23"/>
    <mergeCell ref="C21:C23"/>
    <mergeCell ref="D21:D23"/>
    <mergeCell ref="E21:E23"/>
    <mergeCell ref="I21:I23"/>
    <mergeCell ref="M21:M23"/>
    <mergeCell ref="Q21:Q23"/>
    <mergeCell ref="M17:M19"/>
    <mergeCell ref="Q17:Q19"/>
    <mergeCell ref="U17:U19"/>
    <mergeCell ref="Y17:Y19"/>
    <mergeCell ref="AC17:AC19"/>
    <mergeCell ref="AG17:AG19"/>
    <mergeCell ref="A17:A19"/>
    <mergeCell ref="B17:B19"/>
    <mergeCell ref="AI29:AI31"/>
    <mergeCell ref="AH25:AH27"/>
    <mergeCell ref="AI25:AI27"/>
    <mergeCell ref="A29:A31"/>
    <mergeCell ref="B29:B31"/>
    <mergeCell ref="C29:C31"/>
    <mergeCell ref="D29:D31"/>
    <mergeCell ref="E29:E31"/>
    <mergeCell ref="I29:I31"/>
    <mergeCell ref="M29:M31"/>
    <mergeCell ref="Q29:Q31"/>
    <mergeCell ref="M25:M27"/>
    <mergeCell ref="Q25:Q27"/>
    <mergeCell ref="U25:U27"/>
    <mergeCell ref="Y25:Y27"/>
    <mergeCell ref="AC25:AC27"/>
    <mergeCell ref="AG25:AG27"/>
    <mergeCell ref="A25:A27"/>
    <mergeCell ref="B25:B27"/>
    <mergeCell ref="C25:C27"/>
    <mergeCell ref="D25:D27"/>
    <mergeCell ref="E25:E27"/>
    <mergeCell ref="I25:I27"/>
    <mergeCell ref="C33:C35"/>
    <mergeCell ref="D33:D35"/>
    <mergeCell ref="E33:E35"/>
    <mergeCell ref="I33:I35"/>
    <mergeCell ref="U29:U31"/>
    <mergeCell ref="Y29:Y31"/>
    <mergeCell ref="AC29:AC31"/>
    <mergeCell ref="AG29:AG31"/>
    <mergeCell ref="AH29:AH31"/>
    <mergeCell ref="U37:U39"/>
    <mergeCell ref="Y37:Y39"/>
    <mergeCell ref="AC37:AC39"/>
    <mergeCell ref="AG37:AG39"/>
    <mergeCell ref="AH37:AH39"/>
    <mergeCell ref="AI37:AI39"/>
    <mergeCell ref="AH33:AH35"/>
    <mergeCell ref="AI33:AI35"/>
    <mergeCell ref="A37:A39"/>
    <mergeCell ref="B37:B39"/>
    <mergeCell ref="C37:C39"/>
    <mergeCell ref="D37:D39"/>
    <mergeCell ref="E37:E39"/>
    <mergeCell ref="I37:I39"/>
    <mergeCell ref="M37:M39"/>
    <mergeCell ref="Q37:Q39"/>
    <mergeCell ref="M33:M35"/>
    <mergeCell ref="Q33:Q35"/>
    <mergeCell ref="U33:U35"/>
    <mergeCell ref="Y33:Y35"/>
    <mergeCell ref="AC33:AC35"/>
    <mergeCell ref="AG33:AG35"/>
    <mergeCell ref="A33:A35"/>
    <mergeCell ref="B33:B35"/>
    <mergeCell ref="AI45:AI47"/>
    <mergeCell ref="AH41:AH43"/>
    <mergeCell ref="AI41:AI43"/>
    <mergeCell ref="A45:A47"/>
    <mergeCell ref="B45:B47"/>
    <mergeCell ref="C45:C47"/>
    <mergeCell ref="D45:D47"/>
    <mergeCell ref="E45:E47"/>
    <mergeCell ref="I45:I47"/>
    <mergeCell ref="M45:M47"/>
    <mergeCell ref="Q45:Q47"/>
    <mergeCell ref="M41:M43"/>
    <mergeCell ref="Q41:Q43"/>
    <mergeCell ref="U41:U43"/>
    <mergeCell ref="Y41:Y43"/>
    <mergeCell ref="AC41:AC43"/>
    <mergeCell ref="AG41:AG43"/>
    <mergeCell ref="A41:A43"/>
    <mergeCell ref="B41:B43"/>
    <mergeCell ref="C41:C43"/>
    <mergeCell ref="D41:D43"/>
    <mergeCell ref="E41:E43"/>
    <mergeCell ref="I41:I43"/>
    <mergeCell ref="C49:C51"/>
    <mergeCell ref="D49:D51"/>
    <mergeCell ref="E49:E51"/>
    <mergeCell ref="I49:I51"/>
    <mergeCell ref="U45:U47"/>
    <mergeCell ref="Y45:Y47"/>
    <mergeCell ref="AC45:AC47"/>
    <mergeCell ref="AG45:AG47"/>
    <mergeCell ref="AH45:AH47"/>
    <mergeCell ref="U53:U55"/>
    <mergeCell ref="Y53:Y55"/>
    <mergeCell ref="AC53:AC55"/>
    <mergeCell ref="AG53:AG55"/>
    <mergeCell ref="AH53:AH55"/>
    <mergeCell ref="AI53:AI55"/>
    <mergeCell ref="AH49:AH51"/>
    <mergeCell ref="AI49:AI51"/>
    <mergeCell ref="A53:A55"/>
    <mergeCell ref="B53:B55"/>
    <mergeCell ref="C53:C55"/>
    <mergeCell ref="D53:D55"/>
    <mergeCell ref="E53:E55"/>
    <mergeCell ref="I53:I55"/>
    <mergeCell ref="M53:M55"/>
    <mergeCell ref="Q53:Q55"/>
    <mergeCell ref="M49:M51"/>
    <mergeCell ref="Q49:Q51"/>
    <mergeCell ref="U49:U51"/>
    <mergeCell ref="Y49:Y51"/>
    <mergeCell ref="AC49:AC51"/>
    <mergeCell ref="AG49:AG51"/>
    <mergeCell ref="A49:A51"/>
    <mergeCell ref="B49:B51"/>
    <mergeCell ref="AI61:AI63"/>
    <mergeCell ref="AH57:AH59"/>
    <mergeCell ref="AI57:AI59"/>
    <mergeCell ref="A61:A63"/>
    <mergeCell ref="B61:B63"/>
    <mergeCell ref="C61:C63"/>
    <mergeCell ref="D61:D63"/>
    <mergeCell ref="E61:E63"/>
    <mergeCell ref="I61:I63"/>
    <mergeCell ref="M61:M63"/>
    <mergeCell ref="Q61:Q63"/>
    <mergeCell ref="M57:M59"/>
    <mergeCell ref="Q57:Q59"/>
    <mergeCell ref="U57:U59"/>
    <mergeCell ref="Y57:Y59"/>
    <mergeCell ref="AC57:AC59"/>
    <mergeCell ref="AG57:AG59"/>
    <mergeCell ref="A57:A59"/>
    <mergeCell ref="B57:B59"/>
    <mergeCell ref="C57:C59"/>
    <mergeCell ref="D57:D59"/>
    <mergeCell ref="E57:E59"/>
    <mergeCell ref="I57:I59"/>
    <mergeCell ref="C65:C67"/>
    <mergeCell ref="D65:D67"/>
    <mergeCell ref="E65:E67"/>
    <mergeCell ref="I65:I67"/>
    <mergeCell ref="U61:U63"/>
    <mergeCell ref="Y61:Y63"/>
    <mergeCell ref="AC61:AC63"/>
    <mergeCell ref="AG61:AG63"/>
    <mergeCell ref="AH61:AH63"/>
    <mergeCell ref="U69:U71"/>
    <mergeCell ref="Y69:Y71"/>
    <mergeCell ref="AC69:AC71"/>
    <mergeCell ref="AG69:AG71"/>
    <mergeCell ref="AH69:AH71"/>
    <mergeCell ref="AI69:AI71"/>
    <mergeCell ref="AH65:AH67"/>
    <mergeCell ref="AI65:AI67"/>
    <mergeCell ref="A69:A71"/>
    <mergeCell ref="B69:B71"/>
    <mergeCell ref="C69:C71"/>
    <mergeCell ref="D69:D71"/>
    <mergeCell ref="E69:E71"/>
    <mergeCell ref="I69:I71"/>
    <mergeCell ref="M69:M71"/>
    <mergeCell ref="Q69:Q71"/>
    <mergeCell ref="M65:M67"/>
    <mergeCell ref="Q65:Q67"/>
    <mergeCell ref="U65:U67"/>
    <mergeCell ref="Y65:Y67"/>
    <mergeCell ref="AC65:AC67"/>
    <mergeCell ref="AG65:AG67"/>
    <mergeCell ref="A65:A67"/>
    <mergeCell ref="B65:B67"/>
    <mergeCell ref="AI77:AI79"/>
    <mergeCell ref="AH73:AH75"/>
    <mergeCell ref="AI73:AI75"/>
    <mergeCell ref="A77:A79"/>
    <mergeCell ref="B77:B79"/>
    <mergeCell ref="C77:C79"/>
    <mergeCell ref="D77:D79"/>
    <mergeCell ref="E77:E79"/>
    <mergeCell ref="I77:I79"/>
    <mergeCell ref="M77:M79"/>
    <mergeCell ref="Q77:Q79"/>
    <mergeCell ref="M73:M75"/>
    <mergeCell ref="Q73:Q75"/>
    <mergeCell ref="U73:U75"/>
    <mergeCell ref="Y73:Y75"/>
    <mergeCell ref="AC73:AC75"/>
    <mergeCell ref="AG73:AG75"/>
    <mergeCell ref="A73:A75"/>
    <mergeCell ref="B73:B75"/>
    <mergeCell ref="C73:C75"/>
    <mergeCell ref="D73:D75"/>
    <mergeCell ref="E73:E75"/>
    <mergeCell ref="I73:I75"/>
    <mergeCell ref="C81:C83"/>
    <mergeCell ref="D81:D83"/>
    <mergeCell ref="E81:E83"/>
    <mergeCell ref="I81:I83"/>
    <mergeCell ref="U77:U79"/>
    <mergeCell ref="Y77:Y79"/>
    <mergeCell ref="AC77:AC79"/>
    <mergeCell ref="AG77:AG79"/>
    <mergeCell ref="AH77:AH79"/>
    <mergeCell ref="U85:U87"/>
    <mergeCell ref="Y85:Y87"/>
    <mergeCell ref="AC85:AC87"/>
    <mergeCell ref="AG85:AG87"/>
    <mergeCell ref="AH85:AH87"/>
    <mergeCell ref="AI85:AI87"/>
    <mergeCell ref="AH81:AH83"/>
    <mergeCell ref="AI81:AI83"/>
    <mergeCell ref="A85:A87"/>
    <mergeCell ref="B85:B87"/>
    <mergeCell ref="C85:C87"/>
    <mergeCell ref="D85:D87"/>
    <mergeCell ref="E85:E87"/>
    <mergeCell ref="I85:I87"/>
    <mergeCell ref="M85:M87"/>
    <mergeCell ref="Q85:Q87"/>
    <mergeCell ref="M81:M83"/>
    <mergeCell ref="Q81:Q83"/>
    <mergeCell ref="U81:U83"/>
    <mergeCell ref="Y81:Y83"/>
    <mergeCell ref="AC81:AC83"/>
    <mergeCell ref="AG81:AG83"/>
    <mergeCell ref="A81:A83"/>
    <mergeCell ref="B81:B83"/>
    <mergeCell ref="AI93:AI95"/>
    <mergeCell ref="AH89:AH91"/>
    <mergeCell ref="AI89:AI91"/>
    <mergeCell ref="A93:A95"/>
    <mergeCell ref="B93:B95"/>
    <mergeCell ref="C93:C95"/>
    <mergeCell ref="D93:D95"/>
    <mergeCell ref="E93:E95"/>
    <mergeCell ref="I93:I95"/>
    <mergeCell ref="M93:M95"/>
    <mergeCell ref="Q93:Q95"/>
    <mergeCell ref="M89:M91"/>
    <mergeCell ref="Q89:Q91"/>
    <mergeCell ref="U89:U91"/>
    <mergeCell ref="Y89:Y91"/>
    <mergeCell ref="AC89:AC91"/>
    <mergeCell ref="AG89:AG91"/>
    <mergeCell ref="A89:A91"/>
    <mergeCell ref="B89:B91"/>
    <mergeCell ref="C89:C91"/>
    <mergeCell ref="D89:D91"/>
    <mergeCell ref="E89:E91"/>
    <mergeCell ref="I89:I91"/>
    <mergeCell ref="C97:C99"/>
    <mergeCell ref="D97:D99"/>
    <mergeCell ref="E97:E99"/>
    <mergeCell ref="I97:I99"/>
    <mergeCell ref="U93:U95"/>
    <mergeCell ref="Y93:Y95"/>
    <mergeCell ref="AC93:AC95"/>
    <mergeCell ref="AG93:AG95"/>
    <mergeCell ref="AH93:AH95"/>
    <mergeCell ref="U101:U103"/>
    <mergeCell ref="Y101:Y103"/>
    <mergeCell ref="AC101:AC103"/>
    <mergeCell ref="AG101:AG103"/>
    <mergeCell ref="AH101:AH103"/>
    <mergeCell ref="AI101:AI103"/>
    <mergeCell ref="AH97:AH99"/>
    <mergeCell ref="AI97:AI99"/>
    <mergeCell ref="A101:A103"/>
    <mergeCell ref="B101:B103"/>
    <mergeCell ref="C101:C103"/>
    <mergeCell ref="D101:D103"/>
    <mergeCell ref="E101:E103"/>
    <mergeCell ref="I101:I103"/>
    <mergeCell ref="M101:M103"/>
    <mergeCell ref="Q101:Q103"/>
    <mergeCell ref="M97:M99"/>
    <mergeCell ref="Q97:Q99"/>
    <mergeCell ref="U97:U99"/>
    <mergeCell ref="Y97:Y99"/>
    <mergeCell ref="AC97:AC99"/>
    <mergeCell ref="AG97:AG99"/>
    <mergeCell ref="A97:A99"/>
    <mergeCell ref="B97:B99"/>
    <mergeCell ref="AI109:AI111"/>
    <mergeCell ref="AH105:AH107"/>
    <mergeCell ref="AI105:AI107"/>
    <mergeCell ref="A109:A111"/>
    <mergeCell ref="B109:B111"/>
    <mergeCell ref="C109:C111"/>
    <mergeCell ref="D109:D111"/>
    <mergeCell ref="E109:E111"/>
    <mergeCell ref="I109:I111"/>
    <mergeCell ref="M109:M111"/>
    <mergeCell ref="Q109:Q111"/>
    <mergeCell ref="M105:M107"/>
    <mergeCell ref="Q105:Q107"/>
    <mergeCell ref="U105:U107"/>
    <mergeCell ref="Y105:Y107"/>
    <mergeCell ref="AC105:AC107"/>
    <mergeCell ref="AG105:AG107"/>
    <mergeCell ref="A105:A107"/>
    <mergeCell ref="B105:B107"/>
    <mergeCell ref="C105:C107"/>
    <mergeCell ref="D105:D107"/>
    <mergeCell ref="E105:E107"/>
    <mergeCell ref="I105:I107"/>
    <mergeCell ref="C113:C115"/>
    <mergeCell ref="D113:D115"/>
    <mergeCell ref="E113:E115"/>
    <mergeCell ref="I113:I115"/>
    <mergeCell ref="U109:U111"/>
    <mergeCell ref="Y109:Y111"/>
    <mergeCell ref="AC109:AC111"/>
    <mergeCell ref="AG109:AG111"/>
    <mergeCell ref="AH109:AH111"/>
    <mergeCell ref="U117:U119"/>
    <mergeCell ref="Y117:Y119"/>
    <mergeCell ref="AC117:AC119"/>
    <mergeCell ref="AG117:AG119"/>
    <mergeCell ref="AH117:AH119"/>
    <mergeCell ref="AI117:AI119"/>
    <mergeCell ref="AH113:AH115"/>
    <mergeCell ref="AI113:AI115"/>
    <mergeCell ref="A117:A119"/>
    <mergeCell ref="B117:B119"/>
    <mergeCell ref="C117:C119"/>
    <mergeCell ref="D117:D119"/>
    <mergeCell ref="E117:E119"/>
    <mergeCell ref="I117:I119"/>
    <mergeCell ref="M117:M119"/>
    <mergeCell ref="Q117:Q119"/>
    <mergeCell ref="M113:M115"/>
    <mergeCell ref="Q113:Q115"/>
    <mergeCell ref="U113:U115"/>
    <mergeCell ref="Y113:Y115"/>
    <mergeCell ref="AC113:AC115"/>
    <mergeCell ref="AG113:AG115"/>
    <mergeCell ref="A113:A115"/>
    <mergeCell ref="B113:B115"/>
    <mergeCell ref="AI125:AI127"/>
    <mergeCell ref="AH121:AH123"/>
    <mergeCell ref="AI121:AI123"/>
    <mergeCell ref="A125:A127"/>
    <mergeCell ref="B125:B127"/>
    <mergeCell ref="C125:C127"/>
    <mergeCell ref="D125:D127"/>
    <mergeCell ref="E125:E127"/>
    <mergeCell ref="I125:I127"/>
    <mergeCell ref="M125:M127"/>
    <mergeCell ref="Q125:Q127"/>
    <mergeCell ref="M121:M123"/>
    <mergeCell ref="Q121:Q123"/>
    <mergeCell ref="U121:U123"/>
    <mergeCell ref="Y121:Y123"/>
    <mergeCell ref="AC121:AC123"/>
    <mergeCell ref="AG121:AG123"/>
    <mergeCell ref="A121:A123"/>
    <mergeCell ref="B121:B123"/>
    <mergeCell ref="C121:C123"/>
    <mergeCell ref="D121:D123"/>
    <mergeCell ref="E121:E123"/>
    <mergeCell ref="I121:I123"/>
    <mergeCell ref="C129:C131"/>
    <mergeCell ref="D129:D131"/>
    <mergeCell ref="E129:E131"/>
    <mergeCell ref="I129:I131"/>
    <mergeCell ref="U125:U127"/>
    <mergeCell ref="Y125:Y127"/>
    <mergeCell ref="AC125:AC127"/>
    <mergeCell ref="AG125:AG127"/>
    <mergeCell ref="AH125:AH127"/>
    <mergeCell ref="U133:U135"/>
    <mergeCell ref="Y133:Y135"/>
    <mergeCell ref="AC133:AC135"/>
    <mergeCell ref="AG133:AG135"/>
    <mergeCell ref="AH133:AH135"/>
    <mergeCell ref="AI133:AI135"/>
    <mergeCell ref="AH129:AH131"/>
    <mergeCell ref="AI129:AI131"/>
    <mergeCell ref="A133:A135"/>
    <mergeCell ref="B133:B135"/>
    <mergeCell ref="C133:C135"/>
    <mergeCell ref="D133:D135"/>
    <mergeCell ref="E133:E135"/>
    <mergeCell ref="I133:I135"/>
    <mergeCell ref="M133:M135"/>
    <mergeCell ref="Q133:Q135"/>
    <mergeCell ref="M129:M131"/>
    <mergeCell ref="Q129:Q131"/>
    <mergeCell ref="U129:U131"/>
    <mergeCell ref="Y129:Y131"/>
    <mergeCell ref="AC129:AC131"/>
    <mergeCell ref="AG129:AG131"/>
    <mergeCell ref="A129:A131"/>
    <mergeCell ref="B129:B131"/>
    <mergeCell ref="AI141:AI143"/>
    <mergeCell ref="AH137:AH139"/>
    <mergeCell ref="AI137:AI139"/>
    <mergeCell ref="A141:A143"/>
    <mergeCell ref="B141:B143"/>
    <mergeCell ref="C141:C143"/>
    <mergeCell ref="D141:D143"/>
    <mergeCell ref="E141:E143"/>
    <mergeCell ref="I141:I143"/>
    <mergeCell ref="M141:M143"/>
    <mergeCell ref="Q141:Q143"/>
    <mergeCell ref="M137:M139"/>
    <mergeCell ref="Q137:Q139"/>
    <mergeCell ref="U137:U139"/>
    <mergeCell ref="Y137:Y139"/>
    <mergeCell ref="AC137:AC139"/>
    <mergeCell ref="AG137:AG139"/>
    <mergeCell ref="A137:A139"/>
    <mergeCell ref="B137:B139"/>
    <mergeCell ref="C137:C139"/>
    <mergeCell ref="D137:D139"/>
    <mergeCell ref="E137:E139"/>
    <mergeCell ref="I137:I139"/>
    <mergeCell ref="C145:C147"/>
    <mergeCell ref="D145:D147"/>
    <mergeCell ref="E145:E147"/>
    <mergeCell ref="I145:I147"/>
    <mergeCell ref="U141:U143"/>
    <mergeCell ref="Y141:Y143"/>
    <mergeCell ref="AC141:AC143"/>
    <mergeCell ref="AG141:AG143"/>
    <mergeCell ref="AH141:AH143"/>
    <mergeCell ref="U149:U151"/>
    <mergeCell ref="Y149:Y151"/>
    <mergeCell ref="AC149:AC151"/>
    <mergeCell ref="AG149:AG151"/>
    <mergeCell ref="AH149:AH151"/>
    <mergeCell ref="AI149:AI151"/>
    <mergeCell ref="AH145:AH147"/>
    <mergeCell ref="AI145:AI147"/>
    <mergeCell ref="A149:A151"/>
    <mergeCell ref="B149:B151"/>
    <mergeCell ref="C149:C151"/>
    <mergeCell ref="D149:D151"/>
    <mergeCell ref="E149:E151"/>
    <mergeCell ref="I149:I151"/>
    <mergeCell ref="M149:M151"/>
    <mergeCell ref="Q149:Q151"/>
    <mergeCell ref="M145:M147"/>
    <mergeCell ref="Q145:Q147"/>
    <mergeCell ref="U145:U147"/>
    <mergeCell ref="Y145:Y147"/>
    <mergeCell ref="AC145:AC147"/>
    <mergeCell ref="AG145:AG147"/>
    <mergeCell ref="A145:A147"/>
    <mergeCell ref="B145:B147"/>
    <mergeCell ref="AI157:AI159"/>
    <mergeCell ref="AH153:AH155"/>
    <mergeCell ref="AI153:AI155"/>
    <mergeCell ref="A157:A159"/>
    <mergeCell ref="B157:B159"/>
    <mergeCell ref="C157:C159"/>
    <mergeCell ref="D157:D159"/>
    <mergeCell ref="E157:E159"/>
    <mergeCell ref="I157:I159"/>
    <mergeCell ref="M157:M159"/>
    <mergeCell ref="Q157:Q159"/>
    <mergeCell ref="M153:M155"/>
    <mergeCell ref="Q153:Q155"/>
    <mergeCell ref="U153:U155"/>
    <mergeCell ref="Y153:Y155"/>
    <mergeCell ref="AC153:AC155"/>
    <mergeCell ref="AG153:AG155"/>
    <mergeCell ref="A153:A155"/>
    <mergeCell ref="B153:B155"/>
    <mergeCell ref="C153:C155"/>
    <mergeCell ref="D153:D155"/>
    <mergeCell ref="E153:E155"/>
    <mergeCell ref="I153:I155"/>
    <mergeCell ref="C161:C163"/>
    <mergeCell ref="D161:D163"/>
    <mergeCell ref="E161:E163"/>
    <mergeCell ref="I161:I163"/>
    <mergeCell ref="U157:U159"/>
    <mergeCell ref="Y157:Y159"/>
    <mergeCell ref="AC157:AC159"/>
    <mergeCell ref="AG157:AG159"/>
    <mergeCell ref="AH157:AH159"/>
    <mergeCell ref="U165:U167"/>
    <mergeCell ref="Y165:Y167"/>
    <mergeCell ref="AC165:AC167"/>
    <mergeCell ref="AG165:AG167"/>
    <mergeCell ref="AH165:AH167"/>
    <mergeCell ref="AI165:AI167"/>
    <mergeCell ref="AH161:AH163"/>
    <mergeCell ref="AI161:AI163"/>
    <mergeCell ref="A165:A167"/>
    <mergeCell ref="B165:B167"/>
    <mergeCell ref="C165:C167"/>
    <mergeCell ref="D165:D167"/>
    <mergeCell ref="E165:E167"/>
    <mergeCell ref="I165:I167"/>
    <mergeCell ref="M165:M167"/>
    <mergeCell ref="Q165:Q167"/>
    <mergeCell ref="M161:M163"/>
    <mergeCell ref="Q161:Q163"/>
    <mergeCell ref="U161:U163"/>
    <mergeCell ref="Y161:Y163"/>
    <mergeCell ref="AC161:AC163"/>
    <mergeCell ref="AG161:AG163"/>
    <mergeCell ref="A161:A163"/>
    <mergeCell ref="B161:B163"/>
    <mergeCell ref="AI173:AI175"/>
    <mergeCell ref="AH169:AH171"/>
    <mergeCell ref="AI169:AI171"/>
    <mergeCell ref="A173:A175"/>
    <mergeCell ref="B173:B175"/>
    <mergeCell ref="C173:C175"/>
    <mergeCell ref="D173:D175"/>
    <mergeCell ref="E173:E175"/>
    <mergeCell ref="I173:I175"/>
    <mergeCell ref="M173:M175"/>
    <mergeCell ref="Q173:Q175"/>
    <mergeCell ref="M169:M171"/>
    <mergeCell ref="Q169:Q171"/>
    <mergeCell ref="U169:U171"/>
    <mergeCell ref="Y169:Y171"/>
    <mergeCell ref="AC169:AC171"/>
    <mergeCell ref="AG169:AG171"/>
    <mergeCell ref="A169:A171"/>
    <mergeCell ref="B169:B171"/>
    <mergeCell ref="C169:C171"/>
    <mergeCell ref="D169:D171"/>
    <mergeCell ref="E169:E171"/>
    <mergeCell ref="I169:I171"/>
    <mergeCell ref="C177:C179"/>
    <mergeCell ref="D177:D179"/>
    <mergeCell ref="E177:E179"/>
    <mergeCell ref="I177:I179"/>
    <mergeCell ref="U173:U175"/>
    <mergeCell ref="Y173:Y175"/>
    <mergeCell ref="AC173:AC175"/>
    <mergeCell ref="AG173:AG175"/>
    <mergeCell ref="AH173:AH175"/>
    <mergeCell ref="U181:U183"/>
    <mergeCell ref="Y181:Y183"/>
    <mergeCell ref="AC181:AC183"/>
    <mergeCell ref="AG181:AG183"/>
    <mergeCell ref="AH181:AH183"/>
    <mergeCell ref="AI181:AI183"/>
    <mergeCell ref="AH177:AH179"/>
    <mergeCell ref="AI177:AI179"/>
    <mergeCell ref="A181:A183"/>
    <mergeCell ref="B181:B183"/>
    <mergeCell ref="C181:C183"/>
    <mergeCell ref="D181:D183"/>
    <mergeCell ref="E181:E183"/>
    <mergeCell ref="I181:I183"/>
    <mergeCell ref="M181:M183"/>
    <mergeCell ref="Q181:Q183"/>
    <mergeCell ref="M177:M179"/>
    <mergeCell ref="Q177:Q179"/>
    <mergeCell ref="U177:U179"/>
    <mergeCell ref="Y177:Y179"/>
    <mergeCell ref="AC177:AC179"/>
    <mergeCell ref="AG177:AG179"/>
    <mergeCell ref="A177:A179"/>
    <mergeCell ref="B177:B179"/>
    <mergeCell ref="AI189:AI191"/>
    <mergeCell ref="AH185:AH187"/>
    <mergeCell ref="AI185:AI187"/>
    <mergeCell ref="A189:A191"/>
    <mergeCell ref="B189:B191"/>
    <mergeCell ref="C189:C191"/>
    <mergeCell ref="D189:D191"/>
    <mergeCell ref="E189:E191"/>
    <mergeCell ref="I189:I191"/>
    <mergeCell ref="M189:M191"/>
    <mergeCell ref="Q189:Q191"/>
    <mergeCell ref="M185:M187"/>
    <mergeCell ref="Q185:Q187"/>
    <mergeCell ref="U185:U187"/>
    <mergeCell ref="Y185:Y187"/>
    <mergeCell ref="AC185:AC187"/>
    <mergeCell ref="AG185:AG187"/>
    <mergeCell ref="A185:A187"/>
    <mergeCell ref="B185:B187"/>
    <mergeCell ref="C185:C187"/>
    <mergeCell ref="D185:D187"/>
    <mergeCell ref="E185:E187"/>
    <mergeCell ref="I185:I187"/>
    <mergeCell ref="C193:C195"/>
    <mergeCell ref="D193:D195"/>
    <mergeCell ref="E193:E195"/>
    <mergeCell ref="I193:I195"/>
    <mergeCell ref="U189:U191"/>
    <mergeCell ref="Y189:Y191"/>
    <mergeCell ref="AC189:AC191"/>
    <mergeCell ref="AG189:AG191"/>
    <mergeCell ref="AH189:AH191"/>
    <mergeCell ref="U197:U199"/>
    <mergeCell ref="Y197:Y199"/>
    <mergeCell ref="AC197:AC199"/>
    <mergeCell ref="AG197:AG199"/>
    <mergeCell ref="AH197:AH199"/>
    <mergeCell ref="AI197:AI199"/>
    <mergeCell ref="AH193:AH195"/>
    <mergeCell ref="AI193:AI195"/>
    <mergeCell ref="A197:A199"/>
    <mergeCell ref="B197:B199"/>
    <mergeCell ref="C197:C199"/>
    <mergeCell ref="D197:D199"/>
    <mergeCell ref="E197:E199"/>
    <mergeCell ref="I197:I199"/>
    <mergeCell ref="M197:M199"/>
    <mergeCell ref="Q197:Q199"/>
    <mergeCell ref="M193:M195"/>
    <mergeCell ref="Q193:Q195"/>
    <mergeCell ref="U193:U195"/>
    <mergeCell ref="Y193:Y195"/>
    <mergeCell ref="AC193:AC195"/>
    <mergeCell ref="AG193:AG195"/>
    <mergeCell ref="A193:A195"/>
    <mergeCell ref="B193:B195"/>
    <mergeCell ref="AI205:AI207"/>
    <mergeCell ref="AH201:AH203"/>
    <mergeCell ref="AI201:AI203"/>
    <mergeCell ref="A205:A207"/>
    <mergeCell ref="B205:B207"/>
    <mergeCell ref="C205:C207"/>
    <mergeCell ref="D205:D207"/>
    <mergeCell ref="E205:E207"/>
    <mergeCell ref="I205:I207"/>
    <mergeCell ref="M205:M207"/>
    <mergeCell ref="Q205:Q207"/>
    <mergeCell ref="M201:M203"/>
    <mergeCell ref="Q201:Q203"/>
    <mergeCell ref="U201:U203"/>
    <mergeCell ref="Y201:Y203"/>
    <mergeCell ref="AC201:AC203"/>
    <mergeCell ref="AG201:AG203"/>
    <mergeCell ref="A201:A203"/>
    <mergeCell ref="B201:B203"/>
    <mergeCell ref="C201:C203"/>
    <mergeCell ref="D201:D203"/>
    <mergeCell ref="E201:E203"/>
    <mergeCell ref="I201:I203"/>
    <mergeCell ref="C209:C211"/>
    <mergeCell ref="D209:D211"/>
    <mergeCell ref="E209:E211"/>
    <mergeCell ref="I209:I211"/>
    <mergeCell ref="U205:U207"/>
    <mergeCell ref="Y205:Y207"/>
    <mergeCell ref="AC205:AC207"/>
    <mergeCell ref="AG205:AG207"/>
    <mergeCell ref="AH205:AH207"/>
    <mergeCell ref="U213:U215"/>
    <mergeCell ref="Y213:Y215"/>
    <mergeCell ref="AC213:AC215"/>
    <mergeCell ref="AG213:AG215"/>
    <mergeCell ref="AH213:AH215"/>
    <mergeCell ref="AI213:AI215"/>
    <mergeCell ref="AH209:AH211"/>
    <mergeCell ref="AI209:AI211"/>
    <mergeCell ref="A213:A215"/>
    <mergeCell ref="B213:B215"/>
    <mergeCell ref="C213:C215"/>
    <mergeCell ref="D213:D215"/>
    <mergeCell ref="E213:E215"/>
    <mergeCell ref="I213:I215"/>
    <mergeCell ref="M213:M215"/>
    <mergeCell ref="Q213:Q215"/>
    <mergeCell ref="M209:M211"/>
    <mergeCell ref="Q209:Q211"/>
    <mergeCell ref="U209:U211"/>
    <mergeCell ref="Y209:Y211"/>
    <mergeCell ref="AC209:AC211"/>
    <mergeCell ref="AG209:AG211"/>
    <mergeCell ref="A209:A211"/>
    <mergeCell ref="B209:B211"/>
    <mergeCell ref="Y217:Y219"/>
    <mergeCell ref="AC217:AC219"/>
    <mergeCell ref="AG217:AG219"/>
    <mergeCell ref="A217:A219"/>
    <mergeCell ref="B217:B219"/>
    <mergeCell ref="C217:C219"/>
    <mergeCell ref="D217:D219"/>
    <mergeCell ref="E217:E219"/>
    <mergeCell ref="I217:I219"/>
    <mergeCell ref="A221:A223"/>
    <mergeCell ref="B221:B223"/>
    <mergeCell ref="C221:C223"/>
    <mergeCell ref="D221:D223"/>
    <mergeCell ref="E221:E223"/>
    <mergeCell ref="I221:I223"/>
    <mergeCell ref="M221:M223"/>
    <mergeCell ref="Q221:Q223"/>
    <mergeCell ref="M217:M219"/>
    <mergeCell ref="Q217:Q219"/>
    <mergeCell ref="A229:A231"/>
    <mergeCell ref="B229:B231"/>
    <mergeCell ref="C229:C231"/>
    <mergeCell ref="D229:D231"/>
    <mergeCell ref="E229:E231"/>
    <mergeCell ref="I229:I231"/>
    <mergeCell ref="M229:M231"/>
    <mergeCell ref="Q229:Q231"/>
    <mergeCell ref="M225:M227"/>
    <mergeCell ref="Q225:Q227"/>
    <mergeCell ref="A225:A227"/>
    <mergeCell ref="B225:B227"/>
    <mergeCell ref="C225:C227"/>
    <mergeCell ref="D225:D227"/>
    <mergeCell ref="E225:E227"/>
    <mergeCell ref="I225:I227"/>
    <mergeCell ref="AK21:AK23"/>
    <mergeCell ref="AK25:AK27"/>
    <mergeCell ref="AK29:AK31"/>
    <mergeCell ref="U229:U231"/>
    <mergeCell ref="Y229:Y231"/>
    <mergeCell ref="AC229:AC231"/>
    <mergeCell ref="AG229:AG231"/>
    <mergeCell ref="AH229:AH231"/>
    <mergeCell ref="AI229:AI231"/>
    <mergeCell ref="AH225:AH227"/>
    <mergeCell ref="AI225:AI227"/>
    <mergeCell ref="U225:U227"/>
    <mergeCell ref="Y225:Y227"/>
    <mergeCell ref="AC225:AC227"/>
    <mergeCell ref="AG225:AG227"/>
    <mergeCell ref="U221:U223"/>
    <mergeCell ref="Y221:Y223"/>
    <mergeCell ref="AC221:AC223"/>
    <mergeCell ref="AG221:AG223"/>
    <mergeCell ref="AH221:AH223"/>
    <mergeCell ref="AI221:AI223"/>
    <mergeCell ref="AH217:AH219"/>
    <mergeCell ref="AI217:AI219"/>
    <mergeCell ref="U217:U219"/>
    <mergeCell ref="AK81:AK83"/>
    <mergeCell ref="AK85:AK87"/>
    <mergeCell ref="AK89:AK91"/>
    <mergeCell ref="AK93:AK95"/>
    <mergeCell ref="AM9:AM11"/>
    <mergeCell ref="AM13:AM15"/>
    <mergeCell ref="AM17:AM19"/>
    <mergeCell ref="AM21:AM23"/>
    <mergeCell ref="AM25:AM27"/>
    <mergeCell ref="AK57:AK59"/>
    <mergeCell ref="AK61:AK63"/>
    <mergeCell ref="AK65:AK67"/>
    <mergeCell ref="AK69:AK71"/>
    <mergeCell ref="AK73:AK75"/>
    <mergeCell ref="AK77:AK79"/>
    <mergeCell ref="AK33:AK35"/>
    <mergeCell ref="AK37:AK39"/>
    <mergeCell ref="AK41:AK43"/>
    <mergeCell ref="AK45:AK47"/>
    <mergeCell ref="AK49:AK51"/>
    <mergeCell ref="AK53:AK55"/>
    <mergeCell ref="AK9:AK11"/>
    <mergeCell ref="AK13:AK15"/>
    <mergeCell ref="AK17:AK19"/>
    <mergeCell ref="AM53:AM55"/>
    <mergeCell ref="AM57:AM59"/>
    <mergeCell ref="AM61:AM63"/>
    <mergeCell ref="AM65:AM67"/>
    <mergeCell ref="AM69:AM71"/>
    <mergeCell ref="AM73:AM75"/>
    <mergeCell ref="AM29:AM31"/>
    <mergeCell ref="AM33:AM35"/>
    <mergeCell ref="AM37:AM39"/>
    <mergeCell ref="AM41:AM43"/>
    <mergeCell ref="AM45:AM47"/>
    <mergeCell ref="AM49:AM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0DD1-1C5A-421B-936D-482A26E4A524}">
  <dimension ref="A1:R222"/>
  <sheetViews>
    <sheetView topLeftCell="D1" zoomScaleNormal="100" workbookViewId="0">
      <selection activeCell="E1" sqref="E1"/>
    </sheetView>
  </sheetViews>
  <sheetFormatPr baseColWidth="10" defaultColWidth="9" defaultRowHeight="15.75" x14ac:dyDescent="0.25"/>
  <cols>
    <col min="1" max="1" width="9" style="213"/>
    <col min="2" max="2" width="24" style="213" customWidth="1"/>
    <col min="3" max="3" width="121.75" style="213" customWidth="1"/>
    <col min="4" max="4" width="9" style="213"/>
    <col min="5" max="5" width="18" style="213" customWidth="1"/>
    <col min="6" max="6" width="30" style="213" customWidth="1"/>
    <col min="7" max="7" width="32" style="213" customWidth="1"/>
    <col min="8" max="8" width="16" style="213" customWidth="1"/>
    <col min="9" max="9" width="19" style="213" customWidth="1"/>
    <col min="10" max="10" width="30.5" style="213" customWidth="1"/>
    <col min="11" max="11" width="65.875" style="213" customWidth="1"/>
    <col min="12" max="12" width="9" style="213"/>
    <col min="13" max="13" width="31.25" style="213" customWidth="1"/>
    <col min="14" max="14" width="24" style="213" customWidth="1"/>
    <col min="15" max="15" width="41.75" style="213" customWidth="1"/>
    <col min="16" max="16" width="36.25" style="213" customWidth="1"/>
    <col min="17" max="17" width="30.75" style="213" customWidth="1"/>
    <col min="18" max="18" width="52.75" style="213" customWidth="1"/>
    <col min="19" max="16384" width="9" style="213"/>
  </cols>
  <sheetData>
    <row r="1" spans="2:18" ht="39.950000000000003" customHeight="1" x14ac:dyDescent="0.25">
      <c r="B1" s="1135" t="s">
        <v>7710</v>
      </c>
      <c r="D1" s="1136"/>
      <c r="E1" s="1135" t="s">
        <v>7710</v>
      </c>
      <c r="J1" s="1136" t="s">
        <v>4830</v>
      </c>
      <c r="N1" s="1135" t="s">
        <v>7710</v>
      </c>
      <c r="P1" s="1136" t="s">
        <v>4830</v>
      </c>
    </row>
    <row r="2" spans="2:18" ht="39.950000000000003" customHeight="1" x14ac:dyDescent="0.25">
      <c r="B2" s="1137" t="s">
        <v>7397</v>
      </c>
      <c r="C2" s="1138" t="s">
        <v>7711</v>
      </c>
      <c r="E2" s="1457" t="s">
        <v>7938</v>
      </c>
      <c r="F2" s="1458"/>
      <c r="G2" s="1458"/>
      <c r="H2" s="1458"/>
      <c r="I2" s="1458"/>
      <c r="J2" s="1458"/>
      <c r="K2" s="1459"/>
      <c r="M2" s="1494" t="s">
        <v>5339</v>
      </c>
      <c r="N2" s="1494"/>
      <c r="O2" s="1494"/>
      <c r="P2" s="1494"/>
      <c r="Q2" s="1494"/>
      <c r="R2" s="1494"/>
    </row>
    <row r="3" spans="2:18" ht="24.95" customHeight="1" x14ac:dyDescent="0.25">
      <c r="B3" s="1143" t="s">
        <v>4860</v>
      </c>
      <c r="C3" s="1144" t="s">
        <v>7717</v>
      </c>
      <c r="E3" s="1185" t="s">
        <v>7937</v>
      </c>
      <c r="F3" s="1183" t="s">
        <v>7712</v>
      </c>
      <c r="G3" s="1183" t="s">
        <v>7936</v>
      </c>
      <c r="H3" s="1184" t="s">
        <v>7714</v>
      </c>
      <c r="I3" s="1183" t="s">
        <v>7343</v>
      </c>
      <c r="J3" s="1183" t="s">
        <v>7716</v>
      </c>
      <c r="K3" s="1182" t="s">
        <v>7935</v>
      </c>
      <c r="M3" s="810"/>
      <c r="N3" s="810"/>
      <c r="O3" s="810"/>
      <c r="P3" s="810"/>
      <c r="Q3" s="810"/>
      <c r="R3" s="810"/>
    </row>
    <row r="4" spans="2:18" ht="24.95" customHeight="1" x14ac:dyDescent="0.25">
      <c r="B4" s="1143" t="s">
        <v>7723</v>
      </c>
      <c r="C4" s="1144" t="s">
        <v>7724</v>
      </c>
      <c r="E4" s="1454" t="s">
        <v>7913</v>
      </c>
      <c r="F4" s="1455" t="s">
        <v>7906</v>
      </c>
      <c r="G4" s="1467" t="s">
        <v>7836</v>
      </c>
      <c r="H4" s="1467" t="s">
        <v>7796</v>
      </c>
      <c r="I4" s="1467" t="s">
        <v>7934</v>
      </c>
      <c r="J4" s="1463" t="s">
        <v>7933</v>
      </c>
      <c r="K4" s="1468" t="s">
        <v>7932</v>
      </c>
      <c r="M4" s="811" t="s">
        <v>5340</v>
      </c>
      <c r="N4" s="811" t="s">
        <v>5341</v>
      </c>
      <c r="O4" s="811" t="s">
        <v>5342</v>
      </c>
      <c r="P4" s="811" t="s">
        <v>5343</v>
      </c>
      <c r="Q4" s="811" t="s">
        <v>5344</v>
      </c>
      <c r="R4" s="811" t="s">
        <v>5345</v>
      </c>
    </row>
    <row r="5" spans="2:18" ht="24.95" customHeight="1" x14ac:dyDescent="0.25">
      <c r="B5" s="1502" t="s">
        <v>7729</v>
      </c>
      <c r="C5" s="1492" t="s">
        <v>7730</v>
      </c>
      <c r="E5" s="1454"/>
      <c r="F5" s="1455"/>
      <c r="G5" s="1467"/>
      <c r="H5" s="1467"/>
      <c r="I5" s="1467"/>
      <c r="J5" s="1463"/>
      <c r="K5" s="1468"/>
      <c r="M5" s="268"/>
      <c r="N5" s="268"/>
      <c r="O5" s="268"/>
      <c r="P5" s="268"/>
      <c r="Q5" s="268"/>
      <c r="R5" s="839"/>
    </row>
    <row r="6" spans="2:18" ht="24.95" customHeight="1" x14ac:dyDescent="0.25">
      <c r="B6" s="1502"/>
      <c r="C6" s="1492"/>
      <c r="E6" s="1174"/>
      <c r="F6" s="1173"/>
      <c r="G6" s="1172"/>
      <c r="H6" s="1172"/>
      <c r="I6" s="1172"/>
      <c r="J6" s="1148"/>
      <c r="K6" s="1149"/>
      <c r="M6" s="1496" t="s">
        <v>55</v>
      </c>
      <c r="N6" s="1500" t="s">
        <v>5346</v>
      </c>
      <c r="O6" s="1499" t="s">
        <v>5347</v>
      </c>
      <c r="P6" s="1495" t="s">
        <v>5348</v>
      </c>
      <c r="Q6" s="1495" t="s">
        <v>5349</v>
      </c>
      <c r="R6" s="1495" t="s">
        <v>5017</v>
      </c>
    </row>
    <row r="7" spans="2:18" ht="24.95" customHeight="1" x14ac:dyDescent="0.25">
      <c r="B7" s="1143" t="s">
        <v>7736</v>
      </c>
      <c r="C7" s="1144" t="s">
        <v>7737</v>
      </c>
      <c r="E7" s="1454" t="s">
        <v>7913</v>
      </c>
      <c r="F7" s="1455" t="s">
        <v>7903</v>
      </c>
      <c r="G7" s="1469" t="s">
        <v>7832</v>
      </c>
      <c r="H7" s="1469" t="s">
        <v>7791</v>
      </c>
      <c r="I7" s="1469" t="s">
        <v>7931</v>
      </c>
      <c r="J7" s="1463" t="s">
        <v>7930</v>
      </c>
      <c r="K7" s="1468" t="s">
        <v>7929</v>
      </c>
      <c r="M7" s="1496"/>
      <c r="N7" s="1501"/>
      <c r="O7" s="1499"/>
      <c r="P7" s="1495"/>
      <c r="Q7" s="1495"/>
      <c r="R7" s="1495"/>
    </row>
    <row r="8" spans="2:18" ht="24.95" customHeight="1" x14ac:dyDescent="0.25">
      <c r="B8" s="1143" t="s">
        <v>7743</v>
      </c>
      <c r="C8" s="1144" t="s">
        <v>7744</v>
      </c>
      <c r="E8" s="1454"/>
      <c r="F8" s="1455"/>
      <c r="G8" s="1469"/>
      <c r="H8" s="1469"/>
      <c r="I8" s="1469"/>
      <c r="J8" s="1463"/>
      <c r="K8" s="1468"/>
      <c r="M8" s="268"/>
      <c r="N8" s="268"/>
      <c r="O8" s="268"/>
      <c r="P8" s="984"/>
      <c r="Q8" s="984"/>
      <c r="R8" s="839"/>
    </row>
    <row r="9" spans="2:18" ht="24.95" customHeight="1" x14ac:dyDescent="0.25">
      <c r="B9" s="1502" t="s">
        <v>7750</v>
      </c>
      <c r="C9" s="1492" t="s">
        <v>7751</v>
      </c>
      <c r="E9" s="1174"/>
      <c r="F9" s="1173"/>
      <c r="G9" s="1172"/>
      <c r="H9" s="1172"/>
      <c r="I9" s="1172"/>
      <c r="J9" s="1148"/>
      <c r="K9" s="1149"/>
      <c r="M9" s="1496" t="s">
        <v>55</v>
      </c>
      <c r="N9" s="1497" t="s">
        <v>5350</v>
      </c>
      <c r="O9" s="1499" t="s">
        <v>5351</v>
      </c>
      <c r="P9" s="1495" t="s">
        <v>5352</v>
      </c>
      <c r="Q9" s="1495" t="s">
        <v>5353</v>
      </c>
      <c r="R9" s="1495" t="s">
        <v>5354</v>
      </c>
    </row>
    <row r="10" spans="2:18" ht="24.95" customHeight="1" x14ac:dyDescent="0.25">
      <c r="B10" s="1502"/>
      <c r="C10" s="1492"/>
      <c r="E10" s="1454" t="s">
        <v>7913</v>
      </c>
      <c r="F10" s="1455" t="s">
        <v>7928</v>
      </c>
      <c r="G10" s="1456" t="s">
        <v>7927</v>
      </c>
      <c r="H10" s="1456" t="s">
        <v>7926</v>
      </c>
      <c r="I10" s="1456" t="s">
        <v>7925</v>
      </c>
      <c r="J10" s="1463" t="s">
        <v>7924</v>
      </c>
      <c r="K10" s="1468" t="s">
        <v>7923</v>
      </c>
      <c r="M10" s="1496"/>
      <c r="N10" s="1498"/>
      <c r="O10" s="1499"/>
      <c r="P10" s="1495"/>
      <c r="Q10" s="1495"/>
      <c r="R10" s="1495"/>
    </row>
    <row r="11" spans="2:18" ht="24.95" customHeight="1" x14ac:dyDescent="0.25">
      <c r="B11" s="1143" t="s">
        <v>7757</v>
      </c>
      <c r="C11" s="1144" t="s">
        <v>7758</v>
      </c>
      <c r="E11" s="1454"/>
      <c r="F11" s="1455"/>
      <c r="G11" s="1456"/>
      <c r="H11" s="1456"/>
      <c r="I11" s="1456"/>
      <c r="J11" s="1463"/>
      <c r="K11" s="1468"/>
      <c r="M11" s="268"/>
      <c r="N11" s="268"/>
      <c r="O11" s="268"/>
      <c r="P11" s="984"/>
      <c r="Q11" s="984"/>
      <c r="R11" s="839"/>
    </row>
    <row r="12" spans="2:18" ht="24.95" customHeight="1" x14ac:dyDescent="0.25">
      <c r="B12" s="1502" t="s">
        <v>7759</v>
      </c>
      <c r="C12" s="1492" t="s">
        <v>7760</v>
      </c>
      <c r="E12" s="1174"/>
      <c r="F12" s="1173"/>
      <c r="G12" s="1172"/>
      <c r="H12" s="1172"/>
      <c r="I12" s="1172"/>
      <c r="J12" s="1148"/>
      <c r="K12" s="1149"/>
      <c r="M12" s="1496" t="s">
        <v>55</v>
      </c>
      <c r="N12" s="1511" t="s">
        <v>5355</v>
      </c>
      <c r="O12" s="1499" t="s">
        <v>5356</v>
      </c>
      <c r="P12" s="1495" t="s">
        <v>5357</v>
      </c>
      <c r="Q12" s="1495" t="s">
        <v>5353</v>
      </c>
      <c r="R12" s="1495" t="s">
        <v>5354</v>
      </c>
    </row>
    <row r="13" spans="2:18" ht="24.95" customHeight="1" x14ac:dyDescent="0.25">
      <c r="B13" s="1502"/>
      <c r="C13" s="1492"/>
      <c r="E13" s="1454" t="s">
        <v>7913</v>
      </c>
      <c r="F13" s="1455" t="s">
        <v>7884</v>
      </c>
      <c r="G13" s="1471" t="s">
        <v>7828</v>
      </c>
      <c r="H13" s="1471" t="s">
        <v>7827</v>
      </c>
      <c r="I13" s="1471" t="s">
        <v>7922</v>
      </c>
      <c r="J13" s="1463" t="s">
        <v>7921</v>
      </c>
      <c r="K13" s="1468" t="s">
        <v>7920</v>
      </c>
      <c r="M13" s="1496"/>
      <c r="N13" s="1512"/>
      <c r="O13" s="1499"/>
      <c r="P13" s="1495"/>
      <c r="Q13" s="1495"/>
      <c r="R13" s="1495"/>
    </row>
    <row r="14" spans="2:18" ht="24.95" customHeight="1" x14ac:dyDescent="0.25">
      <c r="B14" s="1503"/>
      <c r="C14" s="1493"/>
      <c r="E14" s="1454"/>
      <c r="F14" s="1455"/>
      <c r="G14" s="1471"/>
      <c r="H14" s="1471"/>
      <c r="I14" s="1471"/>
      <c r="J14" s="1463"/>
      <c r="K14" s="1468"/>
      <c r="M14" s="268"/>
      <c r="N14" s="268"/>
      <c r="O14" s="268"/>
      <c r="P14" s="984"/>
      <c r="Q14" s="984"/>
      <c r="R14" s="839"/>
    </row>
    <row r="15" spans="2:18" ht="24.95" customHeight="1" x14ac:dyDescent="0.25">
      <c r="E15" s="1174"/>
      <c r="F15" s="1173"/>
      <c r="G15" s="1172"/>
      <c r="H15" s="1172"/>
      <c r="I15" s="1172"/>
      <c r="J15" s="1148"/>
      <c r="K15" s="1149"/>
      <c r="M15" s="1496" t="s">
        <v>5358</v>
      </c>
      <c r="N15" s="1509" t="s">
        <v>5359</v>
      </c>
      <c r="O15" s="1499" t="s">
        <v>5360</v>
      </c>
      <c r="P15" s="1495" t="s">
        <v>5361</v>
      </c>
      <c r="Q15" s="1495" t="s">
        <v>5349</v>
      </c>
      <c r="R15" s="1495" t="s">
        <v>5362</v>
      </c>
    </row>
    <row r="16" spans="2:18" ht="24.95" customHeight="1" x14ac:dyDescent="0.25">
      <c r="E16" s="1454" t="s">
        <v>7913</v>
      </c>
      <c r="F16" s="1455" t="s">
        <v>7919</v>
      </c>
      <c r="G16" s="1471" t="s">
        <v>7828</v>
      </c>
      <c r="H16" s="1471" t="s">
        <v>7827</v>
      </c>
      <c r="I16" s="1471" t="s">
        <v>7918</v>
      </c>
      <c r="J16" s="1463" t="s">
        <v>7917</v>
      </c>
      <c r="K16" s="1468" t="s">
        <v>7916</v>
      </c>
      <c r="M16" s="1496"/>
      <c r="N16" s="1510"/>
      <c r="O16" s="1499"/>
      <c r="P16" s="1495"/>
      <c r="Q16" s="1495"/>
      <c r="R16" s="1495"/>
    </row>
    <row r="17" spans="5:18" ht="24.95" customHeight="1" x14ac:dyDescent="0.25">
      <c r="E17" s="1454"/>
      <c r="F17" s="1455"/>
      <c r="G17" s="1471"/>
      <c r="H17" s="1471"/>
      <c r="I17" s="1471"/>
      <c r="J17" s="1463"/>
      <c r="K17" s="1468"/>
      <c r="M17" s="268"/>
      <c r="N17" s="268"/>
      <c r="O17" s="268"/>
      <c r="P17" s="984"/>
      <c r="Q17" s="984"/>
      <c r="R17" s="839"/>
    </row>
    <row r="18" spans="5:18" ht="24.95" customHeight="1" x14ac:dyDescent="0.25">
      <c r="E18" s="1174"/>
      <c r="F18" s="1173"/>
      <c r="G18" s="1172"/>
      <c r="H18" s="1172"/>
      <c r="I18" s="1172"/>
      <c r="J18" s="1148"/>
      <c r="K18" s="1149"/>
      <c r="M18" s="1496" t="s">
        <v>5358</v>
      </c>
      <c r="N18" s="1513" t="s">
        <v>5363</v>
      </c>
      <c r="O18" s="1499" t="s">
        <v>5364</v>
      </c>
      <c r="P18" s="1495" t="s">
        <v>5365</v>
      </c>
      <c r="Q18" s="1495" t="s">
        <v>5366</v>
      </c>
      <c r="R18" s="1495" t="s">
        <v>5362</v>
      </c>
    </row>
    <row r="19" spans="5:18" ht="24.95" customHeight="1" x14ac:dyDescent="0.25">
      <c r="E19" s="1454" t="s">
        <v>7913</v>
      </c>
      <c r="F19" s="1455" t="s">
        <v>5363</v>
      </c>
      <c r="G19" s="1470" t="s">
        <v>7911</v>
      </c>
      <c r="H19" s="1470" t="s">
        <v>7910</v>
      </c>
      <c r="I19" s="1470" t="s">
        <v>7915</v>
      </c>
      <c r="J19" s="1463" t="s">
        <v>7914</v>
      </c>
      <c r="K19" s="1468" t="s">
        <v>7907</v>
      </c>
      <c r="M19" s="1496"/>
      <c r="N19" s="1514"/>
      <c r="O19" s="1499"/>
      <c r="P19" s="1495"/>
      <c r="Q19" s="1495"/>
      <c r="R19" s="1495"/>
    </row>
    <row r="20" spans="5:18" ht="24.95" customHeight="1" x14ac:dyDescent="0.25">
      <c r="E20" s="1454"/>
      <c r="F20" s="1455"/>
      <c r="G20" s="1470"/>
      <c r="H20" s="1470"/>
      <c r="I20" s="1470"/>
      <c r="J20" s="1463"/>
      <c r="K20" s="1468"/>
      <c r="M20" s="268"/>
      <c r="N20" s="268"/>
      <c r="O20" s="268"/>
      <c r="P20" s="984"/>
      <c r="Q20" s="984"/>
      <c r="R20" s="839"/>
    </row>
    <row r="21" spans="5:18" ht="24.95" customHeight="1" x14ac:dyDescent="0.25">
      <c r="E21" s="1174"/>
      <c r="F21" s="1173"/>
      <c r="G21" s="1172"/>
      <c r="H21" s="1172"/>
      <c r="I21" s="1172"/>
      <c r="J21" s="1148"/>
      <c r="K21" s="1149"/>
      <c r="M21" s="1496" t="s">
        <v>5358</v>
      </c>
      <c r="N21" s="1509" t="s">
        <v>5367</v>
      </c>
      <c r="O21" s="1499" t="s">
        <v>5368</v>
      </c>
      <c r="P21" s="1495" t="s">
        <v>5369</v>
      </c>
      <c r="Q21" s="1495" t="s">
        <v>5353</v>
      </c>
      <c r="R21" s="1495" t="s">
        <v>5354</v>
      </c>
    </row>
    <row r="22" spans="5:18" ht="24.95" customHeight="1" x14ac:dyDescent="0.25">
      <c r="E22" s="1454" t="s">
        <v>7913</v>
      </c>
      <c r="F22" s="1455" t="s">
        <v>7912</v>
      </c>
      <c r="G22" s="1470" t="s">
        <v>7911</v>
      </c>
      <c r="H22" s="1470" t="s">
        <v>7910</v>
      </c>
      <c r="I22" s="1470" t="s">
        <v>7909</v>
      </c>
      <c r="J22" s="1463" t="s">
        <v>7908</v>
      </c>
      <c r="K22" s="1468" t="s">
        <v>7907</v>
      </c>
      <c r="M22" s="1496"/>
      <c r="N22" s="1510"/>
      <c r="O22" s="1499"/>
      <c r="P22" s="1495"/>
      <c r="Q22" s="1495"/>
      <c r="R22" s="1495"/>
    </row>
    <row r="23" spans="5:18" ht="24.95" customHeight="1" x14ac:dyDescent="0.25">
      <c r="E23" s="1454"/>
      <c r="F23" s="1455"/>
      <c r="G23" s="1470"/>
      <c r="H23" s="1470"/>
      <c r="I23" s="1470"/>
      <c r="J23" s="1463"/>
      <c r="K23" s="1468"/>
      <c r="M23" s="268"/>
      <c r="N23" s="268"/>
      <c r="O23" s="268"/>
      <c r="P23" s="984"/>
      <c r="Q23" s="984"/>
      <c r="R23" s="839"/>
    </row>
    <row r="24" spans="5:18" ht="24.95" customHeight="1" x14ac:dyDescent="0.25">
      <c r="E24" s="1174"/>
      <c r="F24" s="1173"/>
      <c r="G24" s="1172"/>
      <c r="H24" s="1172"/>
      <c r="I24" s="1172"/>
      <c r="J24" s="1148"/>
      <c r="K24" s="1149"/>
      <c r="M24" s="1496" t="s">
        <v>5370</v>
      </c>
      <c r="N24" s="1517" t="s">
        <v>5371</v>
      </c>
      <c r="O24" s="1499" t="s">
        <v>5372</v>
      </c>
      <c r="P24" s="1495" t="s">
        <v>5373</v>
      </c>
      <c r="Q24" s="1495" t="s">
        <v>5349</v>
      </c>
      <c r="R24" s="1495" t="s">
        <v>5362</v>
      </c>
    </row>
    <row r="25" spans="5:18" ht="24.95" customHeight="1" x14ac:dyDescent="0.25">
      <c r="E25" s="1454" t="s">
        <v>7892</v>
      </c>
      <c r="F25" s="1455" t="s">
        <v>7906</v>
      </c>
      <c r="G25" s="1467" t="s">
        <v>7836</v>
      </c>
      <c r="H25" s="1467" t="s">
        <v>7796</v>
      </c>
      <c r="I25" s="1467" t="s">
        <v>7348</v>
      </c>
      <c r="J25" s="1463" t="s">
        <v>7905</v>
      </c>
      <c r="K25" s="1468" t="s">
        <v>7904</v>
      </c>
      <c r="M25" s="1496"/>
      <c r="N25" s="1518"/>
      <c r="O25" s="1499"/>
      <c r="P25" s="1495"/>
      <c r="Q25" s="1495"/>
      <c r="R25" s="1495"/>
    </row>
    <row r="26" spans="5:18" ht="24.95" customHeight="1" x14ac:dyDescent="0.25">
      <c r="E26" s="1454"/>
      <c r="F26" s="1455"/>
      <c r="G26" s="1467"/>
      <c r="H26" s="1467"/>
      <c r="I26" s="1467"/>
      <c r="J26" s="1463"/>
      <c r="K26" s="1468"/>
      <c r="M26" s="268"/>
      <c r="N26" s="268"/>
      <c r="O26" s="268"/>
      <c r="P26" s="984"/>
      <c r="Q26" s="984"/>
      <c r="R26" s="839"/>
    </row>
    <row r="27" spans="5:18" ht="24.95" customHeight="1" x14ac:dyDescent="0.25">
      <c r="E27" s="1174"/>
      <c r="F27" s="1173"/>
      <c r="G27" s="1172"/>
      <c r="H27" s="1172"/>
      <c r="I27" s="1172"/>
      <c r="J27" s="1148"/>
      <c r="K27" s="1149"/>
      <c r="M27" s="1496" t="s">
        <v>5370</v>
      </c>
      <c r="N27" s="1509" t="s">
        <v>5374</v>
      </c>
      <c r="O27" s="1499" t="s">
        <v>5375</v>
      </c>
      <c r="P27" s="1495" t="s">
        <v>5376</v>
      </c>
      <c r="Q27" s="1495" t="s">
        <v>5349</v>
      </c>
      <c r="R27" s="1495" t="s">
        <v>5016</v>
      </c>
    </row>
    <row r="28" spans="5:18" ht="24.95" customHeight="1" x14ac:dyDescent="0.25">
      <c r="E28" s="1454" t="s">
        <v>7892</v>
      </c>
      <c r="F28" s="1455" t="s">
        <v>7903</v>
      </c>
      <c r="G28" s="1469" t="s">
        <v>7832</v>
      </c>
      <c r="H28" s="1469" t="s">
        <v>7791</v>
      </c>
      <c r="I28" s="1469" t="s">
        <v>7349</v>
      </c>
      <c r="J28" s="1463" t="s">
        <v>6813</v>
      </c>
      <c r="K28" s="1468" t="s">
        <v>7902</v>
      </c>
      <c r="M28" s="1496"/>
      <c r="N28" s="1510"/>
      <c r="O28" s="1499"/>
      <c r="P28" s="1495"/>
      <c r="Q28" s="1495"/>
      <c r="R28" s="1495"/>
    </row>
    <row r="29" spans="5:18" ht="24.95" customHeight="1" x14ac:dyDescent="0.25">
      <c r="E29" s="1454"/>
      <c r="F29" s="1455"/>
      <c r="G29" s="1469"/>
      <c r="H29" s="1469"/>
      <c r="I29" s="1469"/>
      <c r="J29" s="1463"/>
      <c r="K29" s="1468"/>
      <c r="M29" s="268"/>
      <c r="N29" s="268"/>
      <c r="O29" s="268"/>
      <c r="P29" s="984"/>
      <c r="Q29" s="984"/>
      <c r="R29" s="839"/>
    </row>
    <row r="30" spans="5:18" ht="24.95" customHeight="1" x14ac:dyDescent="0.25">
      <c r="E30" s="1174"/>
      <c r="F30" s="1173"/>
      <c r="G30" s="1172"/>
      <c r="H30" s="1172"/>
      <c r="I30" s="1172"/>
      <c r="J30" s="1148"/>
      <c r="K30" s="1149"/>
      <c r="M30" s="1496" t="s">
        <v>5370</v>
      </c>
      <c r="N30" s="1515" t="s">
        <v>5377</v>
      </c>
      <c r="O30" s="1499" t="s">
        <v>5378</v>
      </c>
      <c r="P30" s="1495" t="s">
        <v>5379</v>
      </c>
      <c r="Q30" s="1495" t="s">
        <v>5353</v>
      </c>
      <c r="R30" s="1495" t="s">
        <v>5354</v>
      </c>
    </row>
    <row r="31" spans="5:18" ht="24.95" customHeight="1" x14ac:dyDescent="0.25">
      <c r="E31" s="1454" t="s">
        <v>7892</v>
      </c>
      <c r="F31" s="1455" t="s">
        <v>7901</v>
      </c>
      <c r="G31" s="1473" t="s">
        <v>7783</v>
      </c>
      <c r="H31" s="1473" t="s">
        <v>7782</v>
      </c>
      <c r="I31" s="1473" t="s">
        <v>7346</v>
      </c>
      <c r="J31" s="1463" t="s">
        <v>7900</v>
      </c>
      <c r="K31" s="1468" t="s">
        <v>7899</v>
      </c>
      <c r="M31" s="1496"/>
      <c r="N31" s="1516"/>
      <c r="O31" s="1499"/>
      <c r="P31" s="1495"/>
      <c r="Q31" s="1495"/>
      <c r="R31" s="1495"/>
    </row>
    <row r="32" spans="5:18" ht="24.95" customHeight="1" x14ac:dyDescent="0.25">
      <c r="E32" s="1454"/>
      <c r="F32" s="1455"/>
      <c r="G32" s="1473"/>
      <c r="H32" s="1473"/>
      <c r="I32" s="1473"/>
      <c r="J32" s="1463"/>
      <c r="K32" s="1468"/>
      <c r="M32" s="268"/>
      <c r="N32" s="268"/>
      <c r="O32" s="268"/>
      <c r="P32" s="984"/>
      <c r="Q32" s="984"/>
      <c r="R32" s="839"/>
    </row>
    <row r="33" spans="5:18" ht="24.95" customHeight="1" x14ac:dyDescent="0.25">
      <c r="E33" s="1174"/>
      <c r="F33" s="1173"/>
      <c r="G33" s="1172"/>
      <c r="H33" s="1172"/>
      <c r="I33" s="1172"/>
      <c r="J33" s="1148"/>
      <c r="K33" s="1149"/>
      <c r="M33" s="1496" t="s">
        <v>53</v>
      </c>
      <c r="N33" s="1511" t="s">
        <v>5380</v>
      </c>
      <c r="O33" s="1499" t="s">
        <v>5381</v>
      </c>
      <c r="P33" s="1495" t="s">
        <v>5382</v>
      </c>
      <c r="Q33" s="1495" t="s">
        <v>5349</v>
      </c>
      <c r="R33" s="1495" t="s">
        <v>5362</v>
      </c>
    </row>
    <row r="34" spans="5:18" ht="24.95" customHeight="1" x14ac:dyDescent="0.25">
      <c r="E34" s="1454" t="s">
        <v>7892</v>
      </c>
      <c r="F34" s="1455" t="s">
        <v>7898</v>
      </c>
      <c r="G34" s="1482" t="s">
        <v>7897</v>
      </c>
      <c r="H34" s="1482" t="s">
        <v>7896</v>
      </c>
      <c r="I34" s="1482" t="s">
        <v>7895</v>
      </c>
      <c r="J34" s="1463" t="s">
        <v>7894</v>
      </c>
      <c r="K34" s="1468" t="s">
        <v>7893</v>
      </c>
      <c r="M34" s="1496"/>
      <c r="N34" s="1512"/>
      <c r="O34" s="1499"/>
      <c r="P34" s="1495"/>
      <c r="Q34" s="1495"/>
      <c r="R34" s="1495"/>
    </row>
    <row r="35" spans="5:18" ht="24.95" customHeight="1" x14ac:dyDescent="0.25">
      <c r="E35" s="1454"/>
      <c r="F35" s="1455"/>
      <c r="G35" s="1482"/>
      <c r="H35" s="1482"/>
      <c r="I35" s="1482"/>
      <c r="J35" s="1463"/>
      <c r="K35" s="1468"/>
      <c r="M35" s="268"/>
      <c r="N35" s="268"/>
      <c r="O35" s="268"/>
      <c r="P35" s="984"/>
      <c r="Q35" s="984"/>
      <c r="R35" s="839"/>
    </row>
    <row r="36" spans="5:18" ht="24.95" customHeight="1" x14ac:dyDescent="0.25">
      <c r="E36" s="1174"/>
      <c r="F36" s="1173"/>
      <c r="G36" s="1172"/>
      <c r="H36" s="1172"/>
      <c r="I36" s="1172"/>
      <c r="J36" s="1148"/>
      <c r="K36" s="1149"/>
      <c r="M36" s="1496" t="s">
        <v>53</v>
      </c>
      <c r="N36" s="1525" t="s">
        <v>5383</v>
      </c>
      <c r="O36" s="1499" t="s">
        <v>5384</v>
      </c>
      <c r="P36" s="1495" t="s">
        <v>5385</v>
      </c>
      <c r="Q36" s="1495" t="s">
        <v>5349</v>
      </c>
      <c r="R36" s="1495" t="s">
        <v>5362</v>
      </c>
    </row>
    <row r="37" spans="5:18" ht="24.95" customHeight="1" x14ac:dyDescent="0.25">
      <c r="E37" s="1175" t="s">
        <v>7892</v>
      </c>
      <c r="F37" s="1173" t="s">
        <v>7891</v>
      </c>
      <c r="G37" s="1181" t="s">
        <v>7787</v>
      </c>
      <c r="H37" s="1181" t="s">
        <v>7786</v>
      </c>
      <c r="I37" s="1181" t="s">
        <v>7890</v>
      </c>
      <c r="J37" s="1167" t="s">
        <v>7889</v>
      </c>
      <c r="K37" s="1166" t="s">
        <v>7888</v>
      </c>
      <c r="M37" s="1496"/>
      <c r="N37" s="1526"/>
      <c r="O37" s="1499"/>
      <c r="P37" s="1495"/>
      <c r="Q37" s="1495"/>
      <c r="R37" s="1495"/>
    </row>
    <row r="38" spans="5:18" ht="24.95" customHeight="1" x14ac:dyDescent="0.25">
      <c r="E38" s="1179"/>
      <c r="F38" s="1178"/>
      <c r="G38" s="1181"/>
      <c r="H38" s="1181"/>
      <c r="I38" s="1181"/>
      <c r="J38" s="1152"/>
      <c r="K38" s="1153"/>
      <c r="M38" s="268"/>
      <c r="N38" s="268"/>
      <c r="O38" s="268"/>
      <c r="P38" s="984"/>
      <c r="Q38" s="984"/>
      <c r="R38" s="839"/>
    </row>
    <row r="39" spans="5:18" ht="24.95" customHeight="1" x14ac:dyDescent="0.25">
      <c r="E39" s="1174"/>
      <c r="F39" s="1173"/>
      <c r="G39" s="1172"/>
      <c r="H39" s="1172"/>
      <c r="I39" s="1172"/>
      <c r="J39" s="1148"/>
      <c r="K39" s="1149"/>
      <c r="M39" s="1496" t="s">
        <v>5129</v>
      </c>
      <c r="N39" s="1521" t="s">
        <v>5386</v>
      </c>
      <c r="O39" s="1499" t="s">
        <v>5387</v>
      </c>
      <c r="P39" s="1495" t="s">
        <v>5388</v>
      </c>
      <c r="Q39" s="1495" t="s">
        <v>5349</v>
      </c>
      <c r="R39" s="1495" t="s">
        <v>5362</v>
      </c>
    </row>
    <row r="40" spans="5:18" ht="24.95" customHeight="1" x14ac:dyDescent="0.25">
      <c r="E40" s="1454" t="s">
        <v>5130</v>
      </c>
      <c r="F40" s="1455" t="s">
        <v>4894</v>
      </c>
      <c r="G40" s="1475" t="s">
        <v>7718</v>
      </c>
      <c r="H40" s="1475" t="s">
        <v>7719</v>
      </c>
      <c r="I40" s="1475" t="s">
        <v>7887</v>
      </c>
      <c r="J40" s="1463" t="s">
        <v>7886</v>
      </c>
      <c r="K40" s="1468" t="s">
        <v>7885</v>
      </c>
      <c r="M40" s="1496"/>
      <c r="N40" s="1522"/>
      <c r="O40" s="1499"/>
      <c r="P40" s="1495"/>
      <c r="Q40" s="1495"/>
      <c r="R40" s="1495"/>
    </row>
    <row r="41" spans="5:18" ht="24.95" customHeight="1" x14ac:dyDescent="0.25">
      <c r="E41" s="1454"/>
      <c r="F41" s="1455"/>
      <c r="G41" s="1475"/>
      <c r="H41" s="1475"/>
      <c r="I41" s="1475"/>
      <c r="J41" s="1463"/>
      <c r="K41" s="1468"/>
      <c r="M41" s="268"/>
      <c r="N41" s="268"/>
      <c r="O41" s="268"/>
      <c r="P41" s="984"/>
      <c r="Q41" s="984"/>
      <c r="R41" s="839"/>
    </row>
    <row r="42" spans="5:18" ht="24.95" customHeight="1" x14ac:dyDescent="0.25">
      <c r="E42" s="1174"/>
      <c r="F42" s="1173"/>
      <c r="G42" s="1172"/>
      <c r="H42" s="1172"/>
      <c r="I42" s="1172"/>
      <c r="J42" s="1148"/>
      <c r="K42" s="1149"/>
      <c r="M42" s="1496" t="s">
        <v>5129</v>
      </c>
      <c r="N42" s="1523" t="s">
        <v>5389</v>
      </c>
      <c r="O42" s="1499" t="s">
        <v>5390</v>
      </c>
      <c r="P42" s="1495" t="s">
        <v>5388</v>
      </c>
      <c r="Q42" s="1495" t="s">
        <v>5349</v>
      </c>
      <c r="R42" s="1495" t="s">
        <v>5362</v>
      </c>
    </row>
    <row r="43" spans="5:18" ht="24.95" customHeight="1" x14ac:dyDescent="0.25">
      <c r="E43" s="1175" t="s">
        <v>5130</v>
      </c>
      <c r="F43" s="1173" t="s">
        <v>7884</v>
      </c>
      <c r="G43" s="1176" t="s">
        <v>7820</v>
      </c>
      <c r="H43" s="1176" t="s">
        <v>7819</v>
      </c>
      <c r="I43" s="1176" t="s">
        <v>7883</v>
      </c>
      <c r="J43" s="1167" t="s">
        <v>7882</v>
      </c>
      <c r="K43" s="1166" t="s">
        <v>7871</v>
      </c>
      <c r="M43" s="1496"/>
      <c r="N43" s="1524"/>
      <c r="O43" s="1499"/>
      <c r="P43" s="1495"/>
      <c r="Q43" s="1495"/>
      <c r="R43" s="1495"/>
    </row>
    <row r="44" spans="5:18" ht="24.95" customHeight="1" x14ac:dyDescent="0.25">
      <c r="E44" s="1179"/>
      <c r="F44" s="1178"/>
      <c r="G44" s="1176"/>
      <c r="H44" s="1176"/>
      <c r="I44" s="1176"/>
      <c r="J44" s="1152"/>
      <c r="K44" s="1153"/>
      <c r="M44" s="268"/>
      <c r="N44" s="268"/>
      <c r="O44" s="268"/>
      <c r="P44" s="984"/>
      <c r="Q44" s="984"/>
      <c r="R44" s="839"/>
    </row>
    <row r="45" spans="5:18" ht="24.95" customHeight="1" x14ac:dyDescent="0.25">
      <c r="E45" s="1174"/>
      <c r="F45" s="1173"/>
      <c r="G45" s="1172"/>
      <c r="H45" s="1172"/>
      <c r="I45" s="1172"/>
      <c r="J45" s="1148"/>
      <c r="K45" s="1149"/>
      <c r="M45" s="1496" t="s">
        <v>5129</v>
      </c>
      <c r="N45" s="1519" t="s">
        <v>5391</v>
      </c>
      <c r="O45" s="1499" t="s">
        <v>5392</v>
      </c>
      <c r="P45" s="1495" t="s">
        <v>5393</v>
      </c>
      <c r="Q45" s="1495" t="s">
        <v>5349</v>
      </c>
      <c r="R45" s="1495" t="s">
        <v>5362</v>
      </c>
    </row>
    <row r="46" spans="5:18" ht="24.95" customHeight="1" x14ac:dyDescent="0.25">
      <c r="E46" s="1454" t="s">
        <v>5130</v>
      </c>
      <c r="F46" s="1455" t="s">
        <v>7881</v>
      </c>
      <c r="G46" s="1480" t="s">
        <v>7820</v>
      </c>
      <c r="H46" s="1480" t="s">
        <v>7819</v>
      </c>
      <c r="I46" s="1480" t="s">
        <v>7880</v>
      </c>
      <c r="J46" s="1463" t="s">
        <v>7879</v>
      </c>
      <c r="K46" s="1468" t="s">
        <v>7871</v>
      </c>
      <c r="M46" s="1496"/>
      <c r="N46" s="1520"/>
      <c r="O46" s="1499"/>
      <c r="P46" s="1495"/>
      <c r="Q46" s="1495"/>
      <c r="R46" s="1495"/>
    </row>
    <row r="47" spans="5:18" ht="24.95" customHeight="1" x14ac:dyDescent="0.25">
      <c r="E47" s="1454"/>
      <c r="F47" s="1455"/>
      <c r="G47" s="1480"/>
      <c r="H47" s="1480"/>
      <c r="I47" s="1480"/>
      <c r="J47" s="1463"/>
      <c r="K47" s="1468"/>
      <c r="M47" s="268"/>
      <c r="N47" s="268"/>
      <c r="O47" s="268"/>
      <c r="P47" s="984"/>
      <c r="Q47" s="984"/>
      <c r="R47" s="839"/>
    </row>
    <row r="48" spans="5:18" ht="24.95" customHeight="1" x14ac:dyDescent="0.25">
      <c r="E48" s="1174"/>
      <c r="F48" s="1173"/>
      <c r="G48" s="1172"/>
      <c r="H48" s="1172"/>
      <c r="I48" s="1172"/>
      <c r="J48" s="1148"/>
      <c r="K48" s="1149"/>
      <c r="M48" s="1496" t="s">
        <v>56</v>
      </c>
      <c r="N48" s="1500" t="s">
        <v>5394</v>
      </c>
      <c r="O48" s="1499" t="s">
        <v>5395</v>
      </c>
      <c r="P48" s="1495" t="s">
        <v>5396</v>
      </c>
      <c r="Q48" s="1495" t="s">
        <v>5349</v>
      </c>
      <c r="R48" s="1495" t="s">
        <v>5354</v>
      </c>
    </row>
    <row r="49" spans="5:18" ht="24.95" customHeight="1" x14ac:dyDescent="0.25">
      <c r="E49" s="1175" t="s">
        <v>5130</v>
      </c>
      <c r="F49" s="1173" t="s">
        <v>7878</v>
      </c>
      <c r="G49" s="1180" t="s">
        <v>7828</v>
      </c>
      <c r="H49" s="1180" t="s">
        <v>7827</v>
      </c>
      <c r="I49" s="1180" t="s">
        <v>7877</v>
      </c>
      <c r="J49" s="1167" t="s">
        <v>7876</v>
      </c>
      <c r="K49" s="1166" t="s">
        <v>7875</v>
      </c>
      <c r="M49" s="1496"/>
      <c r="N49" s="1501"/>
      <c r="O49" s="1499"/>
      <c r="P49" s="1495"/>
      <c r="Q49" s="1495"/>
      <c r="R49" s="1495"/>
    </row>
    <row r="50" spans="5:18" ht="24.95" customHeight="1" x14ac:dyDescent="0.25">
      <c r="E50" s="1179"/>
      <c r="F50" s="1178"/>
      <c r="G50" s="1180"/>
      <c r="H50" s="1180"/>
      <c r="I50" s="1180"/>
      <c r="J50" s="1152"/>
      <c r="K50" s="1153"/>
      <c r="M50" s="268"/>
      <c r="N50" s="268"/>
      <c r="O50" s="268"/>
      <c r="P50" s="984"/>
      <c r="Q50" s="984"/>
      <c r="R50" s="839"/>
    </row>
    <row r="51" spans="5:18" ht="24.95" customHeight="1" x14ac:dyDescent="0.25">
      <c r="E51" s="1174"/>
      <c r="F51" s="1173"/>
      <c r="G51" s="1172"/>
      <c r="H51" s="1172"/>
      <c r="I51" s="1172"/>
      <c r="J51" s="1148"/>
      <c r="K51" s="1149"/>
      <c r="M51" s="1496" t="s">
        <v>56</v>
      </c>
      <c r="N51" s="1519" t="s">
        <v>5397</v>
      </c>
      <c r="O51" s="1499" t="s">
        <v>5398</v>
      </c>
      <c r="P51" s="1495" t="s">
        <v>5399</v>
      </c>
      <c r="Q51" s="1495" t="s">
        <v>5349</v>
      </c>
      <c r="R51" s="1495" t="s">
        <v>5362</v>
      </c>
    </row>
    <row r="52" spans="5:18" ht="24.95" customHeight="1" x14ac:dyDescent="0.25">
      <c r="E52" s="1175" t="s">
        <v>5130</v>
      </c>
      <c r="F52" s="1173" t="s">
        <v>7874</v>
      </c>
      <c r="G52" s="1176" t="s">
        <v>7820</v>
      </c>
      <c r="H52" s="1480" t="s">
        <v>7819</v>
      </c>
      <c r="I52" s="1176" t="s">
        <v>7873</v>
      </c>
      <c r="J52" s="1167" t="s">
        <v>7872</v>
      </c>
      <c r="K52" s="1166" t="s">
        <v>7871</v>
      </c>
      <c r="M52" s="1496"/>
      <c r="N52" s="1520"/>
      <c r="O52" s="1499"/>
      <c r="P52" s="1495"/>
      <c r="Q52" s="1495"/>
      <c r="R52" s="1495"/>
    </row>
    <row r="53" spans="5:18" ht="24.95" customHeight="1" x14ac:dyDescent="0.25">
      <c r="E53" s="1174"/>
      <c r="F53" s="1173"/>
      <c r="G53" s="1176"/>
      <c r="H53" s="1480"/>
      <c r="I53" s="1176"/>
      <c r="J53" s="1148"/>
      <c r="K53" s="1149"/>
      <c r="M53" s="268"/>
      <c r="N53" s="268"/>
      <c r="O53" s="268"/>
      <c r="P53" s="984"/>
      <c r="Q53" s="984"/>
      <c r="R53" s="839"/>
    </row>
    <row r="54" spans="5:18" ht="24.95" customHeight="1" x14ac:dyDescent="0.25">
      <c r="E54" s="1174"/>
      <c r="F54" s="1173"/>
      <c r="G54" s="1172"/>
      <c r="H54" s="1172"/>
      <c r="I54" s="1172"/>
      <c r="J54" s="1148"/>
      <c r="K54" s="1149"/>
      <c r="M54" s="1496" t="s">
        <v>56</v>
      </c>
      <c r="N54" s="1529" t="s">
        <v>5400</v>
      </c>
      <c r="O54" s="1499" t="s">
        <v>5401</v>
      </c>
      <c r="P54" s="1495" t="s">
        <v>5402</v>
      </c>
      <c r="Q54" s="1495" t="s">
        <v>5366</v>
      </c>
      <c r="R54" s="1495" t="s">
        <v>5362</v>
      </c>
    </row>
    <row r="55" spans="5:18" ht="24.95" customHeight="1" x14ac:dyDescent="0.25">
      <c r="E55" s="1175" t="s">
        <v>7861</v>
      </c>
      <c r="F55" s="1173" t="s">
        <v>7870</v>
      </c>
      <c r="G55" s="1177" t="s">
        <v>7869</v>
      </c>
      <c r="H55" s="1177" t="s">
        <v>7854</v>
      </c>
      <c r="I55" s="1177" t="s">
        <v>7868</v>
      </c>
      <c r="J55" s="1167" t="s">
        <v>7867</v>
      </c>
      <c r="K55" s="1166" t="s">
        <v>7857</v>
      </c>
      <c r="M55" s="1496"/>
      <c r="N55" s="1530"/>
      <c r="O55" s="1499"/>
      <c r="P55" s="1495"/>
      <c r="Q55" s="1495"/>
      <c r="R55" s="1495"/>
    </row>
    <row r="56" spans="5:18" ht="24.95" customHeight="1" x14ac:dyDescent="0.25">
      <c r="E56" s="1179"/>
      <c r="F56" s="1178"/>
      <c r="G56" s="1177"/>
      <c r="H56" s="1177"/>
      <c r="I56" s="1177"/>
      <c r="J56" s="1152"/>
      <c r="K56" s="1153"/>
      <c r="M56" s="268"/>
      <c r="N56" s="268"/>
      <c r="O56" s="268"/>
      <c r="P56" s="984"/>
      <c r="Q56" s="984"/>
      <c r="R56" s="839"/>
    </row>
    <row r="57" spans="5:18" ht="24.95" customHeight="1" x14ac:dyDescent="0.25">
      <c r="E57" s="1174"/>
      <c r="F57" s="1173"/>
      <c r="G57" s="1172"/>
      <c r="H57" s="1172"/>
      <c r="I57" s="1172"/>
      <c r="J57" s="1148"/>
      <c r="K57" s="1149"/>
      <c r="M57" s="1496" t="s">
        <v>56</v>
      </c>
      <c r="N57" s="1527" t="s">
        <v>5403</v>
      </c>
      <c r="O57" s="1499" t="s">
        <v>5404</v>
      </c>
      <c r="P57" s="1495" t="s">
        <v>5405</v>
      </c>
      <c r="Q57" s="1495" t="s">
        <v>5366</v>
      </c>
      <c r="R57" s="1495" t="s">
        <v>5362</v>
      </c>
    </row>
    <row r="58" spans="5:18" ht="24.95" customHeight="1" x14ac:dyDescent="0.25">
      <c r="E58" s="1454" t="s">
        <v>7861</v>
      </c>
      <c r="F58" s="1455" t="s">
        <v>7866</v>
      </c>
      <c r="G58" s="1474" t="s">
        <v>7865</v>
      </c>
      <c r="H58" s="1474" t="s">
        <v>7864</v>
      </c>
      <c r="I58" s="1474" t="s">
        <v>7863</v>
      </c>
      <c r="J58" s="1463" t="s">
        <v>7862</v>
      </c>
      <c r="K58" s="1468" t="s">
        <v>7857</v>
      </c>
      <c r="M58" s="1496"/>
      <c r="N58" s="1528"/>
      <c r="O58" s="1499"/>
      <c r="P58" s="1495"/>
      <c r="Q58" s="1495"/>
      <c r="R58" s="1495"/>
    </row>
    <row r="59" spans="5:18" ht="24.95" customHeight="1" x14ac:dyDescent="0.25">
      <c r="E59" s="1454"/>
      <c r="F59" s="1455"/>
      <c r="G59" s="1474"/>
      <c r="H59" s="1474"/>
      <c r="I59" s="1474"/>
      <c r="J59" s="1463"/>
      <c r="K59" s="1468"/>
      <c r="M59" s="268"/>
      <c r="N59" s="268"/>
      <c r="O59" s="268"/>
      <c r="P59" s="984"/>
      <c r="Q59" s="984"/>
      <c r="R59" s="839"/>
    </row>
    <row r="60" spans="5:18" ht="24.95" customHeight="1" x14ac:dyDescent="0.25">
      <c r="E60" s="1174"/>
      <c r="F60" s="1173"/>
      <c r="G60" s="1172"/>
      <c r="H60" s="1172"/>
      <c r="I60" s="1172"/>
      <c r="J60" s="1148"/>
      <c r="K60" s="1149"/>
      <c r="M60" s="197"/>
      <c r="N60" s="197"/>
      <c r="O60" s="197"/>
      <c r="P60" s="985"/>
      <c r="Q60" s="985"/>
      <c r="R60" s="812"/>
    </row>
    <row r="61" spans="5:18" ht="24.95" customHeight="1" x14ac:dyDescent="0.25">
      <c r="E61" s="1454" t="s">
        <v>7861</v>
      </c>
      <c r="F61" s="1455" t="s">
        <v>7860</v>
      </c>
      <c r="G61" s="1481" t="s">
        <v>7732</v>
      </c>
      <c r="H61" s="1481" t="s">
        <v>7733</v>
      </c>
      <c r="I61" s="1481" t="s">
        <v>7859</v>
      </c>
      <c r="J61" s="1463" t="s">
        <v>7858</v>
      </c>
      <c r="K61" s="1468" t="s">
        <v>7857</v>
      </c>
      <c r="M61" s="197"/>
      <c r="N61" s="197"/>
      <c r="O61" s="197"/>
      <c r="P61" s="197"/>
      <c r="Q61" s="197"/>
      <c r="R61" s="812"/>
    </row>
    <row r="62" spans="5:18" ht="24.95" customHeight="1" x14ac:dyDescent="0.25">
      <c r="E62" s="1454"/>
      <c r="F62" s="1455"/>
      <c r="G62" s="1481"/>
      <c r="H62" s="1481"/>
      <c r="I62" s="1481"/>
      <c r="J62" s="1463"/>
      <c r="K62" s="1468"/>
      <c r="M62" s="813" t="s">
        <v>5406</v>
      </c>
      <c r="N62" s="1533" t="s">
        <v>5407</v>
      </c>
      <c r="O62" s="1533"/>
      <c r="P62" s="821" t="s">
        <v>5345</v>
      </c>
      <c r="Q62" s="813"/>
      <c r="R62" s="813"/>
    </row>
    <row r="63" spans="5:18" ht="24.95" customHeight="1" x14ac:dyDescent="0.25">
      <c r="E63" s="1174"/>
      <c r="F63" s="1173"/>
      <c r="G63" s="1172"/>
      <c r="H63" s="1172"/>
      <c r="I63" s="1172"/>
      <c r="J63" s="1148"/>
      <c r="K63" s="1149"/>
      <c r="M63" s="1531" t="s">
        <v>5408</v>
      </c>
      <c r="N63" s="1532" t="s">
        <v>5409</v>
      </c>
      <c r="O63" s="1532"/>
      <c r="P63" s="271" t="s">
        <v>5017</v>
      </c>
      <c r="Q63" s="812"/>
      <c r="R63" s="812"/>
    </row>
    <row r="64" spans="5:18" ht="24.95" customHeight="1" x14ac:dyDescent="0.25">
      <c r="E64" s="1454" t="s">
        <v>7842</v>
      </c>
      <c r="F64" s="1455" t="s">
        <v>7856</v>
      </c>
      <c r="G64" s="1484" t="s">
        <v>7855</v>
      </c>
      <c r="H64" s="1484" t="s">
        <v>7854</v>
      </c>
      <c r="I64" s="1484" t="s">
        <v>7853</v>
      </c>
      <c r="J64" s="1463" t="s">
        <v>7852</v>
      </c>
      <c r="K64" s="1468" t="s">
        <v>7843</v>
      </c>
      <c r="M64" s="1531"/>
      <c r="N64" s="1532"/>
      <c r="O64" s="1532"/>
      <c r="P64" s="271"/>
      <c r="Q64" s="812"/>
      <c r="R64" s="812"/>
    </row>
    <row r="65" spans="5:18" ht="24.95" customHeight="1" x14ac:dyDescent="0.25">
      <c r="E65" s="1454"/>
      <c r="F65" s="1455"/>
      <c r="G65" s="1484"/>
      <c r="H65" s="1484"/>
      <c r="I65" s="1484"/>
      <c r="J65" s="1463"/>
      <c r="K65" s="1468"/>
      <c r="M65" s="1531" t="s">
        <v>5410</v>
      </c>
      <c r="N65" s="1532" t="s">
        <v>5411</v>
      </c>
      <c r="O65" s="1532"/>
      <c r="P65" s="271" t="s">
        <v>5362</v>
      </c>
      <c r="Q65" s="812"/>
      <c r="R65" s="812"/>
    </row>
    <row r="66" spans="5:18" ht="24.95" customHeight="1" x14ac:dyDescent="0.25">
      <c r="E66" s="1174"/>
      <c r="F66" s="1173"/>
      <c r="G66" s="1172"/>
      <c r="H66" s="1172"/>
      <c r="I66" s="1172"/>
      <c r="J66" s="1148"/>
      <c r="K66" s="1149"/>
      <c r="M66" s="1531"/>
      <c r="N66" s="1532"/>
      <c r="O66" s="1532"/>
      <c r="P66" s="271"/>
      <c r="Q66" s="812"/>
      <c r="R66" s="812"/>
    </row>
    <row r="67" spans="5:18" ht="24.95" customHeight="1" x14ac:dyDescent="0.25">
      <c r="E67" s="1454" t="s">
        <v>7842</v>
      </c>
      <c r="F67" s="1455" t="s">
        <v>7851</v>
      </c>
      <c r="G67" s="1472" t="s">
        <v>7850</v>
      </c>
      <c r="H67" s="1472" t="s">
        <v>7747</v>
      </c>
      <c r="I67" s="1472" t="s">
        <v>7849</v>
      </c>
      <c r="J67" s="1463" t="s">
        <v>7848</v>
      </c>
      <c r="K67" s="1468" t="s">
        <v>7843</v>
      </c>
      <c r="M67" s="1531" t="s">
        <v>5412</v>
      </c>
      <c r="N67" s="1532" t="s">
        <v>5413</v>
      </c>
      <c r="O67" s="1532"/>
      <c r="P67" s="271" t="s">
        <v>5414</v>
      </c>
      <c r="Q67" s="812"/>
      <c r="R67" s="812"/>
    </row>
    <row r="68" spans="5:18" ht="24.95" customHeight="1" x14ac:dyDescent="0.25">
      <c r="E68" s="1454"/>
      <c r="F68" s="1455"/>
      <c r="G68" s="1472"/>
      <c r="H68" s="1472"/>
      <c r="I68" s="1472"/>
      <c r="J68" s="1463"/>
      <c r="K68" s="1468"/>
      <c r="M68" s="1531"/>
      <c r="N68" s="1532"/>
      <c r="O68" s="1532"/>
      <c r="P68" s="271"/>
      <c r="Q68" s="812"/>
      <c r="R68" s="812"/>
    </row>
    <row r="69" spans="5:18" ht="24.95" customHeight="1" x14ac:dyDescent="0.25">
      <c r="E69" s="1174"/>
      <c r="F69" s="1173"/>
      <c r="G69" s="1172"/>
      <c r="H69" s="1172"/>
      <c r="I69" s="1172"/>
      <c r="J69" s="1148"/>
      <c r="K69" s="1149"/>
      <c r="M69" s="1531" t="s">
        <v>5415</v>
      </c>
      <c r="N69" s="1532" t="s">
        <v>5416</v>
      </c>
      <c r="O69" s="1532"/>
      <c r="P69" s="271" t="s">
        <v>5354</v>
      </c>
      <c r="Q69" s="812"/>
      <c r="R69" s="812"/>
    </row>
    <row r="70" spans="5:18" ht="24.95" customHeight="1" x14ac:dyDescent="0.25">
      <c r="E70" s="1454" t="s">
        <v>7842</v>
      </c>
      <c r="F70" s="1455" t="s">
        <v>7847</v>
      </c>
      <c r="G70" s="1483" t="s">
        <v>7846</v>
      </c>
      <c r="H70" s="1483" t="s">
        <v>7845</v>
      </c>
      <c r="I70" s="1483" t="s">
        <v>7844</v>
      </c>
      <c r="J70" s="1463" t="s">
        <v>5387</v>
      </c>
      <c r="K70" s="1468" t="s">
        <v>7843</v>
      </c>
      <c r="M70" s="1531"/>
      <c r="N70" s="1532"/>
      <c r="O70" s="1532"/>
      <c r="P70" s="271"/>
      <c r="Q70" s="812"/>
      <c r="R70" s="812"/>
    </row>
    <row r="71" spans="5:18" ht="24.95" customHeight="1" x14ac:dyDescent="0.25">
      <c r="E71" s="1454"/>
      <c r="F71" s="1455"/>
      <c r="G71" s="1483"/>
      <c r="H71" s="1483"/>
      <c r="I71" s="1483"/>
      <c r="J71" s="1463"/>
      <c r="K71" s="1468"/>
      <c r="M71" s="1531" t="s">
        <v>5417</v>
      </c>
      <c r="N71" s="1532" t="s">
        <v>5418</v>
      </c>
      <c r="O71" s="1532"/>
      <c r="P71" s="271" t="s">
        <v>5016</v>
      </c>
      <c r="Q71" s="812"/>
      <c r="R71" s="812"/>
    </row>
    <row r="72" spans="5:18" ht="24.95" customHeight="1" x14ac:dyDescent="0.25">
      <c r="E72" s="1174"/>
      <c r="F72" s="1173"/>
      <c r="G72" s="1172"/>
      <c r="H72" s="1172"/>
      <c r="I72" s="1172"/>
      <c r="J72" s="1148"/>
      <c r="K72" s="1149"/>
      <c r="M72" s="1531"/>
      <c r="N72" s="1532"/>
      <c r="O72" s="1532"/>
      <c r="P72" s="812"/>
      <c r="Q72" s="812"/>
      <c r="R72" s="812"/>
    </row>
    <row r="73" spans="5:18" ht="24.95" customHeight="1" x14ac:dyDescent="0.25">
      <c r="E73" s="1454" t="s">
        <v>7842</v>
      </c>
      <c r="F73" s="1455" t="s">
        <v>7838</v>
      </c>
      <c r="G73" s="1485" t="s">
        <v>7841</v>
      </c>
      <c r="H73" s="1485" t="s">
        <v>7840</v>
      </c>
      <c r="I73" s="1485" t="s">
        <v>7839</v>
      </c>
      <c r="J73" s="1463" t="s">
        <v>7838</v>
      </c>
      <c r="K73" s="1468" t="s">
        <v>7837</v>
      </c>
    </row>
    <row r="74" spans="5:18" ht="24.95" customHeight="1" x14ac:dyDescent="0.25">
      <c r="E74" s="1454"/>
      <c r="F74" s="1455"/>
      <c r="G74" s="1485"/>
      <c r="H74" s="1485"/>
      <c r="I74" s="1485"/>
      <c r="J74" s="1463"/>
      <c r="K74" s="1468"/>
    </row>
    <row r="75" spans="5:18" ht="24.95" customHeight="1" x14ac:dyDescent="0.25">
      <c r="E75" s="1174"/>
      <c r="F75" s="1173"/>
      <c r="G75" s="1172"/>
      <c r="H75" s="1172"/>
      <c r="I75" s="1172"/>
      <c r="J75" s="1148"/>
      <c r="K75" s="1149"/>
    </row>
    <row r="76" spans="5:18" ht="24.95" customHeight="1" x14ac:dyDescent="0.25">
      <c r="E76" s="1454" t="s">
        <v>7816</v>
      </c>
      <c r="F76" s="1455" t="s">
        <v>5394</v>
      </c>
      <c r="G76" s="1467" t="s">
        <v>7836</v>
      </c>
      <c r="H76" s="1467" t="s">
        <v>7796</v>
      </c>
      <c r="I76" s="1467" t="s">
        <v>7835</v>
      </c>
      <c r="J76" s="1463" t="s">
        <v>7834</v>
      </c>
      <c r="K76" s="1468" t="s">
        <v>7833</v>
      </c>
    </row>
    <row r="77" spans="5:18" ht="24.95" customHeight="1" x14ac:dyDescent="0.25">
      <c r="E77" s="1454"/>
      <c r="F77" s="1455"/>
      <c r="G77" s="1467"/>
      <c r="H77" s="1467"/>
      <c r="I77" s="1467"/>
      <c r="J77" s="1463"/>
      <c r="K77" s="1468"/>
    </row>
    <row r="78" spans="5:18" ht="24.95" customHeight="1" x14ac:dyDescent="0.25">
      <c r="E78" s="1174"/>
      <c r="F78" s="1173"/>
      <c r="G78" s="1172"/>
      <c r="H78" s="1172"/>
      <c r="I78" s="1172"/>
      <c r="J78" s="1148"/>
      <c r="K78" s="1149"/>
    </row>
    <row r="79" spans="5:18" ht="24.95" customHeight="1" x14ac:dyDescent="0.25">
      <c r="E79" s="1454" t="s">
        <v>7816</v>
      </c>
      <c r="F79" s="1455" t="s">
        <v>5474</v>
      </c>
      <c r="G79" s="1469" t="s">
        <v>7832</v>
      </c>
      <c r="H79" s="1469" t="s">
        <v>7791</v>
      </c>
      <c r="I79" s="1469" t="s">
        <v>7831</v>
      </c>
      <c r="J79" s="1463" t="s">
        <v>7830</v>
      </c>
      <c r="K79" s="1468" t="s">
        <v>7810</v>
      </c>
    </row>
    <row r="80" spans="5:18" ht="24.95" customHeight="1" x14ac:dyDescent="0.25">
      <c r="E80" s="1454"/>
      <c r="F80" s="1455"/>
      <c r="G80" s="1469"/>
      <c r="H80" s="1469"/>
      <c r="I80" s="1469"/>
      <c r="J80" s="1463"/>
      <c r="K80" s="1468"/>
    </row>
    <row r="81" spans="5:11" ht="24.95" customHeight="1" x14ac:dyDescent="0.25">
      <c r="E81" s="1174"/>
      <c r="F81" s="1173"/>
      <c r="G81" s="1172"/>
      <c r="H81" s="1172"/>
      <c r="I81" s="1172"/>
      <c r="J81" s="1148"/>
      <c r="K81" s="1149"/>
    </row>
    <row r="82" spans="5:11" ht="24.95" customHeight="1" x14ac:dyDescent="0.25">
      <c r="E82" s="1454" t="s">
        <v>7816</v>
      </c>
      <c r="F82" s="1455" t="s">
        <v>7829</v>
      </c>
      <c r="G82" s="1486" t="s">
        <v>7828</v>
      </c>
      <c r="H82" s="1486" t="s">
        <v>7827</v>
      </c>
      <c r="I82" s="1486" t="s">
        <v>7826</v>
      </c>
      <c r="J82" s="1463" t="s">
        <v>7825</v>
      </c>
      <c r="K82" s="1468" t="s">
        <v>7810</v>
      </c>
    </row>
    <row r="83" spans="5:11" ht="24.95" customHeight="1" x14ac:dyDescent="0.25">
      <c r="E83" s="1454"/>
      <c r="F83" s="1455"/>
      <c r="G83" s="1486"/>
      <c r="H83" s="1486"/>
      <c r="I83" s="1486"/>
      <c r="J83" s="1463"/>
      <c r="K83" s="1468"/>
    </row>
    <row r="84" spans="5:11" ht="24.95" customHeight="1" x14ac:dyDescent="0.25">
      <c r="E84" s="1174"/>
      <c r="F84" s="1173"/>
      <c r="G84" s="1172"/>
      <c r="H84" s="1172"/>
      <c r="I84" s="1172"/>
      <c r="J84" s="1148"/>
      <c r="K84" s="1149"/>
    </row>
    <row r="85" spans="5:11" ht="24.95" customHeight="1" x14ac:dyDescent="0.25">
      <c r="E85" s="1454" t="s">
        <v>7816</v>
      </c>
      <c r="F85" s="1455" t="s">
        <v>7824</v>
      </c>
      <c r="G85" s="1481" t="s">
        <v>7823</v>
      </c>
      <c r="H85" s="1481" t="s">
        <v>7733</v>
      </c>
      <c r="I85" s="1481" t="s">
        <v>7822</v>
      </c>
      <c r="J85" s="1463" t="s">
        <v>7822</v>
      </c>
      <c r="K85" s="1468" t="s">
        <v>7810</v>
      </c>
    </row>
    <row r="86" spans="5:11" ht="24.95" customHeight="1" x14ac:dyDescent="0.25">
      <c r="E86" s="1454"/>
      <c r="F86" s="1455"/>
      <c r="G86" s="1481"/>
      <c r="H86" s="1481"/>
      <c r="I86" s="1481"/>
      <c r="J86" s="1463"/>
      <c r="K86" s="1468"/>
    </row>
    <row r="87" spans="5:11" ht="24.95" customHeight="1" x14ac:dyDescent="0.25">
      <c r="E87" s="1174"/>
      <c r="F87" s="1173"/>
      <c r="G87" s="1172"/>
      <c r="H87" s="1172"/>
      <c r="I87" s="1172"/>
      <c r="J87" s="1148"/>
      <c r="K87" s="1149"/>
    </row>
    <row r="88" spans="5:11" ht="24.95" customHeight="1" x14ac:dyDescent="0.25">
      <c r="E88" s="1454" t="s">
        <v>7816</v>
      </c>
      <c r="F88" s="1455" t="s">
        <v>7821</v>
      </c>
      <c r="G88" s="1480" t="s">
        <v>7820</v>
      </c>
      <c r="H88" s="1480" t="s">
        <v>7819</v>
      </c>
      <c r="I88" s="1480" t="s">
        <v>7818</v>
      </c>
      <c r="J88" s="1463" t="s">
        <v>7817</v>
      </c>
      <c r="K88" s="1468" t="s">
        <v>7810</v>
      </c>
    </row>
    <row r="89" spans="5:11" ht="24.95" customHeight="1" x14ac:dyDescent="0.25">
      <c r="E89" s="1454"/>
      <c r="F89" s="1455"/>
      <c r="G89" s="1480"/>
      <c r="H89" s="1480"/>
      <c r="I89" s="1480"/>
      <c r="J89" s="1463"/>
      <c r="K89" s="1468"/>
    </row>
    <row r="90" spans="5:11" ht="24.95" customHeight="1" x14ac:dyDescent="0.25">
      <c r="E90" s="1174"/>
      <c r="F90" s="1173"/>
      <c r="G90" s="1172"/>
      <c r="H90" s="1172"/>
      <c r="I90" s="1172"/>
      <c r="J90" s="1148"/>
      <c r="K90" s="1149"/>
    </row>
    <row r="91" spans="5:11" ht="24.95" customHeight="1" x14ac:dyDescent="0.25">
      <c r="E91" s="1454" t="s">
        <v>7816</v>
      </c>
      <c r="F91" s="1455" t="s">
        <v>7815</v>
      </c>
      <c r="G91" s="1487" t="s">
        <v>7814</v>
      </c>
      <c r="H91" s="1487" t="s">
        <v>7813</v>
      </c>
      <c r="I91" s="1487" t="s">
        <v>7812</v>
      </c>
      <c r="J91" s="1463" t="s">
        <v>7811</v>
      </c>
      <c r="K91" s="1468" t="s">
        <v>7810</v>
      </c>
    </row>
    <row r="92" spans="5:11" ht="24.95" customHeight="1" x14ac:dyDescent="0.25">
      <c r="E92" s="1454"/>
      <c r="F92" s="1455"/>
      <c r="G92" s="1487"/>
      <c r="H92" s="1487"/>
      <c r="I92" s="1487"/>
      <c r="J92" s="1463"/>
      <c r="K92" s="1468"/>
    </row>
    <row r="93" spans="5:11" ht="24.95" customHeight="1" x14ac:dyDescent="0.25">
      <c r="E93" s="1174"/>
      <c r="F93" s="1173"/>
      <c r="G93" s="1172"/>
      <c r="H93" s="1172"/>
      <c r="I93" s="1172"/>
      <c r="J93" s="1148"/>
      <c r="K93" s="1149"/>
    </row>
    <row r="94" spans="5:11" ht="24.95" customHeight="1" x14ac:dyDescent="0.25">
      <c r="E94" s="1454" t="s">
        <v>7809</v>
      </c>
      <c r="F94" s="1455" t="s">
        <v>7808</v>
      </c>
      <c r="G94" s="1490" t="s">
        <v>7807</v>
      </c>
      <c r="H94" s="1490" t="s">
        <v>7806</v>
      </c>
      <c r="I94" s="1490" t="s">
        <v>7805</v>
      </c>
      <c r="J94" s="1463" t="s">
        <v>7804</v>
      </c>
      <c r="K94" s="1468" t="s">
        <v>7803</v>
      </c>
    </row>
    <row r="95" spans="5:11" ht="24.95" customHeight="1" x14ac:dyDescent="0.25">
      <c r="E95" s="1454"/>
      <c r="F95" s="1455"/>
      <c r="G95" s="1490"/>
      <c r="H95" s="1490"/>
      <c r="I95" s="1490"/>
      <c r="J95" s="1463"/>
      <c r="K95" s="1468"/>
    </row>
    <row r="96" spans="5:11" ht="24.95" customHeight="1" x14ac:dyDescent="0.25">
      <c r="E96" s="1174"/>
      <c r="F96" s="1173"/>
      <c r="G96" s="1172"/>
      <c r="H96" s="1172"/>
      <c r="I96" s="1172"/>
      <c r="J96" s="1148"/>
      <c r="K96" s="1149"/>
    </row>
    <row r="97" spans="5:11" ht="24.95" customHeight="1" x14ac:dyDescent="0.25">
      <c r="E97" s="1171"/>
      <c r="F97" s="1159"/>
      <c r="G97" s="1159"/>
      <c r="H97" s="1159"/>
      <c r="I97" s="1159"/>
      <c r="J97" s="1159"/>
      <c r="K97" s="1160"/>
    </row>
    <row r="98" spans="5:11" ht="24.95" customHeight="1" x14ac:dyDescent="0.25"/>
    <row r="99" spans="5:11" ht="24.95" customHeight="1" x14ac:dyDescent="0.25">
      <c r="E99" s="1457" t="s">
        <v>7802</v>
      </c>
      <c r="F99" s="1458"/>
      <c r="G99" s="1458"/>
      <c r="H99" s="1458"/>
      <c r="I99" s="1458"/>
      <c r="J99" s="1458"/>
      <c r="K99" s="1459"/>
    </row>
    <row r="100" spans="5:11" ht="24.95" customHeight="1" x14ac:dyDescent="0.25">
      <c r="E100" s="1170" t="s">
        <v>7447</v>
      </c>
      <c r="F100" s="1169" t="s">
        <v>7712</v>
      </c>
      <c r="G100" s="1169" t="s">
        <v>7801</v>
      </c>
      <c r="H100" s="1169" t="s">
        <v>7714</v>
      </c>
      <c r="I100" s="1169" t="s">
        <v>7800</v>
      </c>
      <c r="J100" s="1169" t="s">
        <v>7799</v>
      </c>
      <c r="K100" s="1168"/>
    </row>
    <row r="101" spans="5:11" ht="24.95" customHeight="1" x14ac:dyDescent="0.25">
      <c r="E101" s="1488" t="s">
        <v>7348</v>
      </c>
      <c r="F101" s="1489" t="s">
        <v>7798</v>
      </c>
      <c r="G101" s="1489" t="s">
        <v>7797</v>
      </c>
      <c r="H101" s="1489" t="s">
        <v>7796</v>
      </c>
      <c r="I101" s="1463" t="s">
        <v>7795</v>
      </c>
      <c r="J101" s="1463"/>
      <c r="K101" s="1460" t="s">
        <v>7794</v>
      </c>
    </row>
    <row r="102" spans="5:11" ht="24.95" customHeight="1" x14ac:dyDescent="0.25">
      <c r="E102" s="1488"/>
      <c r="F102" s="1489"/>
      <c r="G102" s="1489"/>
      <c r="H102" s="1489"/>
      <c r="I102" s="1463"/>
      <c r="J102" s="1463"/>
      <c r="K102" s="1460"/>
    </row>
    <row r="103" spans="5:11" ht="24.95" customHeight="1" x14ac:dyDescent="0.25">
      <c r="E103" s="1165"/>
      <c r="F103" s="1164"/>
      <c r="G103" s="1164"/>
      <c r="H103" s="1163"/>
      <c r="I103" s="1148"/>
      <c r="J103" s="1148"/>
      <c r="K103" s="1149"/>
    </row>
    <row r="104" spans="5:11" ht="24.95" customHeight="1" x14ac:dyDescent="0.25">
      <c r="E104" s="1478" t="s">
        <v>7349</v>
      </c>
      <c r="F104" s="1479" t="s">
        <v>7793</v>
      </c>
      <c r="G104" s="1479" t="s">
        <v>7792</v>
      </c>
      <c r="H104" s="1479" t="s">
        <v>7791</v>
      </c>
      <c r="I104" s="1463" t="s">
        <v>7767</v>
      </c>
      <c r="J104" s="1463"/>
      <c r="K104" s="1460" t="s">
        <v>7790</v>
      </c>
    </row>
    <row r="105" spans="5:11" ht="24.95" customHeight="1" x14ac:dyDescent="0.25">
      <c r="E105" s="1478"/>
      <c r="F105" s="1479"/>
      <c r="G105" s="1479"/>
      <c r="H105" s="1479"/>
      <c r="I105" s="1463"/>
      <c r="J105" s="1463"/>
      <c r="K105" s="1460"/>
    </row>
    <row r="106" spans="5:11" ht="24.95" customHeight="1" x14ac:dyDescent="0.25">
      <c r="E106" s="1165"/>
      <c r="F106" s="1164"/>
      <c r="G106" s="1164"/>
      <c r="H106" s="1163"/>
      <c r="I106" s="1148"/>
      <c r="J106" s="1148"/>
      <c r="K106" s="1149"/>
    </row>
    <row r="107" spans="5:11" ht="24.95" customHeight="1" x14ac:dyDescent="0.25">
      <c r="E107" s="1508" t="s">
        <v>7789</v>
      </c>
      <c r="F107" s="1491" t="s">
        <v>7788</v>
      </c>
      <c r="G107" s="1491" t="s">
        <v>7787</v>
      </c>
      <c r="H107" s="1491" t="s">
        <v>7786</v>
      </c>
      <c r="I107" s="1463" t="s">
        <v>7767</v>
      </c>
      <c r="J107" s="1463"/>
      <c r="K107" s="1460" t="s">
        <v>7785</v>
      </c>
    </row>
    <row r="108" spans="5:11" ht="24.95" customHeight="1" x14ac:dyDescent="0.25">
      <c r="E108" s="1508"/>
      <c r="F108" s="1491"/>
      <c r="G108" s="1491"/>
      <c r="H108" s="1491"/>
      <c r="I108" s="1463"/>
      <c r="J108" s="1463"/>
      <c r="K108" s="1460"/>
    </row>
    <row r="109" spans="5:11" ht="24.95" customHeight="1" x14ac:dyDescent="0.25">
      <c r="E109" s="1165"/>
      <c r="F109" s="1164"/>
      <c r="G109" s="1164"/>
      <c r="H109" s="1163"/>
      <c r="I109" s="1148"/>
      <c r="J109" s="1148"/>
      <c r="K109" s="1149"/>
    </row>
    <row r="110" spans="5:11" ht="24.95" customHeight="1" x14ac:dyDescent="0.25">
      <c r="E110" s="1464" t="s">
        <v>7346</v>
      </c>
      <c r="F110" s="1465" t="s">
        <v>7784</v>
      </c>
      <c r="G110" s="1466" t="s">
        <v>7783</v>
      </c>
      <c r="H110" s="1466" t="s">
        <v>7782</v>
      </c>
      <c r="I110" s="1463" t="s">
        <v>7767</v>
      </c>
      <c r="J110" s="1463"/>
      <c r="K110" s="1460" t="s">
        <v>7781</v>
      </c>
    </row>
    <row r="111" spans="5:11" ht="24.95" customHeight="1" x14ac:dyDescent="0.25">
      <c r="E111" s="1464"/>
      <c r="F111" s="1465"/>
      <c r="G111" s="1466"/>
      <c r="H111" s="1466"/>
      <c r="I111" s="1463"/>
      <c r="J111" s="1463"/>
      <c r="K111" s="1460"/>
    </row>
    <row r="112" spans="5:11" ht="24.95" customHeight="1" x14ac:dyDescent="0.25">
      <c r="E112" s="1165"/>
      <c r="F112" s="1164"/>
      <c r="G112" s="1164"/>
      <c r="H112" s="1163"/>
      <c r="I112" s="1148"/>
      <c r="J112" s="1148"/>
      <c r="K112" s="1149"/>
    </row>
    <row r="113" spans="5:11" ht="24.95" customHeight="1" x14ac:dyDescent="0.25">
      <c r="E113" s="1506" t="s">
        <v>7780</v>
      </c>
      <c r="F113" s="1507" t="s">
        <v>521</v>
      </c>
      <c r="G113" s="1507" t="s">
        <v>7779</v>
      </c>
      <c r="H113" s="1507" t="s">
        <v>7747</v>
      </c>
      <c r="I113" s="1463" t="s">
        <v>7767</v>
      </c>
      <c r="J113" s="1463"/>
      <c r="K113" s="1460" t="s">
        <v>7778</v>
      </c>
    </row>
    <row r="114" spans="5:11" ht="24.95" customHeight="1" x14ac:dyDescent="0.25">
      <c r="E114" s="1506"/>
      <c r="F114" s="1507"/>
      <c r="G114" s="1507"/>
      <c r="H114" s="1507"/>
      <c r="I114" s="1463"/>
      <c r="J114" s="1463"/>
      <c r="K114" s="1460"/>
    </row>
    <row r="115" spans="5:11" ht="24.95" customHeight="1" x14ac:dyDescent="0.25">
      <c r="E115" s="1165"/>
      <c r="F115" s="1164"/>
      <c r="G115" s="1164"/>
      <c r="H115" s="1163"/>
      <c r="I115" s="1148"/>
      <c r="J115" s="1148"/>
      <c r="K115" s="1149"/>
    </row>
    <row r="116" spans="5:11" ht="24.95" customHeight="1" x14ac:dyDescent="0.25">
      <c r="E116" s="1476" t="s">
        <v>7345</v>
      </c>
      <c r="F116" s="1477" t="s">
        <v>7777</v>
      </c>
      <c r="G116" s="1477" t="s">
        <v>7776</v>
      </c>
      <c r="H116" s="1477" t="s">
        <v>7726</v>
      </c>
      <c r="I116" s="1463" t="s">
        <v>7767</v>
      </c>
      <c r="J116" s="1463"/>
      <c r="K116" s="1460" t="s">
        <v>7775</v>
      </c>
    </row>
    <row r="117" spans="5:11" ht="24.95" customHeight="1" x14ac:dyDescent="0.25">
      <c r="E117" s="1476"/>
      <c r="F117" s="1477"/>
      <c r="G117" s="1477"/>
      <c r="H117" s="1477"/>
      <c r="I117" s="1463"/>
      <c r="J117" s="1463"/>
      <c r="K117" s="1460"/>
    </row>
    <row r="118" spans="5:11" ht="24.95" customHeight="1" x14ac:dyDescent="0.25">
      <c r="E118" s="1165"/>
      <c r="F118" s="1164"/>
      <c r="G118" s="1164"/>
      <c r="H118" s="1163"/>
      <c r="I118" s="1148"/>
      <c r="J118" s="1148"/>
      <c r="K118" s="1149"/>
    </row>
    <row r="119" spans="5:11" ht="24.95" customHeight="1" x14ac:dyDescent="0.25">
      <c r="E119" s="1461" t="s">
        <v>7774</v>
      </c>
      <c r="F119" s="1462" t="s">
        <v>7773</v>
      </c>
      <c r="G119" s="1462" t="s">
        <v>7764</v>
      </c>
      <c r="H119" s="1462" t="s">
        <v>7763</v>
      </c>
      <c r="I119" s="1463" t="s">
        <v>7767</v>
      </c>
      <c r="J119" s="1463"/>
      <c r="K119" s="1460" t="s">
        <v>7772</v>
      </c>
    </row>
    <row r="120" spans="5:11" ht="24.95" customHeight="1" x14ac:dyDescent="0.25">
      <c r="E120" s="1461"/>
      <c r="F120" s="1462"/>
      <c r="G120" s="1462"/>
      <c r="H120" s="1462"/>
      <c r="I120" s="1463"/>
      <c r="J120" s="1463"/>
      <c r="K120" s="1460"/>
    </row>
    <row r="121" spans="5:11" ht="24.95" customHeight="1" x14ac:dyDescent="0.25">
      <c r="E121" s="1165"/>
      <c r="F121" s="1164"/>
      <c r="G121" s="1164"/>
      <c r="H121" s="1163"/>
      <c r="I121" s="1148"/>
      <c r="J121" s="1148"/>
      <c r="K121" s="1149"/>
    </row>
    <row r="122" spans="5:11" ht="24.95" customHeight="1" x14ac:dyDescent="0.25">
      <c r="E122" s="1504" t="s">
        <v>7771</v>
      </c>
      <c r="F122" s="1505" t="s">
        <v>7770</v>
      </c>
      <c r="G122" s="1505" t="s">
        <v>7769</v>
      </c>
      <c r="H122" s="1505" t="s">
        <v>7768</v>
      </c>
      <c r="I122" s="1463" t="s">
        <v>7767</v>
      </c>
      <c r="J122" s="1463"/>
      <c r="K122" s="1460" t="s">
        <v>7766</v>
      </c>
    </row>
    <row r="123" spans="5:11" ht="24.95" customHeight="1" x14ac:dyDescent="0.25">
      <c r="E123" s="1504"/>
      <c r="F123" s="1505"/>
      <c r="G123" s="1505"/>
      <c r="H123" s="1505"/>
      <c r="I123" s="1463"/>
      <c r="J123" s="1463"/>
      <c r="K123" s="1460"/>
    </row>
    <row r="124" spans="5:11" ht="24.95" customHeight="1" x14ac:dyDescent="0.25">
      <c r="E124" s="1165"/>
      <c r="F124" s="1164"/>
      <c r="G124" s="1164"/>
      <c r="H124" s="1163"/>
      <c r="I124" s="1148"/>
      <c r="J124" s="1148"/>
      <c r="K124" s="1149"/>
    </row>
    <row r="125" spans="5:11" ht="24.95" customHeight="1" x14ac:dyDescent="0.25">
      <c r="E125" s="1461" t="s">
        <v>7765</v>
      </c>
      <c r="F125" s="1462" t="s">
        <v>7103</v>
      </c>
      <c r="G125" s="1462" t="s">
        <v>7764</v>
      </c>
      <c r="H125" s="1462" t="s">
        <v>7763</v>
      </c>
      <c r="I125" s="1463" t="s">
        <v>7762</v>
      </c>
      <c r="J125" s="1463"/>
      <c r="K125" s="1468" t="s">
        <v>7761</v>
      </c>
    </row>
    <row r="126" spans="5:11" ht="24.95" customHeight="1" x14ac:dyDescent="0.25">
      <c r="E126" s="1461"/>
      <c r="F126" s="1462"/>
      <c r="G126" s="1462"/>
      <c r="H126" s="1462"/>
      <c r="I126" s="1463"/>
      <c r="J126" s="1463"/>
      <c r="K126" s="1468"/>
    </row>
    <row r="127" spans="5:11" ht="24.95" customHeight="1" x14ac:dyDescent="0.25">
      <c r="E127" s="1165"/>
      <c r="F127" s="1164"/>
      <c r="G127" s="1164"/>
      <c r="H127" s="1163"/>
      <c r="I127" s="1148"/>
      <c r="J127" s="1148"/>
      <c r="K127" s="1149"/>
    </row>
    <row r="128" spans="5:11" ht="24.95" customHeight="1" x14ac:dyDescent="0.25">
      <c r="E128" s="1158"/>
      <c r="F128" s="1162"/>
      <c r="G128" s="1162"/>
      <c r="H128" s="1162"/>
      <c r="I128" s="1162"/>
      <c r="J128" s="1162"/>
      <c r="K128" s="1161"/>
    </row>
    <row r="129" spans="1:18" ht="24.95" customHeight="1" x14ac:dyDescent="0.25"/>
    <row r="130" spans="1:18" s="196" customFormat="1" ht="24.95" customHeight="1" x14ac:dyDescent="0.25">
      <c r="A130" s="213"/>
      <c r="B130" s="213"/>
      <c r="C130" s="213"/>
      <c r="D130" s="213"/>
      <c r="E130" s="809"/>
      <c r="F130" s="809"/>
      <c r="G130" s="809"/>
      <c r="H130" s="809"/>
      <c r="I130" s="809"/>
      <c r="M130" s="213"/>
      <c r="N130" s="213"/>
      <c r="O130" s="213"/>
      <c r="P130" s="213"/>
      <c r="Q130" s="213"/>
      <c r="R130" s="213"/>
    </row>
    <row r="131" spans="1:18" s="196" customFormat="1" ht="24.95" customHeight="1" x14ac:dyDescent="0.25">
      <c r="A131" s="213"/>
      <c r="B131" s="213"/>
      <c r="C131" s="213"/>
      <c r="D131" s="213"/>
      <c r="E131" s="1139"/>
      <c r="F131" s="1140" t="s">
        <v>7712</v>
      </c>
      <c r="G131" s="1141" t="s">
        <v>7713</v>
      </c>
      <c r="H131" s="1141" t="s">
        <v>7714</v>
      </c>
      <c r="I131" s="1141" t="s">
        <v>7715</v>
      </c>
      <c r="J131" s="1141" t="s">
        <v>7716</v>
      </c>
      <c r="K131" s="1142" t="s">
        <v>5258</v>
      </c>
      <c r="M131" s="213"/>
      <c r="N131" s="213"/>
      <c r="O131" s="213"/>
      <c r="P131" s="213"/>
      <c r="Q131" s="213"/>
      <c r="R131" s="213"/>
    </row>
    <row r="132" spans="1:18" s="196" customFormat="1" ht="24.95" customHeight="1" x14ac:dyDescent="0.25">
      <c r="A132" s="213"/>
      <c r="B132" s="213"/>
      <c r="C132" s="213"/>
      <c r="D132" s="213"/>
      <c r="E132" s="1145"/>
      <c r="F132" s="1146" t="s">
        <v>4894</v>
      </c>
      <c r="G132" s="1147" t="s">
        <v>7718</v>
      </c>
      <c r="H132" s="1147" t="s">
        <v>7719</v>
      </c>
      <c r="I132" s="1148" t="s">
        <v>7720</v>
      </c>
      <c r="J132" s="1148" t="s">
        <v>7721</v>
      </c>
      <c r="K132" s="1149" t="s">
        <v>7722</v>
      </c>
      <c r="M132" s="213"/>
      <c r="N132" s="213"/>
      <c r="O132" s="213"/>
      <c r="P132" s="213"/>
      <c r="Q132" s="213"/>
      <c r="R132" s="213"/>
    </row>
    <row r="133" spans="1:18" s="196" customFormat="1" ht="24.95" customHeight="1" x14ac:dyDescent="0.25">
      <c r="A133" s="213"/>
      <c r="B133" s="213"/>
      <c r="C133" s="213"/>
      <c r="D133" s="213"/>
      <c r="E133" s="1145"/>
      <c r="F133" s="1150" t="s">
        <v>6860</v>
      </c>
      <c r="G133" s="1151" t="s">
        <v>7725</v>
      </c>
      <c r="H133" s="1151" t="s">
        <v>7726</v>
      </c>
      <c r="I133" s="1152" t="s">
        <v>7720</v>
      </c>
      <c r="J133" s="1152" t="s">
        <v>7727</v>
      </c>
      <c r="K133" s="1153" t="s">
        <v>7728</v>
      </c>
      <c r="M133" s="213"/>
      <c r="N133" s="213"/>
      <c r="O133" s="213"/>
      <c r="P133" s="213"/>
      <c r="Q133" s="213"/>
      <c r="R133" s="213"/>
    </row>
    <row r="134" spans="1:18" s="196" customFormat="1" ht="24.95" customHeight="1" x14ac:dyDescent="0.25">
      <c r="A134" s="213"/>
      <c r="B134" s="213"/>
      <c r="C134" s="213"/>
      <c r="D134" s="213"/>
      <c r="E134" s="1145"/>
      <c r="F134" s="1146" t="s">
        <v>7731</v>
      </c>
      <c r="G134" s="1154" t="s">
        <v>7732</v>
      </c>
      <c r="H134" s="1154" t="s">
        <v>7733</v>
      </c>
      <c r="I134" s="1148" t="s">
        <v>7720</v>
      </c>
      <c r="J134" s="1148" t="s">
        <v>7734</v>
      </c>
      <c r="K134" s="1149" t="s">
        <v>7735</v>
      </c>
      <c r="M134" s="213"/>
      <c r="N134" s="213"/>
      <c r="O134" s="213"/>
      <c r="P134" s="213"/>
      <c r="Q134" s="213"/>
      <c r="R134" s="213"/>
    </row>
    <row r="135" spans="1:18" s="196" customFormat="1" ht="24.95" customHeight="1" x14ac:dyDescent="0.25">
      <c r="A135" s="213"/>
      <c r="B135" s="213"/>
      <c r="C135" s="213"/>
      <c r="D135" s="213"/>
      <c r="E135" s="1145"/>
      <c r="F135" s="1150" t="s">
        <v>7738</v>
      </c>
      <c r="G135" s="1155" t="s">
        <v>7739</v>
      </c>
      <c r="H135" s="1155" t="s">
        <v>7740</v>
      </c>
      <c r="I135" s="1152" t="s">
        <v>7720</v>
      </c>
      <c r="J135" s="1152" t="s">
        <v>7741</v>
      </c>
      <c r="K135" s="1153" t="s">
        <v>7742</v>
      </c>
      <c r="M135" s="213"/>
      <c r="N135" s="213"/>
      <c r="O135" s="213"/>
      <c r="P135" s="213"/>
      <c r="Q135" s="213"/>
      <c r="R135" s="213"/>
    </row>
    <row r="136" spans="1:18" s="196" customFormat="1" ht="24.95" customHeight="1" x14ac:dyDescent="0.25">
      <c r="A136" s="213"/>
      <c r="B136" s="213"/>
      <c r="C136" s="213"/>
      <c r="D136" s="213"/>
      <c r="E136" s="1145"/>
      <c r="F136" s="1146" t="s">
        <v>7745</v>
      </c>
      <c r="G136" s="1156" t="s">
        <v>7746</v>
      </c>
      <c r="H136" s="1156" t="s">
        <v>7747</v>
      </c>
      <c r="I136" s="1148" t="s">
        <v>7720</v>
      </c>
      <c r="J136" s="1148" t="s">
        <v>7748</v>
      </c>
      <c r="K136" s="1149" t="s">
        <v>7749</v>
      </c>
      <c r="M136" s="213"/>
      <c r="N136" s="213"/>
      <c r="O136" s="213"/>
      <c r="P136" s="213"/>
      <c r="Q136" s="213"/>
      <c r="R136" s="213"/>
    </row>
    <row r="137" spans="1:18" s="196" customFormat="1" ht="24.95" customHeight="1" x14ac:dyDescent="0.25">
      <c r="A137" s="213"/>
      <c r="B137" s="213"/>
      <c r="C137" s="213"/>
      <c r="D137" s="213"/>
      <c r="E137" s="1145"/>
      <c r="F137" s="1150" t="s">
        <v>7752</v>
      </c>
      <c r="G137" s="1157" t="s">
        <v>7753</v>
      </c>
      <c r="H137" s="1157" t="s">
        <v>7754</v>
      </c>
      <c r="I137" s="1152" t="s">
        <v>7720</v>
      </c>
      <c r="J137" s="1152" t="s">
        <v>7755</v>
      </c>
      <c r="K137" s="1153" t="s">
        <v>7756</v>
      </c>
      <c r="M137" s="213"/>
      <c r="N137" s="213"/>
      <c r="O137" s="213"/>
      <c r="P137" s="213"/>
      <c r="Q137" s="213"/>
      <c r="R137" s="213"/>
    </row>
    <row r="138" spans="1:18" s="196" customFormat="1" ht="24.95" customHeight="1" x14ac:dyDescent="0.25">
      <c r="A138" s="213"/>
      <c r="B138" s="213"/>
      <c r="C138" s="213"/>
      <c r="D138" s="213"/>
      <c r="E138" s="1158"/>
      <c r="F138" s="1159"/>
      <c r="G138" s="1159"/>
      <c r="H138" s="1159"/>
      <c r="I138" s="1159"/>
      <c r="J138" s="1159"/>
      <c r="K138" s="1160"/>
      <c r="M138" s="213"/>
      <c r="N138" s="213"/>
      <c r="O138" s="213"/>
      <c r="P138" s="213"/>
      <c r="Q138" s="213"/>
      <c r="R138" s="213"/>
    </row>
    <row r="139" spans="1:18" s="196" customFormat="1" ht="24.95" customHeight="1" x14ac:dyDescent="0.25">
      <c r="A139" s="213"/>
      <c r="B139" s="213"/>
      <c r="C139" s="213"/>
      <c r="D139" s="213"/>
      <c r="E139" s="810"/>
      <c r="F139" s="810"/>
      <c r="G139" s="810"/>
      <c r="H139" s="810"/>
      <c r="I139" s="810"/>
      <c r="M139" s="213"/>
      <c r="N139" s="213"/>
      <c r="O139" s="213"/>
      <c r="P139" s="213"/>
      <c r="Q139" s="213"/>
      <c r="R139" s="213"/>
    </row>
    <row r="140" spans="1:18" s="196" customFormat="1" ht="24.95" customHeight="1" x14ac:dyDescent="0.25">
      <c r="A140" s="213"/>
      <c r="B140" s="213"/>
      <c r="C140" s="213"/>
      <c r="D140" s="213"/>
      <c r="E140" s="810"/>
      <c r="F140" s="810"/>
      <c r="G140" s="810"/>
      <c r="H140" s="810"/>
      <c r="I140" s="810"/>
      <c r="M140" s="213"/>
      <c r="N140" s="213"/>
      <c r="O140" s="213"/>
      <c r="P140" s="213"/>
      <c r="Q140" s="213"/>
      <c r="R140" s="213"/>
    </row>
    <row r="141" spans="1:18" s="196" customFormat="1" ht="24.95" customHeight="1" x14ac:dyDescent="0.25">
      <c r="A141" s="213"/>
      <c r="B141" s="213"/>
      <c r="C141" s="213"/>
      <c r="D141" s="213"/>
      <c r="E141" s="810"/>
      <c r="F141" s="810"/>
      <c r="G141" s="810"/>
      <c r="H141" s="810"/>
      <c r="I141" s="810"/>
      <c r="M141" s="213"/>
      <c r="N141" s="213"/>
      <c r="O141" s="213"/>
      <c r="P141" s="213"/>
      <c r="Q141" s="213"/>
      <c r="R141" s="213"/>
    </row>
    <row r="142" spans="1:18" s="196" customFormat="1" ht="24.95" customHeight="1" x14ac:dyDescent="0.25">
      <c r="A142" s="213"/>
      <c r="B142" s="213"/>
      <c r="C142" s="213"/>
      <c r="D142" s="213"/>
      <c r="E142" s="810"/>
      <c r="F142" s="810"/>
      <c r="G142" s="810"/>
      <c r="H142" s="810"/>
      <c r="I142" s="810"/>
      <c r="M142" s="213"/>
      <c r="N142" s="213"/>
      <c r="O142" s="213"/>
      <c r="P142" s="213"/>
      <c r="Q142" s="213"/>
      <c r="R142" s="213"/>
    </row>
    <row r="143" spans="1:18" s="196" customFormat="1" ht="24.95" customHeight="1" x14ac:dyDescent="0.25">
      <c r="A143" s="213"/>
      <c r="B143" s="213"/>
      <c r="C143" s="213"/>
      <c r="D143" s="213"/>
      <c r="E143" s="810"/>
      <c r="F143" s="810"/>
      <c r="G143" s="810"/>
      <c r="H143" s="810"/>
      <c r="I143" s="810"/>
      <c r="M143" s="213"/>
      <c r="N143" s="213"/>
      <c r="O143" s="213"/>
      <c r="P143" s="213"/>
      <c r="Q143" s="213"/>
      <c r="R143" s="213"/>
    </row>
    <row r="144" spans="1:18" s="196" customFormat="1" ht="24.95" customHeight="1" x14ac:dyDescent="0.25">
      <c r="A144" s="213"/>
      <c r="B144" s="213"/>
      <c r="C144" s="213"/>
      <c r="D144" s="213"/>
      <c r="E144" s="810"/>
      <c r="F144" s="810"/>
      <c r="G144" s="810"/>
      <c r="H144" s="810"/>
      <c r="I144" s="810"/>
      <c r="M144" s="213"/>
      <c r="N144" s="213"/>
      <c r="O144" s="213"/>
      <c r="P144" s="213"/>
      <c r="Q144" s="213"/>
      <c r="R144" s="213"/>
    </row>
    <row r="145" spans="1:18" s="196" customFormat="1" ht="24.95" customHeight="1" x14ac:dyDescent="0.25">
      <c r="A145" s="213"/>
      <c r="B145" s="213"/>
      <c r="C145" s="213"/>
      <c r="D145" s="213"/>
      <c r="E145" s="810"/>
      <c r="F145" s="810"/>
      <c r="G145" s="810"/>
      <c r="H145" s="810"/>
      <c r="I145" s="810"/>
      <c r="M145" s="213"/>
      <c r="N145" s="213"/>
      <c r="O145" s="213"/>
      <c r="P145" s="213"/>
      <c r="Q145" s="213"/>
      <c r="R145" s="213"/>
    </row>
    <row r="146" spans="1:18" s="196" customFormat="1" ht="24.95" customHeight="1" x14ac:dyDescent="0.25">
      <c r="A146" s="213"/>
      <c r="B146" s="213"/>
      <c r="C146" s="213"/>
      <c r="D146" s="213"/>
      <c r="E146" s="810"/>
      <c r="F146" s="810"/>
      <c r="G146" s="810"/>
      <c r="H146" s="810"/>
      <c r="I146" s="810"/>
      <c r="M146" s="213"/>
      <c r="N146" s="213"/>
      <c r="O146" s="213"/>
      <c r="P146" s="213"/>
      <c r="Q146" s="213"/>
      <c r="R146" s="213"/>
    </row>
    <row r="147" spans="1:18" s="196" customFormat="1" ht="24.95" customHeight="1" x14ac:dyDescent="0.25">
      <c r="A147" s="213"/>
      <c r="B147" s="213"/>
      <c r="C147" s="213"/>
      <c r="D147" s="213"/>
      <c r="E147" s="810"/>
      <c r="F147" s="810"/>
      <c r="G147" s="810"/>
      <c r="H147" s="810"/>
      <c r="I147" s="810"/>
      <c r="M147" s="213"/>
      <c r="N147" s="213"/>
      <c r="O147" s="213"/>
      <c r="P147" s="213"/>
      <c r="Q147" s="213"/>
      <c r="R147" s="213"/>
    </row>
    <row r="148" spans="1:18" s="196" customFormat="1" ht="24.95" customHeight="1" x14ac:dyDescent="0.25">
      <c r="A148" s="213"/>
      <c r="B148" s="213"/>
      <c r="C148" s="213"/>
      <c r="D148" s="213"/>
      <c r="E148" s="810"/>
      <c r="F148" s="810"/>
      <c r="G148" s="810"/>
      <c r="H148" s="810"/>
      <c r="I148" s="810"/>
      <c r="M148" s="213"/>
      <c r="N148" s="213"/>
      <c r="O148" s="213"/>
      <c r="P148" s="213"/>
      <c r="Q148" s="213"/>
      <c r="R148" s="213"/>
    </row>
    <row r="149" spans="1:18" s="196" customFormat="1" ht="24.95" customHeight="1" x14ac:dyDescent="0.25">
      <c r="A149" s="213"/>
      <c r="B149" s="213"/>
      <c r="C149" s="213"/>
      <c r="D149" s="213"/>
      <c r="E149" s="810"/>
      <c r="F149" s="810"/>
      <c r="G149" s="810"/>
      <c r="H149" s="810"/>
      <c r="I149" s="810"/>
      <c r="M149" s="213"/>
      <c r="N149" s="213"/>
      <c r="O149" s="213"/>
      <c r="P149" s="213"/>
      <c r="Q149" s="213"/>
      <c r="R149" s="213"/>
    </row>
    <row r="150" spans="1:18" s="196" customFormat="1" ht="24.95" customHeight="1" x14ac:dyDescent="0.25">
      <c r="A150" s="213"/>
      <c r="B150" s="213"/>
      <c r="C150" s="213"/>
      <c r="D150" s="213"/>
      <c r="E150" s="810"/>
      <c r="F150" s="810"/>
      <c r="G150" s="810"/>
      <c r="H150" s="810"/>
      <c r="I150" s="810"/>
      <c r="M150" s="213"/>
      <c r="N150" s="213"/>
      <c r="O150" s="213"/>
      <c r="P150" s="213"/>
      <c r="Q150" s="213"/>
      <c r="R150" s="213"/>
    </row>
    <row r="151" spans="1:18" s="196" customFormat="1" ht="24.95" customHeight="1" x14ac:dyDescent="0.25">
      <c r="A151" s="213"/>
      <c r="B151" s="213"/>
      <c r="C151" s="213"/>
      <c r="D151" s="213"/>
      <c r="E151" s="810"/>
      <c r="F151" s="810"/>
      <c r="G151" s="810"/>
      <c r="H151" s="810"/>
      <c r="I151" s="810"/>
      <c r="M151" s="213"/>
      <c r="N151" s="213"/>
      <c r="O151" s="213"/>
      <c r="P151" s="213"/>
      <c r="Q151" s="213"/>
      <c r="R151" s="213"/>
    </row>
    <row r="152" spans="1:18" s="196" customFormat="1" ht="24.95" customHeight="1" x14ac:dyDescent="0.25">
      <c r="A152" s="213"/>
      <c r="B152" s="213"/>
      <c r="C152" s="213"/>
      <c r="D152" s="213"/>
      <c r="E152" s="810"/>
      <c r="F152" s="810"/>
      <c r="G152" s="810"/>
      <c r="H152" s="810"/>
      <c r="I152" s="810"/>
      <c r="M152" s="213"/>
      <c r="N152" s="213"/>
      <c r="O152" s="213"/>
      <c r="P152" s="213"/>
      <c r="Q152" s="213"/>
      <c r="R152" s="213"/>
    </row>
    <row r="153" spans="1:18" s="196" customFormat="1" ht="24.95" customHeight="1" x14ac:dyDescent="0.25">
      <c r="A153" s="213"/>
      <c r="B153" s="213"/>
      <c r="C153" s="213"/>
      <c r="D153" s="213"/>
      <c r="E153" s="810"/>
      <c r="F153" s="810"/>
      <c r="G153" s="810"/>
      <c r="H153" s="810"/>
      <c r="I153" s="810"/>
      <c r="M153" s="213"/>
      <c r="N153" s="213"/>
      <c r="O153" s="213"/>
      <c r="P153" s="213"/>
      <c r="Q153" s="213"/>
      <c r="R153" s="213"/>
    </row>
    <row r="154" spans="1:18" s="196" customFormat="1" ht="24.95" customHeight="1" x14ac:dyDescent="0.25">
      <c r="A154" s="213"/>
      <c r="B154" s="213"/>
      <c r="C154" s="213"/>
      <c r="D154" s="213"/>
      <c r="E154" s="810"/>
      <c r="F154" s="810"/>
      <c r="G154" s="810"/>
      <c r="H154" s="810"/>
      <c r="I154" s="810"/>
      <c r="M154" s="213"/>
      <c r="N154" s="213"/>
      <c r="O154" s="213"/>
      <c r="P154" s="213"/>
      <c r="Q154" s="213"/>
      <c r="R154" s="213"/>
    </row>
    <row r="155" spans="1:18" s="196" customFormat="1" ht="24.95" customHeight="1" x14ac:dyDescent="0.25">
      <c r="A155" s="213"/>
      <c r="B155" s="213"/>
      <c r="C155" s="213"/>
      <c r="D155" s="213"/>
      <c r="E155" s="810"/>
      <c r="F155" s="810"/>
      <c r="G155" s="810"/>
      <c r="H155" s="810"/>
      <c r="I155" s="810"/>
      <c r="M155" s="213"/>
      <c r="N155" s="213"/>
      <c r="O155" s="213"/>
      <c r="P155" s="213"/>
      <c r="Q155" s="213"/>
      <c r="R155" s="213"/>
    </row>
    <row r="156" spans="1:18" s="196" customFormat="1" ht="24.95" customHeight="1" x14ac:dyDescent="0.25">
      <c r="A156" s="213"/>
      <c r="B156" s="213"/>
      <c r="C156" s="213"/>
      <c r="D156" s="213"/>
      <c r="E156" s="810"/>
      <c r="F156" s="810"/>
      <c r="G156" s="810"/>
      <c r="H156" s="810"/>
      <c r="I156" s="810"/>
      <c r="M156" s="213"/>
      <c r="N156" s="213"/>
      <c r="O156" s="213"/>
      <c r="P156" s="213"/>
      <c r="Q156" s="213"/>
      <c r="R156" s="213"/>
    </row>
    <row r="157" spans="1:18" s="196" customFormat="1" ht="24.95" customHeight="1" x14ac:dyDescent="0.25">
      <c r="A157" s="213"/>
      <c r="B157" s="213"/>
      <c r="C157" s="213"/>
      <c r="D157" s="213"/>
      <c r="E157" s="810"/>
      <c r="F157" s="810"/>
      <c r="G157" s="810"/>
      <c r="H157" s="810"/>
      <c r="I157" s="810"/>
      <c r="M157" s="213"/>
      <c r="N157" s="213"/>
      <c r="O157" s="213"/>
      <c r="P157" s="213"/>
      <c r="Q157" s="213"/>
      <c r="R157" s="213"/>
    </row>
    <row r="158" spans="1:18" s="196" customFormat="1" ht="24.95" customHeight="1" x14ac:dyDescent="0.25">
      <c r="A158" s="213"/>
      <c r="B158" s="213"/>
      <c r="C158" s="213"/>
      <c r="D158" s="213"/>
      <c r="E158" s="810"/>
      <c r="F158" s="810"/>
      <c r="G158" s="810"/>
      <c r="H158" s="810"/>
      <c r="I158" s="810"/>
      <c r="M158" s="213"/>
      <c r="N158" s="213"/>
      <c r="O158" s="213"/>
      <c r="P158" s="213"/>
      <c r="Q158" s="213"/>
      <c r="R158" s="213"/>
    </row>
    <row r="159" spans="1:18" s="196" customFormat="1" ht="24.95" customHeight="1" x14ac:dyDescent="0.25">
      <c r="A159" s="213"/>
      <c r="B159" s="213"/>
      <c r="C159" s="213"/>
      <c r="D159" s="213"/>
      <c r="E159" s="810"/>
      <c r="F159" s="810"/>
      <c r="G159" s="810"/>
      <c r="H159" s="810"/>
      <c r="I159" s="810"/>
      <c r="M159" s="213"/>
      <c r="N159" s="213"/>
      <c r="O159" s="213"/>
      <c r="P159" s="213"/>
      <c r="Q159" s="213"/>
      <c r="R159" s="213"/>
    </row>
    <row r="160" spans="1:18" s="196" customFormat="1" ht="24.95" customHeight="1" x14ac:dyDescent="0.25">
      <c r="A160" s="213"/>
      <c r="B160" s="213"/>
      <c r="C160" s="213"/>
      <c r="D160" s="213"/>
      <c r="E160" s="810"/>
      <c r="F160" s="810"/>
      <c r="G160" s="810"/>
      <c r="H160" s="810"/>
      <c r="I160" s="810"/>
      <c r="M160" s="213"/>
      <c r="N160" s="213"/>
      <c r="O160" s="213"/>
      <c r="P160" s="213"/>
      <c r="Q160" s="213"/>
      <c r="R160" s="213"/>
    </row>
    <row r="161" spans="1:18" s="196" customFormat="1" ht="24.95" customHeight="1" x14ac:dyDescent="0.25">
      <c r="A161" s="213"/>
      <c r="B161" s="213"/>
      <c r="C161" s="213"/>
      <c r="D161" s="213"/>
      <c r="E161" s="810"/>
      <c r="F161" s="810"/>
      <c r="G161" s="810"/>
      <c r="H161" s="810"/>
      <c r="I161" s="810"/>
      <c r="M161" s="213"/>
      <c r="N161" s="213"/>
      <c r="O161" s="213"/>
      <c r="P161" s="213"/>
      <c r="Q161" s="213"/>
      <c r="R161" s="213"/>
    </row>
    <row r="162" spans="1:18" s="196" customFormat="1" ht="24.95" customHeight="1" x14ac:dyDescent="0.25">
      <c r="A162" s="213"/>
      <c r="B162" s="213"/>
      <c r="C162" s="213"/>
      <c r="D162" s="213"/>
      <c r="E162" s="810"/>
      <c r="F162" s="810"/>
      <c r="G162" s="810"/>
      <c r="H162" s="810"/>
      <c r="I162" s="810"/>
      <c r="M162" s="213"/>
      <c r="N162" s="213"/>
      <c r="O162" s="213"/>
      <c r="P162" s="213"/>
      <c r="Q162" s="213"/>
      <c r="R162" s="213"/>
    </row>
    <row r="163" spans="1:18" s="196" customFormat="1" ht="24.95" customHeight="1" x14ac:dyDescent="0.25">
      <c r="A163" s="213"/>
      <c r="B163" s="213"/>
      <c r="C163" s="213"/>
      <c r="D163" s="213"/>
      <c r="E163" s="810"/>
      <c r="F163" s="810"/>
      <c r="G163" s="810"/>
      <c r="H163" s="810"/>
      <c r="I163" s="810"/>
      <c r="M163" s="213"/>
      <c r="N163" s="213"/>
      <c r="O163" s="213"/>
      <c r="P163" s="213"/>
      <c r="Q163" s="213"/>
      <c r="R163" s="213"/>
    </row>
    <row r="164" spans="1:18" s="196" customFormat="1" ht="24.95" customHeight="1" x14ac:dyDescent="0.25">
      <c r="A164" s="213"/>
      <c r="B164" s="213"/>
      <c r="C164" s="213"/>
      <c r="D164" s="213"/>
      <c r="E164" s="810"/>
      <c r="F164" s="810"/>
      <c r="G164" s="810"/>
      <c r="H164" s="810"/>
      <c r="I164" s="810"/>
      <c r="M164" s="213"/>
      <c r="N164" s="213"/>
      <c r="O164" s="213"/>
      <c r="P164" s="213"/>
      <c r="Q164" s="213"/>
      <c r="R164" s="213"/>
    </row>
    <row r="165" spans="1:18" s="196" customFormat="1" ht="24.95" customHeight="1" x14ac:dyDescent="0.25">
      <c r="A165" s="213"/>
      <c r="B165" s="213"/>
      <c r="C165" s="213"/>
      <c r="D165" s="213"/>
      <c r="E165" s="810"/>
      <c r="F165" s="810"/>
      <c r="G165" s="810"/>
      <c r="H165" s="810"/>
      <c r="I165" s="810"/>
      <c r="M165" s="213"/>
      <c r="N165" s="213"/>
      <c r="O165" s="213"/>
      <c r="P165" s="213"/>
      <c r="Q165" s="213"/>
      <c r="R165" s="213"/>
    </row>
    <row r="166" spans="1:18" s="196" customFormat="1" ht="24.95" customHeight="1" x14ac:dyDescent="0.25">
      <c r="A166" s="213"/>
      <c r="B166" s="213"/>
      <c r="C166" s="213"/>
      <c r="D166" s="213"/>
      <c r="E166" s="810"/>
      <c r="F166" s="810"/>
      <c r="G166" s="810"/>
      <c r="H166" s="810"/>
      <c r="I166" s="810"/>
      <c r="M166" s="213"/>
      <c r="N166" s="213"/>
      <c r="O166" s="213"/>
      <c r="P166" s="213"/>
      <c r="Q166" s="213"/>
      <c r="R166" s="213"/>
    </row>
    <row r="167" spans="1:18" s="196" customFormat="1" ht="24.95" customHeight="1" x14ac:dyDescent="0.25">
      <c r="A167" s="213"/>
      <c r="B167" s="213"/>
      <c r="C167" s="213"/>
      <c r="D167" s="213"/>
      <c r="E167" s="810"/>
      <c r="F167" s="810"/>
      <c r="G167" s="810"/>
      <c r="H167" s="810"/>
      <c r="I167" s="810"/>
      <c r="M167" s="213"/>
      <c r="N167" s="213"/>
      <c r="O167" s="213"/>
      <c r="P167" s="213"/>
      <c r="Q167" s="213"/>
      <c r="R167" s="213"/>
    </row>
    <row r="168" spans="1:18" s="196" customFormat="1" ht="24.95" customHeight="1" x14ac:dyDescent="0.25">
      <c r="A168" s="213"/>
      <c r="B168" s="213"/>
      <c r="C168" s="213"/>
      <c r="D168" s="213"/>
      <c r="E168" s="810"/>
      <c r="F168" s="810"/>
      <c r="G168" s="810"/>
      <c r="H168" s="810"/>
      <c r="I168" s="810"/>
      <c r="M168" s="213"/>
      <c r="N168" s="213"/>
      <c r="O168" s="213"/>
      <c r="P168" s="213"/>
      <c r="Q168" s="213"/>
      <c r="R168" s="213"/>
    </row>
    <row r="169" spans="1:18" s="196" customFormat="1" ht="24.95" customHeight="1" x14ac:dyDescent="0.25">
      <c r="A169" s="213"/>
      <c r="B169" s="213"/>
      <c r="C169" s="213"/>
      <c r="D169" s="213"/>
      <c r="E169" s="810"/>
      <c r="F169" s="810"/>
      <c r="G169" s="810"/>
      <c r="H169" s="810"/>
      <c r="I169" s="810"/>
      <c r="M169" s="213"/>
      <c r="N169" s="213"/>
      <c r="O169" s="213"/>
      <c r="P169" s="213"/>
      <c r="Q169" s="213"/>
      <c r="R169" s="213"/>
    </row>
    <row r="170" spans="1:18" s="196" customFormat="1" ht="24.95" customHeight="1" x14ac:dyDescent="0.25">
      <c r="A170" s="213"/>
      <c r="B170" s="213"/>
      <c r="C170" s="213"/>
      <c r="D170" s="213"/>
      <c r="E170" s="810"/>
      <c r="F170" s="810"/>
      <c r="G170" s="810"/>
      <c r="H170" s="810"/>
      <c r="I170" s="810"/>
      <c r="M170" s="213"/>
      <c r="N170" s="213"/>
      <c r="O170" s="213"/>
      <c r="P170" s="213"/>
      <c r="Q170" s="213"/>
      <c r="R170" s="213"/>
    </row>
    <row r="171" spans="1:18" s="196" customFormat="1" ht="24.95" customHeight="1" x14ac:dyDescent="0.25">
      <c r="A171" s="213"/>
      <c r="B171" s="213"/>
      <c r="C171" s="213"/>
      <c r="D171" s="213"/>
      <c r="E171" s="810"/>
      <c r="F171" s="810"/>
      <c r="G171" s="810"/>
      <c r="H171" s="810"/>
      <c r="I171" s="810"/>
      <c r="M171" s="213"/>
      <c r="N171" s="213"/>
      <c r="O171" s="213"/>
      <c r="P171" s="213"/>
      <c r="Q171" s="213"/>
      <c r="R171" s="213"/>
    </row>
    <row r="172" spans="1:18" s="196" customFormat="1" ht="24.95" customHeight="1" x14ac:dyDescent="0.25">
      <c r="A172" s="213"/>
      <c r="B172" s="213"/>
      <c r="C172" s="213"/>
      <c r="D172" s="213"/>
      <c r="E172" s="810"/>
      <c r="F172" s="810"/>
      <c r="G172" s="810"/>
      <c r="H172" s="810"/>
      <c r="I172" s="810"/>
      <c r="M172" s="213"/>
      <c r="N172" s="213"/>
      <c r="O172" s="213"/>
      <c r="P172" s="213"/>
      <c r="Q172" s="213"/>
      <c r="R172" s="213"/>
    </row>
    <row r="173" spans="1:18" s="196" customFormat="1" ht="24.95" customHeight="1" x14ac:dyDescent="0.25">
      <c r="A173" s="213"/>
      <c r="B173" s="213"/>
      <c r="C173" s="213"/>
      <c r="D173" s="213"/>
      <c r="E173" s="810"/>
      <c r="F173" s="810"/>
      <c r="G173" s="810"/>
      <c r="H173" s="810"/>
      <c r="I173" s="810"/>
      <c r="M173" s="213"/>
      <c r="N173" s="213"/>
      <c r="O173" s="213"/>
      <c r="P173" s="213"/>
      <c r="Q173" s="213"/>
      <c r="R173" s="213"/>
    </row>
    <row r="174" spans="1:18" s="196" customFormat="1" ht="24.95" customHeight="1" x14ac:dyDescent="0.25">
      <c r="A174" s="213"/>
      <c r="B174" s="213"/>
      <c r="C174" s="213"/>
      <c r="D174" s="213"/>
      <c r="E174" s="810"/>
      <c r="F174" s="810"/>
      <c r="G174" s="810"/>
      <c r="H174" s="810"/>
      <c r="I174" s="810"/>
      <c r="M174" s="213"/>
      <c r="N174" s="213"/>
      <c r="O174" s="213"/>
      <c r="P174" s="213"/>
      <c r="Q174" s="213"/>
      <c r="R174" s="213"/>
    </row>
    <row r="175" spans="1:18" s="196" customFormat="1" ht="24.95" customHeight="1" x14ac:dyDescent="0.25">
      <c r="A175" s="213"/>
      <c r="B175" s="213"/>
      <c r="C175" s="213"/>
      <c r="D175" s="213"/>
      <c r="E175" s="810"/>
      <c r="F175" s="810"/>
      <c r="G175" s="810"/>
      <c r="H175" s="810"/>
      <c r="I175" s="810"/>
      <c r="M175" s="213"/>
      <c r="N175" s="213"/>
      <c r="O175" s="213"/>
      <c r="P175" s="213"/>
      <c r="Q175" s="213"/>
      <c r="R175" s="213"/>
    </row>
    <row r="176" spans="1:18" s="196" customFormat="1" ht="24.95" customHeight="1" x14ac:dyDescent="0.25">
      <c r="A176" s="213"/>
      <c r="B176" s="213"/>
      <c r="C176" s="213"/>
      <c r="D176" s="213"/>
      <c r="E176" s="810"/>
      <c r="F176" s="810"/>
      <c r="G176" s="810"/>
      <c r="H176" s="810"/>
      <c r="I176" s="810"/>
      <c r="M176" s="213"/>
      <c r="N176" s="213"/>
      <c r="O176" s="213"/>
      <c r="P176" s="213"/>
      <c r="Q176" s="213"/>
      <c r="R176" s="213"/>
    </row>
    <row r="177" spans="1:18" s="196" customFormat="1" ht="24.95" customHeight="1" x14ac:dyDescent="0.25">
      <c r="A177" s="213"/>
      <c r="B177" s="213"/>
      <c r="C177" s="213"/>
      <c r="D177" s="213"/>
      <c r="E177" s="810"/>
      <c r="F177" s="810"/>
      <c r="G177" s="810"/>
      <c r="H177" s="810"/>
      <c r="I177" s="810"/>
      <c r="M177" s="213"/>
      <c r="N177" s="213"/>
      <c r="O177" s="213"/>
      <c r="P177" s="213"/>
      <c r="Q177" s="213"/>
      <c r="R177" s="213"/>
    </row>
    <row r="178" spans="1:18" s="196" customFormat="1" ht="24.95" customHeight="1" x14ac:dyDescent="0.25">
      <c r="A178" s="213"/>
      <c r="B178" s="213"/>
      <c r="C178" s="213"/>
      <c r="D178" s="213"/>
      <c r="E178" s="810"/>
      <c r="F178" s="810"/>
      <c r="G178" s="810"/>
      <c r="H178" s="810"/>
      <c r="I178" s="810"/>
      <c r="M178" s="213"/>
      <c r="N178" s="213"/>
      <c r="O178" s="213"/>
      <c r="P178" s="213"/>
      <c r="Q178" s="213"/>
      <c r="R178" s="213"/>
    </row>
    <row r="179" spans="1:18" s="196" customFormat="1" ht="24.95" customHeight="1" x14ac:dyDescent="0.25">
      <c r="A179" s="213"/>
      <c r="B179" s="213"/>
      <c r="C179" s="213"/>
      <c r="D179" s="213"/>
      <c r="E179" s="810"/>
      <c r="F179" s="810"/>
      <c r="G179" s="810"/>
      <c r="H179" s="810"/>
      <c r="I179" s="810"/>
      <c r="M179" s="213"/>
      <c r="N179" s="213"/>
      <c r="O179" s="213"/>
      <c r="P179" s="213"/>
      <c r="Q179" s="213"/>
      <c r="R179" s="213"/>
    </row>
    <row r="180" spans="1:18" s="196" customFormat="1" ht="24.95" customHeight="1" x14ac:dyDescent="0.25">
      <c r="A180" s="213"/>
      <c r="B180" s="213"/>
      <c r="C180" s="213"/>
      <c r="D180" s="213"/>
      <c r="E180" s="810"/>
      <c r="F180" s="810"/>
      <c r="G180" s="810"/>
      <c r="H180" s="810"/>
      <c r="I180" s="810"/>
      <c r="M180" s="213"/>
      <c r="N180" s="213"/>
      <c r="O180" s="213"/>
      <c r="P180" s="213"/>
      <c r="Q180" s="213"/>
      <c r="R180" s="213"/>
    </row>
    <row r="181" spans="1:18" s="196" customFormat="1" ht="24.95" customHeight="1" x14ac:dyDescent="0.25">
      <c r="A181" s="213"/>
      <c r="B181" s="213"/>
      <c r="C181" s="213"/>
      <c r="D181" s="213"/>
      <c r="E181" s="810"/>
      <c r="F181" s="810"/>
      <c r="G181" s="810"/>
      <c r="H181" s="810"/>
      <c r="I181" s="810"/>
      <c r="M181" s="213"/>
      <c r="N181" s="213"/>
      <c r="O181" s="213"/>
      <c r="P181" s="213"/>
      <c r="Q181" s="213"/>
      <c r="R181" s="213"/>
    </row>
    <row r="182" spans="1:18" s="196" customFormat="1" ht="24.95" customHeight="1" x14ac:dyDescent="0.25">
      <c r="A182" s="213"/>
      <c r="B182" s="213"/>
      <c r="C182" s="213"/>
      <c r="D182" s="213"/>
      <c r="E182" s="810"/>
      <c r="F182" s="810"/>
      <c r="G182" s="810"/>
      <c r="H182" s="810"/>
      <c r="I182" s="810"/>
      <c r="M182" s="213"/>
      <c r="N182" s="213"/>
      <c r="O182" s="213"/>
      <c r="P182" s="213"/>
      <c r="Q182" s="213"/>
      <c r="R182" s="213"/>
    </row>
    <row r="183" spans="1:18" s="196" customFormat="1" ht="24.95" customHeight="1" x14ac:dyDescent="0.25">
      <c r="A183" s="213"/>
      <c r="B183" s="213"/>
      <c r="C183" s="213"/>
      <c r="D183" s="213"/>
      <c r="E183" s="810"/>
      <c r="F183" s="810"/>
      <c r="G183" s="810"/>
      <c r="H183" s="810"/>
      <c r="I183" s="810"/>
      <c r="M183" s="213"/>
      <c r="N183" s="213"/>
      <c r="O183" s="213"/>
      <c r="P183" s="213"/>
      <c r="Q183" s="213"/>
      <c r="R183" s="213"/>
    </row>
    <row r="184" spans="1:18" s="196" customFormat="1" ht="24.95" customHeight="1" x14ac:dyDescent="0.25">
      <c r="A184" s="213"/>
      <c r="B184" s="213"/>
      <c r="C184" s="213"/>
      <c r="D184" s="213"/>
      <c r="E184" s="810"/>
      <c r="F184" s="810"/>
      <c r="G184" s="810"/>
      <c r="H184" s="810"/>
      <c r="I184" s="810"/>
      <c r="M184" s="213"/>
      <c r="N184" s="213"/>
      <c r="O184" s="213"/>
      <c r="P184" s="213"/>
      <c r="Q184" s="213"/>
      <c r="R184" s="213"/>
    </row>
    <row r="185" spans="1:18" s="196" customFormat="1" ht="24.95" customHeight="1" x14ac:dyDescent="0.25">
      <c r="A185" s="213"/>
      <c r="B185" s="213"/>
      <c r="C185" s="213"/>
      <c r="D185" s="213"/>
      <c r="E185" s="810"/>
      <c r="F185" s="810"/>
      <c r="G185" s="810"/>
      <c r="H185" s="810"/>
      <c r="I185" s="810"/>
      <c r="M185" s="213"/>
      <c r="N185" s="213"/>
      <c r="O185" s="213"/>
      <c r="P185" s="213"/>
      <c r="Q185" s="213"/>
      <c r="R185" s="213"/>
    </row>
    <row r="186" spans="1:18" s="196" customFormat="1" ht="24.95" customHeight="1" x14ac:dyDescent="0.25">
      <c r="A186" s="213"/>
      <c r="B186" s="213"/>
      <c r="C186" s="213"/>
      <c r="D186" s="213"/>
      <c r="E186" s="810"/>
      <c r="F186" s="810"/>
      <c r="G186" s="810"/>
      <c r="H186" s="810"/>
      <c r="I186" s="810"/>
      <c r="M186" s="213"/>
      <c r="N186" s="213"/>
      <c r="O186" s="213"/>
      <c r="P186" s="213"/>
      <c r="Q186" s="213"/>
      <c r="R186" s="213"/>
    </row>
    <row r="187" spans="1:18" s="196" customFormat="1" ht="24.95" customHeight="1" x14ac:dyDescent="0.25">
      <c r="A187" s="213"/>
      <c r="B187" s="213"/>
      <c r="C187" s="213"/>
      <c r="D187" s="213"/>
      <c r="E187" s="810"/>
      <c r="F187" s="810"/>
      <c r="G187" s="810"/>
      <c r="H187" s="810"/>
      <c r="I187" s="810"/>
      <c r="M187" s="213"/>
      <c r="N187" s="213"/>
      <c r="O187" s="213"/>
      <c r="P187" s="213"/>
      <c r="Q187" s="213"/>
      <c r="R187" s="213"/>
    </row>
    <row r="188" spans="1:18" s="196" customFormat="1" ht="24.95" customHeight="1" x14ac:dyDescent="0.25">
      <c r="A188" s="213"/>
      <c r="B188" s="213"/>
      <c r="C188" s="213"/>
      <c r="D188" s="213"/>
      <c r="E188" s="810"/>
      <c r="F188" s="810"/>
      <c r="G188" s="810"/>
      <c r="H188" s="810"/>
      <c r="I188" s="810"/>
      <c r="M188" s="213"/>
      <c r="N188" s="213"/>
      <c r="O188" s="213"/>
      <c r="P188" s="213"/>
      <c r="Q188" s="213"/>
      <c r="R188" s="213"/>
    </row>
    <row r="189" spans="1:18" s="196" customFormat="1" ht="24.95" customHeight="1" x14ac:dyDescent="0.25">
      <c r="A189" s="213"/>
      <c r="B189" s="213"/>
      <c r="C189" s="213"/>
      <c r="D189" s="213"/>
      <c r="E189" s="810"/>
      <c r="F189" s="810"/>
      <c r="G189" s="810"/>
      <c r="H189" s="810"/>
      <c r="I189" s="810"/>
      <c r="M189" s="213"/>
      <c r="N189" s="213"/>
      <c r="O189" s="213"/>
      <c r="P189" s="213"/>
      <c r="Q189" s="213"/>
      <c r="R189" s="213"/>
    </row>
    <row r="190" spans="1:18" s="196" customFormat="1" ht="24.95" customHeight="1" x14ac:dyDescent="0.25">
      <c r="A190" s="213"/>
      <c r="B190" s="213"/>
      <c r="C190" s="213"/>
      <c r="D190" s="213"/>
      <c r="E190" s="810"/>
      <c r="F190" s="810"/>
      <c r="G190" s="810"/>
      <c r="H190" s="810"/>
      <c r="I190" s="810"/>
      <c r="M190" s="213"/>
      <c r="N190" s="213"/>
      <c r="O190" s="213"/>
      <c r="P190" s="213"/>
      <c r="Q190" s="213"/>
      <c r="R190" s="213"/>
    </row>
    <row r="191" spans="1:18" s="196" customFormat="1" ht="24.95" customHeight="1" x14ac:dyDescent="0.25">
      <c r="A191" s="213"/>
      <c r="B191" s="213"/>
      <c r="C191" s="213"/>
      <c r="D191" s="213"/>
      <c r="E191" s="810"/>
      <c r="F191" s="810"/>
      <c r="G191" s="810"/>
      <c r="H191" s="810"/>
      <c r="I191" s="810"/>
      <c r="M191" s="213"/>
      <c r="N191" s="213"/>
      <c r="O191" s="213"/>
      <c r="P191" s="213"/>
      <c r="Q191" s="213"/>
      <c r="R191" s="213"/>
    </row>
    <row r="192" spans="1:18" s="196" customFormat="1" ht="24.95" customHeight="1" x14ac:dyDescent="0.25">
      <c r="A192" s="213"/>
      <c r="B192" s="213"/>
      <c r="C192" s="213"/>
      <c r="D192" s="213"/>
      <c r="E192" s="810"/>
      <c r="F192" s="810"/>
      <c r="G192" s="810"/>
      <c r="H192" s="810"/>
      <c r="I192" s="810"/>
      <c r="M192" s="213"/>
      <c r="N192" s="213"/>
      <c r="O192" s="213"/>
      <c r="P192" s="213"/>
      <c r="Q192" s="213"/>
      <c r="R192" s="213"/>
    </row>
    <row r="193" spans="1:18" s="196" customFormat="1" ht="24.95" customHeight="1" x14ac:dyDescent="0.25">
      <c r="A193" s="213"/>
      <c r="B193" s="213"/>
      <c r="C193" s="213"/>
      <c r="D193" s="213"/>
      <c r="E193" s="810"/>
      <c r="F193" s="810"/>
      <c r="G193" s="810"/>
      <c r="H193" s="810"/>
      <c r="I193" s="810"/>
      <c r="M193" s="213"/>
      <c r="N193" s="213"/>
      <c r="O193" s="213"/>
      <c r="P193" s="213"/>
      <c r="Q193" s="213"/>
      <c r="R193" s="213"/>
    </row>
    <row r="194" spans="1:18" s="196" customFormat="1" ht="24.95" customHeight="1" x14ac:dyDescent="0.25">
      <c r="A194" s="213"/>
      <c r="B194" s="213"/>
      <c r="C194" s="213"/>
      <c r="D194" s="213"/>
      <c r="E194" s="810"/>
      <c r="F194" s="810"/>
      <c r="G194" s="810"/>
      <c r="H194" s="810"/>
      <c r="I194" s="810"/>
      <c r="M194" s="213"/>
      <c r="N194" s="213"/>
      <c r="O194" s="213"/>
      <c r="P194" s="213"/>
      <c r="Q194" s="213"/>
      <c r="R194" s="213"/>
    </row>
    <row r="195" spans="1:18" s="196" customFormat="1" ht="24.95" customHeight="1" x14ac:dyDescent="0.25">
      <c r="A195" s="213"/>
      <c r="B195" s="213"/>
      <c r="C195" s="213"/>
      <c r="D195" s="213"/>
      <c r="E195" s="810"/>
      <c r="F195" s="810"/>
      <c r="G195" s="810"/>
      <c r="H195" s="810"/>
      <c r="I195" s="810"/>
      <c r="M195" s="213"/>
      <c r="N195" s="213"/>
      <c r="O195" s="213"/>
      <c r="P195" s="213"/>
      <c r="Q195" s="213"/>
      <c r="R195" s="213"/>
    </row>
    <row r="196" spans="1:18" s="196" customFormat="1" ht="24.95" customHeight="1" x14ac:dyDescent="0.25">
      <c r="A196" s="213"/>
      <c r="B196" s="213"/>
      <c r="C196" s="213"/>
      <c r="D196" s="213"/>
      <c r="E196" s="810"/>
      <c r="F196" s="810"/>
      <c r="G196" s="810"/>
      <c r="H196" s="810"/>
      <c r="I196" s="810"/>
      <c r="M196" s="213"/>
      <c r="N196" s="213"/>
      <c r="O196" s="213"/>
      <c r="P196" s="213"/>
      <c r="Q196" s="213"/>
      <c r="R196" s="213"/>
    </row>
    <row r="197" spans="1:18" s="196" customFormat="1" ht="24.95" customHeight="1" x14ac:dyDescent="0.25">
      <c r="A197" s="213"/>
      <c r="B197" s="213"/>
      <c r="C197" s="213"/>
      <c r="D197" s="213"/>
      <c r="E197" s="810"/>
      <c r="F197" s="810"/>
      <c r="G197" s="810"/>
      <c r="H197" s="810"/>
      <c r="I197" s="810"/>
      <c r="M197" s="213"/>
      <c r="N197" s="213"/>
      <c r="O197" s="213"/>
      <c r="P197" s="213"/>
      <c r="Q197" s="213"/>
      <c r="R197" s="213"/>
    </row>
    <row r="198" spans="1:18" s="196" customFormat="1" ht="24.95" customHeight="1" x14ac:dyDescent="0.25">
      <c r="A198" s="213"/>
      <c r="B198" s="213"/>
      <c r="C198" s="213"/>
      <c r="D198" s="213"/>
      <c r="E198" s="810"/>
      <c r="F198" s="810"/>
      <c r="G198" s="810"/>
      <c r="H198" s="810"/>
      <c r="I198" s="810"/>
      <c r="M198" s="213"/>
      <c r="N198" s="213"/>
      <c r="O198" s="213"/>
      <c r="P198" s="213"/>
      <c r="Q198" s="213"/>
      <c r="R198" s="213"/>
    </row>
    <row r="199" spans="1:18" s="196" customFormat="1" ht="24.95" customHeight="1" x14ac:dyDescent="0.25">
      <c r="A199" s="213"/>
      <c r="B199" s="213"/>
      <c r="C199" s="213"/>
      <c r="D199" s="213"/>
      <c r="E199" s="810"/>
      <c r="F199" s="810"/>
      <c r="G199" s="810"/>
      <c r="H199" s="810"/>
      <c r="I199" s="810"/>
      <c r="M199" s="213"/>
      <c r="N199" s="213"/>
      <c r="O199" s="213"/>
      <c r="P199" s="213"/>
      <c r="Q199" s="213"/>
      <c r="R199" s="213"/>
    </row>
    <row r="200" spans="1:18" s="196" customFormat="1" ht="24.95" customHeight="1" x14ac:dyDescent="0.25">
      <c r="A200" s="213"/>
      <c r="B200" s="213"/>
      <c r="C200" s="213"/>
      <c r="D200" s="213"/>
      <c r="E200" s="810"/>
      <c r="F200" s="810"/>
      <c r="G200" s="810"/>
      <c r="H200" s="810"/>
      <c r="I200" s="810"/>
      <c r="M200" s="213"/>
      <c r="N200" s="213"/>
      <c r="O200" s="213"/>
      <c r="P200" s="213"/>
      <c r="Q200" s="213"/>
      <c r="R200" s="213"/>
    </row>
    <row r="201" spans="1:18" s="196" customFormat="1" ht="24.95" customHeight="1" x14ac:dyDescent="0.25">
      <c r="A201" s="213"/>
      <c r="B201" s="213"/>
      <c r="C201" s="213"/>
      <c r="D201" s="213"/>
      <c r="E201" s="810"/>
      <c r="F201" s="810"/>
      <c r="G201" s="810"/>
      <c r="H201" s="810"/>
      <c r="I201" s="810"/>
      <c r="M201" s="213"/>
      <c r="N201" s="213"/>
      <c r="O201" s="213"/>
      <c r="P201" s="213"/>
      <c r="Q201" s="213"/>
      <c r="R201" s="213"/>
    </row>
    <row r="202" spans="1:18" s="196" customFormat="1" ht="24.95" customHeight="1" x14ac:dyDescent="0.25">
      <c r="A202" s="213"/>
      <c r="B202" s="213"/>
      <c r="C202" s="213"/>
      <c r="D202" s="213"/>
      <c r="E202" s="810"/>
      <c r="F202" s="810"/>
      <c r="G202" s="810"/>
      <c r="H202" s="810"/>
      <c r="I202" s="810"/>
      <c r="M202" s="213"/>
      <c r="N202" s="213"/>
      <c r="O202" s="213"/>
      <c r="P202" s="213"/>
      <c r="Q202" s="213"/>
      <c r="R202" s="213"/>
    </row>
    <row r="203" spans="1:18" s="196" customFormat="1" ht="24.95" customHeight="1" x14ac:dyDescent="0.25">
      <c r="A203" s="213"/>
      <c r="B203" s="213"/>
      <c r="C203" s="213"/>
      <c r="D203" s="213"/>
      <c r="E203" s="810"/>
      <c r="F203" s="810"/>
      <c r="G203" s="810"/>
      <c r="H203" s="810"/>
      <c r="I203" s="810"/>
      <c r="M203" s="213"/>
      <c r="N203" s="213"/>
      <c r="O203" s="213"/>
      <c r="P203" s="213"/>
      <c r="Q203" s="213"/>
      <c r="R203" s="213"/>
    </row>
    <row r="204" spans="1:18" s="196" customFormat="1" ht="24.95" customHeight="1" x14ac:dyDescent="0.25">
      <c r="A204" s="213"/>
      <c r="B204" s="213"/>
      <c r="C204" s="213"/>
      <c r="D204" s="213"/>
      <c r="E204" s="810"/>
      <c r="F204" s="810"/>
      <c r="G204" s="810"/>
      <c r="H204" s="810"/>
      <c r="I204" s="810"/>
      <c r="M204" s="213"/>
      <c r="N204" s="213"/>
      <c r="O204" s="213"/>
      <c r="P204" s="213"/>
      <c r="Q204" s="213"/>
      <c r="R204" s="213"/>
    </row>
    <row r="205" spans="1:18" s="196" customFormat="1" ht="24.95" customHeight="1" x14ac:dyDescent="0.25">
      <c r="A205" s="213"/>
      <c r="B205" s="213"/>
      <c r="C205" s="213"/>
      <c r="D205" s="213"/>
      <c r="E205" s="810"/>
      <c r="F205" s="810"/>
      <c r="G205" s="810"/>
      <c r="H205" s="810"/>
      <c r="I205" s="810"/>
      <c r="M205" s="213"/>
      <c r="N205" s="213"/>
      <c r="O205" s="213"/>
      <c r="P205" s="213"/>
      <c r="Q205" s="213"/>
      <c r="R205" s="213"/>
    </row>
    <row r="206" spans="1:18" s="196" customFormat="1" ht="24.95" customHeight="1" x14ac:dyDescent="0.25">
      <c r="A206" s="213"/>
      <c r="B206" s="213"/>
      <c r="C206" s="213"/>
      <c r="D206" s="213"/>
      <c r="E206" s="810"/>
      <c r="F206" s="810"/>
      <c r="G206" s="810"/>
      <c r="H206" s="810"/>
      <c r="I206" s="810"/>
      <c r="M206" s="213"/>
      <c r="N206" s="213"/>
      <c r="O206" s="213"/>
      <c r="P206" s="213"/>
      <c r="Q206" s="213"/>
      <c r="R206" s="213"/>
    </row>
    <row r="207" spans="1:18" s="196" customFormat="1" ht="24.95" customHeight="1" x14ac:dyDescent="0.25">
      <c r="A207" s="213"/>
      <c r="B207" s="213"/>
      <c r="C207" s="213"/>
      <c r="D207" s="213"/>
      <c r="E207" s="810"/>
      <c r="F207" s="810"/>
      <c r="G207" s="810"/>
      <c r="H207" s="810"/>
      <c r="I207" s="810"/>
      <c r="M207" s="213"/>
      <c r="N207" s="213"/>
      <c r="O207" s="213"/>
      <c r="P207" s="213"/>
      <c r="Q207" s="213"/>
      <c r="R207" s="213"/>
    </row>
    <row r="208" spans="1:18" s="196" customFormat="1" ht="24.95" customHeight="1" x14ac:dyDescent="0.25">
      <c r="A208" s="213"/>
      <c r="B208" s="213"/>
      <c r="C208" s="213"/>
      <c r="D208" s="213"/>
      <c r="E208" s="810"/>
      <c r="F208" s="810"/>
      <c r="G208" s="810"/>
      <c r="H208" s="810"/>
      <c r="I208" s="810"/>
      <c r="M208" s="213"/>
      <c r="N208" s="213"/>
      <c r="O208" s="213"/>
      <c r="P208" s="213"/>
      <c r="Q208" s="213"/>
      <c r="R208" s="213"/>
    </row>
    <row r="209" spans="1:18" s="196" customFormat="1" ht="24.95" customHeight="1" x14ac:dyDescent="0.25">
      <c r="A209" s="213"/>
      <c r="B209" s="213"/>
      <c r="C209" s="213"/>
      <c r="D209" s="213"/>
      <c r="E209" s="810"/>
      <c r="F209" s="810"/>
      <c r="G209" s="810"/>
      <c r="H209" s="810"/>
      <c r="I209" s="810"/>
      <c r="M209" s="213"/>
      <c r="N209" s="213"/>
      <c r="O209" s="213"/>
      <c r="P209" s="213"/>
      <c r="Q209" s="213"/>
      <c r="R209" s="213"/>
    </row>
    <row r="210" spans="1:18" s="196" customFormat="1" ht="24.95" customHeight="1" x14ac:dyDescent="0.25">
      <c r="A210" s="213"/>
      <c r="B210" s="213"/>
      <c r="C210" s="213"/>
      <c r="D210" s="213"/>
      <c r="E210" s="810"/>
      <c r="F210" s="810"/>
      <c r="G210" s="810"/>
      <c r="H210" s="810"/>
      <c r="I210" s="810"/>
      <c r="M210" s="213"/>
      <c r="N210" s="213"/>
      <c r="O210" s="213"/>
      <c r="P210" s="213"/>
      <c r="Q210" s="213"/>
      <c r="R210" s="213"/>
    </row>
    <row r="211" spans="1:18" s="196" customFormat="1" ht="24.95" customHeight="1" x14ac:dyDescent="0.25">
      <c r="A211" s="213"/>
      <c r="B211" s="213"/>
      <c r="C211" s="213"/>
      <c r="D211" s="213"/>
      <c r="E211" s="810"/>
      <c r="F211" s="810"/>
      <c r="G211" s="810"/>
      <c r="H211" s="810"/>
      <c r="I211" s="810"/>
      <c r="M211" s="213"/>
      <c r="N211" s="213"/>
      <c r="O211" s="213"/>
      <c r="P211" s="213"/>
      <c r="Q211" s="213"/>
      <c r="R211" s="213"/>
    </row>
    <row r="212" spans="1:18" s="196" customFormat="1" ht="24.95" customHeight="1" x14ac:dyDescent="0.25">
      <c r="A212" s="213"/>
      <c r="B212" s="213"/>
      <c r="C212" s="213"/>
      <c r="D212" s="213"/>
      <c r="E212" s="810"/>
      <c r="F212" s="810"/>
      <c r="G212" s="810"/>
      <c r="H212" s="810"/>
      <c r="I212" s="810"/>
      <c r="M212" s="213"/>
      <c r="N212" s="213"/>
      <c r="O212" s="213"/>
      <c r="P212" s="213"/>
      <c r="Q212" s="213"/>
      <c r="R212" s="213"/>
    </row>
    <row r="213" spans="1:18" s="196" customFormat="1" ht="24.95" customHeight="1" x14ac:dyDescent="0.25">
      <c r="A213" s="213"/>
      <c r="B213" s="213"/>
      <c r="C213" s="213"/>
      <c r="D213" s="213"/>
      <c r="E213" s="810"/>
      <c r="F213" s="810"/>
      <c r="G213" s="810"/>
      <c r="H213" s="810"/>
      <c r="I213" s="810"/>
      <c r="M213" s="213"/>
      <c r="N213" s="213"/>
      <c r="O213" s="213"/>
      <c r="P213" s="213"/>
      <c r="Q213" s="213"/>
      <c r="R213" s="213"/>
    </row>
    <row r="214" spans="1:18" s="196" customFormat="1" ht="24.95" customHeight="1" x14ac:dyDescent="0.25">
      <c r="A214" s="213"/>
      <c r="B214" s="213"/>
      <c r="C214" s="213"/>
      <c r="D214" s="213"/>
      <c r="E214" s="810"/>
      <c r="F214" s="810"/>
      <c r="G214" s="810"/>
      <c r="H214" s="810"/>
      <c r="I214" s="810"/>
      <c r="M214" s="213"/>
      <c r="N214" s="213"/>
      <c r="O214" s="213"/>
      <c r="P214" s="213"/>
      <c r="Q214" s="213"/>
      <c r="R214" s="213"/>
    </row>
    <row r="215" spans="1:18" ht="24.95" customHeight="1" x14ac:dyDescent="0.25"/>
    <row r="216" spans="1:18" ht="24.95" customHeight="1" x14ac:dyDescent="0.25"/>
    <row r="217" spans="1:18" ht="24.95" customHeight="1" x14ac:dyDescent="0.25"/>
    <row r="218" spans="1:18" ht="24.95" customHeight="1" x14ac:dyDescent="0.25"/>
    <row r="219" spans="1:18" ht="24.95" customHeight="1" x14ac:dyDescent="0.25"/>
    <row r="220" spans="1:18" ht="24.95" customHeight="1" x14ac:dyDescent="0.25"/>
    <row r="221" spans="1:18" ht="24.95" customHeight="1" x14ac:dyDescent="0.25"/>
    <row r="222" spans="1:18" ht="24.95" customHeight="1" x14ac:dyDescent="0.25"/>
  </sheetData>
  <mergeCells count="365">
    <mergeCell ref="M69:M70"/>
    <mergeCell ref="N69:O70"/>
    <mergeCell ref="M71:M72"/>
    <mergeCell ref="N71:O72"/>
    <mergeCell ref="N62:O62"/>
    <mergeCell ref="M63:M64"/>
    <mergeCell ref="N63:O64"/>
    <mergeCell ref="M65:M66"/>
    <mergeCell ref="N65:O66"/>
    <mergeCell ref="M67:M68"/>
    <mergeCell ref="N67:O68"/>
    <mergeCell ref="Q54:Q55"/>
    <mergeCell ref="R54:R55"/>
    <mergeCell ref="M57:M58"/>
    <mergeCell ref="N57:N58"/>
    <mergeCell ref="O57:O58"/>
    <mergeCell ref="P57:P58"/>
    <mergeCell ref="Q57:Q58"/>
    <mergeCell ref="R57:R58"/>
    <mergeCell ref="Q48:Q49"/>
    <mergeCell ref="R48:R49"/>
    <mergeCell ref="M51:M52"/>
    <mergeCell ref="N51:N52"/>
    <mergeCell ref="O51:O52"/>
    <mergeCell ref="P51:P52"/>
    <mergeCell ref="Q51:Q52"/>
    <mergeCell ref="R51:R52"/>
    <mergeCell ref="M54:M55"/>
    <mergeCell ref="N54:N55"/>
    <mergeCell ref="O54:O55"/>
    <mergeCell ref="P54:P55"/>
    <mergeCell ref="M48:M49"/>
    <mergeCell ref="N48:N49"/>
    <mergeCell ref="O48:O49"/>
    <mergeCell ref="P48:P49"/>
    <mergeCell ref="Q42:Q43"/>
    <mergeCell ref="R42:R43"/>
    <mergeCell ref="M45:M46"/>
    <mergeCell ref="N45:N46"/>
    <mergeCell ref="O45:O46"/>
    <mergeCell ref="P45:P46"/>
    <mergeCell ref="Q45:Q46"/>
    <mergeCell ref="R45:R46"/>
    <mergeCell ref="Q36:Q37"/>
    <mergeCell ref="R36:R37"/>
    <mergeCell ref="M39:M40"/>
    <mergeCell ref="N39:N40"/>
    <mergeCell ref="O39:O40"/>
    <mergeCell ref="P39:P40"/>
    <mergeCell ref="Q39:Q40"/>
    <mergeCell ref="R39:R40"/>
    <mergeCell ref="M42:M43"/>
    <mergeCell ref="N42:N43"/>
    <mergeCell ref="O42:O43"/>
    <mergeCell ref="P42:P43"/>
    <mergeCell ref="M36:M37"/>
    <mergeCell ref="N36:N37"/>
    <mergeCell ref="O36:O37"/>
    <mergeCell ref="P36:P37"/>
    <mergeCell ref="Q30:Q31"/>
    <mergeCell ref="R30:R31"/>
    <mergeCell ref="M33:M34"/>
    <mergeCell ref="N33:N34"/>
    <mergeCell ref="O33:O34"/>
    <mergeCell ref="P33:P34"/>
    <mergeCell ref="Q33:Q34"/>
    <mergeCell ref="R33:R34"/>
    <mergeCell ref="Q24:Q25"/>
    <mergeCell ref="R24:R25"/>
    <mergeCell ref="M27:M28"/>
    <mergeCell ref="N27:N28"/>
    <mergeCell ref="O27:O28"/>
    <mergeCell ref="P27:P28"/>
    <mergeCell ref="Q27:Q28"/>
    <mergeCell ref="R27:R28"/>
    <mergeCell ref="M30:M31"/>
    <mergeCell ref="N30:N31"/>
    <mergeCell ref="O30:O31"/>
    <mergeCell ref="P30:P31"/>
    <mergeCell ref="M24:M25"/>
    <mergeCell ref="N24:N25"/>
    <mergeCell ref="O24:O25"/>
    <mergeCell ref="P24:P25"/>
    <mergeCell ref="M15:M16"/>
    <mergeCell ref="N15:N16"/>
    <mergeCell ref="O15:O16"/>
    <mergeCell ref="P15:P16"/>
    <mergeCell ref="Q15:Q16"/>
    <mergeCell ref="R15:R16"/>
    <mergeCell ref="M12:M13"/>
    <mergeCell ref="N12:N13"/>
    <mergeCell ref="M18:M19"/>
    <mergeCell ref="N18:N19"/>
    <mergeCell ref="O18:O19"/>
    <mergeCell ref="P18:P19"/>
    <mergeCell ref="N21:N22"/>
    <mergeCell ref="O21:O22"/>
    <mergeCell ref="P21:P22"/>
    <mergeCell ref="Q21:Q22"/>
    <mergeCell ref="R21:R22"/>
    <mergeCell ref="O12:O13"/>
    <mergeCell ref="P12:P13"/>
    <mergeCell ref="Q12:Q13"/>
    <mergeCell ref="R12:R13"/>
    <mergeCell ref="B5:B6"/>
    <mergeCell ref="C5:C6"/>
    <mergeCell ref="B9:B10"/>
    <mergeCell ref="C9:C10"/>
    <mergeCell ref="B12:B14"/>
    <mergeCell ref="K125:K126"/>
    <mergeCell ref="K119:K120"/>
    <mergeCell ref="E122:E123"/>
    <mergeCell ref="F122:F123"/>
    <mergeCell ref="G122:G123"/>
    <mergeCell ref="H122:H123"/>
    <mergeCell ref="I122:J123"/>
    <mergeCell ref="K122:K123"/>
    <mergeCell ref="I110:J111"/>
    <mergeCell ref="K110:K111"/>
    <mergeCell ref="E113:E114"/>
    <mergeCell ref="F113:F114"/>
    <mergeCell ref="G113:G114"/>
    <mergeCell ref="H113:H114"/>
    <mergeCell ref="I113:J114"/>
    <mergeCell ref="K113:K114"/>
    <mergeCell ref="G104:G105"/>
    <mergeCell ref="K104:K105"/>
    <mergeCell ref="E107:E108"/>
    <mergeCell ref="F107:F108"/>
    <mergeCell ref="G107:G108"/>
    <mergeCell ref="H107:H108"/>
    <mergeCell ref="I107:J108"/>
    <mergeCell ref="K107:K108"/>
    <mergeCell ref="C12:C14"/>
    <mergeCell ref="M2:R2"/>
    <mergeCell ref="P6:P7"/>
    <mergeCell ref="Q6:Q7"/>
    <mergeCell ref="R6:R7"/>
    <mergeCell ref="M9:M10"/>
    <mergeCell ref="N9:N10"/>
    <mergeCell ref="O9:O10"/>
    <mergeCell ref="P9:P10"/>
    <mergeCell ref="Q9:Q10"/>
    <mergeCell ref="R9:R10"/>
    <mergeCell ref="M6:M7"/>
    <mergeCell ref="N6:N7"/>
    <mergeCell ref="O6:O7"/>
    <mergeCell ref="Q18:Q19"/>
    <mergeCell ref="R18:R19"/>
    <mergeCell ref="M21:M22"/>
    <mergeCell ref="I94:I95"/>
    <mergeCell ref="J94:J95"/>
    <mergeCell ref="K94:K95"/>
    <mergeCell ref="E99:K99"/>
    <mergeCell ref="E101:E102"/>
    <mergeCell ref="F101:F102"/>
    <mergeCell ref="G101:G102"/>
    <mergeCell ref="H101:H102"/>
    <mergeCell ref="I101:J102"/>
    <mergeCell ref="K101:K102"/>
    <mergeCell ref="E94:E95"/>
    <mergeCell ref="F94:F95"/>
    <mergeCell ref="G94:G95"/>
    <mergeCell ref="H94:H95"/>
    <mergeCell ref="K88:K89"/>
    <mergeCell ref="E91:E92"/>
    <mergeCell ref="F91:F92"/>
    <mergeCell ref="G91:G92"/>
    <mergeCell ref="H91:H92"/>
    <mergeCell ref="I91:I92"/>
    <mergeCell ref="J91:J92"/>
    <mergeCell ref="K91:K92"/>
    <mergeCell ref="E88:E89"/>
    <mergeCell ref="F88:F89"/>
    <mergeCell ref="G88:G89"/>
    <mergeCell ref="H88:H89"/>
    <mergeCell ref="I88:I89"/>
    <mergeCell ref="J88:J89"/>
    <mergeCell ref="K82:K83"/>
    <mergeCell ref="E85:E86"/>
    <mergeCell ref="F85:F86"/>
    <mergeCell ref="G85:G86"/>
    <mergeCell ref="H85:H86"/>
    <mergeCell ref="I85:I86"/>
    <mergeCell ref="J85:J86"/>
    <mergeCell ref="K85:K86"/>
    <mergeCell ref="J76:J77"/>
    <mergeCell ref="K76:K77"/>
    <mergeCell ref="E79:E80"/>
    <mergeCell ref="F79:F80"/>
    <mergeCell ref="G79:G80"/>
    <mergeCell ref="H79:H80"/>
    <mergeCell ref="I79:I80"/>
    <mergeCell ref="J79:J80"/>
    <mergeCell ref="K79:K80"/>
    <mergeCell ref="E82:E83"/>
    <mergeCell ref="F82:F83"/>
    <mergeCell ref="G82:G83"/>
    <mergeCell ref="H82:H83"/>
    <mergeCell ref="I82:I83"/>
    <mergeCell ref="J82:J83"/>
    <mergeCell ref="G73:G74"/>
    <mergeCell ref="H73:H74"/>
    <mergeCell ref="I73:I74"/>
    <mergeCell ref="J73:J74"/>
    <mergeCell ref="K73:K74"/>
    <mergeCell ref="E76:E77"/>
    <mergeCell ref="F76:F77"/>
    <mergeCell ref="G76:G77"/>
    <mergeCell ref="H76:H77"/>
    <mergeCell ref="I76:I77"/>
    <mergeCell ref="E73:E74"/>
    <mergeCell ref="F73:F74"/>
    <mergeCell ref="H46:H47"/>
    <mergeCell ref="I46:I47"/>
    <mergeCell ref="E70:E71"/>
    <mergeCell ref="F70:F71"/>
    <mergeCell ref="G70:G71"/>
    <mergeCell ref="H70:H71"/>
    <mergeCell ref="I70:I71"/>
    <mergeCell ref="J70:J71"/>
    <mergeCell ref="K70:K71"/>
    <mergeCell ref="E67:E68"/>
    <mergeCell ref="F67:F68"/>
    <mergeCell ref="G67:G68"/>
    <mergeCell ref="H67:H68"/>
    <mergeCell ref="K61:K62"/>
    <mergeCell ref="E64:E65"/>
    <mergeCell ref="F64:F65"/>
    <mergeCell ref="G64:G65"/>
    <mergeCell ref="H64:H65"/>
    <mergeCell ref="I64:I65"/>
    <mergeCell ref="J64:J65"/>
    <mergeCell ref="K64:K65"/>
    <mergeCell ref="E61:E62"/>
    <mergeCell ref="F61:F62"/>
    <mergeCell ref="G61:G62"/>
    <mergeCell ref="H61:H62"/>
    <mergeCell ref="I61:I62"/>
    <mergeCell ref="J61:J62"/>
    <mergeCell ref="G34:G35"/>
    <mergeCell ref="H34:H35"/>
    <mergeCell ref="I34:I35"/>
    <mergeCell ref="E58:E59"/>
    <mergeCell ref="H58:H59"/>
    <mergeCell ref="I58:I59"/>
    <mergeCell ref="J58:J59"/>
    <mergeCell ref="E40:E41"/>
    <mergeCell ref="F40:F41"/>
    <mergeCell ref="G40:G41"/>
    <mergeCell ref="J46:J47"/>
    <mergeCell ref="E34:E35"/>
    <mergeCell ref="F34:F35"/>
    <mergeCell ref="K58:K59"/>
    <mergeCell ref="E46:E47"/>
    <mergeCell ref="F46:F47"/>
    <mergeCell ref="G46:G47"/>
    <mergeCell ref="E31:E32"/>
    <mergeCell ref="F31:F32"/>
    <mergeCell ref="J34:J35"/>
    <mergeCell ref="K34:K35"/>
    <mergeCell ref="H40:H41"/>
    <mergeCell ref="I40:I41"/>
    <mergeCell ref="J40:J41"/>
    <mergeCell ref="K40:K41"/>
    <mergeCell ref="E125:E126"/>
    <mergeCell ref="F125:F126"/>
    <mergeCell ref="G125:G126"/>
    <mergeCell ref="E116:E117"/>
    <mergeCell ref="F116:F117"/>
    <mergeCell ref="G116:G117"/>
    <mergeCell ref="H116:H117"/>
    <mergeCell ref="I116:J117"/>
    <mergeCell ref="E104:E105"/>
    <mergeCell ref="F104:F105"/>
    <mergeCell ref="H125:H126"/>
    <mergeCell ref="I125:J126"/>
    <mergeCell ref="H104:H105"/>
    <mergeCell ref="I104:J105"/>
    <mergeCell ref="K46:K47"/>
    <mergeCell ref="H52:H53"/>
    <mergeCell ref="I67:I68"/>
    <mergeCell ref="J67:J68"/>
    <mergeCell ref="K67:K68"/>
    <mergeCell ref="F16:F17"/>
    <mergeCell ref="G16:G17"/>
    <mergeCell ref="H16:H17"/>
    <mergeCell ref="I16:I17"/>
    <mergeCell ref="J16:J17"/>
    <mergeCell ref="K22:K23"/>
    <mergeCell ref="F25:F26"/>
    <mergeCell ref="G25:G26"/>
    <mergeCell ref="H25:H26"/>
    <mergeCell ref="I25:I26"/>
    <mergeCell ref="F22:F23"/>
    <mergeCell ref="J25:J26"/>
    <mergeCell ref="K25:K26"/>
    <mergeCell ref="K28:K29"/>
    <mergeCell ref="G31:G32"/>
    <mergeCell ref="H31:H32"/>
    <mergeCell ref="I31:I32"/>
    <mergeCell ref="J31:J32"/>
    <mergeCell ref="K31:K32"/>
    <mergeCell ref="F58:F59"/>
    <mergeCell ref="G58:G59"/>
    <mergeCell ref="G22:G23"/>
    <mergeCell ref="H22:H23"/>
    <mergeCell ref="I22:I23"/>
    <mergeCell ref="J22:J23"/>
    <mergeCell ref="E28:E29"/>
    <mergeCell ref="F28:F29"/>
    <mergeCell ref="G28:G29"/>
    <mergeCell ref="H28:H29"/>
    <mergeCell ref="I28:I29"/>
    <mergeCell ref="J28:J29"/>
    <mergeCell ref="E25:E26"/>
    <mergeCell ref="E22:E23"/>
    <mergeCell ref="G7:G8"/>
    <mergeCell ref="H7:H8"/>
    <mergeCell ref="I7:I8"/>
    <mergeCell ref="J7:J8"/>
    <mergeCell ref="K7:K8"/>
    <mergeCell ref="K16:K17"/>
    <mergeCell ref="E19:E20"/>
    <mergeCell ref="F19:F20"/>
    <mergeCell ref="G19:G20"/>
    <mergeCell ref="H19:H20"/>
    <mergeCell ref="I19:I20"/>
    <mergeCell ref="J19:J20"/>
    <mergeCell ref="K19:K20"/>
    <mergeCell ref="I10:I11"/>
    <mergeCell ref="J10:J11"/>
    <mergeCell ref="K10:K11"/>
    <mergeCell ref="E13:E14"/>
    <mergeCell ref="F13:F14"/>
    <mergeCell ref="G13:G14"/>
    <mergeCell ref="H13:H14"/>
    <mergeCell ref="I13:I14"/>
    <mergeCell ref="J13:J14"/>
    <mergeCell ref="K13:K14"/>
    <mergeCell ref="E16:E17"/>
    <mergeCell ref="E10:E11"/>
    <mergeCell ref="F10:F11"/>
    <mergeCell ref="G10:G11"/>
    <mergeCell ref="H10:H11"/>
    <mergeCell ref="E2:K2"/>
    <mergeCell ref="E4:E5"/>
    <mergeCell ref="F4:F5"/>
    <mergeCell ref="K116:K117"/>
    <mergeCell ref="E119:E120"/>
    <mergeCell ref="F119:F120"/>
    <mergeCell ref="G119:G120"/>
    <mergeCell ref="H119:H120"/>
    <mergeCell ref="I119:J120"/>
    <mergeCell ref="E110:E111"/>
    <mergeCell ref="F110:F111"/>
    <mergeCell ref="G110:G111"/>
    <mergeCell ref="H110:H111"/>
    <mergeCell ref="G4:G5"/>
    <mergeCell ref="H4:H5"/>
    <mergeCell ref="I4:I5"/>
    <mergeCell ref="J4:J5"/>
    <mergeCell ref="K4:K5"/>
    <mergeCell ref="E7:E8"/>
    <mergeCell ref="F7:F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3C9FF-2C56-4624-8134-CE76ABCBE777}">
  <dimension ref="A1:AM249"/>
  <sheetViews>
    <sheetView workbookViewId="0">
      <selection activeCell="A4" sqref="A4"/>
    </sheetView>
  </sheetViews>
  <sheetFormatPr baseColWidth="10" defaultColWidth="9" defaultRowHeight="15.75" x14ac:dyDescent="0.25"/>
  <cols>
    <col min="1" max="1" width="22.5" style="842" customWidth="1"/>
    <col min="2" max="2" width="20.5" style="842" customWidth="1"/>
    <col min="3" max="3" width="13.5" style="842" customWidth="1"/>
    <col min="4" max="4" width="14.5" style="842" customWidth="1"/>
    <col min="5" max="5" width="12.25" style="842" customWidth="1"/>
    <col min="6" max="8" width="0.875" style="842" customWidth="1"/>
    <col min="9" max="9" width="30" style="842" customWidth="1"/>
    <col min="10" max="12" width="0.875" style="842" customWidth="1"/>
    <col min="13" max="13" width="32" style="842" customWidth="1"/>
    <col min="14" max="16" width="0.875" style="842" customWidth="1"/>
    <col min="17" max="17" width="30.25" style="842" customWidth="1"/>
    <col min="18" max="20" width="0.875" style="842" customWidth="1"/>
    <col min="21" max="21" width="32" style="842" customWidth="1"/>
    <col min="22" max="24" width="0.875" style="842" customWidth="1"/>
    <col min="25" max="25" width="28" style="842" customWidth="1"/>
    <col min="26" max="28" width="0.875" style="842" customWidth="1"/>
    <col min="29" max="29" width="28" style="842" customWidth="1"/>
    <col min="30" max="32" width="0.875" style="842" customWidth="1"/>
    <col min="33" max="33" width="31" style="842" customWidth="1"/>
    <col min="34" max="34" width="28" style="842" customWidth="1"/>
    <col min="35" max="35" width="50.5" style="842" customWidth="1"/>
    <col min="36" max="36" width="9" style="842"/>
    <col min="37" max="37" width="25.75" style="842" customWidth="1"/>
    <col min="38" max="38" width="9" style="842"/>
    <col min="39" max="39" width="27.625" style="842" customWidth="1"/>
    <col min="40" max="16384" width="9" style="842"/>
  </cols>
  <sheetData>
    <row r="1" spans="1:39" ht="30" customHeight="1" x14ac:dyDescent="0.25">
      <c r="A1" s="840"/>
      <c r="B1" s="840"/>
      <c r="C1" s="840"/>
      <c r="D1" s="840"/>
      <c r="E1" s="840"/>
      <c r="F1" s="840"/>
      <c r="G1" s="840"/>
      <c r="H1" s="840"/>
      <c r="I1" s="840" t="s">
        <v>6582</v>
      </c>
      <c r="J1" s="840"/>
      <c r="K1" s="840"/>
      <c r="L1" s="840"/>
      <c r="M1" s="840"/>
      <c r="N1" s="840"/>
      <c r="O1" s="840"/>
      <c r="P1" s="840"/>
      <c r="Q1" s="840"/>
      <c r="R1" s="840"/>
      <c r="S1" s="840"/>
      <c r="T1" s="840"/>
      <c r="U1" s="840"/>
      <c r="V1" s="840"/>
      <c r="W1" s="840"/>
      <c r="X1" s="840"/>
      <c r="Y1" s="840"/>
      <c r="Z1" s="840"/>
      <c r="AA1" s="840"/>
      <c r="AB1" s="840"/>
      <c r="AC1" s="840"/>
      <c r="AD1" s="840"/>
      <c r="AE1" s="840"/>
      <c r="AF1" s="840"/>
      <c r="AG1" s="840"/>
      <c r="AH1" s="840"/>
      <c r="AI1" s="840"/>
      <c r="AJ1" s="841"/>
      <c r="AK1" s="841"/>
    </row>
    <row r="2" spans="1:39" x14ac:dyDescent="0.25">
      <c r="A2" s="213"/>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row>
    <row r="3" spans="1:39" ht="30" customHeight="1" x14ac:dyDescent="0.25">
      <c r="B3" s="843"/>
      <c r="C3" s="844" t="s">
        <v>5439</v>
      </c>
      <c r="D3" s="845" t="s">
        <v>5440</v>
      </c>
      <c r="E3" s="843"/>
      <c r="F3" s="843"/>
      <c r="G3" s="843"/>
      <c r="H3" s="843"/>
      <c r="I3" s="843"/>
      <c r="J3" s="843"/>
      <c r="K3" s="843"/>
      <c r="L3" s="843"/>
      <c r="M3" s="843"/>
      <c r="N3" s="843"/>
      <c r="O3" s="843"/>
      <c r="P3" s="843"/>
      <c r="Q3" s="843"/>
      <c r="R3" s="843"/>
      <c r="S3" s="843"/>
      <c r="T3" s="843"/>
      <c r="U3" s="843"/>
      <c r="V3" s="843"/>
      <c r="W3" s="843"/>
      <c r="X3" s="843"/>
      <c r="Y3" s="843"/>
      <c r="Z3" s="843"/>
      <c r="AA3" s="843"/>
      <c r="AB3" s="843"/>
      <c r="AC3" s="843"/>
      <c r="AD3" s="843"/>
      <c r="AE3" s="843"/>
      <c r="AF3" s="843"/>
      <c r="AG3" s="843"/>
      <c r="AH3" s="843"/>
      <c r="AI3" s="843"/>
      <c r="AJ3" s="213"/>
      <c r="AK3" s="213"/>
    </row>
    <row r="4" spans="1:39" ht="30" customHeight="1" x14ac:dyDescent="0.25">
      <c r="B4" s="843"/>
      <c r="C4" s="844" t="s">
        <v>5441</v>
      </c>
      <c r="D4" s="845" t="s">
        <v>5442</v>
      </c>
      <c r="E4" s="843"/>
      <c r="F4" s="843"/>
      <c r="G4" s="843"/>
      <c r="H4" s="843"/>
      <c r="I4" s="843"/>
      <c r="J4" s="843"/>
      <c r="K4" s="843"/>
      <c r="L4" s="843"/>
      <c r="M4" s="843"/>
      <c r="N4" s="843"/>
      <c r="O4" s="843"/>
      <c r="P4" s="843"/>
      <c r="Q4" s="843"/>
      <c r="R4" s="843"/>
      <c r="S4" s="843"/>
      <c r="T4" s="843"/>
      <c r="U4" s="843"/>
      <c r="V4" s="843"/>
      <c r="W4" s="843"/>
      <c r="X4" s="843"/>
      <c r="Y4" s="843"/>
      <c r="Z4" s="843"/>
      <c r="AA4" s="843"/>
      <c r="AB4" s="843"/>
      <c r="AC4" s="843"/>
      <c r="AD4" s="843"/>
      <c r="AE4" s="843"/>
      <c r="AF4" s="843"/>
      <c r="AG4" s="843"/>
      <c r="AH4" s="843"/>
      <c r="AI4" s="843"/>
      <c r="AJ4" s="213"/>
      <c r="AK4" s="213"/>
    </row>
    <row r="5" spans="1:39" ht="30" customHeight="1" x14ac:dyDescent="0.25">
      <c r="B5" s="843"/>
      <c r="C5" s="844" t="s">
        <v>5443</v>
      </c>
      <c r="D5" s="845" t="s">
        <v>5444</v>
      </c>
      <c r="E5" s="843"/>
      <c r="F5" s="843"/>
      <c r="G5" s="843"/>
      <c r="H5" s="843"/>
      <c r="I5" s="843"/>
      <c r="J5" s="843"/>
      <c r="K5" s="843"/>
      <c r="L5" s="843"/>
      <c r="M5" s="843"/>
      <c r="N5" s="843"/>
      <c r="O5" s="843"/>
      <c r="P5" s="843"/>
      <c r="Q5" s="843"/>
      <c r="R5" s="843"/>
      <c r="S5" s="843"/>
      <c r="T5" s="843"/>
      <c r="U5" s="843"/>
      <c r="V5" s="843"/>
      <c r="W5" s="843"/>
      <c r="X5" s="843"/>
      <c r="Y5" s="843"/>
      <c r="Z5" s="843"/>
      <c r="AA5" s="843"/>
      <c r="AB5" s="843"/>
      <c r="AC5" s="843"/>
      <c r="AD5" s="843"/>
      <c r="AE5" s="843"/>
      <c r="AF5" s="843"/>
      <c r="AG5" s="843"/>
      <c r="AH5" s="843"/>
      <c r="AI5" s="843"/>
      <c r="AJ5" s="213"/>
      <c r="AK5" s="213"/>
    </row>
    <row r="6" spans="1:39" ht="30" customHeight="1" x14ac:dyDescent="0.25">
      <c r="B6" s="846"/>
      <c r="C6" s="847" t="s">
        <v>5445</v>
      </c>
      <c r="D6" s="848" t="s">
        <v>5446</v>
      </c>
      <c r="E6" s="846"/>
      <c r="F6" s="846"/>
      <c r="G6" s="846"/>
      <c r="H6" s="846"/>
      <c r="I6" s="846"/>
      <c r="J6" s="846"/>
      <c r="K6" s="846"/>
      <c r="L6" s="846"/>
      <c r="M6" s="846"/>
      <c r="N6" s="846"/>
      <c r="O6" s="846"/>
      <c r="P6" s="846"/>
      <c r="Q6" s="846"/>
      <c r="R6" s="846"/>
      <c r="S6" s="846"/>
      <c r="T6" s="846"/>
      <c r="U6" s="846"/>
      <c r="V6" s="846"/>
      <c r="W6" s="846"/>
      <c r="X6" s="846"/>
      <c r="Y6" s="846"/>
      <c r="Z6" s="846"/>
      <c r="AA6" s="846"/>
      <c r="AB6" s="846"/>
      <c r="AC6" s="846"/>
      <c r="AD6" s="846"/>
      <c r="AE6" s="846"/>
      <c r="AF6" s="846"/>
      <c r="AG6" s="846"/>
      <c r="AH6" s="846"/>
      <c r="AI6" s="846"/>
      <c r="AJ6" s="213"/>
      <c r="AK6" s="213"/>
    </row>
    <row r="7" spans="1:39" ht="18.75" x14ac:dyDescent="0.25">
      <c r="A7" s="811" t="s">
        <v>5254</v>
      </c>
      <c r="B7" s="811" t="s">
        <v>5447</v>
      </c>
      <c r="C7" s="811" t="s">
        <v>5448</v>
      </c>
      <c r="D7" s="811" t="s">
        <v>5449</v>
      </c>
      <c r="E7" s="811" t="s">
        <v>5</v>
      </c>
      <c r="F7" s="811"/>
      <c r="G7" s="811"/>
      <c r="H7" s="811"/>
      <c r="I7" s="811" t="s">
        <v>5450</v>
      </c>
      <c r="J7" s="811"/>
      <c r="K7" s="811"/>
      <c r="L7" s="811"/>
      <c r="M7" s="811" t="s">
        <v>5451</v>
      </c>
      <c r="N7" s="811"/>
      <c r="O7" s="811"/>
      <c r="P7" s="811"/>
      <c r="Q7" s="811" t="s">
        <v>5452</v>
      </c>
      <c r="R7" s="811"/>
      <c r="S7" s="811"/>
      <c r="T7" s="811"/>
      <c r="U7" s="811" t="s">
        <v>5453</v>
      </c>
      <c r="V7" s="811"/>
      <c r="W7" s="811"/>
      <c r="X7" s="811"/>
      <c r="Y7" s="811" t="s">
        <v>5129</v>
      </c>
      <c r="Z7" s="811"/>
      <c r="AA7" s="811"/>
      <c r="AB7" s="811"/>
      <c r="AC7" s="811" t="s">
        <v>5454</v>
      </c>
      <c r="AD7" s="811"/>
      <c r="AE7" s="811"/>
      <c r="AF7" s="811"/>
      <c r="AG7" s="811" t="s">
        <v>5455</v>
      </c>
      <c r="AH7" s="811" t="s">
        <v>5456</v>
      </c>
      <c r="AI7" s="811" t="s">
        <v>5457</v>
      </c>
      <c r="AJ7" s="213"/>
      <c r="AK7" s="811" t="s">
        <v>5582</v>
      </c>
      <c r="AM7" s="811" t="s">
        <v>5582</v>
      </c>
    </row>
    <row r="8" spans="1:39" x14ac:dyDescent="0.25">
      <c r="A8" s="270"/>
      <c r="B8" s="270"/>
      <c r="C8" s="270"/>
      <c r="D8" s="270"/>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13"/>
      <c r="AK8" s="213"/>
    </row>
    <row r="9" spans="1:39" ht="9.9499999999999993" customHeight="1" x14ac:dyDescent="0.25">
      <c r="A9" s="1616">
        <v>1</v>
      </c>
      <c r="B9" s="1617">
        <v>1</v>
      </c>
      <c r="C9" s="1574" t="s">
        <v>5458</v>
      </c>
      <c r="D9" s="1574" t="s">
        <v>5459</v>
      </c>
      <c r="E9" s="1574" t="s">
        <v>6580</v>
      </c>
      <c r="F9" s="849"/>
      <c r="G9" s="849"/>
      <c r="H9" s="849"/>
      <c r="I9" s="1652"/>
      <c r="J9" s="849"/>
      <c r="K9" s="849"/>
      <c r="L9" s="849"/>
      <c r="M9" s="1652"/>
      <c r="N9" s="849"/>
      <c r="O9" s="849"/>
      <c r="P9" s="849"/>
      <c r="Q9" s="1652"/>
      <c r="R9" s="849"/>
      <c r="S9" s="849"/>
      <c r="T9" s="849"/>
      <c r="U9" s="1652"/>
      <c r="V9" s="849"/>
      <c r="W9" s="849"/>
      <c r="X9" s="849"/>
      <c r="Y9" s="1652"/>
      <c r="Z9" s="849"/>
      <c r="AA9" s="849"/>
      <c r="AB9" s="849"/>
      <c r="AC9" s="1652"/>
      <c r="AD9" s="849"/>
      <c r="AE9" s="849"/>
      <c r="AF9" s="849"/>
      <c r="AG9" s="1646"/>
      <c r="AH9" s="1646"/>
      <c r="AI9" s="1655"/>
      <c r="AJ9" s="213"/>
      <c r="AK9" s="1610" t="s">
        <v>5346</v>
      </c>
      <c r="AM9" s="1574" t="s">
        <v>5587</v>
      </c>
    </row>
    <row r="10" spans="1:39" ht="9.9499999999999993" customHeight="1" x14ac:dyDescent="0.25">
      <c r="A10" s="1616"/>
      <c r="B10" s="1617"/>
      <c r="C10" s="1575"/>
      <c r="D10" s="1575"/>
      <c r="E10" s="1575"/>
      <c r="F10" s="850"/>
      <c r="G10" s="851"/>
      <c r="H10" s="850"/>
      <c r="I10" s="1653"/>
      <c r="J10" s="850"/>
      <c r="K10" s="851"/>
      <c r="L10" s="850"/>
      <c r="M10" s="1653"/>
      <c r="N10" s="850"/>
      <c r="O10" s="851"/>
      <c r="P10" s="850"/>
      <c r="Q10" s="1653"/>
      <c r="R10" s="850"/>
      <c r="S10" s="851"/>
      <c r="T10" s="850"/>
      <c r="U10" s="1653"/>
      <c r="V10" s="850"/>
      <c r="W10" s="851"/>
      <c r="X10" s="850"/>
      <c r="Y10" s="1653"/>
      <c r="Z10" s="850"/>
      <c r="AA10" s="851"/>
      <c r="AB10" s="850"/>
      <c r="AC10" s="1653"/>
      <c r="AD10" s="850"/>
      <c r="AE10" s="851"/>
      <c r="AF10" s="850"/>
      <c r="AG10" s="1647"/>
      <c r="AH10" s="1647"/>
      <c r="AI10" s="1656"/>
      <c r="AJ10" s="213"/>
      <c r="AK10" s="1611"/>
      <c r="AM10" s="1575"/>
    </row>
    <row r="11" spans="1:39" ht="9.9499999999999993" customHeight="1" x14ac:dyDescent="0.25">
      <c r="A11" s="1616"/>
      <c r="B11" s="1617"/>
      <c r="C11" s="1576"/>
      <c r="D11" s="1576"/>
      <c r="E11" s="1576"/>
      <c r="F11" s="849"/>
      <c r="G11" s="849"/>
      <c r="H11" s="849"/>
      <c r="I11" s="1654"/>
      <c r="J11" s="849"/>
      <c r="K11" s="849"/>
      <c r="L11" s="849"/>
      <c r="M11" s="1654"/>
      <c r="N11" s="849"/>
      <c r="O11" s="849"/>
      <c r="P11" s="849"/>
      <c r="Q11" s="1654"/>
      <c r="R11" s="849"/>
      <c r="S11" s="849"/>
      <c r="T11" s="849"/>
      <c r="U11" s="1654"/>
      <c r="V11" s="849"/>
      <c r="W11" s="849"/>
      <c r="X11" s="849"/>
      <c r="Y11" s="1654"/>
      <c r="Z11" s="849"/>
      <c r="AA11" s="849"/>
      <c r="AB11" s="849"/>
      <c r="AC11" s="1654"/>
      <c r="AD11" s="849"/>
      <c r="AE11" s="849"/>
      <c r="AF11" s="849"/>
      <c r="AG11" s="1648"/>
      <c r="AH11" s="1648"/>
      <c r="AI11" s="1657"/>
      <c r="AJ11" s="213"/>
      <c r="AK11" s="1612"/>
      <c r="AM11" s="1576"/>
    </row>
    <row r="12" spans="1:39" ht="9.9499999999999993" customHeight="1" x14ac:dyDescent="0.25">
      <c r="A12" s="270"/>
      <c r="B12" s="270"/>
      <c r="C12" s="270"/>
      <c r="D12" s="270"/>
      <c r="E12" s="270"/>
      <c r="F12" s="270"/>
      <c r="G12" s="270"/>
      <c r="H12" s="270"/>
      <c r="I12" s="270"/>
      <c r="J12" s="270"/>
      <c r="K12" s="270"/>
      <c r="L12" s="270"/>
      <c r="M12" s="852"/>
      <c r="N12" s="270"/>
      <c r="O12" s="270"/>
      <c r="P12" s="270"/>
      <c r="Q12" s="852"/>
      <c r="R12" s="270"/>
      <c r="S12" s="270"/>
      <c r="T12" s="270"/>
      <c r="U12" s="852"/>
      <c r="V12" s="270"/>
      <c r="W12" s="270"/>
      <c r="X12" s="270"/>
      <c r="Y12" s="852"/>
      <c r="Z12" s="270"/>
      <c r="AA12" s="270"/>
      <c r="AB12" s="270"/>
      <c r="AC12" s="852"/>
      <c r="AD12" s="270"/>
      <c r="AE12" s="270"/>
      <c r="AF12" s="270"/>
      <c r="AG12" s="853"/>
      <c r="AH12" s="853"/>
      <c r="AI12" s="854"/>
      <c r="AJ12" s="213"/>
      <c r="AK12" s="213"/>
      <c r="AM12" s="213"/>
    </row>
    <row r="13" spans="1:39" ht="9.9499999999999993" customHeight="1" x14ac:dyDescent="0.25">
      <c r="A13" s="1616">
        <v>2</v>
      </c>
      <c r="B13" s="1617">
        <v>1</v>
      </c>
      <c r="C13" s="1574" t="s">
        <v>5463</v>
      </c>
      <c r="D13" s="1574" t="s">
        <v>5459</v>
      </c>
      <c r="E13" s="1574" t="s">
        <v>6580</v>
      </c>
      <c r="F13" s="849"/>
      <c r="G13" s="849"/>
      <c r="H13" s="849"/>
      <c r="I13" s="1652"/>
      <c r="J13" s="849"/>
      <c r="K13" s="849"/>
      <c r="L13" s="849"/>
      <c r="M13" s="1652"/>
      <c r="N13" s="849"/>
      <c r="O13" s="849"/>
      <c r="P13" s="849"/>
      <c r="Q13" s="1652"/>
      <c r="R13" s="849"/>
      <c r="S13" s="849"/>
      <c r="T13" s="849"/>
      <c r="U13" s="1652"/>
      <c r="V13" s="849"/>
      <c r="W13" s="849"/>
      <c r="X13" s="849"/>
      <c r="Y13" s="1652"/>
      <c r="Z13" s="849"/>
      <c r="AA13" s="849"/>
      <c r="AB13" s="849"/>
      <c r="AC13" s="1652"/>
      <c r="AD13" s="849"/>
      <c r="AE13" s="849"/>
      <c r="AF13" s="849"/>
      <c r="AG13" s="1646"/>
      <c r="AH13" s="1646"/>
      <c r="AI13" s="1655"/>
      <c r="AJ13" s="213"/>
      <c r="AK13" s="1610" t="s">
        <v>5394</v>
      </c>
      <c r="AM13" s="1574" t="s">
        <v>5588</v>
      </c>
    </row>
    <row r="14" spans="1:39" ht="9.9499999999999993" customHeight="1" x14ac:dyDescent="0.25">
      <c r="A14" s="1616"/>
      <c r="B14" s="1617"/>
      <c r="C14" s="1575"/>
      <c r="D14" s="1575"/>
      <c r="E14" s="1575"/>
      <c r="F14" s="850"/>
      <c r="G14" s="851"/>
      <c r="H14" s="850"/>
      <c r="I14" s="1653"/>
      <c r="J14" s="850"/>
      <c r="K14" s="851"/>
      <c r="L14" s="850"/>
      <c r="M14" s="1653"/>
      <c r="N14" s="850"/>
      <c r="O14" s="851"/>
      <c r="P14" s="850"/>
      <c r="Q14" s="1653"/>
      <c r="R14" s="850"/>
      <c r="S14" s="851"/>
      <c r="T14" s="850"/>
      <c r="U14" s="1653"/>
      <c r="V14" s="850"/>
      <c r="W14" s="851"/>
      <c r="X14" s="850"/>
      <c r="Y14" s="1653"/>
      <c r="Z14" s="850"/>
      <c r="AA14" s="851"/>
      <c r="AB14" s="850"/>
      <c r="AC14" s="1653"/>
      <c r="AD14" s="850"/>
      <c r="AE14" s="851"/>
      <c r="AF14" s="850"/>
      <c r="AG14" s="1647"/>
      <c r="AH14" s="1647"/>
      <c r="AI14" s="1656"/>
      <c r="AJ14" s="213"/>
      <c r="AK14" s="1611"/>
      <c r="AM14" s="1575"/>
    </row>
    <row r="15" spans="1:39" ht="9.9499999999999993" customHeight="1" x14ac:dyDescent="0.25">
      <c r="A15" s="1616"/>
      <c r="B15" s="1617"/>
      <c r="C15" s="1576"/>
      <c r="D15" s="1576"/>
      <c r="E15" s="1576"/>
      <c r="F15" s="849"/>
      <c r="G15" s="849"/>
      <c r="H15" s="849"/>
      <c r="I15" s="1654"/>
      <c r="J15" s="849"/>
      <c r="K15" s="849"/>
      <c r="L15" s="849"/>
      <c r="M15" s="1654"/>
      <c r="N15" s="849"/>
      <c r="O15" s="849"/>
      <c r="P15" s="849"/>
      <c r="Q15" s="1654"/>
      <c r="R15" s="849"/>
      <c r="S15" s="849"/>
      <c r="T15" s="849"/>
      <c r="U15" s="1654"/>
      <c r="V15" s="849"/>
      <c r="W15" s="849"/>
      <c r="X15" s="849"/>
      <c r="Y15" s="1654"/>
      <c r="Z15" s="849"/>
      <c r="AA15" s="849"/>
      <c r="AB15" s="849"/>
      <c r="AC15" s="1654"/>
      <c r="AD15" s="849"/>
      <c r="AE15" s="849"/>
      <c r="AF15" s="849"/>
      <c r="AG15" s="1648"/>
      <c r="AH15" s="1648"/>
      <c r="AI15" s="1657"/>
      <c r="AJ15" s="213"/>
      <c r="AK15" s="1612"/>
      <c r="AM15" s="1576"/>
    </row>
    <row r="16" spans="1:39" ht="9.9499999999999993" customHeight="1" x14ac:dyDescent="0.25">
      <c r="A16" s="270"/>
      <c r="B16" s="270"/>
      <c r="C16" s="270"/>
      <c r="D16" s="270"/>
      <c r="E16" s="270"/>
      <c r="F16" s="270"/>
      <c r="G16" s="270"/>
      <c r="H16" s="270"/>
      <c r="I16" s="270"/>
      <c r="J16" s="270"/>
      <c r="K16" s="270"/>
      <c r="L16" s="270"/>
      <c r="M16" s="852"/>
      <c r="N16" s="270"/>
      <c r="O16" s="270"/>
      <c r="P16" s="270"/>
      <c r="Q16" s="852"/>
      <c r="R16" s="270"/>
      <c r="S16" s="270"/>
      <c r="T16" s="270"/>
      <c r="U16" s="852"/>
      <c r="V16" s="270"/>
      <c r="W16" s="270"/>
      <c r="X16" s="270"/>
      <c r="Y16" s="852"/>
      <c r="Z16" s="270"/>
      <c r="AA16" s="270"/>
      <c r="AB16" s="270"/>
      <c r="AC16" s="852"/>
      <c r="AD16" s="270"/>
      <c r="AE16" s="270"/>
      <c r="AF16" s="270"/>
      <c r="AG16" s="853"/>
      <c r="AH16" s="853"/>
      <c r="AI16" s="854"/>
      <c r="AJ16" s="213"/>
      <c r="AK16" s="213"/>
    </row>
    <row r="17" spans="1:39" ht="9.9499999999999993" customHeight="1" x14ac:dyDescent="0.25">
      <c r="A17" s="1616">
        <v>3</v>
      </c>
      <c r="B17" s="1617">
        <v>1</v>
      </c>
      <c r="C17" s="1574" t="s">
        <v>5464</v>
      </c>
      <c r="D17" s="1574" t="s">
        <v>5459</v>
      </c>
      <c r="E17" s="1574" t="s">
        <v>6580</v>
      </c>
      <c r="F17" s="849"/>
      <c r="G17" s="849"/>
      <c r="H17" s="849"/>
      <c r="I17" s="1652"/>
      <c r="J17" s="849"/>
      <c r="K17" s="849"/>
      <c r="L17" s="849"/>
      <c r="M17" s="1652"/>
      <c r="N17" s="849"/>
      <c r="O17" s="849"/>
      <c r="P17" s="849"/>
      <c r="Q17" s="1652"/>
      <c r="R17" s="849"/>
      <c r="S17" s="849"/>
      <c r="T17" s="849"/>
      <c r="U17" s="1652"/>
      <c r="V17" s="849"/>
      <c r="W17" s="849"/>
      <c r="X17" s="849"/>
      <c r="Y17" s="1652"/>
      <c r="Z17" s="849"/>
      <c r="AA17" s="849"/>
      <c r="AB17" s="849"/>
      <c r="AC17" s="1652"/>
      <c r="AD17" s="849"/>
      <c r="AE17" s="849"/>
      <c r="AF17" s="849"/>
      <c r="AG17" s="1646"/>
      <c r="AH17" s="1646"/>
      <c r="AI17" s="1655"/>
      <c r="AJ17" s="213"/>
      <c r="AK17" s="1586" t="s">
        <v>5355</v>
      </c>
      <c r="AM17" s="1574" t="s">
        <v>5458</v>
      </c>
    </row>
    <row r="18" spans="1:39" ht="9.9499999999999993" customHeight="1" x14ac:dyDescent="0.25">
      <c r="A18" s="1616"/>
      <c r="B18" s="1617"/>
      <c r="C18" s="1575"/>
      <c r="D18" s="1575"/>
      <c r="E18" s="1575"/>
      <c r="F18" s="850"/>
      <c r="G18" s="851"/>
      <c r="H18" s="850"/>
      <c r="I18" s="1653"/>
      <c r="J18" s="850"/>
      <c r="K18" s="851"/>
      <c r="L18" s="850"/>
      <c r="M18" s="1653"/>
      <c r="N18" s="850"/>
      <c r="O18" s="851"/>
      <c r="P18" s="850"/>
      <c r="Q18" s="1653"/>
      <c r="R18" s="850"/>
      <c r="S18" s="851"/>
      <c r="T18" s="850"/>
      <c r="U18" s="1653"/>
      <c r="V18" s="850"/>
      <c r="W18" s="851"/>
      <c r="X18" s="850"/>
      <c r="Y18" s="1653"/>
      <c r="Z18" s="850"/>
      <c r="AA18" s="851"/>
      <c r="AB18" s="850"/>
      <c r="AC18" s="1653"/>
      <c r="AD18" s="850"/>
      <c r="AE18" s="851"/>
      <c r="AF18" s="850"/>
      <c r="AG18" s="1647"/>
      <c r="AH18" s="1647"/>
      <c r="AI18" s="1656"/>
      <c r="AJ18" s="213"/>
      <c r="AK18" s="1587"/>
      <c r="AM18" s="1575"/>
    </row>
    <row r="19" spans="1:39" ht="9.9499999999999993" customHeight="1" x14ac:dyDescent="0.25">
      <c r="A19" s="1616"/>
      <c r="B19" s="1617"/>
      <c r="C19" s="1576"/>
      <c r="D19" s="1576"/>
      <c r="E19" s="1576"/>
      <c r="F19" s="849"/>
      <c r="G19" s="849"/>
      <c r="H19" s="849"/>
      <c r="I19" s="1654"/>
      <c r="J19" s="849"/>
      <c r="K19" s="849"/>
      <c r="L19" s="849"/>
      <c r="M19" s="1654"/>
      <c r="N19" s="849"/>
      <c r="O19" s="849"/>
      <c r="P19" s="849"/>
      <c r="Q19" s="1654"/>
      <c r="R19" s="849"/>
      <c r="S19" s="849"/>
      <c r="T19" s="849"/>
      <c r="U19" s="1654"/>
      <c r="V19" s="849"/>
      <c r="W19" s="849"/>
      <c r="X19" s="849"/>
      <c r="Y19" s="1654"/>
      <c r="Z19" s="849"/>
      <c r="AA19" s="849"/>
      <c r="AB19" s="849"/>
      <c r="AC19" s="1654"/>
      <c r="AD19" s="849"/>
      <c r="AE19" s="849"/>
      <c r="AF19" s="849"/>
      <c r="AG19" s="1648"/>
      <c r="AH19" s="1648"/>
      <c r="AI19" s="1657"/>
      <c r="AJ19" s="213"/>
      <c r="AK19" s="1588"/>
      <c r="AM19" s="1576"/>
    </row>
    <row r="20" spans="1:39" ht="9.9499999999999993" customHeight="1" x14ac:dyDescent="0.25">
      <c r="A20" s="270"/>
      <c r="B20" s="270"/>
      <c r="C20" s="270"/>
      <c r="D20" s="270"/>
      <c r="E20" s="270"/>
      <c r="F20" s="270"/>
      <c r="G20" s="270"/>
      <c r="H20" s="270"/>
      <c r="I20" s="270"/>
      <c r="J20" s="270"/>
      <c r="K20" s="270"/>
      <c r="L20" s="270"/>
      <c r="M20" s="852"/>
      <c r="N20" s="270"/>
      <c r="O20" s="270"/>
      <c r="P20" s="270"/>
      <c r="Q20" s="852"/>
      <c r="R20" s="270"/>
      <c r="S20" s="270"/>
      <c r="T20" s="270"/>
      <c r="U20" s="852"/>
      <c r="V20" s="270"/>
      <c r="W20" s="270"/>
      <c r="X20" s="270"/>
      <c r="Y20" s="852"/>
      <c r="Z20" s="270"/>
      <c r="AA20" s="270"/>
      <c r="AB20" s="270"/>
      <c r="AC20" s="852"/>
      <c r="AD20" s="270"/>
      <c r="AE20" s="270"/>
      <c r="AF20" s="270"/>
      <c r="AG20" s="853"/>
      <c r="AH20" s="853"/>
      <c r="AI20" s="854"/>
      <c r="AJ20" s="213"/>
      <c r="AK20" s="213"/>
      <c r="AM20" s="270"/>
    </row>
    <row r="21" spans="1:39" ht="9.9499999999999993" customHeight="1" x14ac:dyDescent="0.25">
      <c r="A21" s="1616">
        <v>4</v>
      </c>
      <c r="B21" s="1617">
        <v>1</v>
      </c>
      <c r="C21" s="1574" t="s">
        <v>5465</v>
      </c>
      <c r="D21" s="1574" t="s">
        <v>5459</v>
      </c>
      <c r="E21" s="1574" t="s">
        <v>6580</v>
      </c>
      <c r="F21" s="849"/>
      <c r="G21" s="849"/>
      <c r="H21" s="849"/>
      <c r="I21" s="1652"/>
      <c r="J21" s="849"/>
      <c r="K21" s="849"/>
      <c r="L21" s="849"/>
      <c r="M21" s="1652"/>
      <c r="N21" s="849"/>
      <c r="O21" s="849"/>
      <c r="P21" s="849"/>
      <c r="Q21" s="1652"/>
      <c r="R21" s="849"/>
      <c r="S21" s="849"/>
      <c r="T21" s="849"/>
      <c r="U21" s="1652"/>
      <c r="V21" s="849"/>
      <c r="W21" s="849"/>
      <c r="X21" s="849"/>
      <c r="Y21" s="1652"/>
      <c r="Z21" s="849"/>
      <c r="AA21" s="849"/>
      <c r="AB21" s="849"/>
      <c r="AC21" s="1652"/>
      <c r="AD21" s="849"/>
      <c r="AE21" s="849"/>
      <c r="AF21" s="849"/>
      <c r="AG21" s="1646"/>
      <c r="AH21" s="1646"/>
      <c r="AI21" s="1655"/>
      <c r="AJ21" s="213"/>
      <c r="AK21" s="1586" t="s">
        <v>5380</v>
      </c>
      <c r="AM21" s="1574" t="s">
        <v>5463</v>
      </c>
    </row>
    <row r="22" spans="1:39" ht="9.9499999999999993" customHeight="1" x14ac:dyDescent="0.25">
      <c r="A22" s="1616"/>
      <c r="B22" s="1617"/>
      <c r="C22" s="1575"/>
      <c r="D22" s="1575"/>
      <c r="E22" s="1575"/>
      <c r="F22" s="850"/>
      <c r="G22" s="851"/>
      <c r="H22" s="850"/>
      <c r="I22" s="1653"/>
      <c r="J22" s="850"/>
      <c r="K22" s="851"/>
      <c r="L22" s="850"/>
      <c r="M22" s="1653"/>
      <c r="N22" s="850"/>
      <c r="O22" s="851"/>
      <c r="P22" s="850"/>
      <c r="Q22" s="1653"/>
      <c r="R22" s="850"/>
      <c r="S22" s="851"/>
      <c r="T22" s="850"/>
      <c r="U22" s="1653"/>
      <c r="V22" s="850"/>
      <c r="W22" s="851"/>
      <c r="X22" s="850"/>
      <c r="Y22" s="1653"/>
      <c r="Z22" s="850"/>
      <c r="AA22" s="851"/>
      <c r="AB22" s="850"/>
      <c r="AC22" s="1653"/>
      <c r="AD22" s="850"/>
      <c r="AE22" s="851"/>
      <c r="AF22" s="850"/>
      <c r="AG22" s="1647"/>
      <c r="AH22" s="1647"/>
      <c r="AI22" s="1656"/>
      <c r="AJ22" s="213"/>
      <c r="AK22" s="1587"/>
      <c r="AM22" s="1575"/>
    </row>
    <row r="23" spans="1:39" ht="9.9499999999999993" customHeight="1" x14ac:dyDescent="0.25">
      <c r="A23" s="1616"/>
      <c r="B23" s="1617"/>
      <c r="C23" s="1576"/>
      <c r="D23" s="1576"/>
      <c r="E23" s="1576"/>
      <c r="F23" s="849"/>
      <c r="G23" s="849"/>
      <c r="H23" s="849"/>
      <c r="I23" s="1654"/>
      <c r="J23" s="849"/>
      <c r="K23" s="849"/>
      <c r="L23" s="849"/>
      <c r="M23" s="1654"/>
      <c r="N23" s="849"/>
      <c r="O23" s="849"/>
      <c r="P23" s="849"/>
      <c r="Q23" s="1654"/>
      <c r="R23" s="849"/>
      <c r="S23" s="849"/>
      <c r="T23" s="849"/>
      <c r="U23" s="1654"/>
      <c r="V23" s="849"/>
      <c r="W23" s="849"/>
      <c r="X23" s="849"/>
      <c r="Y23" s="1654"/>
      <c r="Z23" s="849"/>
      <c r="AA23" s="849"/>
      <c r="AB23" s="849"/>
      <c r="AC23" s="1654"/>
      <c r="AD23" s="849"/>
      <c r="AE23" s="849"/>
      <c r="AF23" s="849"/>
      <c r="AG23" s="1648"/>
      <c r="AH23" s="1648"/>
      <c r="AI23" s="1657"/>
      <c r="AJ23" s="213"/>
      <c r="AK23" s="1588"/>
      <c r="AM23" s="1576"/>
    </row>
    <row r="24" spans="1:39" ht="9.9499999999999993" customHeight="1" x14ac:dyDescent="0.25">
      <c r="A24" s="270"/>
      <c r="B24" s="270"/>
      <c r="C24" s="270"/>
      <c r="D24" s="270"/>
      <c r="E24" s="270"/>
      <c r="F24" s="270"/>
      <c r="G24" s="270"/>
      <c r="H24" s="270"/>
      <c r="I24" s="270"/>
      <c r="J24" s="270"/>
      <c r="K24" s="270"/>
      <c r="L24" s="270"/>
      <c r="M24" s="852"/>
      <c r="N24" s="270"/>
      <c r="O24" s="270"/>
      <c r="P24" s="270"/>
      <c r="Q24" s="852"/>
      <c r="R24" s="270"/>
      <c r="S24" s="270"/>
      <c r="T24" s="270"/>
      <c r="U24" s="852"/>
      <c r="V24" s="270"/>
      <c r="W24" s="270"/>
      <c r="X24" s="270"/>
      <c r="Y24" s="852"/>
      <c r="Z24" s="270"/>
      <c r="AA24" s="270"/>
      <c r="AB24" s="270"/>
      <c r="AC24" s="852"/>
      <c r="AD24" s="270"/>
      <c r="AE24" s="270"/>
      <c r="AF24" s="270"/>
      <c r="AG24" s="853"/>
      <c r="AH24" s="853"/>
      <c r="AI24" s="854"/>
      <c r="AJ24" s="213"/>
      <c r="AK24" s="213"/>
      <c r="AM24" s="270"/>
    </row>
    <row r="25" spans="1:39" ht="9.9499999999999993" customHeight="1" x14ac:dyDescent="0.25">
      <c r="A25" s="1616">
        <v>5</v>
      </c>
      <c r="B25" s="1617">
        <v>1</v>
      </c>
      <c r="C25" s="1574" t="s">
        <v>5466</v>
      </c>
      <c r="D25" s="1574" t="s">
        <v>5459</v>
      </c>
      <c r="E25" s="1574" t="s">
        <v>6580</v>
      </c>
      <c r="F25" s="849"/>
      <c r="G25" s="849"/>
      <c r="H25" s="849"/>
      <c r="I25" s="1652"/>
      <c r="J25" s="849"/>
      <c r="K25" s="849"/>
      <c r="L25" s="849"/>
      <c r="M25" s="1652"/>
      <c r="N25" s="849"/>
      <c r="O25" s="849"/>
      <c r="P25" s="849"/>
      <c r="Q25" s="1652"/>
      <c r="R25" s="849"/>
      <c r="S25" s="849"/>
      <c r="T25" s="849"/>
      <c r="U25" s="1652"/>
      <c r="V25" s="849"/>
      <c r="W25" s="849"/>
      <c r="X25" s="849"/>
      <c r="Y25" s="1652"/>
      <c r="Z25" s="849"/>
      <c r="AA25" s="849"/>
      <c r="AB25" s="849"/>
      <c r="AC25" s="1652"/>
      <c r="AD25" s="849"/>
      <c r="AE25" s="849"/>
      <c r="AF25" s="849"/>
      <c r="AG25" s="1646"/>
      <c r="AH25" s="1646"/>
      <c r="AI25" s="1655"/>
      <c r="AJ25" s="213"/>
      <c r="AK25" s="1511" t="s">
        <v>5474</v>
      </c>
      <c r="AM25" s="1574" t="s">
        <v>5464</v>
      </c>
    </row>
    <row r="26" spans="1:39" ht="9.9499999999999993" customHeight="1" x14ac:dyDescent="0.25">
      <c r="A26" s="1616"/>
      <c r="B26" s="1617"/>
      <c r="C26" s="1575"/>
      <c r="D26" s="1575"/>
      <c r="E26" s="1575"/>
      <c r="F26" s="850"/>
      <c r="G26" s="851"/>
      <c r="H26" s="850"/>
      <c r="I26" s="1653"/>
      <c r="J26" s="850"/>
      <c r="K26" s="851"/>
      <c r="L26" s="850"/>
      <c r="M26" s="1653"/>
      <c r="N26" s="850"/>
      <c r="O26" s="851"/>
      <c r="P26" s="850"/>
      <c r="Q26" s="1653"/>
      <c r="R26" s="850"/>
      <c r="S26" s="851"/>
      <c r="T26" s="850"/>
      <c r="U26" s="1653"/>
      <c r="V26" s="850"/>
      <c r="W26" s="851"/>
      <c r="X26" s="850"/>
      <c r="Y26" s="1653"/>
      <c r="Z26" s="850"/>
      <c r="AA26" s="851"/>
      <c r="AB26" s="850"/>
      <c r="AC26" s="1653"/>
      <c r="AD26" s="850"/>
      <c r="AE26" s="851"/>
      <c r="AF26" s="850"/>
      <c r="AG26" s="1647"/>
      <c r="AH26" s="1647"/>
      <c r="AI26" s="1656"/>
      <c r="AJ26" s="213"/>
      <c r="AK26" s="1645"/>
      <c r="AM26" s="1575"/>
    </row>
    <row r="27" spans="1:39" ht="9.9499999999999993" customHeight="1" x14ac:dyDescent="0.25">
      <c r="A27" s="1616"/>
      <c r="B27" s="1617"/>
      <c r="C27" s="1576"/>
      <c r="D27" s="1576"/>
      <c r="E27" s="1576"/>
      <c r="F27" s="849"/>
      <c r="G27" s="849"/>
      <c r="H27" s="849"/>
      <c r="I27" s="1654"/>
      <c r="J27" s="849"/>
      <c r="K27" s="849"/>
      <c r="L27" s="849"/>
      <c r="M27" s="1654"/>
      <c r="N27" s="849"/>
      <c r="O27" s="849"/>
      <c r="P27" s="849"/>
      <c r="Q27" s="1654"/>
      <c r="R27" s="849"/>
      <c r="S27" s="849"/>
      <c r="T27" s="849"/>
      <c r="U27" s="1654"/>
      <c r="V27" s="849"/>
      <c r="W27" s="849"/>
      <c r="X27" s="849"/>
      <c r="Y27" s="1654"/>
      <c r="Z27" s="849"/>
      <c r="AA27" s="849"/>
      <c r="AB27" s="849"/>
      <c r="AC27" s="1654"/>
      <c r="AD27" s="849"/>
      <c r="AE27" s="849"/>
      <c r="AF27" s="849"/>
      <c r="AG27" s="1648"/>
      <c r="AH27" s="1648"/>
      <c r="AI27" s="1657"/>
      <c r="AJ27" s="213"/>
      <c r="AK27" s="1512"/>
      <c r="AM27" s="1576"/>
    </row>
    <row r="28" spans="1:39" ht="9.9499999999999993" customHeight="1" x14ac:dyDescent="0.25">
      <c r="A28" s="270"/>
      <c r="B28" s="270"/>
      <c r="C28" s="270"/>
      <c r="D28" s="270"/>
      <c r="E28" s="270"/>
      <c r="F28" s="270"/>
      <c r="G28" s="270"/>
      <c r="H28" s="270"/>
      <c r="I28" s="270"/>
      <c r="J28" s="270"/>
      <c r="K28" s="270"/>
      <c r="L28" s="270"/>
      <c r="M28" s="852"/>
      <c r="N28" s="270"/>
      <c r="O28" s="270"/>
      <c r="P28" s="270"/>
      <c r="Q28" s="852"/>
      <c r="R28" s="270"/>
      <c r="S28" s="270"/>
      <c r="T28" s="270"/>
      <c r="U28" s="852"/>
      <c r="V28" s="270"/>
      <c r="W28" s="270"/>
      <c r="X28" s="270"/>
      <c r="Y28" s="852"/>
      <c r="Z28" s="270"/>
      <c r="AA28" s="270"/>
      <c r="AB28" s="270"/>
      <c r="AC28" s="852"/>
      <c r="AD28" s="270"/>
      <c r="AE28" s="270"/>
      <c r="AF28" s="270"/>
      <c r="AG28" s="853"/>
      <c r="AH28" s="853"/>
      <c r="AI28" s="854"/>
      <c r="AJ28" s="213"/>
      <c r="AK28" s="213"/>
      <c r="AM28" s="270"/>
    </row>
    <row r="29" spans="1:39" ht="9.9499999999999993" customHeight="1" x14ac:dyDescent="0.25">
      <c r="A29" s="1616">
        <v>6</v>
      </c>
      <c r="B29" s="1617">
        <v>1</v>
      </c>
      <c r="C29" s="1574" t="s">
        <v>5467</v>
      </c>
      <c r="D29" s="1574" t="s">
        <v>5459</v>
      </c>
      <c r="E29" s="1574" t="s">
        <v>6580</v>
      </c>
      <c r="F29" s="849"/>
      <c r="G29" s="849"/>
      <c r="H29" s="849"/>
      <c r="I29" s="1652"/>
      <c r="J29" s="849"/>
      <c r="K29" s="849"/>
      <c r="L29" s="849"/>
      <c r="M29" s="1652"/>
      <c r="N29" s="849"/>
      <c r="O29" s="849"/>
      <c r="P29" s="849"/>
      <c r="Q29" s="1652"/>
      <c r="R29" s="849"/>
      <c r="S29" s="849"/>
      <c r="T29" s="849"/>
      <c r="U29" s="1652"/>
      <c r="V29" s="849"/>
      <c r="W29" s="849"/>
      <c r="X29" s="849"/>
      <c r="Y29" s="1652"/>
      <c r="Z29" s="849"/>
      <c r="AA29" s="849"/>
      <c r="AB29" s="849"/>
      <c r="AC29" s="1652"/>
      <c r="AD29" s="849"/>
      <c r="AE29" s="849"/>
      <c r="AF29" s="849"/>
      <c r="AG29" s="1646"/>
      <c r="AH29" s="1646"/>
      <c r="AI29" s="1655"/>
      <c r="AJ29" s="213"/>
      <c r="AK29" s="1598" t="s">
        <v>5470</v>
      </c>
      <c r="AM29" s="1574" t="s">
        <v>5465</v>
      </c>
    </row>
    <row r="30" spans="1:39" ht="9.9499999999999993" customHeight="1" x14ac:dyDescent="0.25">
      <c r="A30" s="1616"/>
      <c r="B30" s="1617"/>
      <c r="C30" s="1575"/>
      <c r="D30" s="1575"/>
      <c r="E30" s="1575"/>
      <c r="F30" s="850"/>
      <c r="G30" s="851"/>
      <c r="H30" s="850"/>
      <c r="I30" s="1653"/>
      <c r="J30" s="850"/>
      <c r="K30" s="851"/>
      <c r="L30" s="850"/>
      <c r="M30" s="1653"/>
      <c r="N30" s="850"/>
      <c r="O30" s="851"/>
      <c r="P30" s="850"/>
      <c r="Q30" s="1653"/>
      <c r="R30" s="850"/>
      <c r="S30" s="851"/>
      <c r="T30" s="850"/>
      <c r="U30" s="1653"/>
      <c r="V30" s="850"/>
      <c r="W30" s="851"/>
      <c r="X30" s="850"/>
      <c r="Y30" s="1653"/>
      <c r="Z30" s="850"/>
      <c r="AA30" s="851"/>
      <c r="AB30" s="850"/>
      <c r="AC30" s="1653"/>
      <c r="AD30" s="850"/>
      <c r="AE30" s="851"/>
      <c r="AF30" s="850"/>
      <c r="AG30" s="1647"/>
      <c r="AH30" s="1647"/>
      <c r="AI30" s="1656"/>
      <c r="AJ30" s="213"/>
      <c r="AK30" s="1599"/>
      <c r="AM30" s="1575"/>
    </row>
    <row r="31" spans="1:39" ht="9.9499999999999993" customHeight="1" x14ac:dyDescent="0.25">
      <c r="A31" s="1616"/>
      <c r="B31" s="1617"/>
      <c r="C31" s="1576"/>
      <c r="D31" s="1576"/>
      <c r="E31" s="1576"/>
      <c r="F31" s="849"/>
      <c r="G31" s="849"/>
      <c r="H31" s="849"/>
      <c r="I31" s="1654"/>
      <c r="J31" s="849"/>
      <c r="K31" s="849"/>
      <c r="L31" s="849"/>
      <c r="M31" s="1654"/>
      <c r="N31" s="849"/>
      <c r="O31" s="849"/>
      <c r="P31" s="849"/>
      <c r="Q31" s="1654"/>
      <c r="R31" s="849"/>
      <c r="S31" s="849"/>
      <c r="T31" s="849"/>
      <c r="U31" s="1654"/>
      <c r="V31" s="849"/>
      <c r="W31" s="849"/>
      <c r="X31" s="849"/>
      <c r="Y31" s="1654"/>
      <c r="Z31" s="849"/>
      <c r="AA31" s="849"/>
      <c r="AB31" s="849"/>
      <c r="AC31" s="1654"/>
      <c r="AD31" s="849"/>
      <c r="AE31" s="849"/>
      <c r="AF31" s="849"/>
      <c r="AG31" s="1648"/>
      <c r="AH31" s="1648"/>
      <c r="AI31" s="1657"/>
      <c r="AJ31" s="213"/>
      <c r="AK31" s="1600"/>
      <c r="AM31" s="1576"/>
    </row>
    <row r="32" spans="1:39" ht="9.9499999999999993" customHeight="1" x14ac:dyDescent="0.25">
      <c r="A32" s="270"/>
      <c r="B32" s="270"/>
      <c r="C32" s="270"/>
      <c r="D32" s="270"/>
      <c r="E32" s="270"/>
      <c r="F32" s="270"/>
      <c r="G32" s="270"/>
      <c r="H32" s="270"/>
      <c r="I32" s="270"/>
      <c r="J32" s="270"/>
      <c r="K32" s="270"/>
      <c r="L32" s="270"/>
      <c r="M32" s="852"/>
      <c r="N32" s="270"/>
      <c r="O32" s="270"/>
      <c r="P32" s="270"/>
      <c r="Q32" s="852"/>
      <c r="R32" s="270"/>
      <c r="S32" s="270"/>
      <c r="T32" s="270"/>
      <c r="U32" s="852"/>
      <c r="V32" s="270"/>
      <c r="W32" s="270"/>
      <c r="X32" s="270"/>
      <c r="Y32" s="852"/>
      <c r="Z32" s="270"/>
      <c r="AA32" s="270"/>
      <c r="AB32" s="270"/>
      <c r="AC32" s="852"/>
      <c r="AD32" s="270"/>
      <c r="AE32" s="270"/>
      <c r="AF32" s="270"/>
      <c r="AG32" s="853"/>
      <c r="AH32" s="853"/>
      <c r="AI32" s="854"/>
      <c r="AJ32" s="213"/>
      <c r="AK32" s="213"/>
      <c r="AM32" s="270"/>
    </row>
    <row r="33" spans="1:39" ht="9.9499999999999993" customHeight="1" x14ac:dyDescent="0.25">
      <c r="A33" s="1616">
        <v>7</v>
      </c>
      <c r="B33" s="1617">
        <v>1</v>
      </c>
      <c r="C33" s="1574" t="s">
        <v>5468</v>
      </c>
      <c r="D33" s="1574" t="s">
        <v>5459</v>
      </c>
      <c r="E33" s="1574" t="s">
        <v>6580</v>
      </c>
      <c r="F33" s="849"/>
      <c r="G33" s="849"/>
      <c r="H33" s="849"/>
      <c r="I33" s="1652"/>
      <c r="J33" s="849"/>
      <c r="K33" s="849"/>
      <c r="L33" s="849"/>
      <c r="M33" s="1652"/>
      <c r="N33" s="849"/>
      <c r="O33" s="849"/>
      <c r="P33" s="849"/>
      <c r="Q33" s="1652"/>
      <c r="R33" s="849"/>
      <c r="S33" s="849"/>
      <c r="T33" s="849"/>
      <c r="U33" s="1652"/>
      <c r="V33" s="849"/>
      <c r="W33" s="849"/>
      <c r="X33" s="849"/>
      <c r="Y33" s="1652"/>
      <c r="Z33" s="849"/>
      <c r="AA33" s="849"/>
      <c r="AB33" s="849"/>
      <c r="AC33" s="1652"/>
      <c r="AD33" s="849"/>
      <c r="AE33" s="849"/>
      <c r="AF33" s="849"/>
      <c r="AG33" s="1646"/>
      <c r="AH33" s="1646"/>
      <c r="AI33" s="1655"/>
      <c r="AJ33" s="213"/>
      <c r="AK33" s="1497" t="s">
        <v>5350</v>
      </c>
      <c r="AM33" s="1574" t="s">
        <v>5466</v>
      </c>
    </row>
    <row r="34" spans="1:39" ht="9.9499999999999993" customHeight="1" x14ac:dyDescent="0.25">
      <c r="A34" s="1616"/>
      <c r="B34" s="1617"/>
      <c r="C34" s="1575"/>
      <c r="D34" s="1575"/>
      <c r="E34" s="1575"/>
      <c r="F34" s="850"/>
      <c r="G34" s="851"/>
      <c r="H34" s="850"/>
      <c r="I34" s="1653"/>
      <c r="J34" s="850"/>
      <c r="K34" s="851"/>
      <c r="L34" s="850"/>
      <c r="M34" s="1653"/>
      <c r="N34" s="850"/>
      <c r="O34" s="851"/>
      <c r="P34" s="850"/>
      <c r="Q34" s="1653"/>
      <c r="R34" s="850"/>
      <c r="S34" s="851"/>
      <c r="T34" s="850"/>
      <c r="U34" s="1653"/>
      <c r="V34" s="850"/>
      <c r="W34" s="851"/>
      <c r="X34" s="850"/>
      <c r="Y34" s="1653"/>
      <c r="Z34" s="850"/>
      <c r="AA34" s="851"/>
      <c r="AB34" s="850"/>
      <c r="AC34" s="1653"/>
      <c r="AD34" s="850"/>
      <c r="AE34" s="851"/>
      <c r="AF34" s="850"/>
      <c r="AG34" s="1647"/>
      <c r="AH34" s="1647"/>
      <c r="AI34" s="1656"/>
      <c r="AJ34" s="213"/>
      <c r="AK34" s="1637"/>
      <c r="AM34" s="1575"/>
    </row>
    <row r="35" spans="1:39" ht="9.9499999999999993" customHeight="1" x14ac:dyDescent="0.25">
      <c r="A35" s="1616"/>
      <c r="B35" s="1617"/>
      <c r="C35" s="1576"/>
      <c r="D35" s="1576"/>
      <c r="E35" s="1576"/>
      <c r="F35" s="849"/>
      <c r="G35" s="849"/>
      <c r="H35" s="849"/>
      <c r="I35" s="1654"/>
      <c r="J35" s="849"/>
      <c r="K35" s="849"/>
      <c r="L35" s="849"/>
      <c r="M35" s="1654"/>
      <c r="N35" s="849"/>
      <c r="O35" s="849"/>
      <c r="P35" s="849"/>
      <c r="Q35" s="1654"/>
      <c r="R35" s="849"/>
      <c r="S35" s="849"/>
      <c r="T35" s="849"/>
      <c r="U35" s="1654"/>
      <c r="V35" s="849"/>
      <c r="W35" s="849"/>
      <c r="X35" s="849"/>
      <c r="Y35" s="1654"/>
      <c r="Z35" s="849"/>
      <c r="AA35" s="849"/>
      <c r="AB35" s="849"/>
      <c r="AC35" s="1654"/>
      <c r="AD35" s="849"/>
      <c r="AE35" s="849"/>
      <c r="AF35" s="849"/>
      <c r="AG35" s="1648"/>
      <c r="AH35" s="1648"/>
      <c r="AI35" s="1657"/>
      <c r="AJ35" s="213"/>
      <c r="AK35" s="1498"/>
      <c r="AM35" s="1576"/>
    </row>
    <row r="36" spans="1:39" ht="9.9499999999999993" customHeight="1" x14ac:dyDescent="0.25">
      <c r="A36" s="270"/>
      <c r="B36" s="270"/>
      <c r="C36" s="270"/>
      <c r="D36" s="270"/>
      <c r="E36" s="270"/>
      <c r="F36" s="270"/>
      <c r="G36" s="270"/>
      <c r="H36" s="270"/>
      <c r="I36" s="270"/>
      <c r="J36" s="270"/>
      <c r="K36" s="270"/>
      <c r="L36" s="270"/>
      <c r="M36" s="852"/>
      <c r="N36" s="270"/>
      <c r="O36" s="270"/>
      <c r="P36" s="270"/>
      <c r="Q36" s="852"/>
      <c r="R36" s="270"/>
      <c r="S36" s="270"/>
      <c r="T36" s="270"/>
      <c r="U36" s="852"/>
      <c r="V36" s="270"/>
      <c r="W36" s="270"/>
      <c r="X36" s="270"/>
      <c r="Y36" s="852"/>
      <c r="Z36" s="270"/>
      <c r="AA36" s="270"/>
      <c r="AB36" s="270"/>
      <c r="AC36" s="852"/>
      <c r="AD36" s="270"/>
      <c r="AE36" s="270"/>
      <c r="AF36" s="270"/>
      <c r="AG36" s="853"/>
      <c r="AH36" s="853"/>
      <c r="AI36" s="854"/>
      <c r="AJ36" s="213"/>
      <c r="AK36" s="213"/>
      <c r="AM36" s="270"/>
    </row>
    <row r="37" spans="1:39" ht="9.9499999999999993" customHeight="1" x14ac:dyDescent="0.25">
      <c r="A37" s="1616">
        <v>8</v>
      </c>
      <c r="B37" s="1617">
        <v>2</v>
      </c>
      <c r="C37" s="1574" t="s">
        <v>5458</v>
      </c>
      <c r="D37" s="1574" t="s">
        <v>5459</v>
      </c>
      <c r="E37" s="1574" t="s">
        <v>6580</v>
      </c>
      <c r="F37" s="849"/>
      <c r="G37" s="849"/>
      <c r="H37" s="849"/>
      <c r="I37" s="1652"/>
      <c r="J37" s="849"/>
      <c r="K37" s="849"/>
      <c r="L37" s="849"/>
      <c r="M37" s="1652"/>
      <c r="N37" s="849"/>
      <c r="O37" s="849"/>
      <c r="P37" s="849"/>
      <c r="Q37" s="1652"/>
      <c r="R37" s="849"/>
      <c r="S37" s="849"/>
      <c r="T37" s="849"/>
      <c r="U37" s="1652"/>
      <c r="V37" s="849"/>
      <c r="W37" s="849"/>
      <c r="X37" s="849"/>
      <c r="Y37" s="1652"/>
      <c r="Z37" s="849"/>
      <c r="AA37" s="849"/>
      <c r="AB37" s="849"/>
      <c r="AC37" s="1652"/>
      <c r="AD37" s="849"/>
      <c r="AE37" s="849"/>
      <c r="AF37" s="849"/>
      <c r="AG37" s="1646"/>
      <c r="AH37" s="1646"/>
      <c r="AI37" s="1655"/>
      <c r="AJ37" s="213"/>
      <c r="AK37" s="1509" t="s">
        <v>5359</v>
      </c>
      <c r="AM37" s="1574" t="s">
        <v>5467</v>
      </c>
    </row>
    <row r="38" spans="1:39" ht="9.9499999999999993" customHeight="1" x14ac:dyDescent="0.25">
      <c r="A38" s="1616"/>
      <c r="B38" s="1617"/>
      <c r="C38" s="1575"/>
      <c r="D38" s="1575"/>
      <c r="E38" s="1575"/>
      <c r="F38" s="850"/>
      <c r="G38" s="851"/>
      <c r="H38" s="850"/>
      <c r="I38" s="1653"/>
      <c r="J38" s="850"/>
      <c r="K38" s="851"/>
      <c r="L38" s="850"/>
      <c r="M38" s="1653"/>
      <c r="N38" s="850"/>
      <c r="O38" s="851"/>
      <c r="P38" s="850"/>
      <c r="Q38" s="1653"/>
      <c r="R38" s="850"/>
      <c r="S38" s="851"/>
      <c r="T38" s="850"/>
      <c r="U38" s="1653"/>
      <c r="V38" s="850"/>
      <c r="W38" s="851"/>
      <c r="X38" s="850"/>
      <c r="Y38" s="1653"/>
      <c r="Z38" s="850"/>
      <c r="AA38" s="851"/>
      <c r="AB38" s="850"/>
      <c r="AC38" s="1653"/>
      <c r="AD38" s="850"/>
      <c r="AE38" s="851"/>
      <c r="AF38" s="850"/>
      <c r="AG38" s="1647"/>
      <c r="AH38" s="1647"/>
      <c r="AI38" s="1656"/>
      <c r="AJ38" s="213"/>
      <c r="AK38" s="1638"/>
      <c r="AM38" s="1575"/>
    </row>
    <row r="39" spans="1:39" ht="9.9499999999999993" customHeight="1" x14ac:dyDescent="0.25">
      <c r="A39" s="1616"/>
      <c r="B39" s="1617"/>
      <c r="C39" s="1576"/>
      <c r="D39" s="1576"/>
      <c r="E39" s="1576"/>
      <c r="F39" s="849"/>
      <c r="G39" s="849"/>
      <c r="H39" s="849"/>
      <c r="I39" s="1654"/>
      <c r="J39" s="849"/>
      <c r="K39" s="849"/>
      <c r="L39" s="849"/>
      <c r="M39" s="1654"/>
      <c r="N39" s="849"/>
      <c r="O39" s="849"/>
      <c r="P39" s="849"/>
      <c r="Q39" s="1654"/>
      <c r="R39" s="849"/>
      <c r="S39" s="849"/>
      <c r="T39" s="849"/>
      <c r="U39" s="1654"/>
      <c r="V39" s="849"/>
      <c r="W39" s="849"/>
      <c r="X39" s="849"/>
      <c r="Y39" s="1654"/>
      <c r="Z39" s="849"/>
      <c r="AA39" s="849"/>
      <c r="AB39" s="849"/>
      <c r="AC39" s="1654"/>
      <c r="AD39" s="849"/>
      <c r="AE39" s="849"/>
      <c r="AF39" s="849"/>
      <c r="AG39" s="1648"/>
      <c r="AH39" s="1648"/>
      <c r="AI39" s="1657"/>
      <c r="AJ39" s="213"/>
      <c r="AK39" s="1510"/>
      <c r="AM39" s="1576"/>
    </row>
    <row r="40" spans="1:39" ht="9.9499999999999993" customHeight="1" x14ac:dyDescent="0.25">
      <c r="A40" s="270"/>
      <c r="B40" s="270"/>
      <c r="C40" s="270"/>
      <c r="D40" s="270"/>
      <c r="E40" s="270"/>
      <c r="F40" s="270"/>
      <c r="G40" s="270"/>
      <c r="H40" s="270"/>
      <c r="I40" s="270"/>
      <c r="J40" s="270"/>
      <c r="K40" s="270"/>
      <c r="L40" s="270"/>
      <c r="M40" s="852"/>
      <c r="N40" s="270"/>
      <c r="O40" s="270"/>
      <c r="P40" s="270"/>
      <c r="Q40" s="852"/>
      <c r="R40" s="270"/>
      <c r="S40" s="270"/>
      <c r="T40" s="270"/>
      <c r="U40" s="852"/>
      <c r="V40" s="270"/>
      <c r="W40" s="270"/>
      <c r="X40" s="270"/>
      <c r="Y40" s="852"/>
      <c r="Z40" s="270"/>
      <c r="AA40" s="270"/>
      <c r="AB40" s="270"/>
      <c r="AC40" s="852"/>
      <c r="AD40" s="270"/>
      <c r="AE40" s="270"/>
      <c r="AF40" s="270"/>
      <c r="AG40" s="853"/>
      <c r="AH40" s="853"/>
      <c r="AI40" s="854"/>
      <c r="AJ40" s="213"/>
      <c r="AK40" s="213"/>
      <c r="AM40" s="270"/>
    </row>
    <row r="41" spans="1:39" ht="9.9499999999999993" customHeight="1" x14ac:dyDescent="0.25">
      <c r="A41" s="1616">
        <v>9</v>
      </c>
      <c r="B41" s="1617">
        <v>2</v>
      </c>
      <c r="C41" s="1574" t="s">
        <v>5463</v>
      </c>
      <c r="D41" s="1574" t="s">
        <v>5459</v>
      </c>
      <c r="E41" s="1574" t="s">
        <v>6580</v>
      </c>
      <c r="F41" s="849"/>
      <c r="G41" s="849"/>
      <c r="H41" s="849"/>
      <c r="I41" s="1652"/>
      <c r="J41" s="849"/>
      <c r="K41" s="849"/>
      <c r="L41" s="849"/>
      <c r="M41" s="1652"/>
      <c r="N41" s="849"/>
      <c r="O41" s="849"/>
      <c r="P41" s="849"/>
      <c r="Q41" s="1652"/>
      <c r="R41" s="849"/>
      <c r="S41" s="849"/>
      <c r="T41" s="849"/>
      <c r="U41" s="1652"/>
      <c r="V41" s="849"/>
      <c r="W41" s="849"/>
      <c r="X41" s="849"/>
      <c r="Y41" s="1652"/>
      <c r="Z41" s="849"/>
      <c r="AA41" s="849"/>
      <c r="AB41" s="849"/>
      <c r="AC41" s="1652"/>
      <c r="AD41" s="849"/>
      <c r="AE41" s="849"/>
      <c r="AF41" s="849"/>
      <c r="AG41" s="1646"/>
      <c r="AH41" s="1646"/>
      <c r="AI41" s="1655"/>
      <c r="AJ41" s="213"/>
      <c r="AK41" s="1509" t="s">
        <v>5367</v>
      </c>
      <c r="AM41" s="1574" t="s">
        <v>5468</v>
      </c>
    </row>
    <row r="42" spans="1:39" ht="9.9499999999999993" customHeight="1" x14ac:dyDescent="0.25">
      <c r="A42" s="1616"/>
      <c r="B42" s="1617"/>
      <c r="C42" s="1575"/>
      <c r="D42" s="1575"/>
      <c r="E42" s="1575"/>
      <c r="F42" s="850"/>
      <c r="G42" s="851"/>
      <c r="H42" s="850"/>
      <c r="I42" s="1653"/>
      <c r="J42" s="850"/>
      <c r="K42" s="851"/>
      <c r="L42" s="850"/>
      <c r="M42" s="1653"/>
      <c r="N42" s="850"/>
      <c r="O42" s="851"/>
      <c r="P42" s="850"/>
      <c r="Q42" s="1653"/>
      <c r="R42" s="850"/>
      <c r="S42" s="851"/>
      <c r="T42" s="850"/>
      <c r="U42" s="1653"/>
      <c r="V42" s="850"/>
      <c r="W42" s="851"/>
      <c r="X42" s="850"/>
      <c r="Y42" s="1653"/>
      <c r="Z42" s="850"/>
      <c r="AA42" s="851"/>
      <c r="AB42" s="850"/>
      <c r="AC42" s="1653"/>
      <c r="AD42" s="850"/>
      <c r="AE42" s="851"/>
      <c r="AF42" s="850"/>
      <c r="AG42" s="1647"/>
      <c r="AH42" s="1647"/>
      <c r="AI42" s="1656"/>
      <c r="AJ42" s="213"/>
      <c r="AK42" s="1638"/>
      <c r="AM42" s="1575"/>
    </row>
    <row r="43" spans="1:39" ht="9.9499999999999993" customHeight="1" x14ac:dyDescent="0.25">
      <c r="A43" s="1616"/>
      <c r="B43" s="1617"/>
      <c r="C43" s="1576"/>
      <c r="D43" s="1576"/>
      <c r="E43" s="1576"/>
      <c r="F43" s="849"/>
      <c r="G43" s="849"/>
      <c r="H43" s="849"/>
      <c r="I43" s="1654"/>
      <c r="J43" s="849"/>
      <c r="K43" s="849"/>
      <c r="L43" s="849"/>
      <c r="M43" s="1654"/>
      <c r="N43" s="849"/>
      <c r="O43" s="849"/>
      <c r="P43" s="849"/>
      <c r="Q43" s="1654"/>
      <c r="R43" s="849"/>
      <c r="S43" s="849"/>
      <c r="T43" s="849"/>
      <c r="U43" s="1654"/>
      <c r="V43" s="849"/>
      <c r="W43" s="849"/>
      <c r="X43" s="849"/>
      <c r="Y43" s="1654"/>
      <c r="Z43" s="849"/>
      <c r="AA43" s="849"/>
      <c r="AB43" s="849"/>
      <c r="AC43" s="1654"/>
      <c r="AD43" s="849"/>
      <c r="AE43" s="849"/>
      <c r="AF43" s="849"/>
      <c r="AG43" s="1648"/>
      <c r="AH43" s="1648"/>
      <c r="AI43" s="1657"/>
      <c r="AJ43" s="213"/>
      <c r="AK43" s="1510"/>
      <c r="AM43" s="1576"/>
    </row>
    <row r="44" spans="1:39" ht="9.9499999999999993" customHeight="1" x14ac:dyDescent="0.25">
      <c r="A44" s="270"/>
      <c r="B44" s="270"/>
      <c r="C44" s="270"/>
      <c r="D44" s="270"/>
      <c r="E44" s="270"/>
      <c r="F44" s="270"/>
      <c r="G44" s="270"/>
      <c r="H44" s="270"/>
      <c r="I44" s="270"/>
      <c r="J44" s="270"/>
      <c r="K44" s="270"/>
      <c r="L44" s="270"/>
      <c r="M44" s="852"/>
      <c r="N44" s="270"/>
      <c r="O44" s="270"/>
      <c r="P44" s="270"/>
      <c r="Q44" s="852"/>
      <c r="R44" s="270"/>
      <c r="S44" s="270"/>
      <c r="T44" s="270"/>
      <c r="U44" s="852"/>
      <c r="V44" s="270"/>
      <c r="W44" s="270"/>
      <c r="X44" s="270"/>
      <c r="Y44" s="852"/>
      <c r="Z44" s="270"/>
      <c r="AA44" s="270"/>
      <c r="AB44" s="270"/>
      <c r="AC44" s="852"/>
      <c r="AD44" s="270"/>
      <c r="AE44" s="270"/>
      <c r="AF44" s="270"/>
      <c r="AG44" s="853"/>
      <c r="AH44" s="853"/>
      <c r="AI44" s="854"/>
      <c r="AJ44" s="213"/>
      <c r="AK44" s="213"/>
    </row>
    <row r="45" spans="1:39" ht="9.9499999999999993" customHeight="1" x14ac:dyDescent="0.25">
      <c r="A45" s="1616">
        <v>10</v>
      </c>
      <c r="B45" s="1617">
        <v>2</v>
      </c>
      <c r="C45" s="1574" t="s">
        <v>5464</v>
      </c>
      <c r="D45" s="1574" t="s">
        <v>5459</v>
      </c>
      <c r="E45" s="1574" t="s">
        <v>6580</v>
      </c>
      <c r="F45" s="849"/>
      <c r="G45" s="849"/>
      <c r="H45" s="849"/>
      <c r="I45" s="1652"/>
      <c r="J45" s="849"/>
      <c r="K45" s="849"/>
      <c r="L45" s="849"/>
      <c r="M45" s="1652"/>
      <c r="N45" s="849"/>
      <c r="O45" s="849"/>
      <c r="P45" s="849"/>
      <c r="Q45" s="1652"/>
      <c r="R45" s="849"/>
      <c r="S45" s="849"/>
      <c r="T45" s="849"/>
      <c r="U45" s="1652"/>
      <c r="V45" s="849"/>
      <c r="W45" s="849"/>
      <c r="X45" s="849"/>
      <c r="Y45" s="1652"/>
      <c r="Z45" s="849"/>
      <c r="AA45" s="849"/>
      <c r="AB45" s="849"/>
      <c r="AC45" s="1652"/>
      <c r="AD45" s="849"/>
      <c r="AE45" s="849"/>
      <c r="AF45" s="849"/>
      <c r="AG45" s="1646"/>
      <c r="AH45" s="1646"/>
      <c r="AI45" s="1655"/>
      <c r="AJ45" s="213"/>
      <c r="AK45" s="1639" t="s">
        <v>5469</v>
      </c>
      <c r="AM45" s="1574" t="s">
        <v>5459</v>
      </c>
    </row>
    <row r="46" spans="1:39" ht="9.9499999999999993" customHeight="1" x14ac:dyDescent="0.25">
      <c r="A46" s="1616"/>
      <c r="B46" s="1617"/>
      <c r="C46" s="1575"/>
      <c r="D46" s="1575"/>
      <c r="E46" s="1575"/>
      <c r="F46" s="850"/>
      <c r="G46" s="851"/>
      <c r="H46" s="850"/>
      <c r="I46" s="1653"/>
      <c r="J46" s="850"/>
      <c r="K46" s="851"/>
      <c r="L46" s="850"/>
      <c r="M46" s="1653"/>
      <c r="N46" s="850"/>
      <c r="O46" s="851"/>
      <c r="P46" s="850"/>
      <c r="Q46" s="1653"/>
      <c r="R46" s="850"/>
      <c r="S46" s="851"/>
      <c r="T46" s="850"/>
      <c r="U46" s="1653"/>
      <c r="V46" s="850"/>
      <c r="W46" s="851"/>
      <c r="X46" s="850"/>
      <c r="Y46" s="1653"/>
      <c r="Z46" s="850"/>
      <c r="AA46" s="851"/>
      <c r="AB46" s="850"/>
      <c r="AC46" s="1653"/>
      <c r="AD46" s="850"/>
      <c r="AE46" s="851"/>
      <c r="AF46" s="850"/>
      <c r="AG46" s="1647"/>
      <c r="AH46" s="1647"/>
      <c r="AI46" s="1656"/>
      <c r="AJ46" s="213"/>
      <c r="AK46" s="1640"/>
      <c r="AM46" s="1575"/>
    </row>
    <row r="47" spans="1:39" ht="9.9499999999999993" customHeight="1" x14ac:dyDescent="0.25">
      <c r="A47" s="1616"/>
      <c r="B47" s="1617"/>
      <c r="C47" s="1576"/>
      <c r="D47" s="1576"/>
      <c r="E47" s="1576"/>
      <c r="F47" s="849"/>
      <c r="G47" s="849"/>
      <c r="H47" s="849"/>
      <c r="I47" s="1654"/>
      <c r="J47" s="849"/>
      <c r="K47" s="849"/>
      <c r="L47" s="849"/>
      <c r="M47" s="1654"/>
      <c r="N47" s="849"/>
      <c r="O47" s="849"/>
      <c r="P47" s="849"/>
      <c r="Q47" s="1654"/>
      <c r="R47" s="849"/>
      <c r="S47" s="849"/>
      <c r="T47" s="849"/>
      <c r="U47" s="1654"/>
      <c r="V47" s="849"/>
      <c r="W47" s="849"/>
      <c r="X47" s="849"/>
      <c r="Y47" s="1654"/>
      <c r="Z47" s="849"/>
      <c r="AA47" s="849"/>
      <c r="AB47" s="849"/>
      <c r="AC47" s="1654"/>
      <c r="AD47" s="849"/>
      <c r="AE47" s="849"/>
      <c r="AF47" s="849"/>
      <c r="AG47" s="1648"/>
      <c r="AH47" s="1648"/>
      <c r="AI47" s="1657"/>
      <c r="AJ47" s="213"/>
      <c r="AK47" s="1641"/>
      <c r="AM47" s="1576"/>
    </row>
    <row r="48" spans="1:39" ht="9.9499999999999993" customHeight="1" x14ac:dyDescent="0.25">
      <c r="A48" s="270"/>
      <c r="B48" s="270"/>
      <c r="C48" s="270"/>
      <c r="D48" s="270"/>
      <c r="E48" s="270"/>
      <c r="F48" s="270"/>
      <c r="G48" s="270"/>
      <c r="H48" s="270"/>
      <c r="I48" s="270"/>
      <c r="J48" s="270"/>
      <c r="K48" s="270"/>
      <c r="L48" s="270"/>
      <c r="M48" s="852"/>
      <c r="N48" s="270"/>
      <c r="O48" s="270"/>
      <c r="P48" s="270"/>
      <c r="Q48" s="852"/>
      <c r="R48" s="270"/>
      <c r="S48" s="270"/>
      <c r="T48" s="270"/>
      <c r="U48" s="852"/>
      <c r="V48" s="270"/>
      <c r="W48" s="270"/>
      <c r="X48" s="270"/>
      <c r="Y48" s="852"/>
      <c r="Z48" s="270"/>
      <c r="AA48" s="270"/>
      <c r="AB48" s="270"/>
      <c r="AC48" s="852"/>
      <c r="AD48" s="270"/>
      <c r="AE48" s="270"/>
      <c r="AF48" s="270"/>
      <c r="AG48" s="853"/>
      <c r="AH48" s="853"/>
      <c r="AI48" s="854"/>
      <c r="AJ48" s="213"/>
      <c r="AK48" s="213"/>
      <c r="AM48" s="270"/>
    </row>
    <row r="49" spans="1:39" ht="9.9499999999999993" customHeight="1" x14ac:dyDescent="0.25">
      <c r="A49" s="1616">
        <v>11</v>
      </c>
      <c r="B49" s="1617">
        <v>2</v>
      </c>
      <c r="C49" s="1574" t="s">
        <v>5465</v>
      </c>
      <c r="D49" s="1574" t="s">
        <v>5459</v>
      </c>
      <c r="E49" s="1574" t="s">
        <v>6580</v>
      </c>
      <c r="F49" s="849"/>
      <c r="G49" s="849"/>
      <c r="H49" s="849"/>
      <c r="I49" s="1652"/>
      <c r="J49" s="849"/>
      <c r="K49" s="849"/>
      <c r="L49" s="849"/>
      <c r="M49" s="1652"/>
      <c r="N49" s="849"/>
      <c r="O49" s="849"/>
      <c r="P49" s="849"/>
      <c r="Q49" s="1652"/>
      <c r="R49" s="849"/>
      <c r="S49" s="849"/>
      <c r="T49" s="849"/>
      <c r="U49" s="1652"/>
      <c r="V49" s="849"/>
      <c r="W49" s="849"/>
      <c r="X49" s="849"/>
      <c r="Y49" s="1652"/>
      <c r="Z49" s="849"/>
      <c r="AA49" s="849"/>
      <c r="AB49" s="849"/>
      <c r="AC49" s="1652"/>
      <c r="AD49" s="849"/>
      <c r="AE49" s="849"/>
      <c r="AF49" s="849"/>
      <c r="AG49" s="1646"/>
      <c r="AH49" s="1646"/>
      <c r="AI49" s="1655"/>
      <c r="AJ49" s="213"/>
      <c r="AK49" s="1639" t="s">
        <v>5471</v>
      </c>
      <c r="AM49" s="1574" t="s">
        <v>5589</v>
      </c>
    </row>
    <row r="50" spans="1:39" ht="9.9499999999999993" customHeight="1" x14ac:dyDescent="0.25">
      <c r="A50" s="1616"/>
      <c r="B50" s="1617"/>
      <c r="C50" s="1575"/>
      <c r="D50" s="1575"/>
      <c r="E50" s="1575"/>
      <c r="F50" s="850"/>
      <c r="G50" s="851"/>
      <c r="H50" s="850"/>
      <c r="I50" s="1653"/>
      <c r="J50" s="850"/>
      <c r="K50" s="851"/>
      <c r="L50" s="850"/>
      <c r="M50" s="1653"/>
      <c r="N50" s="850"/>
      <c r="O50" s="851"/>
      <c r="P50" s="850"/>
      <c r="Q50" s="1653"/>
      <c r="R50" s="850"/>
      <c r="S50" s="851"/>
      <c r="T50" s="850"/>
      <c r="U50" s="1653"/>
      <c r="V50" s="850"/>
      <c r="W50" s="851"/>
      <c r="X50" s="850"/>
      <c r="Y50" s="1653"/>
      <c r="Z50" s="850"/>
      <c r="AA50" s="851"/>
      <c r="AB50" s="850"/>
      <c r="AC50" s="1653"/>
      <c r="AD50" s="850"/>
      <c r="AE50" s="851"/>
      <c r="AF50" s="850"/>
      <c r="AG50" s="1647"/>
      <c r="AH50" s="1647"/>
      <c r="AI50" s="1656"/>
      <c r="AJ50" s="213"/>
      <c r="AK50" s="1640"/>
      <c r="AM50" s="1575"/>
    </row>
    <row r="51" spans="1:39" ht="9.9499999999999993" customHeight="1" x14ac:dyDescent="0.25">
      <c r="A51" s="1616"/>
      <c r="B51" s="1617"/>
      <c r="C51" s="1576"/>
      <c r="D51" s="1576"/>
      <c r="E51" s="1576"/>
      <c r="F51" s="849"/>
      <c r="G51" s="849"/>
      <c r="H51" s="849"/>
      <c r="I51" s="1654"/>
      <c r="J51" s="849"/>
      <c r="K51" s="849"/>
      <c r="L51" s="849"/>
      <c r="M51" s="1654"/>
      <c r="N51" s="849"/>
      <c r="O51" s="849"/>
      <c r="P51" s="849"/>
      <c r="Q51" s="1654"/>
      <c r="R51" s="849"/>
      <c r="S51" s="849"/>
      <c r="T51" s="849"/>
      <c r="U51" s="1654"/>
      <c r="V51" s="849"/>
      <c r="W51" s="849"/>
      <c r="X51" s="849"/>
      <c r="Y51" s="1654"/>
      <c r="Z51" s="849"/>
      <c r="AA51" s="849"/>
      <c r="AB51" s="849"/>
      <c r="AC51" s="1654"/>
      <c r="AD51" s="849"/>
      <c r="AE51" s="849"/>
      <c r="AF51" s="849"/>
      <c r="AG51" s="1648"/>
      <c r="AH51" s="1648"/>
      <c r="AI51" s="1657"/>
      <c r="AJ51" s="213"/>
      <c r="AK51" s="1641"/>
      <c r="AM51" s="1576"/>
    </row>
    <row r="52" spans="1:39" ht="9.9499999999999993" customHeight="1" x14ac:dyDescent="0.25">
      <c r="A52" s="270"/>
      <c r="B52" s="270"/>
      <c r="C52" s="270"/>
      <c r="D52" s="270"/>
      <c r="E52" s="270"/>
      <c r="F52" s="270"/>
      <c r="G52" s="270"/>
      <c r="H52" s="270"/>
      <c r="I52" s="270"/>
      <c r="J52" s="270"/>
      <c r="K52" s="270"/>
      <c r="L52" s="270"/>
      <c r="M52" s="852"/>
      <c r="N52" s="270"/>
      <c r="O52" s="270"/>
      <c r="P52" s="270"/>
      <c r="Q52" s="852"/>
      <c r="R52" s="270"/>
      <c r="S52" s="270"/>
      <c r="T52" s="270"/>
      <c r="U52" s="852"/>
      <c r="V52" s="270"/>
      <c r="W52" s="270"/>
      <c r="X52" s="270"/>
      <c r="Y52" s="852"/>
      <c r="Z52" s="270"/>
      <c r="AA52" s="270"/>
      <c r="AB52" s="270"/>
      <c r="AC52" s="852"/>
      <c r="AD52" s="270"/>
      <c r="AE52" s="270"/>
      <c r="AF52" s="270"/>
      <c r="AG52" s="853"/>
      <c r="AH52" s="853"/>
      <c r="AI52" s="854"/>
      <c r="AJ52" s="213"/>
      <c r="AK52" s="213"/>
    </row>
    <row r="53" spans="1:39" ht="9.9499999999999993" customHeight="1" x14ac:dyDescent="0.25">
      <c r="A53" s="1616">
        <v>12</v>
      </c>
      <c r="B53" s="1617">
        <v>2</v>
      </c>
      <c r="C53" s="1574" t="s">
        <v>5466</v>
      </c>
      <c r="D53" s="1574" t="s">
        <v>5459</v>
      </c>
      <c r="E53" s="1574" t="s">
        <v>6580</v>
      </c>
      <c r="F53" s="849"/>
      <c r="G53" s="849"/>
      <c r="H53" s="849"/>
      <c r="I53" s="1652"/>
      <c r="J53" s="849"/>
      <c r="K53" s="849"/>
      <c r="L53" s="849"/>
      <c r="M53" s="1652"/>
      <c r="N53" s="849"/>
      <c r="O53" s="849"/>
      <c r="P53" s="849"/>
      <c r="Q53" s="1652"/>
      <c r="R53" s="849"/>
      <c r="S53" s="849"/>
      <c r="T53" s="849"/>
      <c r="U53" s="1652"/>
      <c r="V53" s="849"/>
      <c r="W53" s="849"/>
      <c r="X53" s="849"/>
      <c r="Y53" s="1652"/>
      <c r="Z53" s="849"/>
      <c r="AA53" s="849"/>
      <c r="AB53" s="849"/>
      <c r="AC53" s="1652"/>
      <c r="AD53" s="849"/>
      <c r="AE53" s="849"/>
      <c r="AF53" s="849"/>
      <c r="AG53" s="1646"/>
      <c r="AH53" s="1646"/>
      <c r="AI53" s="1655"/>
      <c r="AJ53" s="213"/>
      <c r="AK53" s="1642" t="s">
        <v>5473</v>
      </c>
      <c r="AM53" s="1574" t="s">
        <v>5590</v>
      </c>
    </row>
    <row r="54" spans="1:39" ht="9.9499999999999993" customHeight="1" x14ac:dyDescent="0.25">
      <c r="A54" s="1616"/>
      <c r="B54" s="1617"/>
      <c r="C54" s="1575"/>
      <c r="D54" s="1575"/>
      <c r="E54" s="1575"/>
      <c r="F54" s="850"/>
      <c r="G54" s="851"/>
      <c r="H54" s="850"/>
      <c r="I54" s="1653"/>
      <c r="J54" s="850"/>
      <c r="K54" s="851"/>
      <c r="L54" s="850"/>
      <c r="M54" s="1653"/>
      <c r="N54" s="850"/>
      <c r="O54" s="851"/>
      <c r="P54" s="850"/>
      <c r="Q54" s="1653"/>
      <c r="R54" s="850"/>
      <c r="S54" s="851"/>
      <c r="T54" s="850"/>
      <c r="U54" s="1653"/>
      <c r="V54" s="850"/>
      <c r="W54" s="851"/>
      <c r="X54" s="850"/>
      <c r="Y54" s="1653"/>
      <c r="Z54" s="850"/>
      <c r="AA54" s="851"/>
      <c r="AB54" s="850"/>
      <c r="AC54" s="1653"/>
      <c r="AD54" s="850"/>
      <c r="AE54" s="851"/>
      <c r="AF54" s="850"/>
      <c r="AG54" s="1647"/>
      <c r="AH54" s="1647"/>
      <c r="AI54" s="1656"/>
      <c r="AJ54" s="213"/>
      <c r="AK54" s="1643"/>
      <c r="AM54" s="1575"/>
    </row>
    <row r="55" spans="1:39" ht="9.9499999999999993" customHeight="1" x14ac:dyDescent="0.25">
      <c r="A55" s="1616"/>
      <c r="B55" s="1617"/>
      <c r="C55" s="1576"/>
      <c r="D55" s="1576"/>
      <c r="E55" s="1576"/>
      <c r="F55" s="849"/>
      <c r="G55" s="849"/>
      <c r="H55" s="849"/>
      <c r="I55" s="1654"/>
      <c r="J55" s="849"/>
      <c r="K55" s="849"/>
      <c r="L55" s="849"/>
      <c r="M55" s="1654"/>
      <c r="N55" s="849"/>
      <c r="O55" s="849"/>
      <c r="P55" s="849"/>
      <c r="Q55" s="1654"/>
      <c r="R55" s="849"/>
      <c r="S55" s="849"/>
      <c r="T55" s="849"/>
      <c r="U55" s="1654"/>
      <c r="V55" s="849"/>
      <c r="W55" s="849"/>
      <c r="X55" s="849"/>
      <c r="Y55" s="1654"/>
      <c r="Z55" s="849"/>
      <c r="AA55" s="849"/>
      <c r="AB55" s="849"/>
      <c r="AC55" s="1654"/>
      <c r="AD55" s="849"/>
      <c r="AE55" s="849"/>
      <c r="AF55" s="849"/>
      <c r="AG55" s="1648"/>
      <c r="AH55" s="1648"/>
      <c r="AI55" s="1657"/>
      <c r="AJ55" s="213"/>
      <c r="AK55" s="1644"/>
      <c r="AM55" s="1576"/>
    </row>
    <row r="56" spans="1:39" ht="9.9499999999999993" customHeight="1" x14ac:dyDescent="0.25">
      <c r="A56" s="270"/>
      <c r="B56" s="270"/>
      <c r="C56" s="270"/>
      <c r="D56" s="270"/>
      <c r="E56" s="270"/>
      <c r="F56" s="270"/>
      <c r="G56" s="270"/>
      <c r="H56" s="270"/>
      <c r="I56" s="270"/>
      <c r="J56" s="270"/>
      <c r="K56" s="270"/>
      <c r="L56" s="270"/>
      <c r="M56" s="852"/>
      <c r="N56" s="270"/>
      <c r="O56" s="270"/>
      <c r="P56" s="270"/>
      <c r="Q56" s="852"/>
      <c r="R56" s="270"/>
      <c r="S56" s="270"/>
      <c r="T56" s="270"/>
      <c r="U56" s="852"/>
      <c r="V56" s="270"/>
      <c r="W56" s="270"/>
      <c r="X56" s="270"/>
      <c r="Y56" s="852"/>
      <c r="Z56" s="270"/>
      <c r="AA56" s="270"/>
      <c r="AB56" s="270"/>
      <c r="AC56" s="852"/>
      <c r="AD56" s="270"/>
      <c r="AE56" s="270"/>
      <c r="AF56" s="270"/>
      <c r="AG56" s="853"/>
      <c r="AH56" s="853"/>
      <c r="AI56" s="854"/>
      <c r="AJ56" s="213"/>
      <c r="AK56" s="213"/>
      <c r="AM56" s="213"/>
    </row>
    <row r="57" spans="1:39" ht="9.9499999999999993" customHeight="1" x14ac:dyDescent="0.25">
      <c r="A57" s="1616">
        <v>13</v>
      </c>
      <c r="B57" s="1617">
        <v>2</v>
      </c>
      <c r="C57" s="1574" t="s">
        <v>5467</v>
      </c>
      <c r="D57" s="1574" t="s">
        <v>5459</v>
      </c>
      <c r="E57" s="1574" t="s">
        <v>6580</v>
      </c>
      <c r="F57" s="849"/>
      <c r="G57" s="849"/>
      <c r="H57" s="849"/>
      <c r="I57" s="1652"/>
      <c r="J57" s="849"/>
      <c r="K57" s="849"/>
      <c r="L57" s="849"/>
      <c r="M57" s="1652"/>
      <c r="N57" s="849"/>
      <c r="O57" s="849"/>
      <c r="P57" s="849"/>
      <c r="Q57" s="1652"/>
      <c r="R57" s="849"/>
      <c r="S57" s="849"/>
      <c r="T57" s="849"/>
      <c r="U57" s="1652"/>
      <c r="V57" s="849"/>
      <c r="W57" s="849"/>
      <c r="X57" s="849"/>
      <c r="Y57" s="1652"/>
      <c r="Z57" s="849"/>
      <c r="AA57" s="849"/>
      <c r="AB57" s="849"/>
      <c r="AC57" s="1652"/>
      <c r="AD57" s="849"/>
      <c r="AE57" s="849"/>
      <c r="AF57" s="849"/>
      <c r="AG57" s="1646"/>
      <c r="AH57" s="1646"/>
      <c r="AI57" s="1655"/>
      <c r="AJ57" s="213"/>
      <c r="AK57" s="1626" t="s">
        <v>5479</v>
      </c>
      <c r="AM57" s="1574" t="s">
        <v>5591</v>
      </c>
    </row>
    <row r="58" spans="1:39" ht="9.9499999999999993" customHeight="1" x14ac:dyDescent="0.25">
      <c r="A58" s="1616"/>
      <c r="B58" s="1617"/>
      <c r="C58" s="1575"/>
      <c r="D58" s="1575"/>
      <c r="E58" s="1575"/>
      <c r="F58" s="850"/>
      <c r="G58" s="851"/>
      <c r="H58" s="850"/>
      <c r="I58" s="1653"/>
      <c r="J58" s="850"/>
      <c r="K58" s="851"/>
      <c r="L58" s="850"/>
      <c r="M58" s="1653"/>
      <c r="N58" s="850"/>
      <c r="O58" s="851"/>
      <c r="P58" s="850"/>
      <c r="Q58" s="1653"/>
      <c r="R58" s="850"/>
      <c r="S58" s="851"/>
      <c r="T58" s="850"/>
      <c r="U58" s="1653"/>
      <c r="V58" s="850"/>
      <c r="W58" s="851"/>
      <c r="X58" s="850"/>
      <c r="Y58" s="1653"/>
      <c r="Z58" s="850"/>
      <c r="AA58" s="851"/>
      <c r="AB58" s="850"/>
      <c r="AC58" s="1653"/>
      <c r="AD58" s="850"/>
      <c r="AE58" s="851"/>
      <c r="AF58" s="850"/>
      <c r="AG58" s="1647"/>
      <c r="AH58" s="1647"/>
      <c r="AI58" s="1656"/>
      <c r="AJ58" s="213"/>
      <c r="AK58" s="1627"/>
      <c r="AM58" s="1575"/>
    </row>
    <row r="59" spans="1:39" ht="9.9499999999999993" customHeight="1" x14ac:dyDescent="0.25">
      <c r="A59" s="1616"/>
      <c r="B59" s="1617"/>
      <c r="C59" s="1576"/>
      <c r="D59" s="1576"/>
      <c r="E59" s="1576"/>
      <c r="F59" s="849"/>
      <c r="G59" s="849"/>
      <c r="H59" s="849"/>
      <c r="I59" s="1654"/>
      <c r="J59" s="849"/>
      <c r="K59" s="849"/>
      <c r="L59" s="849"/>
      <c r="M59" s="1654"/>
      <c r="N59" s="849"/>
      <c r="O59" s="849"/>
      <c r="P59" s="849"/>
      <c r="Q59" s="1654"/>
      <c r="R59" s="849"/>
      <c r="S59" s="849"/>
      <c r="T59" s="849"/>
      <c r="U59" s="1654"/>
      <c r="V59" s="849"/>
      <c r="W59" s="849"/>
      <c r="X59" s="849"/>
      <c r="Y59" s="1654"/>
      <c r="Z59" s="849"/>
      <c r="AA59" s="849"/>
      <c r="AB59" s="849"/>
      <c r="AC59" s="1654"/>
      <c r="AD59" s="849"/>
      <c r="AE59" s="849"/>
      <c r="AF59" s="849"/>
      <c r="AG59" s="1648"/>
      <c r="AH59" s="1648"/>
      <c r="AI59" s="1657"/>
      <c r="AJ59" s="213"/>
      <c r="AK59" s="1628"/>
      <c r="AM59" s="1576"/>
    </row>
    <row r="60" spans="1:39" ht="9.9499999999999993" customHeight="1" x14ac:dyDescent="0.25">
      <c r="A60" s="270"/>
      <c r="B60" s="270"/>
      <c r="C60" s="270"/>
      <c r="D60" s="270"/>
      <c r="E60" s="270"/>
      <c r="F60" s="270"/>
      <c r="G60" s="270"/>
      <c r="H60" s="270"/>
      <c r="I60" s="270"/>
      <c r="J60" s="270"/>
      <c r="K60" s="270"/>
      <c r="L60" s="270"/>
      <c r="M60" s="852"/>
      <c r="N60" s="270"/>
      <c r="O60" s="270"/>
      <c r="P60" s="270"/>
      <c r="Q60" s="852"/>
      <c r="R60" s="270"/>
      <c r="S60" s="270"/>
      <c r="T60" s="270"/>
      <c r="U60" s="852"/>
      <c r="V60" s="270"/>
      <c r="W60" s="270"/>
      <c r="X60" s="270"/>
      <c r="Y60" s="852"/>
      <c r="Z60" s="270"/>
      <c r="AA60" s="270"/>
      <c r="AB60" s="270"/>
      <c r="AC60" s="852"/>
      <c r="AD60" s="270"/>
      <c r="AE60" s="270"/>
      <c r="AF60" s="270"/>
      <c r="AG60" s="853"/>
      <c r="AH60" s="853"/>
      <c r="AI60" s="854"/>
      <c r="AJ60" s="213"/>
      <c r="AK60" s="213"/>
    </row>
    <row r="61" spans="1:39" ht="9.9499999999999993" customHeight="1" x14ac:dyDescent="0.25">
      <c r="A61" s="1616">
        <v>14</v>
      </c>
      <c r="B61" s="1617">
        <v>2</v>
      </c>
      <c r="C61" s="1574" t="s">
        <v>5468</v>
      </c>
      <c r="D61" s="1574" t="s">
        <v>5459</v>
      </c>
      <c r="E61" s="1574" t="s">
        <v>6580</v>
      </c>
      <c r="F61" s="849"/>
      <c r="G61" s="849"/>
      <c r="H61" s="849"/>
      <c r="I61" s="1652"/>
      <c r="J61" s="849"/>
      <c r="K61" s="849"/>
      <c r="L61" s="849"/>
      <c r="M61" s="1652"/>
      <c r="N61" s="849"/>
      <c r="O61" s="849"/>
      <c r="P61" s="849"/>
      <c r="Q61" s="1652"/>
      <c r="R61" s="849"/>
      <c r="S61" s="849"/>
      <c r="T61" s="849"/>
      <c r="U61" s="1652"/>
      <c r="V61" s="849"/>
      <c r="W61" s="849"/>
      <c r="X61" s="849"/>
      <c r="Y61" s="1652"/>
      <c r="Z61" s="849"/>
      <c r="AA61" s="849"/>
      <c r="AB61" s="849"/>
      <c r="AC61" s="1652"/>
      <c r="AD61" s="849"/>
      <c r="AE61" s="849"/>
      <c r="AF61" s="849"/>
      <c r="AG61" s="1646"/>
      <c r="AH61" s="1646"/>
      <c r="AI61" s="1655"/>
      <c r="AJ61" s="213"/>
      <c r="AK61" s="1629" t="s">
        <v>5383</v>
      </c>
      <c r="AM61" s="1574" t="s">
        <v>5592</v>
      </c>
    </row>
    <row r="62" spans="1:39" ht="9.9499999999999993" customHeight="1" x14ac:dyDescent="0.25">
      <c r="A62" s="1616"/>
      <c r="B62" s="1617"/>
      <c r="C62" s="1575"/>
      <c r="D62" s="1575"/>
      <c r="E62" s="1575"/>
      <c r="F62" s="850"/>
      <c r="G62" s="851"/>
      <c r="H62" s="850"/>
      <c r="I62" s="1653"/>
      <c r="J62" s="850"/>
      <c r="K62" s="851"/>
      <c r="L62" s="850"/>
      <c r="M62" s="1653"/>
      <c r="N62" s="850"/>
      <c r="O62" s="851"/>
      <c r="P62" s="850"/>
      <c r="Q62" s="1653"/>
      <c r="R62" s="850"/>
      <c r="S62" s="851"/>
      <c r="T62" s="850"/>
      <c r="U62" s="1653"/>
      <c r="V62" s="850"/>
      <c r="W62" s="851"/>
      <c r="X62" s="850"/>
      <c r="Y62" s="1653"/>
      <c r="Z62" s="850"/>
      <c r="AA62" s="851"/>
      <c r="AB62" s="850"/>
      <c r="AC62" s="1653"/>
      <c r="AD62" s="850"/>
      <c r="AE62" s="851"/>
      <c r="AF62" s="850"/>
      <c r="AG62" s="1647"/>
      <c r="AH62" s="1647"/>
      <c r="AI62" s="1656"/>
      <c r="AJ62" s="213"/>
      <c r="AK62" s="1630"/>
      <c r="AM62" s="1575"/>
    </row>
    <row r="63" spans="1:39" ht="9.9499999999999993" customHeight="1" x14ac:dyDescent="0.25">
      <c r="A63" s="1616"/>
      <c r="B63" s="1617"/>
      <c r="C63" s="1576"/>
      <c r="D63" s="1576"/>
      <c r="E63" s="1576"/>
      <c r="F63" s="849"/>
      <c r="G63" s="849"/>
      <c r="H63" s="849"/>
      <c r="I63" s="1654"/>
      <c r="J63" s="849"/>
      <c r="K63" s="849"/>
      <c r="L63" s="849"/>
      <c r="M63" s="1654"/>
      <c r="N63" s="849"/>
      <c r="O63" s="849"/>
      <c r="P63" s="849"/>
      <c r="Q63" s="1654"/>
      <c r="R63" s="849"/>
      <c r="S63" s="849"/>
      <c r="T63" s="849"/>
      <c r="U63" s="1654"/>
      <c r="V63" s="849"/>
      <c r="W63" s="849"/>
      <c r="X63" s="849"/>
      <c r="Y63" s="1654"/>
      <c r="Z63" s="849"/>
      <c r="AA63" s="849"/>
      <c r="AB63" s="849"/>
      <c r="AC63" s="1654"/>
      <c r="AD63" s="849"/>
      <c r="AE63" s="849"/>
      <c r="AF63" s="849"/>
      <c r="AG63" s="1648"/>
      <c r="AH63" s="1648"/>
      <c r="AI63" s="1657"/>
      <c r="AJ63" s="213"/>
      <c r="AK63" s="1631"/>
      <c r="AM63" s="1576"/>
    </row>
    <row r="64" spans="1:39" ht="9.9499999999999993" customHeight="1" x14ac:dyDescent="0.25">
      <c r="A64" s="270"/>
      <c r="B64" s="270"/>
      <c r="C64" s="270"/>
      <c r="D64" s="270"/>
      <c r="E64" s="270"/>
      <c r="F64" s="270"/>
      <c r="G64" s="270"/>
      <c r="H64" s="270"/>
      <c r="I64" s="270"/>
      <c r="J64" s="270"/>
      <c r="K64" s="270"/>
      <c r="L64" s="270"/>
      <c r="M64" s="852"/>
      <c r="N64" s="270"/>
      <c r="O64" s="270"/>
      <c r="P64" s="270"/>
      <c r="Q64" s="852"/>
      <c r="R64" s="270"/>
      <c r="S64" s="270"/>
      <c r="T64" s="270"/>
      <c r="U64" s="852"/>
      <c r="V64" s="270"/>
      <c r="W64" s="270"/>
      <c r="X64" s="270"/>
      <c r="Y64" s="852"/>
      <c r="Z64" s="270"/>
      <c r="AA64" s="270"/>
      <c r="AB64" s="270"/>
      <c r="AC64" s="852"/>
      <c r="AD64" s="270"/>
      <c r="AE64" s="270"/>
      <c r="AF64" s="270"/>
      <c r="AG64" s="853"/>
      <c r="AH64" s="853"/>
      <c r="AI64" s="854"/>
      <c r="AJ64" s="213"/>
      <c r="AK64" s="213"/>
      <c r="AM64" s="213"/>
    </row>
    <row r="65" spans="1:39" ht="9.9499999999999993" customHeight="1" x14ac:dyDescent="0.25">
      <c r="A65" s="1616">
        <v>15</v>
      </c>
      <c r="B65" s="1617">
        <v>3</v>
      </c>
      <c r="C65" s="1574" t="s">
        <v>5458</v>
      </c>
      <c r="D65" s="1574" t="s">
        <v>5459</v>
      </c>
      <c r="E65" s="1574" t="s">
        <v>6580</v>
      </c>
      <c r="F65" s="849"/>
      <c r="G65" s="849"/>
      <c r="H65" s="849"/>
      <c r="I65" s="1652"/>
      <c r="J65" s="849"/>
      <c r="K65" s="849"/>
      <c r="L65" s="849"/>
      <c r="M65" s="1652"/>
      <c r="N65" s="849"/>
      <c r="O65" s="849"/>
      <c r="P65" s="849"/>
      <c r="Q65" s="1652"/>
      <c r="R65" s="849"/>
      <c r="S65" s="849"/>
      <c r="T65" s="849"/>
      <c r="U65" s="1652"/>
      <c r="V65" s="849"/>
      <c r="W65" s="849"/>
      <c r="X65" s="849"/>
      <c r="Y65" s="1652"/>
      <c r="Z65" s="849"/>
      <c r="AA65" s="849"/>
      <c r="AB65" s="849"/>
      <c r="AC65" s="1652"/>
      <c r="AD65" s="849"/>
      <c r="AE65" s="849"/>
      <c r="AF65" s="849"/>
      <c r="AG65" s="1646"/>
      <c r="AH65" s="1646"/>
      <c r="AI65" s="1655"/>
      <c r="AJ65" s="213"/>
      <c r="AK65" s="1632" t="s">
        <v>5472</v>
      </c>
      <c r="AM65" s="1574" t="s">
        <v>5593</v>
      </c>
    </row>
    <row r="66" spans="1:39" ht="9.9499999999999993" customHeight="1" x14ac:dyDescent="0.25">
      <c r="A66" s="1616"/>
      <c r="B66" s="1617"/>
      <c r="C66" s="1575"/>
      <c r="D66" s="1575"/>
      <c r="E66" s="1575"/>
      <c r="F66" s="850"/>
      <c r="G66" s="851"/>
      <c r="H66" s="850"/>
      <c r="I66" s="1653"/>
      <c r="J66" s="850"/>
      <c r="K66" s="851"/>
      <c r="L66" s="850"/>
      <c r="M66" s="1653"/>
      <c r="N66" s="850"/>
      <c r="O66" s="851"/>
      <c r="P66" s="850"/>
      <c r="Q66" s="1653"/>
      <c r="R66" s="850"/>
      <c r="S66" s="851"/>
      <c r="T66" s="850"/>
      <c r="U66" s="1653"/>
      <c r="V66" s="850"/>
      <c r="W66" s="851"/>
      <c r="X66" s="850"/>
      <c r="Y66" s="1653"/>
      <c r="Z66" s="850"/>
      <c r="AA66" s="851"/>
      <c r="AB66" s="850"/>
      <c r="AC66" s="1653"/>
      <c r="AD66" s="850"/>
      <c r="AE66" s="851"/>
      <c r="AF66" s="850"/>
      <c r="AG66" s="1647"/>
      <c r="AH66" s="1647"/>
      <c r="AI66" s="1656"/>
      <c r="AJ66" s="213"/>
      <c r="AK66" s="1633"/>
      <c r="AM66" s="1575"/>
    </row>
    <row r="67" spans="1:39" ht="9.9499999999999993" customHeight="1" x14ac:dyDescent="0.25">
      <c r="A67" s="1616"/>
      <c r="B67" s="1617"/>
      <c r="C67" s="1576"/>
      <c r="D67" s="1576"/>
      <c r="E67" s="1576"/>
      <c r="F67" s="849"/>
      <c r="G67" s="849"/>
      <c r="H67" s="849"/>
      <c r="I67" s="1654"/>
      <c r="J67" s="849"/>
      <c r="K67" s="849"/>
      <c r="L67" s="849"/>
      <c r="M67" s="1654"/>
      <c r="N67" s="849"/>
      <c r="O67" s="849"/>
      <c r="P67" s="849"/>
      <c r="Q67" s="1654"/>
      <c r="R67" s="849"/>
      <c r="S67" s="849"/>
      <c r="T67" s="849"/>
      <c r="U67" s="1654"/>
      <c r="V67" s="849"/>
      <c r="W67" s="849"/>
      <c r="X67" s="849"/>
      <c r="Y67" s="1654"/>
      <c r="Z67" s="849"/>
      <c r="AA67" s="849"/>
      <c r="AB67" s="849"/>
      <c r="AC67" s="1654"/>
      <c r="AD67" s="849"/>
      <c r="AE67" s="849"/>
      <c r="AF67" s="849"/>
      <c r="AG67" s="1648"/>
      <c r="AH67" s="1648"/>
      <c r="AI67" s="1657"/>
      <c r="AJ67" s="213"/>
      <c r="AK67" s="1634"/>
      <c r="AM67" s="1576"/>
    </row>
    <row r="68" spans="1:39" ht="9.9499999999999993" customHeight="1" x14ac:dyDescent="0.25">
      <c r="A68" s="270"/>
      <c r="B68" s="270"/>
      <c r="C68" s="270"/>
      <c r="D68" s="270"/>
      <c r="E68" s="270"/>
      <c r="F68" s="270"/>
      <c r="G68" s="270"/>
      <c r="H68" s="270"/>
      <c r="I68" s="270"/>
      <c r="J68" s="270"/>
      <c r="K68" s="270"/>
      <c r="L68" s="270"/>
      <c r="M68" s="852"/>
      <c r="N68" s="270"/>
      <c r="O68" s="270"/>
      <c r="P68" s="270"/>
      <c r="Q68" s="852"/>
      <c r="R68" s="270"/>
      <c r="S68" s="270"/>
      <c r="T68" s="270"/>
      <c r="U68" s="852"/>
      <c r="V68" s="270"/>
      <c r="W68" s="270"/>
      <c r="X68" s="270"/>
      <c r="Y68" s="852"/>
      <c r="Z68" s="270"/>
      <c r="AA68" s="270"/>
      <c r="AB68" s="270"/>
      <c r="AC68" s="852"/>
      <c r="AD68" s="270"/>
      <c r="AE68" s="270"/>
      <c r="AF68" s="270"/>
      <c r="AG68" s="853"/>
      <c r="AH68" s="853"/>
      <c r="AI68" s="854"/>
      <c r="AJ68" s="213"/>
      <c r="AK68" s="213"/>
    </row>
    <row r="69" spans="1:39" ht="9.9499999999999993" customHeight="1" x14ac:dyDescent="0.25">
      <c r="A69" s="1616">
        <v>16</v>
      </c>
      <c r="B69" s="1617">
        <v>3</v>
      </c>
      <c r="C69" s="1574" t="s">
        <v>5463</v>
      </c>
      <c r="D69" s="1574" t="s">
        <v>5459</v>
      </c>
      <c r="E69" s="1574" t="s">
        <v>6580</v>
      </c>
      <c r="F69" s="849"/>
      <c r="G69" s="849"/>
      <c r="H69" s="849"/>
      <c r="I69" s="1652"/>
      <c r="J69" s="849"/>
      <c r="K69" s="849"/>
      <c r="L69" s="849"/>
      <c r="M69" s="1652"/>
      <c r="N69" s="849"/>
      <c r="O69" s="849"/>
      <c r="P69" s="849"/>
      <c r="Q69" s="1652"/>
      <c r="R69" s="849"/>
      <c r="S69" s="849"/>
      <c r="T69" s="849"/>
      <c r="U69" s="1652"/>
      <c r="V69" s="849"/>
      <c r="W69" s="849"/>
      <c r="X69" s="849"/>
      <c r="Y69" s="1652"/>
      <c r="Z69" s="849"/>
      <c r="AA69" s="849"/>
      <c r="AB69" s="849"/>
      <c r="AC69" s="1652"/>
      <c r="AD69" s="849"/>
      <c r="AE69" s="849"/>
      <c r="AF69" s="849"/>
      <c r="AG69" s="1646"/>
      <c r="AH69" s="1646"/>
      <c r="AI69" s="1655"/>
      <c r="AJ69" s="213"/>
      <c r="AK69" s="1521" t="s">
        <v>5386</v>
      </c>
      <c r="AM69" s="1574" t="s">
        <v>5594</v>
      </c>
    </row>
    <row r="70" spans="1:39" ht="9.9499999999999993" customHeight="1" x14ac:dyDescent="0.25">
      <c r="A70" s="1616"/>
      <c r="B70" s="1617"/>
      <c r="C70" s="1575"/>
      <c r="D70" s="1575"/>
      <c r="E70" s="1575"/>
      <c r="F70" s="850"/>
      <c r="G70" s="851"/>
      <c r="H70" s="850"/>
      <c r="I70" s="1653"/>
      <c r="J70" s="850"/>
      <c r="K70" s="851"/>
      <c r="L70" s="850"/>
      <c r="M70" s="1653"/>
      <c r="N70" s="850"/>
      <c r="O70" s="851"/>
      <c r="P70" s="850"/>
      <c r="Q70" s="1653"/>
      <c r="R70" s="850"/>
      <c r="S70" s="851"/>
      <c r="T70" s="850"/>
      <c r="U70" s="1653"/>
      <c r="V70" s="850"/>
      <c r="W70" s="851"/>
      <c r="X70" s="850"/>
      <c r="Y70" s="1653"/>
      <c r="Z70" s="850"/>
      <c r="AA70" s="851"/>
      <c r="AB70" s="850"/>
      <c r="AC70" s="1653"/>
      <c r="AD70" s="850"/>
      <c r="AE70" s="851"/>
      <c r="AF70" s="850"/>
      <c r="AG70" s="1647"/>
      <c r="AH70" s="1647"/>
      <c r="AI70" s="1656"/>
      <c r="AJ70" s="213"/>
      <c r="AK70" s="1635"/>
      <c r="AM70" s="1575"/>
    </row>
    <row r="71" spans="1:39" ht="9.9499999999999993" customHeight="1" x14ac:dyDescent="0.25">
      <c r="A71" s="1616"/>
      <c r="B71" s="1617"/>
      <c r="C71" s="1576"/>
      <c r="D71" s="1576"/>
      <c r="E71" s="1576"/>
      <c r="F71" s="849"/>
      <c r="G71" s="849"/>
      <c r="H71" s="849"/>
      <c r="I71" s="1654"/>
      <c r="J71" s="849"/>
      <c r="K71" s="849"/>
      <c r="L71" s="849"/>
      <c r="M71" s="1654"/>
      <c r="N71" s="849"/>
      <c r="O71" s="849"/>
      <c r="P71" s="849"/>
      <c r="Q71" s="1654"/>
      <c r="R71" s="849"/>
      <c r="S71" s="849"/>
      <c r="T71" s="849"/>
      <c r="U71" s="1654"/>
      <c r="V71" s="849"/>
      <c r="W71" s="849"/>
      <c r="X71" s="849"/>
      <c r="Y71" s="1654"/>
      <c r="Z71" s="849"/>
      <c r="AA71" s="849"/>
      <c r="AB71" s="849"/>
      <c r="AC71" s="1654"/>
      <c r="AD71" s="849"/>
      <c r="AE71" s="849"/>
      <c r="AF71" s="849"/>
      <c r="AG71" s="1648"/>
      <c r="AH71" s="1648"/>
      <c r="AI71" s="1657"/>
      <c r="AJ71" s="213"/>
      <c r="AK71" s="1522"/>
      <c r="AM71" s="1576"/>
    </row>
    <row r="72" spans="1:39" ht="9.9499999999999993" customHeight="1" x14ac:dyDescent="0.25">
      <c r="A72" s="270"/>
      <c r="B72" s="270"/>
      <c r="C72" s="270"/>
      <c r="D72" s="270"/>
      <c r="E72" s="270"/>
      <c r="F72" s="270"/>
      <c r="G72" s="270"/>
      <c r="H72" s="270"/>
      <c r="I72" s="270"/>
      <c r="J72" s="270"/>
      <c r="K72" s="270"/>
      <c r="L72" s="270"/>
      <c r="M72" s="852"/>
      <c r="N72" s="270"/>
      <c r="O72" s="270"/>
      <c r="P72" s="270"/>
      <c r="Q72" s="852"/>
      <c r="R72" s="270"/>
      <c r="S72" s="270"/>
      <c r="T72" s="270"/>
      <c r="U72" s="852"/>
      <c r="V72" s="270"/>
      <c r="W72" s="270"/>
      <c r="X72" s="270"/>
      <c r="Y72" s="852"/>
      <c r="Z72" s="270"/>
      <c r="AA72" s="270"/>
      <c r="AB72" s="270"/>
      <c r="AC72" s="852"/>
      <c r="AD72" s="270"/>
      <c r="AE72" s="270"/>
      <c r="AF72" s="270"/>
      <c r="AG72" s="853"/>
      <c r="AH72" s="853"/>
      <c r="AI72" s="854"/>
      <c r="AJ72" s="213"/>
      <c r="AK72" s="213"/>
    </row>
    <row r="73" spans="1:39" ht="9.9499999999999993" customHeight="1" x14ac:dyDescent="0.25">
      <c r="A73" s="1616">
        <v>17</v>
      </c>
      <c r="B73" s="1617">
        <v>3</v>
      </c>
      <c r="C73" s="1574" t="s">
        <v>5464</v>
      </c>
      <c r="D73" s="1574" t="s">
        <v>5459</v>
      </c>
      <c r="E73" s="1574" t="s">
        <v>6580</v>
      </c>
      <c r="F73" s="849"/>
      <c r="G73" s="849"/>
      <c r="H73" s="849"/>
      <c r="I73" s="1652"/>
      <c r="J73" s="849"/>
      <c r="K73" s="849"/>
      <c r="L73" s="849"/>
      <c r="M73" s="1652"/>
      <c r="N73" s="849"/>
      <c r="O73" s="849"/>
      <c r="P73" s="849"/>
      <c r="Q73" s="1652"/>
      <c r="R73" s="849"/>
      <c r="S73" s="849"/>
      <c r="T73" s="849"/>
      <c r="U73" s="1652"/>
      <c r="V73" s="849"/>
      <c r="W73" s="849"/>
      <c r="X73" s="849"/>
      <c r="Y73" s="1652"/>
      <c r="Z73" s="849"/>
      <c r="AA73" s="849"/>
      <c r="AB73" s="849"/>
      <c r="AC73" s="1652"/>
      <c r="AD73" s="849"/>
      <c r="AE73" s="849"/>
      <c r="AF73" s="849"/>
      <c r="AG73" s="1646"/>
      <c r="AH73" s="1646"/>
      <c r="AI73" s="1655"/>
      <c r="AJ73" s="213"/>
      <c r="AK73" s="1523" t="s">
        <v>5389</v>
      </c>
      <c r="AM73" s="1574" t="s">
        <v>5595</v>
      </c>
    </row>
    <row r="74" spans="1:39" ht="9.9499999999999993" customHeight="1" x14ac:dyDescent="0.25">
      <c r="A74" s="1616"/>
      <c r="B74" s="1617"/>
      <c r="C74" s="1575"/>
      <c r="D74" s="1575"/>
      <c r="E74" s="1575"/>
      <c r="F74" s="850"/>
      <c r="G74" s="851"/>
      <c r="H74" s="850"/>
      <c r="I74" s="1653"/>
      <c r="J74" s="850"/>
      <c r="K74" s="851"/>
      <c r="L74" s="850"/>
      <c r="M74" s="1653"/>
      <c r="N74" s="850"/>
      <c r="O74" s="851"/>
      <c r="P74" s="850"/>
      <c r="Q74" s="1653"/>
      <c r="R74" s="850"/>
      <c r="S74" s="851"/>
      <c r="T74" s="850"/>
      <c r="U74" s="1653"/>
      <c r="V74" s="850"/>
      <c r="W74" s="851"/>
      <c r="X74" s="850"/>
      <c r="Y74" s="1653"/>
      <c r="Z74" s="850"/>
      <c r="AA74" s="851"/>
      <c r="AB74" s="850"/>
      <c r="AC74" s="1653"/>
      <c r="AD74" s="850"/>
      <c r="AE74" s="851"/>
      <c r="AF74" s="850"/>
      <c r="AG74" s="1647"/>
      <c r="AH74" s="1647"/>
      <c r="AI74" s="1656"/>
      <c r="AJ74" s="213"/>
      <c r="AK74" s="1636"/>
      <c r="AM74" s="1575"/>
    </row>
    <row r="75" spans="1:39" ht="9.9499999999999993" customHeight="1" x14ac:dyDescent="0.25">
      <c r="A75" s="1616"/>
      <c r="B75" s="1617"/>
      <c r="C75" s="1576"/>
      <c r="D75" s="1576"/>
      <c r="E75" s="1576"/>
      <c r="F75" s="849"/>
      <c r="G75" s="849"/>
      <c r="H75" s="849"/>
      <c r="I75" s="1654"/>
      <c r="J75" s="849"/>
      <c r="K75" s="849"/>
      <c r="L75" s="849"/>
      <c r="M75" s="1654"/>
      <c r="N75" s="849"/>
      <c r="O75" s="849"/>
      <c r="P75" s="849"/>
      <c r="Q75" s="1654"/>
      <c r="R75" s="849"/>
      <c r="S75" s="849"/>
      <c r="T75" s="849"/>
      <c r="U75" s="1654"/>
      <c r="V75" s="849"/>
      <c r="W75" s="849"/>
      <c r="X75" s="849"/>
      <c r="Y75" s="1654"/>
      <c r="Z75" s="849"/>
      <c r="AA75" s="849"/>
      <c r="AB75" s="849"/>
      <c r="AC75" s="1654"/>
      <c r="AD75" s="849"/>
      <c r="AE75" s="849"/>
      <c r="AF75" s="849"/>
      <c r="AG75" s="1648"/>
      <c r="AH75" s="1648"/>
      <c r="AI75" s="1657"/>
      <c r="AJ75" s="213"/>
      <c r="AK75" s="1524"/>
      <c r="AM75" s="1576"/>
    </row>
    <row r="76" spans="1:39" ht="9.9499999999999993" customHeight="1" x14ac:dyDescent="0.25">
      <c r="A76" s="270"/>
      <c r="B76" s="270"/>
      <c r="C76" s="270"/>
      <c r="D76" s="270"/>
      <c r="E76" s="270"/>
      <c r="F76" s="270"/>
      <c r="G76" s="270"/>
      <c r="H76" s="270"/>
      <c r="I76" s="270"/>
      <c r="J76" s="270"/>
      <c r="K76" s="270"/>
      <c r="L76" s="270"/>
      <c r="M76" s="852"/>
      <c r="N76" s="270"/>
      <c r="O76" s="270"/>
      <c r="P76" s="270"/>
      <c r="Q76" s="852"/>
      <c r="R76" s="270"/>
      <c r="S76" s="270"/>
      <c r="T76" s="270"/>
      <c r="U76" s="852"/>
      <c r="V76" s="270"/>
      <c r="W76" s="270"/>
      <c r="X76" s="270"/>
      <c r="Y76" s="852"/>
      <c r="Z76" s="270"/>
      <c r="AA76" s="270"/>
      <c r="AB76" s="270"/>
      <c r="AC76" s="852"/>
      <c r="AD76" s="270"/>
      <c r="AE76" s="270"/>
      <c r="AF76" s="270"/>
      <c r="AG76" s="853"/>
      <c r="AH76" s="853"/>
      <c r="AI76" s="854"/>
      <c r="AJ76" s="213"/>
      <c r="AK76" s="213"/>
    </row>
    <row r="77" spans="1:39" ht="9.9499999999999993" customHeight="1" x14ac:dyDescent="0.25">
      <c r="A77" s="1616">
        <v>18</v>
      </c>
      <c r="B77" s="1617">
        <v>3</v>
      </c>
      <c r="C77" s="1574" t="s">
        <v>5465</v>
      </c>
      <c r="D77" s="1574" t="s">
        <v>5459</v>
      </c>
      <c r="E77" s="1574" t="s">
        <v>6580</v>
      </c>
      <c r="F77" s="849"/>
      <c r="G77" s="849"/>
      <c r="H77" s="849"/>
      <c r="I77" s="1652"/>
      <c r="J77" s="849"/>
      <c r="K77" s="849"/>
      <c r="L77" s="849"/>
      <c r="M77" s="1652"/>
      <c r="N77" s="849"/>
      <c r="O77" s="849"/>
      <c r="P77" s="849"/>
      <c r="Q77" s="1652"/>
      <c r="R77" s="849"/>
      <c r="S77" s="849"/>
      <c r="T77" s="849"/>
      <c r="U77" s="1652"/>
      <c r="V77" s="849"/>
      <c r="W77" s="849"/>
      <c r="X77" s="849"/>
      <c r="Y77" s="1652"/>
      <c r="Z77" s="849"/>
      <c r="AA77" s="849"/>
      <c r="AB77" s="849"/>
      <c r="AC77" s="1652"/>
      <c r="AD77" s="849"/>
      <c r="AE77" s="849"/>
      <c r="AF77" s="849"/>
      <c r="AG77" s="1646"/>
      <c r="AH77" s="1646"/>
      <c r="AI77" s="1655"/>
      <c r="AJ77" s="213"/>
      <c r="AK77" s="1519" t="s">
        <v>5391</v>
      </c>
    </row>
    <row r="78" spans="1:39" ht="9.9499999999999993" customHeight="1" x14ac:dyDescent="0.25">
      <c r="A78" s="1616"/>
      <c r="B78" s="1617"/>
      <c r="C78" s="1575"/>
      <c r="D78" s="1575"/>
      <c r="E78" s="1575"/>
      <c r="F78" s="850"/>
      <c r="G78" s="851"/>
      <c r="H78" s="850"/>
      <c r="I78" s="1653"/>
      <c r="J78" s="850"/>
      <c r="K78" s="851"/>
      <c r="L78" s="850"/>
      <c r="M78" s="1653"/>
      <c r="N78" s="850"/>
      <c r="O78" s="851"/>
      <c r="P78" s="850"/>
      <c r="Q78" s="1653"/>
      <c r="R78" s="850"/>
      <c r="S78" s="851"/>
      <c r="T78" s="850"/>
      <c r="U78" s="1653"/>
      <c r="V78" s="850"/>
      <c r="W78" s="851"/>
      <c r="X78" s="850"/>
      <c r="Y78" s="1653"/>
      <c r="Z78" s="850"/>
      <c r="AA78" s="851"/>
      <c r="AB78" s="850"/>
      <c r="AC78" s="1653"/>
      <c r="AD78" s="850"/>
      <c r="AE78" s="851"/>
      <c r="AF78" s="850"/>
      <c r="AG78" s="1647"/>
      <c r="AH78" s="1647"/>
      <c r="AI78" s="1656"/>
      <c r="AJ78" s="213"/>
      <c r="AK78" s="1618"/>
    </row>
    <row r="79" spans="1:39" ht="9.9499999999999993" customHeight="1" x14ac:dyDescent="0.25">
      <c r="A79" s="1616"/>
      <c r="B79" s="1617"/>
      <c r="C79" s="1576"/>
      <c r="D79" s="1576"/>
      <c r="E79" s="1576"/>
      <c r="F79" s="849"/>
      <c r="G79" s="849"/>
      <c r="H79" s="849"/>
      <c r="I79" s="1654"/>
      <c r="J79" s="849"/>
      <c r="K79" s="849"/>
      <c r="L79" s="849"/>
      <c r="M79" s="1654"/>
      <c r="N79" s="849"/>
      <c r="O79" s="849"/>
      <c r="P79" s="849"/>
      <c r="Q79" s="1654"/>
      <c r="R79" s="849"/>
      <c r="S79" s="849"/>
      <c r="T79" s="849"/>
      <c r="U79" s="1654"/>
      <c r="V79" s="849"/>
      <c r="W79" s="849"/>
      <c r="X79" s="849"/>
      <c r="Y79" s="1654"/>
      <c r="Z79" s="849"/>
      <c r="AA79" s="849"/>
      <c r="AB79" s="849"/>
      <c r="AC79" s="1654"/>
      <c r="AD79" s="849"/>
      <c r="AE79" s="849"/>
      <c r="AF79" s="849"/>
      <c r="AG79" s="1648"/>
      <c r="AH79" s="1648"/>
      <c r="AI79" s="1657"/>
      <c r="AJ79" s="213"/>
      <c r="AK79" s="1520"/>
    </row>
    <row r="80" spans="1:39" ht="9.9499999999999993" customHeight="1" x14ac:dyDescent="0.25">
      <c r="A80" s="270"/>
      <c r="B80" s="270"/>
      <c r="C80" s="270"/>
      <c r="D80" s="270"/>
      <c r="E80" s="270"/>
      <c r="F80" s="270"/>
      <c r="G80" s="270"/>
      <c r="H80" s="270"/>
      <c r="I80" s="270"/>
      <c r="J80" s="270"/>
      <c r="K80" s="270"/>
      <c r="L80" s="270"/>
      <c r="M80" s="852"/>
      <c r="N80" s="270"/>
      <c r="O80" s="270"/>
      <c r="P80" s="270"/>
      <c r="Q80" s="852"/>
      <c r="R80" s="270"/>
      <c r="S80" s="270"/>
      <c r="T80" s="270"/>
      <c r="U80" s="852"/>
      <c r="V80" s="270"/>
      <c r="W80" s="270"/>
      <c r="X80" s="270"/>
      <c r="Y80" s="852"/>
      <c r="Z80" s="270"/>
      <c r="AA80" s="270"/>
      <c r="AB80" s="270"/>
      <c r="AC80" s="852"/>
      <c r="AD80" s="270"/>
      <c r="AE80" s="270"/>
      <c r="AF80" s="270"/>
      <c r="AG80" s="853"/>
      <c r="AH80" s="853"/>
      <c r="AI80" s="854"/>
      <c r="AJ80" s="213"/>
      <c r="AK80" s="213"/>
    </row>
    <row r="81" spans="1:37" ht="9.9499999999999993" customHeight="1" x14ac:dyDescent="0.25">
      <c r="A81" s="1616">
        <v>19</v>
      </c>
      <c r="B81" s="1617">
        <v>3</v>
      </c>
      <c r="C81" s="1574" t="s">
        <v>5466</v>
      </c>
      <c r="D81" s="1574" t="s">
        <v>5459</v>
      </c>
      <c r="E81" s="1574" t="s">
        <v>6580</v>
      </c>
      <c r="F81" s="849"/>
      <c r="G81" s="849"/>
      <c r="H81" s="849"/>
      <c r="I81" s="1652"/>
      <c r="J81" s="849"/>
      <c r="K81" s="849"/>
      <c r="L81" s="849"/>
      <c r="M81" s="1652"/>
      <c r="N81" s="849"/>
      <c r="O81" s="849"/>
      <c r="P81" s="849"/>
      <c r="Q81" s="1652"/>
      <c r="R81" s="849"/>
      <c r="S81" s="849"/>
      <c r="T81" s="849"/>
      <c r="U81" s="1652"/>
      <c r="V81" s="849"/>
      <c r="W81" s="849"/>
      <c r="X81" s="849"/>
      <c r="Y81" s="1652"/>
      <c r="Z81" s="849"/>
      <c r="AA81" s="849"/>
      <c r="AB81" s="849"/>
      <c r="AC81" s="1652"/>
      <c r="AD81" s="849"/>
      <c r="AE81" s="849"/>
      <c r="AF81" s="849"/>
      <c r="AG81" s="1646"/>
      <c r="AH81" s="1646"/>
      <c r="AI81" s="1655"/>
      <c r="AJ81" s="213"/>
      <c r="AK81" s="1519" t="s">
        <v>5397</v>
      </c>
    </row>
    <row r="82" spans="1:37" ht="9.9499999999999993" customHeight="1" x14ac:dyDescent="0.25">
      <c r="A82" s="1616"/>
      <c r="B82" s="1617"/>
      <c r="C82" s="1575"/>
      <c r="D82" s="1575"/>
      <c r="E82" s="1575"/>
      <c r="F82" s="850"/>
      <c r="G82" s="851"/>
      <c r="H82" s="850"/>
      <c r="I82" s="1653"/>
      <c r="J82" s="850"/>
      <c r="K82" s="851"/>
      <c r="L82" s="850"/>
      <c r="M82" s="1653"/>
      <c r="N82" s="850"/>
      <c r="O82" s="851"/>
      <c r="P82" s="850"/>
      <c r="Q82" s="1653"/>
      <c r="R82" s="850"/>
      <c r="S82" s="851"/>
      <c r="T82" s="850"/>
      <c r="U82" s="1653"/>
      <c r="V82" s="850"/>
      <c r="W82" s="851"/>
      <c r="X82" s="850"/>
      <c r="Y82" s="1653"/>
      <c r="Z82" s="850"/>
      <c r="AA82" s="851"/>
      <c r="AB82" s="850"/>
      <c r="AC82" s="1653"/>
      <c r="AD82" s="850"/>
      <c r="AE82" s="851"/>
      <c r="AF82" s="850"/>
      <c r="AG82" s="1647"/>
      <c r="AH82" s="1647"/>
      <c r="AI82" s="1656"/>
      <c r="AJ82" s="213"/>
      <c r="AK82" s="1618"/>
    </row>
    <row r="83" spans="1:37" ht="9.9499999999999993" customHeight="1" x14ac:dyDescent="0.25">
      <c r="A83" s="1616"/>
      <c r="B83" s="1617"/>
      <c r="C83" s="1576"/>
      <c r="D83" s="1576"/>
      <c r="E83" s="1576"/>
      <c r="F83" s="849"/>
      <c r="G83" s="849"/>
      <c r="H83" s="849"/>
      <c r="I83" s="1654"/>
      <c r="J83" s="849"/>
      <c r="K83" s="849"/>
      <c r="L83" s="849"/>
      <c r="M83" s="1654"/>
      <c r="N83" s="849"/>
      <c r="O83" s="849"/>
      <c r="P83" s="849"/>
      <c r="Q83" s="1654"/>
      <c r="R83" s="849"/>
      <c r="S83" s="849"/>
      <c r="T83" s="849"/>
      <c r="U83" s="1654"/>
      <c r="V83" s="849"/>
      <c r="W83" s="849"/>
      <c r="X83" s="849"/>
      <c r="Y83" s="1654"/>
      <c r="Z83" s="849"/>
      <c r="AA83" s="849"/>
      <c r="AB83" s="849"/>
      <c r="AC83" s="1654"/>
      <c r="AD83" s="849"/>
      <c r="AE83" s="849"/>
      <c r="AF83" s="849"/>
      <c r="AG83" s="1648"/>
      <c r="AH83" s="1648"/>
      <c r="AI83" s="1657"/>
      <c r="AJ83" s="213"/>
      <c r="AK83" s="1520"/>
    </row>
    <row r="84" spans="1:37" ht="9.9499999999999993" customHeight="1" x14ac:dyDescent="0.25">
      <c r="A84" s="270"/>
      <c r="B84" s="270"/>
      <c r="C84" s="270"/>
      <c r="D84" s="270"/>
      <c r="E84" s="270"/>
      <c r="F84" s="270"/>
      <c r="G84" s="270"/>
      <c r="H84" s="270"/>
      <c r="I84" s="270"/>
      <c r="J84" s="270"/>
      <c r="K84" s="270"/>
      <c r="L84" s="270"/>
      <c r="M84" s="852"/>
      <c r="N84" s="270"/>
      <c r="O84" s="270"/>
      <c r="P84" s="270"/>
      <c r="Q84" s="852"/>
      <c r="R84" s="270"/>
      <c r="S84" s="270"/>
      <c r="T84" s="270"/>
      <c r="U84" s="852"/>
      <c r="V84" s="270"/>
      <c r="W84" s="270"/>
      <c r="X84" s="270"/>
      <c r="Y84" s="852"/>
      <c r="Z84" s="270"/>
      <c r="AA84" s="270"/>
      <c r="AB84" s="270"/>
      <c r="AC84" s="852"/>
      <c r="AD84" s="270"/>
      <c r="AE84" s="270"/>
      <c r="AF84" s="270"/>
      <c r="AG84" s="853"/>
      <c r="AH84" s="853"/>
      <c r="AI84" s="854"/>
      <c r="AJ84" s="213"/>
      <c r="AK84" s="213"/>
    </row>
    <row r="85" spans="1:37" ht="9.9499999999999993" customHeight="1" x14ac:dyDescent="0.25">
      <c r="A85" s="1616">
        <v>20</v>
      </c>
      <c r="B85" s="1617">
        <v>3</v>
      </c>
      <c r="C85" s="1574" t="s">
        <v>5467</v>
      </c>
      <c r="D85" s="1574" t="s">
        <v>5459</v>
      </c>
      <c r="E85" s="1574" t="s">
        <v>6580</v>
      </c>
      <c r="F85" s="849"/>
      <c r="G85" s="849"/>
      <c r="H85" s="849"/>
      <c r="I85" s="1652"/>
      <c r="J85" s="849"/>
      <c r="K85" s="849"/>
      <c r="L85" s="849"/>
      <c r="M85" s="1652"/>
      <c r="N85" s="849"/>
      <c r="O85" s="849"/>
      <c r="P85" s="849"/>
      <c r="Q85" s="1652"/>
      <c r="R85" s="849"/>
      <c r="S85" s="849"/>
      <c r="T85" s="849"/>
      <c r="U85" s="1652"/>
      <c r="V85" s="849"/>
      <c r="W85" s="849"/>
      <c r="X85" s="849"/>
      <c r="Y85" s="1652"/>
      <c r="Z85" s="849"/>
      <c r="AA85" s="849"/>
      <c r="AB85" s="849"/>
      <c r="AC85" s="1652"/>
      <c r="AD85" s="849"/>
      <c r="AE85" s="849"/>
      <c r="AF85" s="849"/>
      <c r="AG85" s="1646"/>
      <c r="AH85" s="1646"/>
      <c r="AI85" s="1655"/>
      <c r="AJ85" s="213"/>
      <c r="AK85" s="1517" t="s">
        <v>5371</v>
      </c>
    </row>
    <row r="86" spans="1:37" ht="9.9499999999999993" customHeight="1" x14ac:dyDescent="0.25">
      <c r="A86" s="1616"/>
      <c r="B86" s="1617"/>
      <c r="C86" s="1575"/>
      <c r="D86" s="1575"/>
      <c r="E86" s="1575"/>
      <c r="F86" s="850"/>
      <c r="G86" s="851"/>
      <c r="H86" s="850"/>
      <c r="I86" s="1653"/>
      <c r="J86" s="850"/>
      <c r="K86" s="851"/>
      <c r="L86" s="850"/>
      <c r="M86" s="1653"/>
      <c r="N86" s="850"/>
      <c r="O86" s="851"/>
      <c r="P86" s="850"/>
      <c r="Q86" s="1653"/>
      <c r="R86" s="850"/>
      <c r="S86" s="851"/>
      <c r="T86" s="850"/>
      <c r="U86" s="1653"/>
      <c r="V86" s="850"/>
      <c r="W86" s="851"/>
      <c r="X86" s="850"/>
      <c r="Y86" s="1653"/>
      <c r="Z86" s="850"/>
      <c r="AA86" s="851"/>
      <c r="AB86" s="850"/>
      <c r="AC86" s="1653"/>
      <c r="AD86" s="850"/>
      <c r="AE86" s="851"/>
      <c r="AF86" s="850"/>
      <c r="AG86" s="1647"/>
      <c r="AH86" s="1647"/>
      <c r="AI86" s="1656"/>
      <c r="AJ86" s="213"/>
      <c r="AK86" s="1619"/>
    </row>
    <row r="87" spans="1:37" ht="9.9499999999999993" customHeight="1" x14ac:dyDescent="0.25">
      <c r="A87" s="1616"/>
      <c r="B87" s="1617"/>
      <c r="C87" s="1576"/>
      <c r="D87" s="1576"/>
      <c r="E87" s="1576"/>
      <c r="F87" s="849"/>
      <c r="G87" s="849"/>
      <c r="H87" s="849"/>
      <c r="I87" s="1654"/>
      <c r="J87" s="849"/>
      <c r="K87" s="849"/>
      <c r="L87" s="849"/>
      <c r="M87" s="1654"/>
      <c r="N87" s="849"/>
      <c r="O87" s="849"/>
      <c r="P87" s="849"/>
      <c r="Q87" s="1654"/>
      <c r="R87" s="849"/>
      <c r="S87" s="849"/>
      <c r="T87" s="849"/>
      <c r="U87" s="1654"/>
      <c r="V87" s="849"/>
      <c r="W87" s="849"/>
      <c r="X87" s="849"/>
      <c r="Y87" s="1654"/>
      <c r="Z87" s="849"/>
      <c r="AA87" s="849"/>
      <c r="AB87" s="849"/>
      <c r="AC87" s="1654"/>
      <c r="AD87" s="849"/>
      <c r="AE87" s="849"/>
      <c r="AF87" s="849"/>
      <c r="AG87" s="1648"/>
      <c r="AH87" s="1648"/>
      <c r="AI87" s="1657"/>
      <c r="AJ87" s="213"/>
      <c r="AK87" s="1518"/>
    </row>
    <row r="88" spans="1:37" ht="9.9499999999999993" customHeight="1" x14ac:dyDescent="0.25">
      <c r="A88" s="270"/>
      <c r="B88" s="270"/>
      <c r="C88" s="270"/>
      <c r="D88" s="270"/>
      <c r="E88" s="270"/>
      <c r="F88" s="270"/>
      <c r="G88" s="270"/>
      <c r="H88" s="270"/>
      <c r="I88" s="270"/>
      <c r="J88" s="270"/>
      <c r="K88" s="270"/>
      <c r="L88" s="270"/>
      <c r="M88" s="852"/>
      <c r="N88" s="270"/>
      <c r="O88" s="270"/>
      <c r="P88" s="270"/>
      <c r="Q88" s="852"/>
      <c r="R88" s="270"/>
      <c r="S88" s="270"/>
      <c r="T88" s="270"/>
      <c r="U88" s="852"/>
      <c r="V88" s="270"/>
      <c r="W88" s="270"/>
      <c r="X88" s="270"/>
      <c r="Y88" s="852"/>
      <c r="Z88" s="270"/>
      <c r="AA88" s="270"/>
      <c r="AB88" s="270"/>
      <c r="AC88" s="852"/>
      <c r="AD88" s="270"/>
      <c r="AE88" s="270"/>
      <c r="AF88" s="270"/>
      <c r="AG88" s="853"/>
      <c r="AH88" s="853"/>
      <c r="AI88" s="854"/>
      <c r="AJ88" s="213"/>
      <c r="AK88" s="213"/>
    </row>
    <row r="89" spans="1:37" ht="9.9499999999999993" customHeight="1" x14ac:dyDescent="0.25">
      <c r="A89" s="1616">
        <v>21</v>
      </c>
      <c r="B89" s="1617">
        <v>3</v>
      </c>
      <c r="C89" s="1574" t="s">
        <v>5468</v>
      </c>
      <c r="D89" s="1574" t="s">
        <v>5459</v>
      </c>
      <c r="E89" s="1574" t="s">
        <v>6580</v>
      </c>
      <c r="F89" s="849"/>
      <c r="G89" s="849"/>
      <c r="H89" s="849"/>
      <c r="I89" s="1652"/>
      <c r="J89" s="849"/>
      <c r="K89" s="849"/>
      <c r="L89" s="849"/>
      <c r="M89" s="1652"/>
      <c r="N89" s="849"/>
      <c r="O89" s="849"/>
      <c r="P89" s="849"/>
      <c r="Q89" s="1652"/>
      <c r="R89" s="849"/>
      <c r="S89" s="849"/>
      <c r="T89" s="849"/>
      <c r="U89" s="1652"/>
      <c r="V89" s="849"/>
      <c r="W89" s="849"/>
      <c r="X89" s="849"/>
      <c r="Y89" s="1652"/>
      <c r="Z89" s="849"/>
      <c r="AA89" s="849"/>
      <c r="AB89" s="849"/>
      <c r="AC89" s="1652"/>
      <c r="AD89" s="849"/>
      <c r="AE89" s="849"/>
      <c r="AF89" s="849"/>
      <c r="AG89" s="1646"/>
      <c r="AH89" s="1646"/>
      <c r="AI89" s="1655"/>
      <c r="AJ89" s="213"/>
      <c r="AK89" s="1620" t="s">
        <v>5374</v>
      </c>
    </row>
    <row r="90" spans="1:37" ht="9.9499999999999993" customHeight="1" x14ac:dyDescent="0.25">
      <c r="A90" s="1616"/>
      <c r="B90" s="1617"/>
      <c r="C90" s="1575"/>
      <c r="D90" s="1575"/>
      <c r="E90" s="1575"/>
      <c r="F90" s="850"/>
      <c r="G90" s="851"/>
      <c r="H90" s="850"/>
      <c r="I90" s="1653"/>
      <c r="J90" s="850"/>
      <c r="K90" s="851"/>
      <c r="L90" s="850"/>
      <c r="M90" s="1653"/>
      <c r="N90" s="850"/>
      <c r="O90" s="851"/>
      <c r="P90" s="850"/>
      <c r="Q90" s="1653"/>
      <c r="R90" s="850"/>
      <c r="S90" s="851"/>
      <c r="T90" s="850"/>
      <c r="U90" s="1653"/>
      <c r="V90" s="850"/>
      <c r="W90" s="851"/>
      <c r="X90" s="850"/>
      <c r="Y90" s="1653"/>
      <c r="Z90" s="850"/>
      <c r="AA90" s="851"/>
      <c r="AB90" s="850"/>
      <c r="AC90" s="1653"/>
      <c r="AD90" s="850"/>
      <c r="AE90" s="851"/>
      <c r="AF90" s="850"/>
      <c r="AG90" s="1647"/>
      <c r="AH90" s="1647"/>
      <c r="AI90" s="1656"/>
      <c r="AJ90" s="213"/>
      <c r="AK90" s="1621"/>
    </row>
    <row r="91" spans="1:37" ht="9.9499999999999993" customHeight="1" x14ac:dyDescent="0.25">
      <c r="A91" s="1616"/>
      <c r="B91" s="1617"/>
      <c r="C91" s="1576"/>
      <c r="D91" s="1576"/>
      <c r="E91" s="1576"/>
      <c r="F91" s="849"/>
      <c r="G91" s="849"/>
      <c r="H91" s="849"/>
      <c r="I91" s="1654"/>
      <c r="J91" s="849"/>
      <c r="K91" s="849"/>
      <c r="L91" s="849"/>
      <c r="M91" s="1654"/>
      <c r="N91" s="849"/>
      <c r="O91" s="849"/>
      <c r="P91" s="849"/>
      <c r="Q91" s="1654"/>
      <c r="R91" s="849"/>
      <c r="S91" s="849"/>
      <c r="T91" s="849"/>
      <c r="U91" s="1654"/>
      <c r="V91" s="849"/>
      <c r="W91" s="849"/>
      <c r="X91" s="849"/>
      <c r="Y91" s="1654"/>
      <c r="Z91" s="849"/>
      <c r="AA91" s="849"/>
      <c r="AB91" s="849"/>
      <c r="AC91" s="1654"/>
      <c r="AD91" s="849"/>
      <c r="AE91" s="849"/>
      <c r="AF91" s="849"/>
      <c r="AG91" s="1648"/>
      <c r="AH91" s="1648"/>
      <c r="AI91" s="1657"/>
      <c r="AJ91" s="213"/>
      <c r="AK91" s="1622"/>
    </row>
    <row r="92" spans="1:37" ht="9.9499999999999993" customHeight="1" x14ac:dyDescent="0.25">
      <c r="A92" s="270"/>
      <c r="B92" s="270"/>
      <c r="C92" s="270"/>
      <c r="D92" s="270"/>
      <c r="E92" s="270"/>
      <c r="F92" s="270"/>
      <c r="G92" s="270"/>
      <c r="H92" s="270"/>
      <c r="I92" s="270"/>
      <c r="J92" s="270"/>
      <c r="K92" s="270"/>
      <c r="L92" s="270"/>
      <c r="M92" s="852"/>
      <c r="N92" s="270"/>
      <c r="O92" s="270"/>
      <c r="P92" s="270"/>
      <c r="Q92" s="852"/>
      <c r="R92" s="270"/>
      <c r="S92" s="270"/>
      <c r="T92" s="270"/>
      <c r="U92" s="852"/>
      <c r="V92" s="270"/>
      <c r="W92" s="270"/>
      <c r="X92" s="270"/>
      <c r="Y92" s="852"/>
      <c r="Z92" s="270"/>
      <c r="AA92" s="270"/>
      <c r="AB92" s="270"/>
      <c r="AC92" s="852"/>
      <c r="AD92" s="270"/>
      <c r="AE92" s="270"/>
      <c r="AF92" s="270"/>
      <c r="AG92" s="853"/>
      <c r="AH92" s="853"/>
      <c r="AI92" s="854"/>
      <c r="AJ92" s="213"/>
      <c r="AK92" s="213"/>
    </row>
    <row r="93" spans="1:37" ht="9.9499999999999993" customHeight="1" x14ac:dyDescent="0.25">
      <c r="A93" s="1616">
        <v>22</v>
      </c>
      <c r="B93" s="1617">
        <v>4</v>
      </c>
      <c r="C93" s="1574" t="s">
        <v>5458</v>
      </c>
      <c r="D93" s="1574" t="s">
        <v>5459</v>
      </c>
      <c r="E93" s="1574" t="s">
        <v>6580</v>
      </c>
      <c r="F93" s="849"/>
      <c r="G93" s="849"/>
      <c r="H93" s="849"/>
      <c r="I93" s="1652"/>
      <c r="J93" s="849"/>
      <c r="K93" s="849"/>
      <c r="L93" s="849"/>
      <c r="M93" s="1652"/>
      <c r="N93" s="849"/>
      <c r="O93" s="849"/>
      <c r="P93" s="849"/>
      <c r="Q93" s="1652"/>
      <c r="R93" s="849"/>
      <c r="S93" s="849"/>
      <c r="T93" s="849"/>
      <c r="U93" s="1652"/>
      <c r="V93" s="849"/>
      <c r="W93" s="849"/>
      <c r="X93" s="849"/>
      <c r="Y93" s="1652"/>
      <c r="Z93" s="849"/>
      <c r="AA93" s="849"/>
      <c r="AB93" s="849"/>
      <c r="AC93" s="1652"/>
      <c r="AD93" s="849"/>
      <c r="AE93" s="849"/>
      <c r="AF93" s="849"/>
      <c r="AG93" s="1646"/>
      <c r="AH93" s="1646"/>
      <c r="AI93" s="1655"/>
      <c r="AJ93" s="213"/>
      <c r="AK93" s="1623" t="s">
        <v>5377</v>
      </c>
    </row>
    <row r="94" spans="1:37" ht="9.9499999999999993" customHeight="1" x14ac:dyDescent="0.25">
      <c r="A94" s="1616"/>
      <c r="B94" s="1617"/>
      <c r="C94" s="1575"/>
      <c r="D94" s="1575"/>
      <c r="E94" s="1575"/>
      <c r="F94" s="850"/>
      <c r="G94" s="851"/>
      <c r="H94" s="850"/>
      <c r="I94" s="1653"/>
      <c r="J94" s="850"/>
      <c r="K94" s="851"/>
      <c r="L94" s="850"/>
      <c r="M94" s="1653"/>
      <c r="N94" s="850"/>
      <c r="O94" s="851"/>
      <c r="P94" s="850"/>
      <c r="Q94" s="1653"/>
      <c r="R94" s="850"/>
      <c r="S94" s="851"/>
      <c r="T94" s="850"/>
      <c r="U94" s="1653"/>
      <c r="V94" s="850"/>
      <c r="W94" s="851"/>
      <c r="X94" s="850"/>
      <c r="Y94" s="1653"/>
      <c r="Z94" s="850"/>
      <c r="AA94" s="851"/>
      <c r="AB94" s="850"/>
      <c r="AC94" s="1653"/>
      <c r="AD94" s="850"/>
      <c r="AE94" s="851"/>
      <c r="AF94" s="850"/>
      <c r="AG94" s="1647"/>
      <c r="AH94" s="1647"/>
      <c r="AI94" s="1656"/>
      <c r="AJ94" s="213"/>
      <c r="AK94" s="1624"/>
    </row>
    <row r="95" spans="1:37" ht="9.9499999999999993" customHeight="1" x14ac:dyDescent="0.25">
      <c r="A95" s="1616"/>
      <c r="B95" s="1617"/>
      <c r="C95" s="1576"/>
      <c r="D95" s="1576"/>
      <c r="E95" s="1576"/>
      <c r="F95" s="849"/>
      <c r="G95" s="849"/>
      <c r="H95" s="849"/>
      <c r="I95" s="1654"/>
      <c r="J95" s="849"/>
      <c r="K95" s="849"/>
      <c r="L95" s="849"/>
      <c r="M95" s="1654"/>
      <c r="N95" s="849"/>
      <c r="O95" s="849"/>
      <c r="P95" s="849"/>
      <c r="Q95" s="1654"/>
      <c r="R95" s="849"/>
      <c r="S95" s="849"/>
      <c r="T95" s="849"/>
      <c r="U95" s="1654"/>
      <c r="V95" s="849"/>
      <c r="W95" s="849"/>
      <c r="X95" s="849"/>
      <c r="Y95" s="1654"/>
      <c r="Z95" s="849"/>
      <c r="AA95" s="849"/>
      <c r="AB95" s="849"/>
      <c r="AC95" s="1654"/>
      <c r="AD95" s="849"/>
      <c r="AE95" s="849"/>
      <c r="AF95" s="849"/>
      <c r="AG95" s="1648"/>
      <c r="AH95" s="1648"/>
      <c r="AI95" s="1657"/>
      <c r="AJ95" s="213"/>
      <c r="AK95" s="1625"/>
    </row>
    <row r="96" spans="1:37" ht="9.9499999999999993" customHeight="1" x14ac:dyDescent="0.25">
      <c r="A96" s="270"/>
      <c r="B96" s="270"/>
      <c r="C96" s="270"/>
      <c r="D96" s="270"/>
      <c r="E96" s="270"/>
      <c r="F96" s="270"/>
      <c r="G96" s="270"/>
      <c r="H96" s="270"/>
      <c r="I96" s="270"/>
      <c r="J96" s="270"/>
      <c r="K96" s="270"/>
      <c r="L96" s="270"/>
      <c r="M96" s="852"/>
      <c r="N96" s="270"/>
      <c r="O96" s="270"/>
      <c r="P96" s="270"/>
      <c r="Q96" s="852"/>
      <c r="R96" s="270"/>
      <c r="S96" s="270"/>
      <c r="T96" s="270"/>
      <c r="U96" s="852"/>
      <c r="V96" s="270"/>
      <c r="W96" s="270"/>
      <c r="X96" s="270"/>
      <c r="Y96" s="852"/>
      <c r="Z96" s="270"/>
      <c r="AA96" s="270"/>
      <c r="AB96" s="270"/>
      <c r="AC96" s="852"/>
      <c r="AD96" s="270"/>
      <c r="AE96" s="270"/>
      <c r="AF96" s="270"/>
      <c r="AG96" s="853"/>
      <c r="AH96" s="853"/>
      <c r="AI96" s="854"/>
      <c r="AJ96" s="213"/>
      <c r="AK96" s="213"/>
    </row>
    <row r="97" spans="1:37" ht="9.9499999999999993" customHeight="1" x14ac:dyDescent="0.25">
      <c r="A97" s="1616">
        <v>23</v>
      </c>
      <c r="B97" s="1617">
        <v>4</v>
      </c>
      <c r="C97" s="1574" t="s">
        <v>5463</v>
      </c>
      <c r="D97" s="1574" t="s">
        <v>5459</v>
      </c>
      <c r="E97" s="1574" t="s">
        <v>6580</v>
      </c>
      <c r="F97" s="849"/>
      <c r="G97" s="849"/>
      <c r="H97" s="849"/>
      <c r="I97" s="1652"/>
      <c r="J97" s="849"/>
      <c r="K97" s="849"/>
      <c r="L97" s="849"/>
      <c r="M97" s="1652"/>
      <c r="N97" s="849"/>
      <c r="O97" s="849"/>
      <c r="P97" s="849"/>
      <c r="Q97" s="1652"/>
      <c r="R97" s="849"/>
      <c r="S97" s="849"/>
      <c r="T97" s="849"/>
      <c r="U97" s="1652"/>
      <c r="V97" s="849"/>
      <c r="W97" s="849"/>
      <c r="X97" s="849"/>
      <c r="Y97" s="1652"/>
      <c r="Z97" s="849"/>
      <c r="AA97" s="849"/>
      <c r="AB97" s="849"/>
      <c r="AC97" s="1652"/>
      <c r="AD97" s="849"/>
      <c r="AE97" s="849"/>
      <c r="AF97" s="849"/>
      <c r="AG97" s="1646"/>
      <c r="AH97" s="1646"/>
      <c r="AI97" s="1655"/>
      <c r="AJ97" s="213"/>
      <c r="AK97" s="213"/>
    </row>
    <row r="98" spans="1:37" ht="9.9499999999999993" customHeight="1" x14ac:dyDescent="0.25">
      <c r="A98" s="1616"/>
      <c r="B98" s="1617"/>
      <c r="C98" s="1575"/>
      <c r="D98" s="1575"/>
      <c r="E98" s="1575"/>
      <c r="F98" s="850"/>
      <c r="G98" s="851"/>
      <c r="H98" s="850"/>
      <c r="I98" s="1653"/>
      <c r="J98" s="850"/>
      <c r="K98" s="851"/>
      <c r="L98" s="850"/>
      <c r="M98" s="1653"/>
      <c r="N98" s="850"/>
      <c r="O98" s="851"/>
      <c r="P98" s="850"/>
      <c r="Q98" s="1653"/>
      <c r="R98" s="850"/>
      <c r="S98" s="851"/>
      <c r="T98" s="850"/>
      <c r="U98" s="1653"/>
      <c r="V98" s="850"/>
      <c r="W98" s="851"/>
      <c r="X98" s="850"/>
      <c r="Y98" s="1653"/>
      <c r="Z98" s="850"/>
      <c r="AA98" s="851"/>
      <c r="AB98" s="850"/>
      <c r="AC98" s="1653"/>
      <c r="AD98" s="850"/>
      <c r="AE98" s="851"/>
      <c r="AF98" s="850"/>
      <c r="AG98" s="1647"/>
      <c r="AH98" s="1647"/>
      <c r="AI98" s="1656"/>
      <c r="AJ98" s="213"/>
      <c r="AK98" s="213"/>
    </row>
    <row r="99" spans="1:37" ht="9.9499999999999993" customHeight="1" x14ac:dyDescent="0.25">
      <c r="A99" s="1616"/>
      <c r="B99" s="1617"/>
      <c r="C99" s="1576"/>
      <c r="D99" s="1576"/>
      <c r="E99" s="1576"/>
      <c r="F99" s="849"/>
      <c r="G99" s="849"/>
      <c r="H99" s="849"/>
      <c r="I99" s="1654"/>
      <c r="J99" s="849"/>
      <c r="K99" s="849"/>
      <c r="L99" s="849"/>
      <c r="M99" s="1654"/>
      <c r="N99" s="849"/>
      <c r="O99" s="849"/>
      <c r="P99" s="849"/>
      <c r="Q99" s="1654"/>
      <c r="R99" s="849"/>
      <c r="S99" s="849"/>
      <c r="T99" s="849"/>
      <c r="U99" s="1654"/>
      <c r="V99" s="849"/>
      <c r="W99" s="849"/>
      <c r="X99" s="849"/>
      <c r="Y99" s="1654"/>
      <c r="Z99" s="849"/>
      <c r="AA99" s="849"/>
      <c r="AB99" s="849"/>
      <c r="AC99" s="1654"/>
      <c r="AD99" s="849"/>
      <c r="AE99" s="849"/>
      <c r="AF99" s="849"/>
      <c r="AG99" s="1648"/>
      <c r="AH99" s="1648"/>
      <c r="AI99" s="1657"/>
      <c r="AJ99" s="213"/>
      <c r="AK99" s="213"/>
    </row>
    <row r="100" spans="1:37" ht="9.9499999999999993" customHeight="1" x14ac:dyDescent="0.25">
      <c r="A100" s="270"/>
      <c r="B100" s="270"/>
      <c r="C100" s="270"/>
      <c r="D100" s="270"/>
      <c r="E100" s="270"/>
      <c r="F100" s="270"/>
      <c r="G100" s="270"/>
      <c r="H100" s="270"/>
      <c r="I100" s="270"/>
      <c r="J100" s="270"/>
      <c r="K100" s="270"/>
      <c r="L100" s="270"/>
      <c r="M100" s="852"/>
      <c r="N100" s="270"/>
      <c r="O100" s="270"/>
      <c r="P100" s="270"/>
      <c r="Q100" s="852"/>
      <c r="R100" s="270"/>
      <c r="S100" s="270"/>
      <c r="T100" s="270"/>
      <c r="U100" s="852"/>
      <c r="V100" s="270"/>
      <c r="W100" s="270"/>
      <c r="X100" s="270"/>
      <c r="Y100" s="852"/>
      <c r="Z100" s="270"/>
      <c r="AA100" s="270"/>
      <c r="AB100" s="270"/>
      <c r="AC100" s="852"/>
      <c r="AD100" s="270"/>
      <c r="AE100" s="270"/>
      <c r="AF100" s="270"/>
      <c r="AG100" s="853"/>
      <c r="AH100" s="853"/>
      <c r="AI100" s="854"/>
      <c r="AJ100" s="213"/>
      <c r="AK100" s="213"/>
    </row>
    <row r="101" spans="1:37" ht="9.9499999999999993" customHeight="1" x14ac:dyDescent="0.25">
      <c r="A101" s="1616">
        <v>24</v>
      </c>
      <c r="B101" s="1617">
        <v>4</v>
      </c>
      <c r="C101" s="1574" t="s">
        <v>5464</v>
      </c>
      <c r="D101" s="1574" t="s">
        <v>5459</v>
      </c>
      <c r="E101" s="1574" t="s">
        <v>6580</v>
      </c>
      <c r="F101" s="849"/>
      <c r="G101" s="849"/>
      <c r="H101" s="849"/>
      <c r="I101" s="1652"/>
      <c r="J101" s="849"/>
      <c r="K101" s="849"/>
      <c r="L101" s="849"/>
      <c r="M101" s="1652"/>
      <c r="N101" s="849"/>
      <c r="O101" s="849"/>
      <c r="P101" s="849"/>
      <c r="Q101" s="1652"/>
      <c r="R101" s="849"/>
      <c r="S101" s="849"/>
      <c r="T101" s="849"/>
      <c r="U101" s="1652"/>
      <c r="V101" s="849"/>
      <c r="W101" s="849"/>
      <c r="X101" s="849"/>
      <c r="Y101" s="1652"/>
      <c r="Z101" s="849"/>
      <c r="AA101" s="849"/>
      <c r="AB101" s="849"/>
      <c r="AC101" s="1652"/>
      <c r="AD101" s="849"/>
      <c r="AE101" s="849"/>
      <c r="AF101" s="849"/>
      <c r="AG101" s="1646"/>
      <c r="AH101" s="1646"/>
      <c r="AI101" s="1655"/>
      <c r="AJ101" s="213"/>
      <c r="AK101" s="213"/>
    </row>
    <row r="102" spans="1:37" ht="9.9499999999999993" customHeight="1" x14ac:dyDescent="0.25">
      <c r="A102" s="1616"/>
      <c r="B102" s="1617"/>
      <c r="C102" s="1575"/>
      <c r="D102" s="1575"/>
      <c r="E102" s="1575"/>
      <c r="F102" s="850"/>
      <c r="G102" s="851"/>
      <c r="H102" s="850"/>
      <c r="I102" s="1653"/>
      <c r="J102" s="850"/>
      <c r="K102" s="851"/>
      <c r="L102" s="850"/>
      <c r="M102" s="1653"/>
      <c r="N102" s="850"/>
      <c r="O102" s="851"/>
      <c r="P102" s="850"/>
      <c r="Q102" s="1653"/>
      <c r="R102" s="850"/>
      <c r="S102" s="851"/>
      <c r="T102" s="850"/>
      <c r="U102" s="1653"/>
      <c r="V102" s="850"/>
      <c r="W102" s="851"/>
      <c r="X102" s="850"/>
      <c r="Y102" s="1653"/>
      <c r="Z102" s="850"/>
      <c r="AA102" s="851"/>
      <c r="AB102" s="850"/>
      <c r="AC102" s="1653"/>
      <c r="AD102" s="850"/>
      <c r="AE102" s="851"/>
      <c r="AF102" s="850"/>
      <c r="AG102" s="1647"/>
      <c r="AH102" s="1647"/>
      <c r="AI102" s="1656"/>
      <c r="AJ102" s="213"/>
      <c r="AK102" s="213"/>
    </row>
    <row r="103" spans="1:37" ht="9.9499999999999993" customHeight="1" x14ac:dyDescent="0.25">
      <c r="A103" s="1616"/>
      <c r="B103" s="1617"/>
      <c r="C103" s="1576"/>
      <c r="D103" s="1576"/>
      <c r="E103" s="1576"/>
      <c r="F103" s="849"/>
      <c r="G103" s="849"/>
      <c r="H103" s="849"/>
      <c r="I103" s="1654"/>
      <c r="J103" s="849"/>
      <c r="K103" s="849"/>
      <c r="L103" s="849"/>
      <c r="M103" s="1654"/>
      <c r="N103" s="849"/>
      <c r="O103" s="849"/>
      <c r="P103" s="849"/>
      <c r="Q103" s="1654"/>
      <c r="R103" s="849"/>
      <c r="S103" s="849"/>
      <c r="T103" s="849"/>
      <c r="U103" s="1654"/>
      <c r="V103" s="849"/>
      <c r="W103" s="849"/>
      <c r="X103" s="849"/>
      <c r="Y103" s="1654"/>
      <c r="Z103" s="849"/>
      <c r="AA103" s="849"/>
      <c r="AB103" s="849"/>
      <c r="AC103" s="1654"/>
      <c r="AD103" s="849"/>
      <c r="AE103" s="849"/>
      <c r="AF103" s="849"/>
      <c r="AG103" s="1648"/>
      <c r="AH103" s="1648"/>
      <c r="AI103" s="1657"/>
      <c r="AJ103" s="213"/>
      <c r="AK103" s="213"/>
    </row>
    <row r="104" spans="1:37" ht="9.9499999999999993" customHeight="1" x14ac:dyDescent="0.25">
      <c r="A104" s="270"/>
      <c r="B104" s="270"/>
      <c r="C104" s="270"/>
      <c r="D104" s="270"/>
      <c r="E104" s="270"/>
      <c r="F104" s="270"/>
      <c r="G104" s="270"/>
      <c r="H104" s="270"/>
      <c r="I104" s="270"/>
      <c r="J104" s="270"/>
      <c r="K104" s="270"/>
      <c r="L104" s="270"/>
      <c r="M104" s="852"/>
      <c r="N104" s="270"/>
      <c r="O104" s="270"/>
      <c r="P104" s="270"/>
      <c r="Q104" s="852"/>
      <c r="R104" s="270"/>
      <c r="S104" s="270"/>
      <c r="T104" s="270"/>
      <c r="U104" s="852"/>
      <c r="V104" s="270"/>
      <c r="W104" s="270"/>
      <c r="X104" s="270"/>
      <c r="Y104" s="852"/>
      <c r="Z104" s="270"/>
      <c r="AA104" s="270"/>
      <c r="AB104" s="270"/>
      <c r="AC104" s="852"/>
      <c r="AD104" s="270"/>
      <c r="AE104" s="270"/>
      <c r="AF104" s="270"/>
      <c r="AG104" s="853"/>
      <c r="AH104" s="853"/>
      <c r="AI104" s="854"/>
      <c r="AJ104" s="213"/>
      <c r="AK104" s="213"/>
    </row>
    <row r="105" spans="1:37" ht="9.9499999999999993" customHeight="1" x14ac:dyDescent="0.25">
      <c r="A105" s="1616">
        <v>25</v>
      </c>
      <c r="B105" s="1617">
        <v>4</v>
      </c>
      <c r="C105" s="1574" t="s">
        <v>5465</v>
      </c>
      <c r="D105" s="1574" t="s">
        <v>5459</v>
      </c>
      <c r="E105" s="1574" t="s">
        <v>6580</v>
      </c>
      <c r="F105" s="849"/>
      <c r="G105" s="849"/>
      <c r="H105" s="849"/>
      <c r="I105" s="1652"/>
      <c r="J105" s="849"/>
      <c r="K105" s="849"/>
      <c r="L105" s="849"/>
      <c r="M105" s="1652"/>
      <c r="N105" s="849"/>
      <c r="O105" s="849"/>
      <c r="P105" s="849"/>
      <c r="Q105" s="1652"/>
      <c r="R105" s="849"/>
      <c r="S105" s="849"/>
      <c r="T105" s="849"/>
      <c r="U105" s="1652"/>
      <c r="V105" s="849"/>
      <c r="W105" s="849"/>
      <c r="X105" s="849"/>
      <c r="Y105" s="1652"/>
      <c r="Z105" s="849"/>
      <c r="AA105" s="849"/>
      <c r="AB105" s="849"/>
      <c r="AC105" s="1652"/>
      <c r="AD105" s="849"/>
      <c r="AE105" s="849"/>
      <c r="AF105" s="849"/>
      <c r="AG105" s="1646"/>
      <c r="AH105" s="1646"/>
      <c r="AI105" s="1655"/>
      <c r="AJ105" s="213"/>
      <c r="AK105" s="213"/>
    </row>
    <row r="106" spans="1:37" ht="9.9499999999999993" customHeight="1" x14ac:dyDescent="0.25">
      <c r="A106" s="1616"/>
      <c r="B106" s="1617"/>
      <c r="C106" s="1575"/>
      <c r="D106" s="1575"/>
      <c r="E106" s="1575"/>
      <c r="F106" s="850"/>
      <c r="G106" s="851"/>
      <c r="H106" s="850"/>
      <c r="I106" s="1653"/>
      <c r="J106" s="850"/>
      <c r="K106" s="851"/>
      <c r="L106" s="850"/>
      <c r="M106" s="1653"/>
      <c r="N106" s="850"/>
      <c r="O106" s="851"/>
      <c r="P106" s="850"/>
      <c r="Q106" s="1653"/>
      <c r="R106" s="850"/>
      <c r="S106" s="851"/>
      <c r="T106" s="850"/>
      <c r="U106" s="1653"/>
      <c r="V106" s="850"/>
      <c r="W106" s="851"/>
      <c r="X106" s="850"/>
      <c r="Y106" s="1653"/>
      <c r="Z106" s="850"/>
      <c r="AA106" s="851"/>
      <c r="AB106" s="850"/>
      <c r="AC106" s="1653"/>
      <c r="AD106" s="850"/>
      <c r="AE106" s="851"/>
      <c r="AF106" s="850"/>
      <c r="AG106" s="1647"/>
      <c r="AH106" s="1647"/>
      <c r="AI106" s="1656"/>
      <c r="AJ106" s="213"/>
      <c r="AK106" s="213"/>
    </row>
    <row r="107" spans="1:37" ht="9.9499999999999993" customHeight="1" x14ac:dyDescent="0.25">
      <c r="A107" s="1616"/>
      <c r="B107" s="1617"/>
      <c r="C107" s="1576"/>
      <c r="D107" s="1576"/>
      <c r="E107" s="1576"/>
      <c r="F107" s="849"/>
      <c r="G107" s="849"/>
      <c r="H107" s="849"/>
      <c r="I107" s="1654"/>
      <c r="J107" s="849"/>
      <c r="K107" s="849"/>
      <c r="L107" s="849"/>
      <c r="M107" s="1654"/>
      <c r="N107" s="849"/>
      <c r="O107" s="849"/>
      <c r="P107" s="849"/>
      <c r="Q107" s="1654"/>
      <c r="R107" s="849"/>
      <c r="S107" s="849"/>
      <c r="T107" s="849"/>
      <c r="U107" s="1654"/>
      <c r="V107" s="849"/>
      <c r="W107" s="849"/>
      <c r="X107" s="849"/>
      <c r="Y107" s="1654"/>
      <c r="Z107" s="849"/>
      <c r="AA107" s="849"/>
      <c r="AB107" s="849"/>
      <c r="AC107" s="1654"/>
      <c r="AD107" s="849"/>
      <c r="AE107" s="849"/>
      <c r="AF107" s="849"/>
      <c r="AG107" s="1648"/>
      <c r="AH107" s="1648"/>
      <c r="AI107" s="1657"/>
      <c r="AJ107" s="213"/>
      <c r="AK107" s="213"/>
    </row>
    <row r="108" spans="1:37" ht="9.9499999999999993" customHeight="1" x14ac:dyDescent="0.25">
      <c r="A108" s="270"/>
      <c r="B108" s="270"/>
      <c r="C108" s="270"/>
      <c r="D108" s="270"/>
      <c r="E108" s="270"/>
      <c r="F108" s="270"/>
      <c r="G108" s="270"/>
      <c r="H108" s="270"/>
      <c r="I108" s="270"/>
      <c r="J108" s="270"/>
      <c r="K108" s="270"/>
      <c r="L108" s="270"/>
      <c r="M108" s="852"/>
      <c r="N108" s="270"/>
      <c r="O108" s="270"/>
      <c r="P108" s="270"/>
      <c r="Q108" s="852"/>
      <c r="R108" s="270"/>
      <c r="S108" s="270"/>
      <c r="T108" s="270"/>
      <c r="U108" s="852"/>
      <c r="V108" s="270"/>
      <c r="W108" s="270"/>
      <c r="X108" s="270"/>
      <c r="Y108" s="852"/>
      <c r="Z108" s="270"/>
      <c r="AA108" s="270"/>
      <c r="AB108" s="270"/>
      <c r="AC108" s="852"/>
      <c r="AD108" s="270"/>
      <c r="AE108" s="270"/>
      <c r="AF108" s="270"/>
      <c r="AG108" s="853"/>
      <c r="AH108" s="853"/>
      <c r="AI108" s="854"/>
      <c r="AJ108" s="213"/>
      <c r="AK108" s="213"/>
    </row>
    <row r="109" spans="1:37" ht="9.9499999999999993" customHeight="1" x14ac:dyDescent="0.25">
      <c r="A109" s="1616">
        <v>26</v>
      </c>
      <c r="B109" s="1617">
        <v>4</v>
      </c>
      <c r="C109" s="1574" t="s">
        <v>5466</v>
      </c>
      <c r="D109" s="1574" t="s">
        <v>5459</v>
      </c>
      <c r="E109" s="1574" t="s">
        <v>6580</v>
      </c>
      <c r="F109" s="849"/>
      <c r="G109" s="849"/>
      <c r="H109" s="849"/>
      <c r="I109" s="1652"/>
      <c r="J109" s="849"/>
      <c r="K109" s="849"/>
      <c r="L109" s="849"/>
      <c r="M109" s="1652"/>
      <c r="N109" s="849"/>
      <c r="O109" s="849"/>
      <c r="P109" s="849"/>
      <c r="Q109" s="1652"/>
      <c r="R109" s="849"/>
      <c r="S109" s="849"/>
      <c r="T109" s="849"/>
      <c r="U109" s="1652"/>
      <c r="V109" s="849"/>
      <c r="W109" s="849"/>
      <c r="X109" s="849"/>
      <c r="Y109" s="1652"/>
      <c r="Z109" s="849"/>
      <c r="AA109" s="849"/>
      <c r="AB109" s="849"/>
      <c r="AC109" s="1652"/>
      <c r="AD109" s="849"/>
      <c r="AE109" s="849"/>
      <c r="AF109" s="849"/>
      <c r="AG109" s="1646"/>
      <c r="AH109" s="1646"/>
      <c r="AI109" s="1655"/>
      <c r="AJ109" s="213"/>
      <c r="AK109" s="213"/>
    </row>
    <row r="110" spans="1:37" ht="9.9499999999999993" customHeight="1" x14ac:dyDescent="0.25">
      <c r="A110" s="1616"/>
      <c r="B110" s="1617"/>
      <c r="C110" s="1575"/>
      <c r="D110" s="1575"/>
      <c r="E110" s="1575"/>
      <c r="F110" s="850"/>
      <c r="G110" s="851"/>
      <c r="H110" s="850"/>
      <c r="I110" s="1653"/>
      <c r="J110" s="850"/>
      <c r="K110" s="851"/>
      <c r="L110" s="850"/>
      <c r="M110" s="1653"/>
      <c r="N110" s="850"/>
      <c r="O110" s="851"/>
      <c r="P110" s="850"/>
      <c r="Q110" s="1653"/>
      <c r="R110" s="850"/>
      <c r="S110" s="851"/>
      <c r="T110" s="850"/>
      <c r="U110" s="1653"/>
      <c r="V110" s="850"/>
      <c r="W110" s="851"/>
      <c r="X110" s="850"/>
      <c r="Y110" s="1653"/>
      <c r="Z110" s="850"/>
      <c r="AA110" s="851"/>
      <c r="AB110" s="850"/>
      <c r="AC110" s="1653"/>
      <c r="AD110" s="850"/>
      <c r="AE110" s="851"/>
      <c r="AF110" s="850"/>
      <c r="AG110" s="1647"/>
      <c r="AH110" s="1647"/>
      <c r="AI110" s="1656"/>
      <c r="AJ110" s="213"/>
      <c r="AK110" s="213"/>
    </row>
    <row r="111" spans="1:37" ht="9.9499999999999993" customHeight="1" x14ac:dyDescent="0.25">
      <c r="A111" s="1616"/>
      <c r="B111" s="1617"/>
      <c r="C111" s="1576"/>
      <c r="D111" s="1576"/>
      <c r="E111" s="1576"/>
      <c r="F111" s="849"/>
      <c r="G111" s="849"/>
      <c r="H111" s="849"/>
      <c r="I111" s="1654"/>
      <c r="J111" s="849"/>
      <c r="K111" s="849"/>
      <c r="L111" s="849"/>
      <c r="M111" s="1654"/>
      <c r="N111" s="849"/>
      <c r="O111" s="849"/>
      <c r="P111" s="849"/>
      <c r="Q111" s="1654"/>
      <c r="R111" s="849"/>
      <c r="S111" s="849"/>
      <c r="T111" s="849"/>
      <c r="U111" s="1654"/>
      <c r="V111" s="849"/>
      <c r="W111" s="849"/>
      <c r="X111" s="849"/>
      <c r="Y111" s="1654"/>
      <c r="Z111" s="849"/>
      <c r="AA111" s="849"/>
      <c r="AB111" s="849"/>
      <c r="AC111" s="1654"/>
      <c r="AD111" s="849"/>
      <c r="AE111" s="849"/>
      <c r="AF111" s="849"/>
      <c r="AG111" s="1648"/>
      <c r="AH111" s="1648"/>
      <c r="AI111" s="1657"/>
      <c r="AJ111" s="213"/>
      <c r="AK111" s="213"/>
    </row>
    <row r="112" spans="1:37" ht="9.9499999999999993" customHeight="1" x14ac:dyDescent="0.25">
      <c r="A112" s="270"/>
      <c r="B112" s="270"/>
      <c r="C112" s="270"/>
      <c r="D112" s="270"/>
      <c r="E112" s="270"/>
      <c r="F112" s="270"/>
      <c r="G112" s="270"/>
      <c r="H112" s="270"/>
      <c r="I112" s="270"/>
      <c r="J112" s="270"/>
      <c r="K112" s="270"/>
      <c r="L112" s="270"/>
      <c r="M112" s="852"/>
      <c r="N112" s="270"/>
      <c r="O112" s="270"/>
      <c r="P112" s="270"/>
      <c r="Q112" s="852"/>
      <c r="R112" s="270"/>
      <c r="S112" s="270"/>
      <c r="T112" s="270"/>
      <c r="U112" s="852"/>
      <c r="V112" s="270"/>
      <c r="W112" s="270"/>
      <c r="X112" s="270"/>
      <c r="Y112" s="852"/>
      <c r="Z112" s="270"/>
      <c r="AA112" s="270"/>
      <c r="AB112" s="270"/>
      <c r="AC112" s="852"/>
      <c r="AD112" s="270"/>
      <c r="AE112" s="270"/>
      <c r="AF112" s="270"/>
      <c r="AG112" s="853"/>
      <c r="AH112" s="853"/>
      <c r="AI112" s="854"/>
      <c r="AJ112" s="213"/>
      <c r="AK112" s="213"/>
    </row>
    <row r="113" spans="1:37" ht="9.9499999999999993" customHeight="1" x14ac:dyDescent="0.25">
      <c r="A113" s="1616">
        <v>27</v>
      </c>
      <c r="B113" s="1617">
        <v>4</v>
      </c>
      <c r="C113" s="1574" t="s">
        <v>5467</v>
      </c>
      <c r="D113" s="1574" t="s">
        <v>5459</v>
      </c>
      <c r="E113" s="1574" t="s">
        <v>6580</v>
      </c>
      <c r="F113" s="849"/>
      <c r="G113" s="849"/>
      <c r="H113" s="849"/>
      <c r="I113" s="1652"/>
      <c r="J113" s="849"/>
      <c r="K113" s="849"/>
      <c r="L113" s="849"/>
      <c r="M113" s="1652"/>
      <c r="N113" s="849"/>
      <c r="O113" s="849"/>
      <c r="P113" s="849"/>
      <c r="Q113" s="1652"/>
      <c r="R113" s="849"/>
      <c r="S113" s="849"/>
      <c r="T113" s="849"/>
      <c r="U113" s="1652"/>
      <c r="V113" s="849"/>
      <c r="W113" s="849"/>
      <c r="X113" s="849"/>
      <c r="Y113" s="1652"/>
      <c r="Z113" s="849"/>
      <c r="AA113" s="849"/>
      <c r="AB113" s="849"/>
      <c r="AC113" s="1652"/>
      <c r="AD113" s="849"/>
      <c r="AE113" s="849"/>
      <c r="AF113" s="849"/>
      <c r="AG113" s="1646"/>
      <c r="AH113" s="1646"/>
      <c r="AI113" s="1655"/>
      <c r="AJ113" s="213"/>
      <c r="AK113" s="213"/>
    </row>
    <row r="114" spans="1:37" ht="9.9499999999999993" customHeight="1" x14ac:dyDescent="0.25">
      <c r="A114" s="1616"/>
      <c r="B114" s="1617"/>
      <c r="C114" s="1575"/>
      <c r="D114" s="1575"/>
      <c r="E114" s="1575"/>
      <c r="F114" s="850"/>
      <c r="G114" s="851"/>
      <c r="H114" s="850"/>
      <c r="I114" s="1653"/>
      <c r="J114" s="850"/>
      <c r="K114" s="851"/>
      <c r="L114" s="850"/>
      <c r="M114" s="1653"/>
      <c r="N114" s="850"/>
      <c r="O114" s="851"/>
      <c r="P114" s="850"/>
      <c r="Q114" s="1653"/>
      <c r="R114" s="850"/>
      <c r="S114" s="851"/>
      <c r="T114" s="850"/>
      <c r="U114" s="1653"/>
      <c r="V114" s="850"/>
      <c r="W114" s="851"/>
      <c r="X114" s="850"/>
      <c r="Y114" s="1653"/>
      <c r="Z114" s="850"/>
      <c r="AA114" s="851"/>
      <c r="AB114" s="850"/>
      <c r="AC114" s="1653"/>
      <c r="AD114" s="850"/>
      <c r="AE114" s="851"/>
      <c r="AF114" s="850"/>
      <c r="AG114" s="1647"/>
      <c r="AH114" s="1647"/>
      <c r="AI114" s="1656"/>
      <c r="AJ114" s="213"/>
      <c r="AK114" s="213"/>
    </row>
    <row r="115" spans="1:37" ht="9.9499999999999993" customHeight="1" x14ac:dyDescent="0.25">
      <c r="A115" s="1616"/>
      <c r="B115" s="1617"/>
      <c r="C115" s="1576"/>
      <c r="D115" s="1576"/>
      <c r="E115" s="1576"/>
      <c r="F115" s="849"/>
      <c r="G115" s="849"/>
      <c r="H115" s="849"/>
      <c r="I115" s="1654"/>
      <c r="J115" s="849"/>
      <c r="K115" s="849"/>
      <c r="L115" s="849"/>
      <c r="M115" s="1654"/>
      <c r="N115" s="849"/>
      <c r="O115" s="849"/>
      <c r="P115" s="849"/>
      <c r="Q115" s="1654"/>
      <c r="R115" s="849"/>
      <c r="S115" s="849"/>
      <c r="T115" s="849"/>
      <c r="U115" s="1654"/>
      <c r="V115" s="849"/>
      <c r="W115" s="849"/>
      <c r="X115" s="849"/>
      <c r="Y115" s="1654"/>
      <c r="Z115" s="849"/>
      <c r="AA115" s="849"/>
      <c r="AB115" s="849"/>
      <c r="AC115" s="1654"/>
      <c r="AD115" s="849"/>
      <c r="AE115" s="849"/>
      <c r="AF115" s="849"/>
      <c r="AG115" s="1648"/>
      <c r="AH115" s="1648"/>
      <c r="AI115" s="1657"/>
      <c r="AJ115" s="213"/>
      <c r="AK115" s="213"/>
    </row>
    <row r="116" spans="1:37" ht="9.9499999999999993" customHeight="1" x14ac:dyDescent="0.25">
      <c r="A116" s="270"/>
      <c r="B116" s="270"/>
      <c r="C116" s="270"/>
      <c r="D116" s="270"/>
      <c r="E116" s="270"/>
      <c r="F116" s="270"/>
      <c r="G116" s="270"/>
      <c r="H116" s="270"/>
      <c r="I116" s="270"/>
      <c r="J116" s="270"/>
      <c r="K116" s="270"/>
      <c r="L116" s="270"/>
      <c r="M116" s="852"/>
      <c r="N116" s="270"/>
      <c r="O116" s="270"/>
      <c r="P116" s="270"/>
      <c r="Q116" s="852"/>
      <c r="R116" s="270"/>
      <c r="S116" s="270"/>
      <c r="T116" s="270"/>
      <c r="U116" s="852"/>
      <c r="V116" s="270"/>
      <c r="W116" s="270"/>
      <c r="X116" s="270"/>
      <c r="Y116" s="852"/>
      <c r="Z116" s="270"/>
      <c r="AA116" s="270"/>
      <c r="AB116" s="270"/>
      <c r="AC116" s="852"/>
      <c r="AD116" s="270"/>
      <c r="AE116" s="270"/>
      <c r="AF116" s="270"/>
      <c r="AG116" s="853"/>
      <c r="AH116" s="853"/>
      <c r="AI116" s="854"/>
      <c r="AJ116" s="213"/>
      <c r="AK116" s="213"/>
    </row>
    <row r="117" spans="1:37" ht="9.9499999999999993" customHeight="1" x14ac:dyDescent="0.25">
      <c r="A117" s="1616">
        <v>28</v>
      </c>
      <c r="B117" s="1617">
        <v>4</v>
      </c>
      <c r="C117" s="1574" t="s">
        <v>5468</v>
      </c>
      <c r="D117" s="1574" t="s">
        <v>5459</v>
      </c>
      <c r="E117" s="1574" t="s">
        <v>6580</v>
      </c>
      <c r="F117" s="849"/>
      <c r="G117" s="849"/>
      <c r="H117" s="849"/>
      <c r="I117" s="1652"/>
      <c r="J117" s="849"/>
      <c r="K117" s="849"/>
      <c r="L117" s="849"/>
      <c r="M117" s="1652"/>
      <c r="N117" s="849"/>
      <c r="O117" s="849"/>
      <c r="P117" s="849"/>
      <c r="Q117" s="1652"/>
      <c r="R117" s="849"/>
      <c r="S117" s="849"/>
      <c r="T117" s="849"/>
      <c r="U117" s="1652"/>
      <c r="V117" s="849"/>
      <c r="W117" s="849"/>
      <c r="X117" s="849"/>
      <c r="Y117" s="1652"/>
      <c r="Z117" s="849"/>
      <c r="AA117" s="849"/>
      <c r="AB117" s="849"/>
      <c r="AC117" s="1652"/>
      <c r="AD117" s="849"/>
      <c r="AE117" s="849"/>
      <c r="AF117" s="849"/>
      <c r="AG117" s="1646"/>
      <c r="AH117" s="1646"/>
      <c r="AI117" s="1655"/>
      <c r="AJ117" s="213"/>
      <c r="AK117" s="213"/>
    </row>
    <row r="118" spans="1:37" ht="9.9499999999999993" customHeight="1" x14ac:dyDescent="0.25">
      <c r="A118" s="1616"/>
      <c r="B118" s="1617"/>
      <c r="C118" s="1575"/>
      <c r="D118" s="1575"/>
      <c r="E118" s="1575"/>
      <c r="F118" s="850"/>
      <c r="G118" s="851"/>
      <c r="H118" s="850"/>
      <c r="I118" s="1653"/>
      <c r="J118" s="850"/>
      <c r="K118" s="851"/>
      <c r="L118" s="850"/>
      <c r="M118" s="1653"/>
      <c r="N118" s="850"/>
      <c r="O118" s="851"/>
      <c r="P118" s="850"/>
      <c r="Q118" s="1653"/>
      <c r="R118" s="850"/>
      <c r="S118" s="851"/>
      <c r="T118" s="850"/>
      <c r="U118" s="1653"/>
      <c r="V118" s="850"/>
      <c r="W118" s="851"/>
      <c r="X118" s="850"/>
      <c r="Y118" s="1653"/>
      <c r="Z118" s="850"/>
      <c r="AA118" s="851"/>
      <c r="AB118" s="850"/>
      <c r="AC118" s="1653"/>
      <c r="AD118" s="850"/>
      <c r="AE118" s="851"/>
      <c r="AF118" s="850"/>
      <c r="AG118" s="1647"/>
      <c r="AH118" s="1647"/>
      <c r="AI118" s="1656"/>
      <c r="AJ118" s="213"/>
      <c r="AK118" s="213"/>
    </row>
    <row r="119" spans="1:37" ht="9.9499999999999993" customHeight="1" x14ac:dyDescent="0.25">
      <c r="A119" s="1616"/>
      <c r="B119" s="1617"/>
      <c r="C119" s="1576"/>
      <c r="D119" s="1576"/>
      <c r="E119" s="1576"/>
      <c r="F119" s="849"/>
      <c r="G119" s="849"/>
      <c r="H119" s="849"/>
      <c r="I119" s="1654"/>
      <c r="J119" s="849"/>
      <c r="K119" s="849"/>
      <c r="L119" s="849"/>
      <c r="M119" s="1654"/>
      <c r="N119" s="849"/>
      <c r="O119" s="849"/>
      <c r="P119" s="849"/>
      <c r="Q119" s="1654"/>
      <c r="R119" s="849"/>
      <c r="S119" s="849"/>
      <c r="T119" s="849"/>
      <c r="U119" s="1654"/>
      <c r="V119" s="849"/>
      <c r="W119" s="849"/>
      <c r="X119" s="849"/>
      <c r="Y119" s="1654"/>
      <c r="Z119" s="849"/>
      <c r="AA119" s="849"/>
      <c r="AB119" s="849"/>
      <c r="AC119" s="1654"/>
      <c r="AD119" s="849"/>
      <c r="AE119" s="849"/>
      <c r="AF119" s="849"/>
      <c r="AG119" s="1648"/>
      <c r="AH119" s="1648"/>
      <c r="AI119" s="1657"/>
      <c r="AJ119" s="213"/>
      <c r="AK119" s="213"/>
    </row>
    <row r="120" spans="1:37" ht="9.9499999999999993" customHeight="1" x14ac:dyDescent="0.25">
      <c r="A120" s="270"/>
      <c r="B120" s="270"/>
      <c r="C120" s="270"/>
      <c r="D120" s="270"/>
      <c r="E120" s="270"/>
      <c r="F120" s="270"/>
      <c r="G120" s="270"/>
      <c r="H120" s="270"/>
      <c r="I120" s="270"/>
      <c r="J120" s="270"/>
      <c r="K120" s="270"/>
      <c r="L120" s="270"/>
      <c r="M120" s="852"/>
      <c r="N120" s="270"/>
      <c r="O120" s="270"/>
      <c r="P120" s="270"/>
      <c r="Q120" s="852"/>
      <c r="R120" s="270"/>
      <c r="S120" s="270"/>
      <c r="T120" s="270"/>
      <c r="U120" s="852"/>
      <c r="V120" s="270"/>
      <c r="W120" s="270"/>
      <c r="X120" s="270"/>
      <c r="Y120" s="852"/>
      <c r="Z120" s="270"/>
      <c r="AA120" s="270"/>
      <c r="AB120" s="270"/>
      <c r="AC120" s="852"/>
      <c r="AD120" s="270"/>
      <c r="AE120" s="270"/>
      <c r="AF120" s="270"/>
      <c r="AG120" s="853"/>
      <c r="AH120" s="853"/>
      <c r="AI120" s="855"/>
      <c r="AJ120" s="213"/>
      <c r="AK120" s="213"/>
    </row>
    <row r="121" spans="1:37" ht="9.9499999999999993" customHeight="1" x14ac:dyDescent="0.25">
      <c r="A121" s="1616">
        <v>1</v>
      </c>
      <c r="B121" s="1617">
        <v>1</v>
      </c>
      <c r="C121" s="1574" t="s">
        <v>5458</v>
      </c>
      <c r="D121" s="1574" t="s">
        <v>5475</v>
      </c>
      <c r="E121" s="1574" t="s">
        <v>6581</v>
      </c>
      <c r="F121" s="849"/>
      <c r="G121" s="849"/>
      <c r="H121" s="849"/>
      <c r="I121" s="1652"/>
      <c r="J121" s="849"/>
      <c r="K121" s="849"/>
      <c r="L121" s="849"/>
      <c r="M121" s="1652"/>
      <c r="N121" s="849"/>
      <c r="O121" s="849"/>
      <c r="P121" s="849"/>
      <c r="Q121" s="1652"/>
      <c r="R121" s="849"/>
      <c r="S121" s="849"/>
      <c r="T121" s="849"/>
      <c r="U121" s="1652"/>
      <c r="V121" s="849"/>
      <c r="W121" s="849"/>
      <c r="X121" s="849"/>
      <c r="Y121" s="1652"/>
      <c r="Z121" s="849"/>
      <c r="AA121" s="849"/>
      <c r="AB121" s="849"/>
      <c r="AC121" s="1652"/>
      <c r="AD121" s="849"/>
      <c r="AE121" s="849"/>
      <c r="AF121" s="849"/>
      <c r="AG121" s="1646"/>
      <c r="AH121" s="1646"/>
      <c r="AI121" s="1655"/>
      <c r="AJ121" s="213"/>
      <c r="AK121" s="213"/>
    </row>
    <row r="122" spans="1:37" ht="9.9499999999999993" customHeight="1" x14ac:dyDescent="0.25">
      <c r="A122" s="1616"/>
      <c r="B122" s="1617"/>
      <c r="C122" s="1575"/>
      <c r="D122" s="1575"/>
      <c r="E122" s="1575"/>
      <c r="F122" s="850"/>
      <c r="G122" s="851"/>
      <c r="H122" s="850"/>
      <c r="I122" s="1653"/>
      <c r="J122" s="850"/>
      <c r="K122" s="851"/>
      <c r="L122" s="850"/>
      <c r="M122" s="1653"/>
      <c r="N122" s="850"/>
      <c r="O122" s="851"/>
      <c r="P122" s="850"/>
      <c r="Q122" s="1653"/>
      <c r="R122" s="850"/>
      <c r="S122" s="851"/>
      <c r="T122" s="850"/>
      <c r="U122" s="1653"/>
      <c r="V122" s="850"/>
      <c r="W122" s="851"/>
      <c r="X122" s="850"/>
      <c r="Y122" s="1653"/>
      <c r="Z122" s="850"/>
      <c r="AA122" s="851"/>
      <c r="AB122" s="850"/>
      <c r="AC122" s="1653"/>
      <c r="AD122" s="850"/>
      <c r="AE122" s="851"/>
      <c r="AF122" s="850"/>
      <c r="AG122" s="1647"/>
      <c r="AH122" s="1647"/>
      <c r="AI122" s="1656"/>
      <c r="AJ122" s="213"/>
      <c r="AK122" s="213"/>
    </row>
    <row r="123" spans="1:37" ht="9.9499999999999993" customHeight="1" x14ac:dyDescent="0.25">
      <c r="A123" s="1616"/>
      <c r="B123" s="1617"/>
      <c r="C123" s="1576"/>
      <c r="D123" s="1576"/>
      <c r="E123" s="1576"/>
      <c r="F123" s="849"/>
      <c r="G123" s="849"/>
      <c r="H123" s="849"/>
      <c r="I123" s="1654"/>
      <c r="J123" s="849"/>
      <c r="K123" s="849"/>
      <c r="L123" s="849"/>
      <c r="M123" s="1654"/>
      <c r="N123" s="849"/>
      <c r="O123" s="849"/>
      <c r="P123" s="849"/>
      <c r="Q123" s="1654"/>
      <c r="R123" s="849"/>
      <c r="S123" s="849"/>
      <c r="T123" s="849"/>
      <c r="U123" s="1654"/>
      <c r="V123" s="849"/>
      <c r="W123" s="849"/>
      <c r="X123" s="849"/>
      <c r="Y123" s="1654"/>
      <c r="Z123" s="849"/>
      <c r="AA123" s="849"/>
      <c r="AB123" s="849"/>
      <c r="AC123" s="1654"/>
      <c r="AD123" s="849"/>
      <c r="AE123" s="849"/>
      <c r="AF123" s="849"/>
      <c r="AG123" s="1648"/>
      <c r="AH123" s="1648"/>
      <c r="AI123" s="1657"/>
      <c r="AJ123" s="213"/>
      <c r="AK123" s="213"/>
    </row>
    <row r="124" spans="1:37" ht="9.9499999999999993" customHeight="1" x14ac:dyDescent="0.25">
      <c r="A124" s="270"/>
      <c r="B124" s="270"/>
      <c r="C124" s="270"/>
      <c r="D124" s="270"/>
      <c r="E124" s="270"/>
      <c r="F124" s="270"/>
      <c r="G124" s="270"/>
      <c r="H124" s="270"/>
      <c r="I124" s="270"/>
      <c r="J124" s="270"/>
      <c r="K124" s="270"/>
      <c r="L124" s="270"/>
      <c r="M124" s="852"/>
      <c r="N124" s="270"/>
      <c r="O124" s="270"/>
      <c r="P124" s="270"/>
      <c r="Q124" s="852"/>
      <c r="R124" s="270"/>
      <c r="S124" s="270"/>
      <c r="T124" s="270"/>
      <c r="U124" s="852"/>
      <c r="V124" s="270"/>
      <c r="W124" s="270"/>
      <c r="X124" s="270"/>
      <c r="Y124" s="852"/>
      <c r="Z124" s="270"/>
      <c r="AA124" s="270"/>
      <c r="AB124" s="270"/>
      <c r="AC124" s="852"/>
      <c r="AD124" s="270"/>
      <c r="AE124" s="270"/>
      <c r="AF124" s="270"/>
      <c r="AG124" s="853"/>
      <c r="AH124" s="853"/>
      <c r="AI124" s="856"/>
      <c r="AJ124" s="213"/>
      <c r="AK124" s="213"/>
    </row>
    <row r="125" spans="1:37" ht="9.9499999999999993" customHeight="1" x14ac:dyDescent="0.25">
      <c r="A125" s="1616">
        <v>2</v>
      </c>
      <c r="B125" s="1617">
        <v>1</v>
      </c>
      <c r="C125" s="1574" t="s">
        <v>5463</v>
      </c>
      <c r="D125" s="1574" t="s">
        <v>5475</v>
      </c>
      <c r="E125" s="1574" t="s">
        <v>6581</v>
      </c>
      <c r="F125" s="849"/>
      <c r="G125" s="849"/>
      <c r="H125" s="849"/>
      <c r="I125" s="1652"/>
      <c r="J125" s="849"/>
      <c r="K125" s="849"/>
      <c r="L125" s="849"/>
      <c r="M125" s="1652"/>
      <c r="N125" s="849"/>
      <c r="O125" s="849"/>
      <c r="P125" s="849"/>
      <c r="Q125" s="1652"/>
      <c r="R125" s="849"/>
      <c r="S125" s="849"/>
      <c r="T125" s="849"/>
      <c r="U125" s="1652"/>
      <c r="V125" s="849"/>
      <c r="W125" s="849"/>
      <c r="X125" s="849"/>
      <c r="Y125" s="1652"/>
      <c r="Z125" s="849"/>
      <c r="AA125" s="849"/>
      <c r="AB125" s="849"/>
      <c r="AC125" s="1652"/>
      <c r="AD125" s="849"/>
      <c r="AE125" s="849"/>
      <c r="AF125" s="849"/>
      <c r="AG125" s="1646"/>
      <c r="AH125" s="1646"/>
      <c r="AI125" s="1655"/>
      <c r="AJ125" s="213"/>
      <c r="AK125" s="213"/>
    </row>
    <row r="126" spans="1:37" ht="9.9499999999999993" customHeight="1" x14ac:dyDescent="0.25">
      <c r="A126" s="1616"/>
      <c r="B126" s="1617"/>
      <c r="C126" s="1575"/>
      <c r="D126" s="1575"/>
      <c r="E126" s="1575"/>
      <c r="F126" s="850"/>
      <c r="G126" s="851"/>
      <c r="H126" s="850"/>
      <c r="I126" s="1653"/>
      <c r="J126" s="850"/>
      <c r="K126" s="851"/>
      <c r="L126" s="850"/>
      <c r="M126" s="1653"/>
      <c r="N126" s="850"/>
      <c r="O126" s="851"/>
      <c r="P126" s="850"/>
      <c r="Q126" s="1653"/>
      <c r="R126" s="850"/>
      <c r="S126" s="851"/>
      <c r="T126" s="850"/>
      <c r="U126" s="1653"/>
      <c r="V126" s="850"/>
      <c r="W126" s="851"/>
      <c r="X126" s="850"/>
      <c r="Y126" s="1653"/>
      <c r="Z126" s="850"/>
      <c r="AA126" s="851"/>
      <c r="AB126" s="850"/>
      <c r="AC126" s="1653"/>
      <c r="AD126" s="850"/>
      <c r="AE126" s="851"/>
      <c r="AF126" s="850"/>
      <c r="AG126" s="1647"/>
      <c r="AH126" s="1647"/>
      <c r="AI126" s="1656"/>
      <c r="AJ126" s="213"/>
      <c r="AK126" s="213"/>
    </row>
    <row r="127" spans="1:37" ht="9.9499999999999993" customHeight="1" x14ac:dyDescent="0.25">
      <c r="A127" s="1616"/>
      <c r="B127" s="1617"/>
      <c r="C127" s="1576"/>
      <c r="D127" s="1576"/>
      <c r="E127" s="1576"/>
      <c r="F127" s="849"/>
      <c r="G127" s="849"/>
      <c r="H127" s="849"/>
      <c r="I127" s="1654"/>
      <c r="J127" s="849"/>
      <c r="K127" s="849"/>
      <c r="L127" s="849"/>
      <c r="M127" s="1654"/>
      <c r="N127" s="849"/>
      <c r="O127" s="849"/>
      <c r="P127" s="849"/>
      <c r="Q127" s="1654"/>
      <c r="R127" s="849"/>
      <c r="S127" s="849"/>
      <c r="T127" s="849"/>
      <c r="U127" s="1654"/>
      <c r="V127" s="849"/>
      <c r="W127" s="849"/>
      <c r="X127" s="849"/>
      <c r="Y127" s="1654"/>
      <c r="Z127" s="849"/>
      <c r="AA127" s="849"/>
      <c r="AB127" s="849"/>
      <c r="AC127" s="1654"/>
      <c r="AD127" s="849"/>
      <c r="AE127" s="849"/>
      <c r="AF127" s="849"/>
      <c r="AG127" s="1648"/>
      <c r="AH127" s="1648"/>
      <c r="AI127" s="1657"/>
      <c r="AJ127" s="213"/>
      <c r="AK127" s="213"/>
    </row>
    <row r="128" spans="1:37" ht="9.9499999999999993" customHeight="1" x14ac:dyDescent="0.25">
      <c r="A128" s="270"/>
      <c r="B128" s="270"/>
      <c r="C128" s="270"/>
      <c r="D128" s="270"/>
      <c r="E128" s="270"/>
      <c r="F128" s="270"/>
      <c r="G128" s="270"/>
      <c r="H128" s="270"/>
      <c r="I128" s="270"/>
      <c r="J128" s="270"/>
      <c r="K128" s="270"/>
      <c r="L128" s="270"/>
      <c r="M128" s="852"/>
      <c r="N128" s="270"/>
      <c r="O128" s="270"/>
      <c r="P128" s="270"/>
      <c r="Q128" s="852"/>
      <c r="R128" s="270"/>
      <c r="S128" s="270"/>
      <c r="T128" s="270"/>
      <c r="U128" s="852"/>
      <c r="V128" s="270"/>
      <c r="W128" s="270"/>
      <c r="X128" s="270"/>
      <c r="Y128" s="852"/>
      <c r="Z128" s="270"/>
      <c r="AA128" s="270"/>
      <c r="AB128" s="270"/>
      <c r="AC128" s="852"/>
      <c r="AD128" s="270"/>
      <c r="AE128" s="270"/>
      <c r="AF128" s="270"/>
      <c r="AG128" s="853"/>
      <c r="AH128" s="853"/>
      <c r="AI128" s="856"/>
      <c r="AJ128" s="213"/>
      <c r="AK128" s="213"/>
    </row>
    <row r="129" spans="1:37" ht="9.9499999999999993" customHeight="1" x14ac:dyDescent="0.25">
      <c r="A129" s="1616">
        <v>3</v>
      </c>
      <c r="B129" s="1617">
        <v>1</v>
      </c>
      <c r="C129" s="1574" t="s">
        <v>5464</v>
      </c>
      <c r="D129" s="1574" t="s">
        <v>5475</v>
      </c>
      <c r="E129" s="1574" t="s">
        <v>6581</v>
      </c>
      <c r="F129" s="849"/>
      <c r="G129" s="849"/>
      <c r="H129" s="849"/>
      <c r="I129" s="1652"/>
      <c r="J129" s="849"/>
      <c r="K129" s="849"/>
      <c r="L129" s="849"/>
      <c r="M129" s="1652"/>
      <c r="N129" s="849"/>
      <c r="O129" s="849"/>
      <c r="P129" s="849"/>
      <c r="Q129" s="1652"/>
      <c r="R129" s="849"/>
      <c r="S129" s="849"/>
      <c r="T129" s="849"/>
      <c r="U129" s="1652"/>
      <c r="V129" s="849"/>
      <c r="W129" s="849"/>
      <c r="X129" s="849"/>
      <c r="Y129" s="1652"/>
      <c r="Z129" s="849"/>
      <c r="AA129" s="849"/>
      <c r="AB129" s="849"/>
      <c r="AC129" s="1652"/>
      <c r="AD129" s="849"/>
      <c r="AE129" s="849"/>
      <c r="AF129" s="849"/>
      <c r="AG129" s="1646"/>
      <c r="AH129" s="1646"/>
      <c r="AI129" s="1655"/>
      <c r="AJ129" s="213"/>
      <c r="AK129" s="213"/>
    </row>
    <row r="130" spans="1:37" ht="9.9499999999999993" customHeight="1" x14ac:dyDescent="0.25">
      <c r="A130" s="1616"/>
      <c r="B130" s="1617"/>
      <c r="C130" s="1575"/>
      <c r="D130" s="1575"/>
      <c r="E130" s="1575"/>
      <c r="F130" s="850"/>
      <c r="G130" s="851"/>
      <c r="H130" s="850"/>
      <c r="I130" s="1653"/>
      <c r="J130" s="850"/>
      <c r="K130" s="851"/>
      <c r="L130" s="850"/>
      <c r="M130" s="1653"/>
      <c r="N130" s="850"/>
      <c r="O130" s="851"/>
      <c r="P130" s="850"/>
      <c r="Q130" s="1653"/>
      <c r="R130" s="850"/>
      <c r="S130" s="851"/>
      <c r="T130" s="850"/>
      <c r="U130" s="1653"/>
      <c r="V130" s="850"/>
      <c r="W130" s="851"/>
      <c r="X130" s="850"/>
      <c r="Y130" s="1653"/>
      <c r="Z130" s="850"/>
      <c r="AA130" s="851"/>
      <c r="AB130" s="850"/>
      <c r="AC130" s="1653"/>
      <c r="AD130" s="850"/>
      <c r="AE130" s="851"/>
      <c r="AF130" s="850"/>
      <c r="AG130" s="1647"/>
      <c r="AH130" s="1647"/>
      <c r="AI130" s="1656"/>
      <c r="AJ130" s="213"/>
      <c r="AK130" s="213"/>
    </row>
    <row r="131" spans="1:37" ht="9.9499999999999993" customHeight="1" x14ac:dyDescent="0.25">
      <c r="A131" s="1616"/>
      <c r="B131" s="1617"/>
      <c r="C131" s="1576"/>
      <c r="D131" s="1576"/>
      <c r="E131" s="1576"/>
      <c r="F131" s="849"/>
      <c r="G131" s="849"/>
      <c r="H131" s="849"/>
      <c r="I131" s="1654"/>
      <c r="J131" s="849"/>
      <c r="K131" s="849"/>
      <c r="L131" s="849"/>
      <c r="M131" s="1654"/>
      <c r="N131" s="849"/>
      <c r="O131" s="849"/>
      <c r="P131" s="849"/>
      <c r="Q131" s="1654"/>
      <c r="R131" s="849"/>
      <c r="S131" s="849"/>
      <c r="T131" s="849"/>
      <c r="U131" s="1654"/>
      <c r="V131" s="849"/>
      <c r="W131" s="849"/>
      <c r="X131" s="849"/>
      <c r="Y131" s="1654"/>
      <c r="Z131" s="849"/>
      <c r="AA131" s="849"/>
      <c r="AB131" s="849"/>
      <c r="AC131" s="1654"/>
      <c r="AD131" s="849"/>
      <c r="AE131" s="849"/>
      <c r="AF131" s="849"/>
      <c r="AG131" s="1648"/>
      <c r="AH131" s="1648"/>
      <c r="AI131" s="1657"/>
      <c r="AJ131" s="213"/>
      <c r="AK131" s="213"/>
    </row>
    <row r="132" spans="1:37" ht="9.9499999999999993" customHeight="1" x14ac:dyDescent="0.25">
      <c r="A132" s="270"/>
      <c r="B132" s="270"/>
      <c r="C132" s="270"/>
      <c r="D132" s="270"/>
      <c r="E132" s="270"/>
      <c r="F132" s="270"/>
      <c r="G132" s="270"/>
      <c r="H132" s="270"/>
      <c r="I132" s="270"/>
      <c r="J132" s="270"/>
      <c r="K132" s="270"/>
      <c r="L132" s="270"/>
      <c r="M132" s="852"/>
      <c r="N132" s="270"/>
      <c r="O132" s="270"/>
      <c r="P132" s="270"/>
      <c r="Q132" s="852"/>
      <c r="R132" s="270"/>
      <c r="S132" s="270"/>
      <c r="T132" s="270"/>
      <c r="U132" s="852"/>
      <c r="V132" s="270"/>
      <c r="W132" s="270"/>
      <c r="X132" s="270"/>
      <c r="Y132" s="852"/>
      <c r="Z132" s="270"/>
      <c r="AA132" s="270"/>
      <c r="AB132" s="270"/>
      <c r="AC132" s="852"/>
      <c r="AD132" s="270"/>
      <c r="AE132" s="270"/>
      <c r="AF132" s="270"/>
      <c r="AG132" s="853"/>
      <c r="AH132" s="853"/>
      <c r="AI132" s="856"/>
      <c r="AJ132" s="213"/>
      <c r="AK132" s="213"/>
    </row>
    <row r="133" spans="1:37" ht="9.9499999999999993" customHeight="1" x14ac:dyDescent="0.25">
      <c r="A133" s="1616">
        <v>4</v>
      </c>
      <c r="B133" s="1617">
        <v>1</v>
      </c>
      <c r="C133" s="1574" t="s">
        <v>5465</v>
      </c>
      <c r="D133" s="1574" t="s">
        <v>5475</v>
      </c>
      <c r="E133" s="1574" t="s">
        <v>6581</v>
      </c>
      <c r="F133" s="849"/>
      <c r="G133" s="849"/>
      <c r="H133" s="849"/>
      <c r="I133" s="1652"/>
      <c r="J133" s="849"/>
      <c r="K133" s="849"/>
      <c r="L133" s="849"/>
      <c r="M133" s="1652"/>
      <c r="N133" s="849"/>
      <c r="O133" s="849"/>
      <c r="P133" s="849"/>
      <c r="Q133" s="1652"/>
      <c r="R133" s="849"/>
      <c r="S133" s="849"/>
      <c r="T133" s="849"/>
      <c r="U133" s="1652"/>
      <c r="V133" s="849"/>
      <c r="W133" s="849"/>
      <c r="X133" s="849"/>
      <c r="Y133" s="1652"/>
      <c r="Z133" s="849"/>
      <c r="AA133" s="849"/>
      <c r="AB133" s="849"/>
      <c r="AC133" s="1652"/>
      <c r="AD133" s="849"/>
      <c r="AE133" s="849"/>
      <c r="AF133" s="849"/>
      <c r="AG133" s="1646"/>
      <c r="AH133" s="1646"/>
      <c r="AI133" s="1655"/>
      <c r="AJ133" s="213"/>
      <c r="AK133" s="213"/>
    </row>
    <row r="134" spans="1:37" ht="9.9499999999999993" customHeight="1" x14ac:dyDescent="0.25">
      <c r="A134" s="1616"/>
      <c r="B134" s="1617"/>
      <c r="C134" s="1575"/>
      <c r="D134" s="1575"/>
      <c r="E134" s="1575"/>
      <c r="F134" s="850"/>
      <c r="G134" s="851"/>
      <c r="H134" s="850"/>
      <c r="I134" s="1653"/>
      <c r="J134" s="850"/>
      <c r="K134" s="851"/>
      <c r="L134" s="850"/>
      <c r="M134" s="1653"/>
      <c r="N134" s="850"/>
      <c r="O134" s="851"/>
      <c r="P134" s="850"/>
      <c r="Q134" s="1653"/>
      <c r="R134" s="850"/>
      <c r="S134" s="851"/>
      <c r="T134" s="850"/>
      <c r="U134" s="1653"/>
      <c r="V134" s="850"/>
      <c r="W134" s="851"/>
      <c r="X134" s="850"/>
      <c r="Y134" s="1653"/>
      <c r="Z134" s="850"/>
      <c r="AA134" s="851"/>
      <c r="AB134" s="850"/>
      <c r="AC134" s="1653"/>
      <c r="AD134" s="850"/>
      <c r="AE134" s="851"/>
      <c r="AF134" s="850"/>
      <c r="AG134" s="1647"/>
      <c r="AH134" s="1647"/>
      <c r="AI134" s="1656"/>
      <c r="AJ134" s="213"/>
      <c r="AK134" s="213"/>
    </row>
    <row r="135" spans="1:37" ht="9.9499999999999993" customHeight="1" x14ac:dyDescent="0.25">
      <c r="A135" s="1616"/>
      <c r="B135" s="1617"/>
      <c r="C135" s="1576"/>
      <c r="D135" s="1576"/>
      <c r="E135" s="1576"/>
      <c r="F135" s="849"/>
      <c r="G135" s="849"/>
      <c r="H135" s="849"/>
      <c r="I135" s="1654"/>
      <c r="J135" s="849"/>
      <c r="K135" s="849"/>
      <c r="L135" s="849"/>
      <c r="M135" s="1654"/>
      <c r="N135" s="849"/>
      <c r="O135" s="849"/>
      <c r="P135" s="849"/>
      <c r="Q135" s="1654"/>
      <c r="R135" s="849"/>
      <c r="S135" s="849"/>
      <c r="T135" s="849"/>
      <c r="U135" s="1654"/>
      <c r="V135" s="849"/>
      <c r="W135" s="849"/>
      <c r="X135" s="849"/>
      <c r="Y135" s="1654"/>
      <c r="Z135" s="849"/>
      <c r="AA135" s="849"/>
      <c r="AB135" s="849"/>
      <c r="AC135" s="1654"/>
      <c r="AD135" s="849"/>
      <c r="AE135" s="849"/>
      <c r="AF135" s="849"/>
      <c r="AG135" s="1648"/>
      <c r="AH135" s="1648"/>
      <c r="AI135" s="1657"/>
      <c r="AJ135" s="213"/>
      <c r="AK135" s="213"/>
    </row>
    <row r="136" spans="1:37" ht="9.9499999999999993" customHeight="1" x14ac:dyDescent="0.25">
      <c r="A136" s="270"/>
      <c r="B136" s="270"/>
      <c r="C136" s="270"/>
      <c r="D136" s="270"/>
      <c r="E136" s="270"/>
      <c r="F136" s="270"/>
      <c r="G136" s="270"/>
      <c r="H136" s="270"/>
      <c r="I136" s="270"/>
      <c r="J136" s="270"/>
      <c r="K136" s="270"/>
      <c r="L136" s="270"/>
      <c r="M136" s="852"/>
      <c r="N136" s="270"/>
      <c r="O136" s="270"/>
      <c r="P136" s="270"/>
      <c r="Q136" s="852"/>
      <c r="R136" s="270"/>
      <c r="S136" s="270"/>
      <c r="T136" s="270"/>
      <c r="U136" s="852"/>
      <c r="V136" s="270"/>
      <c r="W136" s="270"/>
      <c r="X136" s="270"/>
      <c r="Y136" s="852"/>
      <c r="Z136" s="270"/>
      <c r="AA136" s="270"/>
      <c r="AB136" s="270"/>
      <c r="AC136" s="852"/>
      <c r="AD136" s="270"/>
      <c r="AE136" s="270"/>
      <c r="AF136" s="270"/>
      <c r="AG136" s="853"/>
      <c r="AH136" s="853"/>
      <c r="AI136" s="856"/>
      <c r="AJ136" s="213"/>
      <c r="AK136" s="213"/>
    </row>
    <row r="137" spans="1:37" ht="9.9499999999999993" customHeight="1" x14ac:dyDescent="0.25">
      <c r="A137" s="1616">
        <v>5</v>
      </c>
      <c r="B137" s="1617">
        <v>1</v>
      </c>
      <c r="C137" s="1574" t="s">
        <v>5466</v>
      </c>
      <c r="D137" s="1574" t="s">
        <v>5475</v>
      </c>
      <c r="E137" s="1574" t="s">
        <v>6581</v>
      </c>
      <c r="F137" s="849"/>
      <c r="G137" s="849"/>
      <c r="H137" s="849"/>
      <c r="I137" s="1652"/>
      <c r="J137" s="849"/>
      <c r="K137" s="849"/>
      <c r="L137" s="849"/>
      <c r="M137" s="1652"/>
      <c r="N137" s="849"/>
      <c r="O137" s="849"/>
      <c r="P137" s="849"/>
      <c r="Q137" s="1652"/>
      <c r="R137" s="849"/>
      <c r="S137" s="849"/>
      <c r="T137" s="849"/>
      <c r="U137" s="1652"/>
      <c r="V137" s="849"/>
      <c r="W137" s="849"/>
      <c r="X137" s="849"/>
      <c r="Y137" s="1652"/>
      <c r="Z137" s="849"/>
      <c r="AA137" s="849"/>
      <c r="AB137" s="849"/>
      <c r="AC137" s="1652"/>
      <c r="AD137" s="849"/>
      <c r="AE137" s="849"/>
      <c r="AF137" s="849"/>
      <c r="AG137" s="1646"/>
      <c r="AH137" s="1646"/>
      <c r="AI137" s="1655"/>
      <c r="AJ137" s="213"/>
      <c r="AK137" s="213"/>
    </row>
    <row r="138" spans="1:37" ht="9.9499999999999993" customHeight="1" x14ac:dyDescent="0.25">
      <c r="A138" s="1616"/>
      <c r="B138" s="1617"/>
      <c r="C138" s="1575"/>
      <c r="D138" s="1575"/>
      <c r="E138" s="1575"/>
      <c r="F138" s="850"/>
      <c r="G138" s="851"/>
      <c r="H138" s="850"/>
      <c r="I138" s="1653"/>
      <c r="J138" s="850"/>
      <c r="K138" s="851"/>
      <c r="L138" s="850"/>
      <c r="M138" s="1653"/>
      <c r="N138" s="850"/>
      <c r="O138" s="851"/>
      <c r="P138" s="850"/>
      <c r="Q138" s="1653"/>
      <c r="R138" s="850"/>
      <c r="S138" s="851"/>
      <c r="T138" s="850"/>
      <c r="U138" s="1653"/>
      <c r="V138" s="850"/>
      <c r="W138" s="851"/>
      <c r="X138" s="850"/>
      <c r="Y138" s="1653"/>
      <c r="Z138" s="850"/>
      <c r="AA138" s="851"/>
      <c r="AB138" s="850"/>
      <c r="AC138" s="1653"/>
      <c r="AD138" s="850"/>
      <c r="AE138" s="851"/>
      <c r="AF138" s="850"/>
      <c r="AG138" s="1647"/>
      <c r="AH138" s="1647"/>
      <c r="AI138" s="1656"/>
      <c r="AJ138" s="213"/>
      <c r="AK138" s="213"/>
    </row>
    <row r="139" spans="1:37" ht="9.9499999999999993" customHeight="1" x14ac:dyDescent="0.25">
      <c r="A139" s="1616"/>
      <c r="B139" s="1617"/>
      <c r="C139" s="1576"/>
      <c r="D139" s="1576"/>
      <c r="E139" s="1576"/>
      <c r="F139" s="849"/>
      <c r="G139" s="849"/>
      <c r="H139" s="849"/>
      <c r="I139" s="1654"/>
      <c r="J139" s="849"/>
      <c r="K139" s="849"/>
      <c r="L139" s="849"/>
      <c r="M139" s="1654"/>
      <c r="N139" s="849"/>
      <c r="O139" s="849"/>
      <c r="P139" s="849"/>
      <c r="Q139" s="1654"/>
      <c r="R139" s="849"/>
      <c r="S139" s="849"/>
      <c r="T139" s="849"/>
      <c r="U139" s="1654"/>
      <c r="V139" s="849"/>
      <c r="W139" s="849"/>
      <c r="X139" s="849"/>
      <c r="Y139" s="1654"/>
      <c r="Z139" s="849"/>
      <c r="AA139" s="849"/>
      <c r="AB139" s="849"/>
      <c r="AC139" s="1654"/>
      <c r="AD139" s="849"/>
      <c r="AE139" s="849"/>
      <c r="AF139" s="849"/>
      <c r="AG139" s="1648"/>
      <c r="AH139" s="1648"/>
      <c r="AI139" s="1657"/>
      <c r="AJ139" s="213"/>
      <c r="AK139" s="213"/>
    </row>
    <row r="140" spans="1:37" ht="9.9499999999999993" customHeight="1" x14ac:dyDescent="0.25">
      <c r="A140" s="270"/>
      <c r="B140" s="270"/>
      <c r="C140" s="270"/>
      <c r="D140" s="270"/>
      <c r="E140" s="270"/>
      <c r="F140" s="270"/>
      <c r="G140" s="270"/>
      <c r="H140" s="270"/>
      <c r="I140" s="270"/>
      <c r="J140" s="270"/>
      <c r="K140" s="270"/>
      <c r="L140" s="270"/>
      <c r="M140" s="852"/>
      <c r="N140" s="270"/>
      <c r="O140" s="270"/>
      <c r="P140" s="270"/>
      <c r="Q140" s="852"/>
      <c r="R140" s="270"/>
      <c r="S140" s="270"/>
      <c r="T140" s="270"/>
      <c r="U140" s="852"/>
      <c r="V140" s="270"/>
      <c r="W140" s="270"/>
      <c r="X140" s="270"/>
      <c r="Y140" s="852"/>
      <c r="Z140" s="270"/>
      <c r="AA140" s="270"/>
      <c r="AB140" s="270"/>
      <c r="AC140" s="852"/>
      <c r="AD140" s="270"/>
      <c r="AE140" s="270"/>
      <c r="AF140" s="270"/>
      <c r="AG140" s="853"/>
      <c r="AH140" s="853"/>
      <c r="AI140" s="856"/>
      <c r="AJ140" s="213"/>
      <c r="AK140" s="213"/>
    </row>
    <row r="141" spans="1:37" ht="9.9499999999999993" customHeight="1" x14ac:dyDescent="0.25">
      <c r="A141" s="1616">
        <v>6</v>
      </c>
      <c r="B141" s="1617">
        <v>1</v>
      </c>
      <c r="C141" s="1574" t="s">
        <v>5467</v>
      </c>
      <c r="D141" s="1574" t="s">
        <v>5475</v>
      </c>
      <c r="E141" s="1574" t="s">
        <v>6581</v>
      </c>
      <c r="F141" s="849"/>
      <c r="G141" s="849"/>
      <c r="H141" s="849"/>
      <c r="I141" s="1652"/>
      <c r="J141" s="849"/>
      <c r="K141" s="849"/>
      <c r="L141" s="849"/>
      <c r="M141" s="1652"/>
      <c r="N141" s="849"/>
      <c r="O141" s="849"/>
      <c r="P141" s="849"/>
      <c r="Q141" s="1652"/>
      <c r="R141" s="849"/>
      <c r="S141" s="849"/>
      <c r="T141" s="849"/>
      <c r="U141" s="1652"/>
      <c r="V141" s="849"/>
      <c r="W141" s="849"/>
      <c r="X141" s="849"/>
      <c r="Y141" s="1652"/>
      <c r="Z141" s="849"/>
      <c r="AA141" s="849"/>
      <c r="AB141" s="849"/>
      <c r="AC141" s="1652"/>
      <c r="AD141" s="849"/>
      <c r="AE141" s="849"/>
      <c r="AF141" s="849"/>
      <c r="AG141" s="1646"/>
      <c r="AH141" s="1646"/>
      <c r="AI141" s="1655"/>
      <c r="AJ141" s="213"/>
      <c r="AK141" s="213"/>
    </row>
    <row r="142" spans="1:37" ht="9.9499999999999993" customHeight="1" x14ac:dyDescent="0.25">
      <c r="A142" s="1616"/>
      <c r="B142" s="1617"/>
      <c r="C142" s="1575"/>
      <c r="D142" s="1575"/>
      <c r="E142" s="1575"/>
      <c r="F142" s="850"/>
      <c r="G142" s="851"/>
      <c r="H142" s="850"/>
      <c r="I142" s="1653"/>
      <c r="J142" s="850"/>
      <c r="K142" s="851"/>
      <c r="L142" s="850"/>
      <c r="M142" s="1653"/>
      <c r="N142" s="850"/>
      <c r="O142" s="851"/>
      <c r="P142" s="850"/>
      <c r="Q142" s="1653"/>
      <c r="R142" s="850"/>
      <c r="S142" s="851"/>
      <c r="T142" s="850"/>
      <c r="U142" s="1653"/>
      <c r="V142" s="850"/>
      <c r="W142" s="851"/>
      <c r="X142" s="850"/>
      <c r="Y142" s="1653"/>
      <c r="Z142" s="850"/>
      <c r="AA142" s="851"/>
      <c r="AB142" s="850"/>
      <c r="AC142" s="1653"/>
      <c r="AD142" s="850"/>
      <c r="AE142" s="851"/>
      <c r="AF142" s="850"/>
      <c r="AG142" s="1647"/>
      <c r="AH142" s="1647"/>
      <c r="AI142" s="1656"/>
      <c r="AJ142" s="213"/>
      <c r="AK142" s="213"/>
    </row>
    <row r="143" spans="1:37" ht="9.9499999999999993" customHeight="1" x14ac:dyDescent="0.25">
      <c r="A143" s="1616"/>
      <c r="B143" s="1617"/>
      <c r="C143" s="1576"/>
      <c r="D143" s="1576"/>
      <c r="E143" s="1576"/>
      <c r="F143" s="849"/>
      <c r="G143" s="849"/>
      <c r="H143" s="849"/>
      <c r="I143" s="1654"/>
      <c r="J143" s="849"/>
      <c r="K143" s="849"/>
      <c r="L143" s="849"/>
      <c r="M143" s="1654"/>
      <c r="N143" s="849"/>
      <c r="O143" s="849"/>
      <c r="P143" s="849"/>
      <c r="Q143" s="1654"/>
      <c r="R143" s="849"/>
      <c r="S143" s="849"/>
      <c r="T143" s="849"/>
      <c r="U143" s="1654"/>
      <c r="V143" s="849"/>
      <c r="W143" s="849"/>
      <c r="X143" s="849"/>
      <c r="Y143" s="1654"/>
      <c r="Z143" s="849"/>
      <c r="AA143" s="849"/>
      <c r="AB143" s="849"/>
      <c r="AC143" s="1654"/>
      <c r="AD143" s="849"/>
      <c r="AE143" s="849"/>
      <c r="AF143" s="849"/>
      <c r="AG143" s="1648"/>
      <c r="AH143" s="1648"/>
      <c r="AI143" s="1657"/>
      <c r="AJ143" s="213"/>
      <c r="AK143" s="213"/>
    </row>
    <row r="144" spans="1:37" ht="9.9499999999999993" customHeight="1" x14ac:dyDescent="0.25">
      <c r="A144" s="270"/>
      <c r="B144" s="270"/>
      <c r="C144" s="270"/>
      <c r="D144" s="270"/>
      <c r="E144" s="270"/>
      <c r="F144" s="270"/>
      <c r="G144" s="270"/>
      <c r="H144" s="270"/>
      <c r="I144" s="270"/>
      <c r="J144" s="270"/>
      <c r="K144" s="270"/>
      <c r="L144" s="270"/>
      <c r="M144" s="852"/>
      <c r="N144" s="270"/>
      <c r="O144" s="270"/>
      <c r="P144" s="270"/>
      <c r="Q144" s="852"/>
      <c r="R144" s="270"/>
      <c r="S144" s="270"/>
      <c r="T144" s="270"/>
      <c r="U144" s="852"/>
      <c r="V144" s="270"/>
      <c r="W144" s="270"/>
      <c r="X144" s="270"/>
      <c r="Y144" s="852"/>
      <c r="Z144" s="270"/>
      <c r="AA144" s="270"/>
      <c r="AB144" s="270"/>
      <c r="AC144" s="852"/>
      <c r="AD144" s="270"/>
      <c r="AE144" s="270"/>
      <c r="AF144" s="270"/>
      <c r="AG144" s="853"/>
      <c r="AH144" s="853"/>
      <c r="AI144" s="856"/>
      <c r="AJ144" s="213"/>
      <c r="AK144" s="213"/>
    </row>
    <row r="145" spans="1:37" ht="9.9499999999999993" customHeight="1" x14ac:dyDescent="0.25">
      <c r="A145" s="1616">
        <v>7</v>
      </c>
      <c r="B145" s="1617">
        <v>1</v>
      </c>
      <c r="C145" s="1574" t="s">
        <v>5468</v>
      </c>
      <c r="D145" s="1574" t="s">
        <v>5475</v>
      </c>
      <c r="E145" s="1574" t="s">
        <v>6581</v>
      </c>
      <c r="F145" s="849"/>
      <c r="G145" s="849"/>
      <c r="H145" s="849"/>
      <c r="I145" s="1652"/>
      <c r="J145" s="849"/>
      <c r="K145" s="849"/>
      <c r="L145" s="849"/>
      <c r="M145" s="1652"/>
      <c r="N145" s="849"/>
      <c r="O145" s="849"/>
      <c r="P145" s="849"/>
      <c r="Q145" s="1652"/>
      <c r="R145" s="849"/>
      <c r="S145" s="849"/>
      <c r="T145" s="849"/>
      <c r="U145" s="1652"/>
      <c r="V145" s="849"/>
      <c r="W145" s="849"/>
      <c r="X145" s="849"/>
      <c r="Y145" s="1652"/>
      <c r="Z145" s="849"/>
      <c r="AA145" s="849"/>
      <c r="AB145" s="849"/>
      <c r="AC145" s="1652"/>
      <c r="AD145" s="849"/>
      <c r="AE145" s="849"/>
      <c r="AF145" s="849"/>
      <c r="AG145" s="1646"/>
      <c r="AH145" s="1646"/>
      <c r="AI145" s="1655"/>
      <c r="AJ145" s="213"/>
      <c r="AK145" s="213"/>
    </row>
    <row r="146" spans="1:37" ht="9.9499999999999993" customHeight="1" x14ac:dyDescent="0.25">
      <c r="A146" s="1616"/>
      <c r="B146" s="1617"/>
      <c r="C146" s="1575"/>
      <c r="D146" s="1575"/>
      <c r="E146" s="1575"/>
      <c r="F146" s="850"/>
      <c r="G146" s="851"/>
      <c r="H146" s="850"/>
      <c r="I146" s="1653"/>
      <c r="J146" s="850"/>
      <c r="K146" s="851"/>
      <c r="L146" s="850"/>
      <c r="M146" s="1653"/>
      <c r="N146" s="850"/>
      <c r="O146" s="851"/>
      <c r="P146" s="850"/>
      <c r="Q146" s="1653"/>
      <c r="R146" s="850"/>
      <c r="S146" s="851"/>
      <c r="T146" s="850"/>
      <c r="U146" s="1653"/>
      <c r="V146" s="850"/>
      <c r="W146" s="851"/>
      <c r="X146" s="850"/>
      <c r="Y146" s="1653"/>
      <c r="Z146" s="850"/>
      <c r="AA146" s="851"/>
      <c r="AB146" s="850"/>
      <c r="AC146" s="1653"/>
      <c r="AD146" s="850"/>
      <c r="AE146" s="851"/>
      <c r="AF146" s="850"/>
      <c r="AG146" s="1647"/>
      <c r="AH146" s="1647"/>
      <c r="AI146" s="1656"/>
      <c r="AJ146" s="213"/>
      <c r="AK146" s="213"/>
    </row>
    <row r="147" spans="1:37" ht="9.9499999999999993" customHeight="1" x14ac:dyDescent="0.25">
      <c r="A147" s="1616"/>
      <c r="B147" s="1617"/>
      <c r="C147" s="1576"/>
      <c r="D147" s="1576"/>
      <c r="E147" s="1576"/>
      <c r="F147" s="849"/>
      <c r="G147" s="849"/>
      <c r="H147" s="849"/>
      <c r="I147" s="1654"/>
      <c r="J147" s="849"/>
      <c r="K147" s="849"/>
      <c r="L147" s="849"/>
      <c r="M147" s="1654"/>
      <c r="N147" s="849"/>
      <c r="O147" s="849"/>
      <c r="P147" s="849"/>
      <c r="Q147" s="1654"/>
      <c r="R147" s="849"/>
      <c r="S147" s="849"/>
      <c r="T147" s="849"/>
      <c r="U147" s="1654"/>
      <c r="V147" s="849"/>
      <c r="W147" s="849"/>
      <c r="X147" s="849"/>
      <c r="Y147" s="1654"/>
      <c r="Z147" s="849"/>
      <c r="AA147" s="849"/>
      <c r="AB147" s="849"/>
      <c r="AC147" s="1654"/>
      <c r="AD147" s="849"/>
      <c r="AE147" s="849"/>
      <c r="AF147" s="849"/>
      <c r="AG147" s="1648"/>
      <c r="AH147" s="1648"/>
      <c r="AI147" s="1657"/>
      <c r="AJ147" s="213"/>
      <c r="AK147" s="213"/>
    </row>
    <row r="148" spans="1:37" ht="9.9499999999999993" customHeight="1" x14ac:dyDescent="0.25">
      <c r="A148" s="270"/>
      <c r="B148" s="270"/>
      <c r="C148" s="270"/>
      <c r="D148" s="270"/>
      <c r="E148" s="270"/>
      <c r="F148" s="270"/>
      <c r="G148" s="270"/>
      <c r="H148" s="270"/>
      <c r="I148" s="270"/>
      <c r="J148" s="270"/>
      <c r="K148" s="270"/>
      <c r="L148" s="270"/>
      <c r="M148" s="852"/>
      <c r="N148" s="270"/>
      <c r="O148" s="270"/>
      <c r="P148" s="270"/>
      <c r="Q148" s="852"/>
      <c r="R148" s="270"/>
      <c r="S148" s="270"/>
      <c r="T148" s="270"/>
      <c r="U148" s="852"/>
      <c r="V148" s="270"/>
      <c r="W148" s="270"/>
      <c r="X148" s="270"/>
      <c r="Y148" s="852"/>
      <c r="Z148" s="270"/>
      <c r="AA148" s="270"/>
      <c r="AB148" s="270"/>
      <c r="AC148" s="852"/>
      <c r="AD148" s="270"/>
      <c r="AE148" s="270"/>
      <c r="AF148" s="270"/>
      <c r="AG148" s="853"/>
      <c r="AH148" s="853"/>
      <c r="AI148" s="856"/>
      <c r="AJ148" s="213"/>
      <c r="AK148" s="213"/>
    </row>
    <row r="149" spans="1:37" ht="9.9499999999999993" customHeight="1" x14ac:dyDescent="0.25">
      <c r="A149" s="1616">
        <v>8</v>
      </c>
      <c r="B149" s="1617">
        <v>2</v>
      </c>
      <c r="C149" s="1574" t="s">
        <v>5458</v>
      </c>
      <c r="D149" s="1574" t="s">
        <v>5475</v>
      </c>
      <c r="E149" s="1574" t="s">
        <v>6581</v>
      </c>
      <c r="F149" s="849"/>
      <c r="G149" s="849"/>
      <c r="H149" s="849"/>
      <c r="I149" s="1652"/>
      <c r="J149" s="849"/>
      <c r="K149" s="849"/>
      <c r="L149" s="849"/>
      <c r="M149" s="1652"/>
      <c r="N149" s="849"/>
      <c r="O149" s="849"/>
      <c r="P149" s="849"/>
      <c r="Q149" s="1652"/>
      <c r="R149" s="849"/>
      <c r="S149" s="849"/>
      <c r="T149" s="849"/>
      <c r="U149" s="1652"/>
      <c r="V149" s="849"/>
      <c r="W149" s="849"/>
      <c r="X149" s="849"/>
      <c r="Y149" s="1652"/>
      <c r="Z149" s="849"/>
      <c r="AA149" s="849"/>
      <c r="AB149" s="849"/>
      <c r="AC149" s="1652"/>
      <c r="AD149" s="849"/>
      <c r="AE149" s="849"/>
      <c r="AF149" s="849"/>
      <c r="AG149" s="1646"/>
      <c r="AH149" s="1646"/>
      <c r="AI149" s="1655"/>
      <c r="AJ149" s="213"/>
      <c r="AK149" s="213"/>
    </row>
    <row r="150" spans="1:37" ht="9.9499999999999993" customHeight="1" x14ac:dyDescent="0.25">
      <c r="A150" s="1616"/>
      <c r="B150" s="1617"/>
      <c r="C150" s="1575"/>
      <c r="D150" s="1575"/>
      <c r="E150" s="1575"/>
      <c r="F150" s="850"/>
      <c r="G150" s="851"/>
      <c r="H150" s="850"/>
      <c r="I150" s="1653"/>
      <c r="J150" s="850"/>
      <c r="K150" s="851"/>
      <c r="L150" s="850"/>
      <c r="M150" s="1653"/>
      <c r="N150" s="850"/>
      <c r="O150" s="851"/>
      <c r="P150" s="850"/>
      <c r="Q150" s="1653"/>
      <c r="R150" s="850"/>
      <c r="S150" s="851"/>
      <c r="T150" s="850"/>
      <c r="U150" s="1653"/>
      <c r="V150" s="850"/>
      <c r="W150" s="851"/>
      <c r="X150" s="850"/>
      <c r="Y150" s="1653"/>
      <c r="Z150" s="850"/>
      <c r="AA150" s="851"/>
      <c r="AB150" s="850"/>
      <c r="AC150" s="1653"/>
      <c r="AD150" s="850"/>
      <c r="AE150" s="851"/>
      <c r="AF150" s="850"/>
      <c r="AG150" s="1647"/>
      <c r="AH150" s="1647"/>
      <c r="AI150" s="1656"/>
      <c r="AJ150" s="213"/>
      <c r="AK150" s="213"/>
    </row>
    <row r="151" spans="1:37" ht="9.9499999999999993" customHeight="1" x14ac:dyDescent="0.25">
      <c r="A151" s="1616"/>
      <c r="B151" s="1617"/>
      <c r="C151" s="1576"/>
      <c r="D151" s="1576"/>
      <c r="E151" s="1576"/>
      <c r="F151" s="849"/>
      <c r="G151" s="849"/>
      <c r="H151" s="849"/>
      <c r="I151" s="1654"/>
      <c r="J151" s="849"/>
      <c r="K151" s="849"/>
      <c r="L151" s="849"/>
      <c r="M151" s="1654"/>
      <c r="N151" s="849"/>
      <c r="O151" s="849"/>
      <c r="P151" s="849"/>
      <c r="Q151" s="1654"/>
      <c r="R151" s="849"/>
      <c r="S151" s="849"/>
      <c r="T151" s="849"/>
      <c r="U151" s="1654"/>
      <c r="V151" s="849"/>
      <c r="W151" s="849"/>
      <c r="X151" s="849"/>
      <c r="Y151" s="1654"/>
      <c r="Z151" s="849"/>
      <c r="AA151" s="849"/>
      <c r="AB151" s="849"/>
      <c r="AC151" s="1654"/>
      <c r="AD151" s="849"/>
      <c r="AE151" s="849"/>
      <c r="AF151" s="849"/>
      <c r="AG151" s="1648"/>
      <c r="AH151" s="1648"/>
      <c r="AI151" s="1657"/>
      <c r="AJ151" s="213"/>
      <c r="AK151" s="213"/>
    </row>
    <row r="152" spans="1:37" ht="9.9499999999999993" customHeight="1" x14ac:dyDescent="0.25">
      <c r="A152" s="270"/>
      <c r="B152" s="270"/>
      <c r="C152" s="270"/>
      <c r="D152" s="270"/>
      <c r="E152" s="270"/>
      <c r="F152" s="270"/>
      <c r="G152" s="270"/>
      <c r="H152" s="270"/>
      <c r="I152" s="270"/>
      <c r="J152" s="270"/>
      <c r="K152" s="270"/>
      <c r="L152" s="270"/>
      <c r="M152" s="852"/>
      <c r="N152" s="270"/>
      <c r="O152" s="270"/>
      <c r="P152" s="270"/>
      <c r="Q152" s="852"/>
      <c r="R152" s="270"/>
      <c r="S152" s="270"/>
      <c r="T152" s="270"/>
      <c r="U152" s="852"/>
      <c r="V152" s="270"/>
      <c r="W152" s="270"/>
      <c r="X152" s="270"/>
      <c r="Y152" s="852"/>
      <c r="Z152" s="270"/>
      <c r="AA152" s="270"/>
      <c r="AB152" s="270"/>
      <c r="AC152" s="852"/>
      <c r="AD152" s="270"/>
      <c r="AE152" s="270"/>
      <c r="AF152" s="270"/>
      <c r="AG152" s="853"/>
      <c r="AH152" s="853"/>
      <c r="AI152" s="856"/>
      <c r="AJ152" s="213"/>
      <c r="AK152" s="213"/>
    </row>
    <row r="153" spans="1:37" ht="9.9499999999999993" customHeight="1" x14ac:dyDescent="0.25">
      <c r="A153" s="1616">
        <v>9</v>
      </c>
      <c r="B153" s="1617">
        <v>2</v>
      </c>
      <c r="C153" s="1574" t="s">
        <v>5463</v>
      </c>
      <c r="D153" s="1574" t="s">
        <v>5475</v>
      </c>
      <c r="E153" s="1574" t="s">
        <v>6581</v>
      </c>
      <c r="F153" s="849"/>
      <c r="G153" s="849"/>
      <c r="H153" s="849"/>
      <c r="I153" s="1652"/>
      <c r="J153" s="849"/>
      <c r="K153" s="849"/>
      <c r="L153" s="849"/>
      <c r="M153" s="1652"/>
      <c r="N153" s="849"/>
      <c r="O153" s="849"/>
      <c r="P153" s="849"/>
      <c r="Q153" s="1652"/>
      <c r="R153" s="849"/>
      <c r="S153" s="849"/>
      <c r="T153" s="849"/>
      <c r="U153" s="1652"/>
      <c r="V153" s="849"/>
      <c r="W153" s="849"/>
      <c r="X153" s="849"/>
      <c r="Y153" s="1652"/>
      <c r="Z153" s="849"/>
      <c r="AA153" s="849"/>
      <c r="AB153" s="849"/>
      <c r="AC153" s="1652"/>
      <c r="AD153" s="849"/>
      <c r="AE153" s="849"/>
      <c r="AF153" s="849"/>
      <c r="AG153" s="1646"/>
      <c r="AH153" s="1646"/>
      <c r="AI153" s="1655"/>
      <c r="AJ153" s="213"/>
      <c r="AK153" s="213"/>
    </row>
    <row r="154" spans="1:37" ht="9.9499999999999993" customHeight="1" x14ac:dyDescent="0.25">
      <c r="A154" s="1616"/>
      <c r="B154" s="1617"/>
      <c r="C154" s="1575"/>
      <c r="D154" s="1575"/>
      <c r="E154" s="1575"/>
      <c r="F154" s="850"/>
      <c r="G154" s="851"/>
      <c r="H154" s="850"/>
      <c r="I154" s="1653"/>
      <c r="J154" s="850"/>
      <c r="K154" s="851"/>
      <c r="L154" s="850"/>
      <c r="M154" s="1653"/>
      <c r="N154" s="850"/>
      <c r="O154" s="851"/>
      <c r="P154" s="850"/>
      <c r="Q154" s="1653"/>
      <c r="R154" s="850"/>
      <c r="S154" s="851"/>
      <c r="T154" s="850"/>
      <c r="U154" s="1653"/>
      <c r="V154" s="850"/>
      <c r="W154" s="851"/>
      <c r="X154" s="850"/>
      <c r="Y154" s="1653"/>
      <c r="Z154" s="850"/>
      <c r="AA154" s="851"/>
      <c r="AB154" s="850"/>
      <c r="AC154" s="1653"/>
      <c r="AD154" s="850"/>
      <c r="AE154" s="851"/>
      <c r="AF154" s="850"/>
      <c r="AG154" s="1647"/>
      <c r="AH154" s="1647"/>
      <c r="AI154" s="1656"/>
      <c r="AJ154" s="213"/>
      <c r="AK154" s="213"/>
    </row>
    <row r="155" spans="1:37" ht="9.9499999999999993" customHeight="1" x14ac:dyDescent="0.25">
      <c r="A155" s="1616"/>
      <c r="B155" s="1617"/>
      <c r="C155" s="1576"/>
      <c r="D155" s="1576"/>
      <c r="E155" s="1576"/>
      <c r="F155" s="849"/>
      <c r="G155" s="849"/>
      <c r="H155" s="849"/>
      <c r="I155" s="1654"/>
      <c r="J155" s="849"/>
      <c r="K155" s="849"/>
      <c r="L155" s="849"/>
      <c r="M155" s="1654"/>
      <c r="N155" s="849"/>
      <c r="O155" s="849"/>
      <c r="P155" s="849"/>
      <c r="Q155" s="1654"/>
      <c r="R155" s="849"/>
      <c r="S155" s="849"/>
      <c r="T155" s="849"/>
      <c r="U155" s="1654"/>
      <c r="V155" s="849"/>
      <c r="W155" s="849"/>
      <c r="X155" s="849"/>
      <c r="Y155" s="1654"/>
      <c r="Z155" s="849"/>
      <c r="AA155" s="849"/>
      <c r="AB155" s="849"/>
      <c r="AC155" s="1654"/>
      <c r="AD155" s="849"/>
      <c r="AE155" s="849"/>
      <c r="AF155" s="849"/>
      <c r="AG155" s="1648"/>
      <c r="AH155" s="1648"/>
      <c r="AI155" s="1657"/>
      <c r="AJ155" s="213"/>
      <c r="AK155" s="213"/>
    </row>
    <row r="156" spans="1:37" ht="9.9499999999999993" customHeight="1" x14ac:dyDescent="0.25">
      <c r="A156" s="270"/>
      <c r="B156" s="270"/>
      <c r="C156" s="270"/>
      <c r="D156" s="270"/>
      <c r="E156" s="270"/>
      <c r="F156" s="270"/>
      <c r="G156" s="270"/>
      <c r="H156" s="270"/>
      <c r="I156" s="270"/>
      <c r="J156" s="270"/>
      <c r="K156" s="270"/>
      <c r="L156" s="270"/>
      <c r="M156" s="852"/>
      <c r="N156" s="270"/>
      <c r="O156" s="270"/>
      <c r="P156" s="270"/>
      <c r="Q156" s="852"/>
      <c r="R156" s="270"/>
      <c r="S156" s="270"/>
      <c r="T156" s="270"/>
      <c r="U156" s="852"/>
      <c r="V156" s="270"/>
      <c r="W156" s="270"/>
      <c r="X156" s="270"/>
      <c r="Y156" s="852"/>
      <c r="Z156" s="270"/>
      <c r="AA156" s="270"/>
      <c r="AB156" s="270"/>
      <c r="AC156" s="852"/>
      <c r="AD156" s="270"/>
      <c r="AE156" s="270"/>
      <c r="AF156" s="270"/>
      <c r="AG156" s="853"/>
      <c r="AH156" s="853"/>
      <c r="AI156" s="856"/>
      <c r="AJ156" s="213"/>
      <c r="AK156" s="213"/>
    </row>
    <row r="157" spans="1:37" ht="9.9499999999999993" customHeight="1" x14ac:dyDescent="0.25">
      <c r="A157" s="1616">
        <v>10</v>
      </c>
      <c r="B157" s="1617">
        <v>2</v>
      </c>
      <c r="C157" s="1574" t="s">
        <v>5464</v>
      </c>
      <c r="D157" s="1574" t="s">
        <v>5475</v>
      </c>
      <c r="E157" s="1574" t="s">
        <v>6581</v>
      </c>
      <c r="F157" s="849"/>
      <c r="G157" s="849"/>
      <c r="H157" s="849"/>
      <c r="I157" s="1652"/>
      <c r="J157" s="849"/>
      <c r="K157" s="849"/>
      <c r="L157" s="849"/>
      <c r="M157" s="1652"/>
      <c r="N157" s="849"/>
      <c r="O157" s="849"/>
      <c r="P157" s="849"/>
      <c r="Q157" s="1652"/>
      <c r="R157" s="849"/>
      <c r="S157" s="849"/>
      <c r="T157" s="849"/>
      <c r="U157" s="1652"/>
      <c r="V157" s="849"/>
      <c r="W157" s="849"/>
      <c r="X157" s="849"/>
      <c r="Y157" s="1652"/>
      <c r="Z157" s="849"/>
      <c r="AA157" s="849"/>
      <c r="AB157" s="849"/>
      <c r="AC157" s="1652"/>
      <c r="AD157" s="849"/>
      <c r="AE157" s="849"/>
      <c r="AF157" s="849"/>
      <c r="AG157" s="1646"/>
      <c r="AH157" s="1646"/>
      <c r="AI157" s="1655"/>
      <c r="AJ157" s="213"/>
      <c r="AK157" s="213"/>
    </row>
    <row r="158" spans="1:37" ht="9.9499999999999993" customHeight="1" x14ac:dyDescent="0.25">
      <c r="A158" s="1616"/>
      <c r="B158" s="1617"/>
      <c r="C158" s="1575"/>
      <c r="D158" s="1575"/>
      <c r="E158" s="1575"/>
      <c r="F158" s="850"/>
      <c r="G158" s="851"/>
      <c r="H158" s="850"/>
      <c r="I158" s="1653"/>
      <c r="J158" s="850"/>
      <c r="K158" s="851"/>
      <c r="L158" s="850"/>
      <c r="M158" s="1653"/>
      <c r="N158" s="850"/>
      <c r="O158" s="851"/>
      <c r="P158" s="850"/>
      <c r="Q158" s="1653"/>
      <c r="R158" s="850"/>
      <c r="S158" s="851"/>
      <c r="T158" s="850"/>
      <c r="U158" s="1653"/>
      <c r="V158" s="850"/>
      <c r="W158" s="851"/>
      <c r="X158" s="850"/>
      <c r="Y158" s="1653"/>
      <c r="Z158" s="850"/>
      <c r="AA158" s="851"/>
      <c r="AB158" s="850"/>
      <c r="AC158" s="1653"/>
      <c r="AD158" s="850"/>
      <c r="AE158" s="851"/>
      <c r="AF158" s="850"/>
      <c r="AG158" s="1647"/>
      <c r="AH158" s="1647"/>
      <c r="AI158" s="1656"/>
      <c r="AJ158" s="213"/>
      <c r="AK158" s="213"/>
    </row>
    <row r="159" spans="1:37" ht="9.9499999999999993" customHeight="1" x14ac:dyDescent="0.25">
      <c r="A159" s="1616"/>
      <c r="B159" s="1617"/>
      <c r="C159" s="1576"/>
      <c r="D159" s="1576"/>
      <c r="E159" s="1576"/>
      <c r="F159" s="849"/>
      <c r="G159" s="849"/>
      <c r="H159" s="849"/>
      <c r="I159" s="1654"/>
      <c r="J159" s="849"/>
      <c r="K159" s="849"/>
      <c r="L159" s="849"/>
      <c r="M159" s="1654"/>
      <c r="N159" s="849"/>
      <c r="O159" s="849"/>
      <c r="P159" s="849"/>
      <c r="Q159" s="1654"/>
      <c r="R159" s="849"/>
      <c r="S159" s="849"/>
      <c r="T159" s="849"/>
      <c r="U159" s="1654"/>
      <c r="V159" s="849"/>
      <c r="W159" s="849"/>
      <c r="X159" s="849"/>
      <c r="Y159" s="1654"/>
      <c r="Z159" s="849"/>
      <c r="AA159" s="849"/>
      <c r="AB159" s="849"/>
      <c r="AC159" s="1654"/>
      <c r="AD159" s="849"/>
      <c r="AE159" s="849"/>
      <c r="AF159" s="849"/>
      <c r="AG159" s="1648"/>
      <c r="AH159" s="1648"/>
      <c r="AI159" s="1657"/>
      <c r="AJ159" s="213"/>
      <c r="AK159" s="213"/>
    </row>
    <row r="160" spans="1:37" ht="9.9499999999999993" customHeight="1" x14ac:dyDescent="0.25">
      <c r="A160" s="270"/>
      <c r="B160" s="270"/>
      <c r="C160" s="270"/>
      <c r="D160" s="270"/>
      <c r="E160" s="270"/>
      <c r="F160" s="270"/>
      <c r="G160" s="270"/>
      <c r="H160" s="270"/>
      <c r="I160" s="270"/>
      <c r="J160" s="270"/>
      <c r="K160" s="270"/>
      <c r="L160" s="270"/>
      <c r="M160" s="852"/>
      <c r="N160" s="270"/>
      <c r="O160" s="270"/>
      <c r="P160" s="270"/>
      <c r="Q160" s="852"/>
      <c r="R160" s="270"/>
      <c r="S160" s="270"/>
      <c r="T160" s="270"/>
      <c r="U160" s="852"/>
      <c r="V160" s="270"/>
      <c r="W160" s="270"/>
      <c r="X160" s="270"/>
      <c r="Y160" s="852"/>
      <c r="Z160" s="270"/>
      <c r="AA160" s="270"/>
      <c r="AB160" s="270"/>
      <c r="AC160" s="852"/>
      <c r="AD160" s="270"/>
      <c r="AE160" s="270"/>
      <c r="AF160" s="270"/>
      <c r="AG160" s="853"/>
      <c r="AH160" s="853"/>
      <c r="AI160" s="856"/>
      <c r="AJ160" s="213"/>
      <c r="AK160" s="213"/>
    </row>
    <row r="161" spans="1:37" ht="9.9499999999999993" customHeight="1" x14ac:dyDescent="0.25">
      <c r="A161" s="1616">
        <v>11</v>
      </c>
      <c r="B161" s="1617">
        <v>2</v>
      </c>
      <c r="C161" s="1574" t="s">
        <v>5465</v>
      </c>
      <c r="D161" s="1574" t="s">
        <v>5475</v>
      </c>
      <c r="E161" s="1574" t="s">
        <v>6581</v>
      </c>
      <c r="F161" s="849"/>
      <c r="G161" s="849"/>
      <c r="H161" s="849"/>
      <c r="I161" s="1652"/>
      <c r="J161" s="849"/>
      <c r="K161" s="849"/>
      <c r="L161" s="849"/>
      <c r="M161" s="1652"/>
      <c r="N161" s="849"/>
      <c r="O161" s="849"/>
      <c r="P161" s="849"/>
      <c r="Q161" s="1652"/>
      <c r="R161" s="849"/>
      <c r="S161" s="849"/>
      <c r="T161" s="849"/>
      <c r="U161" s="1652"/>
      <c r="V161" s="849"/>
      <c r="W161" s="849"/>
      <c r="X161" s="849"/>
      <c r="Y161" s="1652"/>
      <c r="Z161" s="849"/>
      <c r="AA161" s="849"/>
      <c r="AB161" s="849"/>
      <c r="AC161" s="1652"/>
      <c r="AD161" s="849"/>
      <c r="AE161" s="849"/>
      <c r="AF161" s="849"/>
      <c r="AG161" s="1646"/>
      <c r="AH161" s="1646"/>
      <c r="AI161" s="1655"/>
      <c r="AJ161" s="213"/>
      <c r="AK161" s="213"/>
    </row>
    <row r="162" spans="1:37" ht="9.9499999999999993" customHeight="1" x14ac:dyDescent="0.25">
      <c r="A162" s="1616"/>
      <c r="B162" s="1617"/>
      <c r="C162" s="1575"/>
      <c r="D162" s="1575"/>
      <c r="E162" s="1575"/>
      <c r="F162" s="850"/>
      <c r="G162" s="851"/>
      <c r="H162" s="850"/>
      <c r="I162" s="1653"/>
      <c r="J162" s="850"/>
      <c r="K162" s="851"/>
      <c r="L162" s="850"/>
      <c r="M162" s="1653"/>
      <c r="N162" s="850"/>
      <c r="O162" s="851"/>
      <c r="P162" s="850"/>
      <c r="Q162" s="1653"/>
      <c r="R162" s="850"/>
      <c r="S162" s="851"/>
      <c r="T162" s="850"/>
      <c r="U162" s="1653"/>
      <c r="V162" s="850"/>
      <c r="W162" s="851"/>
      <c r="X162" s="850"/>
      <c r="Y162" s="1653"/>
      <c r="Z162" s="850"/>
      <c r="AA162" s="851"/>
      <c r="AB162" s="850"/>
      <c r="AC162" s="1653"/>
      <c r="AD162" s="850"/>
      <c r="AE162" s="851"/>
      <c r="AF162" s="850"/>
      <c r="AG162" s="1647"/>
      <c r="AH162" s="1647"/>
      <c r="AI162" s="1656"/>
      <c r="AJ162" s="213"/>
      <c r="AK162" s="213"/>
    </row>
    <row r="163" spans="1:37" ht="9.9499999999999993" customHeight="1" x14ac:dyDescent="0.25">
      <c r="A163" s="1616"/>
      <c r="B163" s="1617"/>
      <c r="C163" s="1576"/>
      <c r="D163" s="1576"/>
      <c r="E163" s="1576"/>
      <c r="F163" s="849"/>
      <c r="G163" s="849"/>
      <c r="H163" s="849"/>
      <c r="I163" s="1654"/>
      <c r="J163" s="849"/>
      <c r="K163" s="849"/>
      <c r="L163" s="849"/>
      <c r="M163" s="1654"/>
      <c r="N163" s="849"/>
      <c r="O163" s="849"/>
      <c r="P163" s="849"/>
      <c r="Q163" s="1654"/>
      <c r="R163" s="849"/>
      <c r="S163" s="849"/>
      <c r="T163" s="849"/>
      <c r="U163" s="1654"/>
      <c r="V163" s="849"/>
      <c r="W163" s="849"/>
      <c r="X163" s="849"/>
      <c r="Y163" s="1654"/>
      <c r="Z163" s="849"/>
      <c r="AA163" s="849"/>
      <c r="AB163" s="849"/>
      <c r="AC163" s="1654"/>
      <c r="AD163" s="849"/>
      <c r="AE163" s="849"/>
      <c r="AF163" s="849"/>
      <c r="AG163" s="1648"/>
      <c r="AH163" s="1648"/>
      <c r="AI163" s="1657"/>
      <c r="AJ163" s="213"/>
      <c r="AK163" s="213"/>
    </row>
    <row r="164" spans="1:37" ht="9.9499999999999993" customHeight="1" x14ac:dyDescent="0.25">
      <c r="A164" s="270"/>
      <c r="B164" s="270"/>
      <c r="C164" s="270"/>
      <c r="D164" s="270"/>
      <c r="E164" s="270"/>
      <c r="F164" s="270"/>
      <c r="G164" s="270"/>
      <c r="H164" s="270"/>
      <c r="I164" s="270"/>
      <c r="J164" s="270"/>
      <c r="K164" s="270"/>
      <c r="L164" s="270"/>
      <c r="M164" s="852"/>
      <c r="N164" s="270"/>
      <c r="O164" s="270"/>
      <c r="P164" s="270"/>
      <c r="Q164" s="852"/>
      <c r="R164" s="270"/>
      <c r="S164" s="270"/>
      <c r="T164" s="270"/>
      <c r="U164" s="852"/>
      <c r="V164" s="270"/>
      <c r="W164" s="270"/>
      <c r="X164" s="270"/>
      <c r="Y164" s="852"/>
      <c r="Z164" s="270"/>
      <c r="AA164" s="270"/>
      <c r="AB164" s="270"/>
      <c r="AC164" s="852"/>
      <c r="AD164" s="270"/>
      <c r="AE164" s="270"/>
      <c r="AF164" s="270"/>
      <c r="AG164" s="853"/>
      <c r="AH164" s="853"/>
      <c r="AI164" s="856"/>
      <c r="AJ164" s="213"/>
      <c r="AK164" s="213"/>
    </row>
    <row r="165" spans="1:37" ht="9.9499999999999993" customHeight="1" x14ac:dyDescent="0.25">
      <c r="A165" s="1616">
        <v>12</v>
      </c>
      <c r="B165" s="1617">
        <v>2</v>
      </c>
      <c r="C165" s="1574" t="s">
        <v>5466</v>
      </c>
      <c r="D165" s="1574" t="s">
        <v>5475</v>
      </c>
      <c r="E165" s="1574" t="s">
        <v>6581</v>
      </c>
      <c r="F165" s="849"/>
      <c r="G165" s="849"/>
      <c r="H165" s="849"/>
      <c r="I165" s="1652"/>
      <c r="J165" s="849"/>
      <c r="K165" s="849"/>
      <c r="L165" s="849"/>
      <c r="M165" s="1652"/>
      <c r="N165" s="849"/>
      <c r="O165" s="849"/>
      <c r="P165" s="849"/>
      <c r="Q165" s="1652"/>
      <c r="R165" s="849"/>
      <c r="S165" s="849"/>
      <c r="T165" s="849"/>
      <c r="U165" s="1652"/>
      <c r="V165" s="849"/>
      <c r="W165" s="849"/>
      <c r="X165" s="849"/>
      <c r="Y165" s="1652"/>
      <c r="Z165" s="849"/>
      <c r="AA165" s="849"/>
      <c r="AB165" s="849"/>
      <c r="AC165" s="1652"/>
      <c r="AD165" s="849"/>
      <c r="AE165" s="849"/>
      <c r="AF165" s="849"/>
      <c r="AG165" s="1646"/>
      <c r="AH165" s="1646"/>
      <c r="AI165" s="1655"/>
      <c r="AJ165" s="213"/>
      <c r="AK165" s="213"/>
    </row>
    <row r="166" spans="1:37" ht="9.9499999999999993" customHeight="1" x14ac:dyDescent="0.25">
      <c r="A166" s="1616"/>
      <c r="B166" s="1617"/>
      <c r="C166" s="1575"/>
      <c r="D166" s="1575"/>
      <c r="E166" s="1575"/>
      <c r="F166" s="850"/>
      <c r="G166" s="851"/>
      <c r="H166" s="850"/>
      <c r="I166" s="1653"/>
      <c r="J166" s="850"/>
      <c r="K166" s="851"/>
      <c r="L166" s="850"/>
      <c r="M166" s="1653"/>
      <c r="N166" s="850"/>
      <c r="O166" s="851"/>
      <c r="P166" s="850"/>
      <c r="Q166" s="1653"/>
      <c r="R166" s="850"/>
      <c r="S166" s="851"/>
      <c r="T166" s="850"/>
      <c r="U166" s="1653"/>
      <c r="V166" s="850"/>
      <c r="W166" s="851"/>
      <c r="X166" s="850"/>
      <c r="Y166" s="1653"/>
      <c r="Z166" s="850"/>
      <c r="AA166" s="851"/>
      <c r="AB166" s="850"/>
      <c r="AC166" s="1653"/>
      <c r="AD166" s="850"/>
      <c r="AE166" s="851"/>
      <c r="AF166" s="850"/>
      <c r="AG166" s="1647"/>
      <c r="AH166" s="1647"/>
      <c r="AI166" s="1656"/>
      <c r="AJ166" s="213"/>
      <c r="AK166" s="213"/>
    </row>
    <row r="167" spans="1:37" ht="9.9499999999999993" customHeight="1" x14ac:dyDescent="0.25">
      <c r="A167" s="1616"/>
      <c r="B167" s="1617"/>
      <c r="C167" s="1576"/>
      <c r="D167" s="1576"/>
      <c r="E167" s="1576"/>
      <c r="F167" s="849"/>
      <c r="G167" s="849"/>
      <c r="H167" s="849"/>
      <c r="I167" s="1654"/>
      <c r="J167" s="849"/>
      <c r="K167" s="849"/>
      <c r="L167" s="849"/>
      <c r="M167" s="1654"/>
      <c r="N167" s="849"/>
      <c r="O167" s="849"/>
      <c r="P167" s="849"/>
      <c r="Q167" s="1654"/>
      <c r="R167" s="849"/>
      <c r="S167" s="849"/>
      <c r="T167" s="849"/>
      <c r="U167" s="1654"/>
      <c r="V167" s="849"/>
      <c r="W167" s="849"/>
      <c r="X167" s="849"/>
      <c r="Y167" s="1654"/>
      <c r="Z167" s="849"/>
      <c r="AA167" s="849"/>
      <c r="AB167" s="849"/>
      <c r="AC167" s="1654"/>
      <c r="AD167" s="849"/>
      <c r="AE167" s="849"/>
      <c r="AF167" s="849"/>
      <c r="AG167" s="1648"/>
      <c r="AH167" s="1648"/>
      <c r="AI167" s="1657"/>
      <c r="AJ167" s="213"/>
      <c r="AK167" s="213"/>
    </row>
    <row r="168" spans="1:37" ht="9.9499999999999993" customHeight="1" x14ac:dyDescent="0.25">
      <c r="A168" s="270"/>
      <c r="B168" s="270"/>
      <c r="C168" s="270"/>
      <c r="D168" s="270"/>
      <c r="E168" s="270"/>
      <c r="F168" s="270"/>
      <c r="G168" s="270"/>
      <c r="H168" s="270"/>
      <c r="I168" s="270"/>
      <c r="J168" s="270"/>
      <c r="K168" s="270"/>
      <c r="L168" s="270"/>
      <c r="M168" s="852"/>
      <c r="N168" s="270"/>
      <c r="O168" s="270"/>
      <c r="P168" s="270"/>
      <c r="Q168" s="852"/>
      <c r="R168" s="270"/>
      <c r="S168" s="270"/>
      <c r="T168" s="270"/>
      <c r="U168" s="852"/>
      <c r="V168" s="270"/>
      <c r="W168" s="270"/>
      <c r="X168" s="270"/>
      <c r="Y168" s="852"/>
      <c r="Z168" s="270"/>
      <c r="AA168" s="270"/>
      <c r="AB168" s="270"/>
      <c r="AC168" s="852"/>
      <c r="AD168" s="270"/>
      <c r="AE168" s="270"/>
      <c r="AF168" s="270"/>
      <c r="AG168" s="853"/>
      <c r="AH168" s="853"/>
      <c r="AI168" s="856"/>
      <c r="AJ168" s="213"/>
      <c r="AK168" s="213"/>
    </row>
    <row r="169" spans="1:37" ht="9.9499999999999993" customHeight="1" x14ac:dyDescent="0.25">
      <c r="A169" s="1616">
        <v>13</v>
      </c>
      <c r="B169" s="1617">
        <v>2</v>
      </c>
      <c r="C169" s="1574" t="s">
        <v>5467</v>
      </c>
      <c r="D169" s="1574" t="s">
        <v>5475</v>
      </c>
      <c r="E169" s="1574" t="s">
        <v>6581</v>
      </c>
      <c r="F169" s="849"/>
      <c r="G169" s="849"/>
      <c r="H169" s="849"/>
      <c r="I169" s="1652"/>
      <c r="J169" s="849"/>
      <c r="K169" s="849"/>
      <c r="L169" s="849"/>
      <c r="M169" s="1652"/>
      <c r="N169" s="849"/>
      <c r="O169" s="849"/>
      <c r="P169" s="849"/>
      <c r="Q169" s="1652"/>
      <c r="R169" s="849"/>
      <c r="S169" s="849"/>
      <c r="T169" s="849"/>
      <c r="U169" s="1652"/>
      <c r="V169" s="849"/>
      <c r="W169" s="849"/>
      <c r="X169" s="849"/>
      <c r="Y169" s="1652"/>
      <c r="Z169" s="849"/>
      <c r="AA169" s="849"/>
      <c r="AB169" s="849"/>
      <c r="AC169" s="1652"/>
      <c r="AD169" s="849"/>
      <c r="AE169" s="849"/>
      <c r="AF169" s="849"/>
      <c r="AG169" s="1646"/>
      <c r="AH169" s="1646"/>
      <c r="AI169" s="1655"/>
      <c r="AJ169" s="213"/>
      <c r="AK169" s="213"/>
    </row>
    <row r="170" spans="1:37" ht="9.9499999999999993" customHeight="1" x14ac:dyDescent="0.25">
      <c r="A170" s="1616"/>
      <c r="B170" s="1617"/>
      <c r="C170" s="1575"/>
      <c r="D170" s="1575"/>
      <c r="E170" s="1575"/>
      <c r="F170" s="850"/>
      <c r="G170" s="851"/>
      <c r="H170" s="850"/>
      <c r="I170" s="1653"/>
      <c r="J170" s="850"/>
      <c r="K170" s="851"/>
      <c r="L170" s="850"/>
      <c r="M170" s="1653"/>
      <c r="N170" s="850"/>
      <c r="O170" s="851"/>
      <c r="P170" s="850"/>
      <c r="Q170" s="1653"/>
      <c r="R170" s="850"/>
      <c r="S170" s="851"/>
      <c r="T170" s="850"/>
      <c r="U170" s="1653"/>
      <c r="V170" s="850"/>
      <c r="W170" s="851"/>
      <c r="X170" s="850"/>
      <c r="Y170" s="1653"/>
      <c r="Z170" s="850"/>
      <c r="AA170" s="851"/>
      <c r="AB170" s="850"/>
      <c r="AC170" s="1653"/>
      <c r="AD170" s="850"/>
      <c r="AE170" s="851"/>
      <c r="AF170" s="850"/>
      <c r="AG170" s="1647"/>
      <c r="AH170" s="1647"/>
      <c r="AI170" s="1656"/>
      <c r="AJ170" s="213"/>
      <c r="AK170" s="213"/>
    </row>
    <row r="171" spans="1:37" ht="9.9499999999999993" customHeight="1" x14ac:dyDescent="0.25">
      <c r="A171" s="1616"/>
      <c r="B171" s="1617"/>
      <c r="C171" s="1576"/>
      <c r="D171" s="1576"/>
      <c r="E171" s="1576"/>
      <c r="F171" s="849"/>
      <c r="G171" s="849"/>
      <c r="H171" s="849"/>
      <c r="I171" s="1654"/>
      <c r="J171" s="849"/>
      <c r="K171" s="849"/>
      <c r="L171" s="849"/>
      <c r="M171" s="1654"/>
      <c r="N171" s="849"/>
      <c r="O171" s="849"/>
      <c r="P171" s="849"/>
      <c r="Q171" s="1654"/>
      <c r="R171" s="849"/>
      <c r="S171" s="849"/>
      <c r="T171" s="849"/>
      <c r="U171" s="1654"/>
      <c r="V171" s="849"/>
      <c r="W171" s="849"/>
      <c r="X171" s="849"/>
      <c r="Y171" s="1654"/>
      <c r="Z171" s="849"/>
      <c r="AA171" s="849"/>
      <c r="AB171" s="849"/>
      <c r="AC171" s="1654"/>
      <c r="AD171" s="849"/>
      <c r="AE171" s="849"/>
      <c r="AF171" s="849"/>
      <c r="AG171" s="1648"/>
      <c r="AH171" s="1648"/>
      <c r="AI171" s="1657"/>
      <c r="AJ171" s="213"/>
      <c r="AK171" s="213"/>
    </row>
    <row r="172" spans="1:37" ht="9.9499999999999993" customHeight="1" x14ac:dyDescent="0.25">
      <c r="A172" s="270"/>
      <c r="B172" s="270"/>
      <c r="C172" s="270"/>
      <c r="D172" s="270"/>
      <c r="E172" s="270"/>
      <c r="F172" s="270"/>
      <c r="G172" s="270"/>
      <c r="H172" s="270"/>
      <c r="I172" s="270"/>
      <c r="J172" s="270"/>
      <c r="K172" s="270"/>
      <c r="L172" s="270"/>
      <c r="M172" s="852"/>
      <c r="N172" s="270"/>
      <c r="O172" s="270"/>
      <c r="P172" s="270"/>
      <c r="Q172" s="852"/>
      <c r="R172" s="270"/>
      <c r="S172" s="270"/>
      <c r="T172" s="270"/>
      <c r="U172" s="852"/>
      <c r="V172" s="270"/>
      <c r="W172" s="270"/>
      <c r="X172" s="270"/>
      <c r="Y172" s="852"/>
      <c r="Z172" s="270"/>
      <c r="AA172" s="270"/>
      <c r="AB172" s="270"/>
      <c r="AC172" s="852"/>
      <c r="AD172" s="270"/>
      <c r="AE172" s="270"/>
      <c r="AF172" s="270"/>
      <c r="AG172" s="853"/>
      <c r="AH172" s="853"/>
      <c r="AI172" s="856"/>
      <c r="AJ172" s="213"/>
      <c r="AK172" s="213"/>
    </row>
    <row r="173" spans="1:37" ht="9.9499999999999993" customHeight="1" x14ac:dyDescent="0.25">
      <c r="A173" s="1616">
        <v>14</v>
      </c>
      <c r="B173" s="1617">
        <v>2</v>
      </c>
      <c r="C173" s="1574" t="s">
        <v>5468</v>
      </c>
      <c r="D173" s="1574" t="s">
        <v>5475</v>
      </c>
      <c r="E173" s="1574" t="s">
        <v>6581</v>
      </c>
      <c r="F173" s="849"/>
      <c r="G173" s="849"/>
      <c r="H173" s="849"/>
      <c r="I173" s="1652"/>
      <c r="J173" s="849"/>
      <c r="K173" s="849"/>
      <c r="L173" s="849"/>
      <c r="M173" s="1652"/>
      <c r="N173" s="849"/>
      <c r="O173" s="849"/>
      <c r="P173" s="849"/>
      <c r="Q173" s="1652"/>
      <c r="R173" s="849"/>
      <c r="S173" s="849"/>
      <c r="T173" s="849"/>
      <c r="U173" s="1652"/>
      <c r="V173" s="849"/>
      <c r="W173" s="849"/>
      <c r="X173" s="849"/>
      <c r="Y173" s="1652"/>
      <c r="Z173" s="849"/>
      <c r="AA173" s="849"/>
      <c r="AB173" s="849"/>
      <c r="AC173" s="1652"/>
      <c r="AD173" s="849"/>
      <c r="AE173" s="849"/>
      <c r="AF173" s="849"/>
      <c r="AG173" s="1646"/>
      <c r="AH173" s="1646"/>
      <c r="AI173" s="1655"/>
      <c r="AJ173" s="213"/>
      <c r="AK173" s="213"/>
    </row>
    <row r="174" spans="1:37" ht="9.9499999999999993" customHeight="1" x14ac:dyDescent="0.25">
      <c r="A174" s="1616"/>
      <c r="B174" s="1617"/>
      <c r="C174" s="1575"/>
      <c r="D174" s="1575"/>
      <c r="E174" s="1575"/>
      <c r="F174" s="850"/>
      <c r="G174" s="851"/>
      <c r="H174" s="850"/>
      <c r="I174" s="1653"/>
      <c r="J174" s="850"/>
      <c r="K174" s="851"/>
      <c r="L174" s="850"/>
      <c r="M174" s="1653"/>
      <c r="N174" s="850"/>
      <c r="O174" s="851"/>
      <c r="P174" s="850"/>
      <c r="Q174" s="1653"/>
      <c r="R174" s="850"/>
      <c r="S174" s="851"/>
      <c r="T174" s="850"/>
      <c r="U174" s="1653"/>
      <c r="V174" s="850"/>
      <c r="W174" s="851"/>
      <c r="X174" s="850"/>
      <c r="Y174" s="1653"/>
      <c r="Z174" s="850"/>
      <c r="AA174" s="851"/>
      <c r="AB174" s="850"/>
      <c r="AC174" s="1653"/>
      <c r="AD174" s="850"/>
      <c r="AE174" s="851"/>
      <c r="AF174" s="850"/>
      <c r="AG174" s="1647"/>
      <c r="AH174" s="1647"/>
      <c r="AI174" s="1656"/>
      <c r="AJ174" s="213"/>
      <c r="AK174" s="213"/>
    </row>
    <row r="175" spans="1:37" ht="9.9499999999999993" customHeight="1" x14ac:dyDescent="0.25">
      <c r="A175" s="1616"/>
      <c r="B175" s="1617"/>
      <c r="C175" s="1576"/>
      <c r="D175" s="1576"/>
      <c r="E175" s="1576"/>
      <c r="F175" s="849"/>
      <c r="G175" s="849"/>
      <c r="H175" s="849"/>
      <c r="I175" s="1654"/>
      <c r="J175" s="849"/>
      <c r="K175" s="849"/>
      <c r="L175" s="849"/>
      <c r="M175" s="1654"/>
      <c r="N175" s="849"/>
      <c r="O175" s="849"/>
      <c r="P175" s="849"/>
      <c r="Q175" s="1654"/>
      <c r="R175" s="849"/>
      <c r="S175" s="849"/>
      <c r="T175" s="849"/>
      <c r="U175" s="1654"/>
      <c r="V175" s="849"/>
      <c r="W175" s="849"/>
      <c r="X175" s="849"/>
      <c r="Y175" s="1654"/>
      <c r="Z175" s="849"/>
      <c r="AA175" s="849"/>
      <c r="AB175" s="849"/>
      <c r="AC175" s="1654"/>
      <c r="AD175" s="849"/>
      <c r="AE175" s="849"/>
      <c r="AF175" s="849"/>
      <c r="AG175" s="1648"/>
      <c r="AH175" s="1648"/>
      <c r="AI175" s="1657"/>
      <c r="AJ175" s="213"/>
      <c r="AK175" s="213"/>
    </row>
    <row r="176" spans="1:37" ht="9.9499999999999993" customHeight="1" x14ac:dyDescent="0.25">
      <c r="A176" s="270"/>
      <c r="B176" s="270"/>
      <c r="C176" s="270"/>
      <c r="D176" s="270"/>
      <c r="E176" s="270"/>
      <c r="F176" s="270"/>
      <c r="G176" s="270"/>
      <c r="H176" s="270"/>
      <c r="I176" s="270"/>
      <c r="J176" s="270"/>
      <c r="K176" s="270"/>
      <c r="L176" s="270"/>
      <c r="M176" s="852"/>
      <c r="N176" s="270"/>
      <c r="O176" s="270"/>
      <c r="P176" s="270"/>
      <c r="Q176" s="852"/>
      <c r="R176" s="270"/>
      <c r="S176" s="270"/>
      <c r="T176" s="270"/>
      <c r="U176" s="852"/>
      <c r="V176" s="270"/>
      <c r="W176" s="270"/>
      <c r="X176" s="270"/>
      <c r="Y176" s="852"/>
      <c r="Z176" s="270"/>
      <c r="AA176" s="270"/>
      <c r="AB176" s="270"/>
      <c r="AC176" s="852"/>
      <c r="AD176" s="270"/>
      <c r="AE176" s="270"/>
      <c r="AF176" s="270"/>
      <c r="AG176" s="853"/>
      <c r="AH176" s="853"/>
      <c r="AI176" s="856"/>
      <c r="AJ176" s="213"/>
      <c r="AK176" s="213"/>
    </row>
    <row r="177" spans="1:37" ht="9.9499999999999993" customHeight="1" x14ac:dyDescent="0.25">
      <c r="A177" s="1616">
        <v>15</v>
      </c>
      <c r="B177" s="1617">
        <v>3</v>
      </c>
      <c r="C177" s="1574" t="s">
        <v>5458</v>
      </c>
      <c r="D177" s="1574" t="s">
        <v>5475</v>
      </c>
      <c r="E177" s="1574" t="s">
        <v>6581</v>
      </c>
      <c r="F177" s="849"/>
      <c r="G177" s="849"/>
      <c r="H177" s="849"/>
      <c r="I177" s="1652"/>
      <c r="J177" s="849"/>
      <c r="K177" s="849"/>
      <c r="L177" s="849"/>
      <c r="M177" s="1652"/>
      <c r="N177" s="849"/>
      <c r="O177" s="849"/>
      <c r="P177" s="849"/>
      <c r="Q177" s="1652"/>
      <c r="R177" s="849"/>
      <c r="S177" s="849"/>
      <c r="T177" s="849"/>
      <c r="U177" s="1652"/>
      <c r="V177" s="849"/>
      <c r="W177" s="849"/>
      <c r="X177" s="849"/>
      <c r="Y177" s="1652"/>
      <c r="Z177" s="849"/>
      <c r="AA177" s="849"/>
      <c r="AB177" s="849"/>
      <c r="AC177" s="1652"/>
      <c r="AD177" s="849"/>
      <c r="AE177" s="849"/>
      <c r="AF177" s="849"/>
      <c r="AG177" s="1646"/>
      <c r="AH177" s="1646"/>
      <c r="AI177" s="1655"/>
      <c r="AJ177" s="213"/>
      <c r="AK177" s="213"/>
    </row>
    <row r="178" spans="1:37" ht="9.9499999999999993" customHeight="1" x14ac:dyDescent="0.25">
      <c r="A178" s="1616"/>
      <c r="B178" s="1617"/>
      <c r="C178" s="1575"/>
      <c r="D178" s="1575"/>
      <c r="E178" s="1575"/>
      <c r="F178" s="850"/>
      <c r="G178" s="851"/>
      <c r="H178" s="850"/>
      <c r="I178" s="1653"/>
      <c r="J178" s="850"/>
      <c r="K178" s="851"/>
      <c r="L178" s="850"/>
      <c r="M178" s="1653"/>
      <c r="N178" s="850"/>
      <c r="O178" s="851"/>
      <c r="P178" s="850"/>
      <c r="Q178" s="1653"/>
      <c r="R178" s="850"/>
      <c r="S178" s="851"/>
      <c r="T178" s="850"/>
      <c r="U178" s="1653"/>
      <c r="V178" s="850"/>
      <c r="W178" s="851"/>
      <c r="X178" s="850"/>
      <c r="Y178" s="1653"/>
      <c r="Z178" s="850"/>
      <c r="AA178" s="851"/>
      <c r="AB178" s="850"/>
      <c r="AC178" s="1653"/>
      <c r="AD178" s="850"/>
      <c r="AE178" s="851"/>
      <c r="AF178" s="850"/>
      <c r="AG178" s="1647"/>
      <c r="AH178" s="1647"/>
      <c r="AI178" s="1656"/>
      <c r="AJ178" s="213"/>
      <c r="AK178" s="213"/>
    </row>
    <row r="179" spans="1:37" ht="9.9499999999999993" customHeight="1" x14ac:dyDescent="0.25">
      <c r="A179" s="1616"/>
      <c r="B179" s="1617"/>
      <c r="C179" s="1576"/>
      <c r="D179" s="1576"/>
      <c r="E179" s="1576"/>
      <c r="F179" s="849"/>
      <c r="G179" s="849"/>
      <c r="H179" s="849"/>
      <c r="I179" s="1654"/>
      <c r="J179" s="849"/>
      <c r="K179" s="849"/>
      <c r="L179" s="849"/>
      <c r="M179" s="1654"/>
      <c r="N179" s="849"/>
      <c r="O179" s="849"/>
      <c r="P179" s="849"/>
      <c r="Q179" s="1654"/>
      <c r="R179" s="849"/>
      <c r="S179" s="849"/>
      <c r="T179" s="849"/>
      <c r="U179" s="1654"/>
      <c r="V179" s="849"/>
      <c r="W179" s="849"/>
      <c r="X179" s="849"/>
      <c r="Y179" s="1654"/>
      <c r="Z179" s="849"/>
      <c r="AA179" s="849"/>
      <c r="AB179" s="849"/>
      <c r="AC179" s="1654"/>
      <c r="AD179" s="849"/>
      <c r="AE179" s="849"/>
      <c r="AF179" s="849"/>
      <c r="AG179" s="1648"/>
      <c r="AH179" s="1648"/>
      <c r="AI179" s="1657"/>
      <c r="AJ179" s="213"/>
      <c r="AK179" s="213"/>
    </row>
    <row r="180" spans="1:37" ht="9.9499999999999993" customHeight="1" x14ac:dyDescent="0.25">
      <c r="A180" s="270"/>
      <c r="B180" s="270"/>
      <c r="C180" s="270"/>
      <c r="D180" s="270"/>
      <c r="E180" s="270"/>
      <c r="F180" s="270"/>
      <c r="G180" s="270"/>
      <c r="H180" s="270"/>
      <c r="I180" s="270"/>
      <c r="J180" s="270"/>
      <c r="K180" s="270"/>
      <c r="L180" s="270"/>
      <c r="M180" s="852"/>
      <c r="N180" s="270"/>
      <c r="O180" s="270"/>
      <c r="P180" s="270"/>
      <c r="Q180" s="852"/>
      <c r="R180" s="270"/>
      <c r="S180" s="270"/>
      <c r="T180" s="270"/>
      <c r="U180" s="852"/>
      <c r="V180" s="270"/>
      <c r="W180" s="270"/>
      <c r="X180" s="270"/>
      <c r="Y180" s="852"/>
      <c r="Z180" s="270"/>
      <c r="AA180" s="270"/>
      <c r="AB180" s="270"/>
      <c r="AC180" s="852"/>
      <c r="AD180" s="270"/>
      <c r="AE180" s="270"/>
      <c r="AF180" s="270"/>
      <c r="AG180" s="853"/>
      <c r="AH180" s="853"/>
      <c r="AI180" s="856"/>
      <c r="AJ180" s="213"/>
      <c r="AK180" s="213"/>
    </row>
    <row r="181" spans="1:37" ht="9.9499999999999993" customHeight="1" x14ac:dyDescent="0.25">
      <c r="A181" s="1616">
        <v>16</v>
      </c>
      <c r="B181" s="1617">
        <v>3</v>
      </c>
      <c r="C181" s="1574" t="s">
        <v>5463</v>
      </c>
      <c r="D181" s="1574" t="s">
        <v>5475</v>
      </c>
      <c r="E181" s="1574" t="s">
        <v>6581</v>
      </c>
      <c r="F181" s="849"/>
      <c r="G181" s="849"/>
      <c r="H181" s="849"/>
      <c r="I181" s="1652"/>
      <c r="J181" s="849"/>
      <c r="K181" s="849"/>
      <c r="L181" s="849"/>
      <c r="M181" s="1652"/>
      <c r="N181" s="849"/>
      <c r="O181" s="849"/>
      <c r="P181" s="849"/>
      <c r="Q181" s="1652"/>
      <c r="R181" s="849"/>
      <c r="S181" s="849"/>
      <c r="T181" s="849"/>
      <c r="U181" s="1652"/>
      <c r="V181" s="849"/>
      <c r="W181" s="849"/>
      <c r="X181" s="849"/>
      <c r="Y181" s="1652"/>
      <c r="Z181" s="849"/>
      <c r="AA181" s="849"/>
      <c r="AB181" s="849"/>
      <c r="AC181" s="1652"/>
      <c r="AD181" s="849"/>
      <c r="AE181" s="849"/>
      <c r="AF181" s="849"/>
      <c r="AG181" s="1646"/>
      <c r="AH181" s="1646"/>
      <c r="AI181" s="1655"/>
      <c r="AJ181" s="213"/>
      <c r="AK181" s="213"/>
    </row>
    <row r="182" spans="1:37" ht="9.9499999999999993" customHeight="1" x14ac:dyDescent="0.25">
      <c r="A182" s="1616"/>
      <c r="B182" s="1617"/>
      <c r="C182" s="1575"/>
      <c r="D182" s="1575"/>
      <c r="E182" s="1575"/>
      <c r="F182" s="850"/>
      <c r="G182" s="851"/>
      <c r="H182" s="850"/>
      <c r="I182" s="1653"/>
      <c r="J182" s="850"/>
      <c r="K182" s="851"/>
      <c r="L182" s="850"/>
      <c r="M182" s="1653"/>
      <c r="N182" s="850"/>
      <c r="O182" s="851"/>
      <c r="P182" s="850"/>
      <c r="Q182" s="1653"/>
      <c r="R182" s="850"/>
      <c r="S182" s="851"/>
      <c r="T182" s="850"/>
      <c r="U182" s="1653"/>
      <c r="V182" s="850"/>
      <c r="W182" s="851"/>
      <c r="X182" s="850"/>
      <c r="Y182" s="1653"/>
      <c r="Z182" s="850"/>
      <c r="AA182" s="851"/>
      <c r="AB182" s="850"/>
      <c r="AC182" s="1653"/>
      <c r="AD182" s="850"/>
      <c r="AE182" s="851"/>
      <c r="AF182" s="850"/>
      <c r="AG182" s="1647"/>
      <c r="AH182" s="1647"/>
      <c r="AI182" s="1656"/>
      <c r="AJ182" s="213"/>
      <c r="AK182" s="213"/>
    </row>
    <row r="183" spans="1:37" ht="9.9499999999999993" customHeight="1" x14ac:dyDescent="0.25">
      <c r="A183" s="1616"/>
      <c r="B183" s="1617"/>
      <c r="C183" s="1576"/>
      <c r="D183" s="1576"/>
      <c r="E183" s="1576"/>
      <c r="F183" s="849"/>
      <c r="G183" s="849"/>
      <c r="H183" s="849"/>
      <c r="I183" s="1654"/>
      <c r="J183" s="849"/>
      <c r="K183" s="849"/>
      <c r="L183" s="849"/>
      <c r="M183" s="1654"/>
      <c r="N183" s="849"/>
      <c r="O183" s="849"/>
      <c r="P183" s="849"/>
      <c r="Q183" s="1654"/>
      <c r="R183" s="849"/>
      <c r="S183" s="849"/>
      <c r="T183" s="849"/>
      <c r="U183" s="1654"/>
      <c r="V183" s="849"/>
      <c r="W183" s="849"/>
      <c r="X183" s="849"/>
      <c r="Y183" s="1654"/>
      <c r="Z183" s="849"/>
      <c r="AA183" s="849"/>
      <c r="AB183" s="849"/>
      <c r="AC183" s="1654"/>
      <c r="AD183" s="849"/>
      <c r="AE183" s="849"/>
      <c r="AF183" s="849"/>
      <c r="AG183" s="1648"/>
      <c r="AH183" s="1648"/>
      <c r="AI183" s="1657"/>
      <c r="AJ183" s="213"/>
      <c r="AK183" s="213"/>
    </row>
    <row r="184" spans="1:37" ht="9.9499999999999993" customHeight="1" x14ac:dyDescent="0.25">
      <c r="A184" s="270"/>
      <c r="B184" s="270"/>
      <c r="C184" s="270"/>
      <c r="D184" s="270"/>
      <c r="E184" s="270"/>
      <c r="F184" s="270"/>
      <c r="G184" s="270"/>
      <c r="H184" s="270"/>
      <c r="I184" s="270"/>
      <c r="J184" s="270"/>
      <c r="K184" s="270"/>
      <c r="L184" s="270"/>
      <c r="M184" s="852"/>
      <c r="N184" s="270"/>
      <c r="O184" s="270"/>
      <c r="P184" s="270"/>
      <c r="Q184" s="852"/>
      <c r="R184" s="270"/>
      <c r="S184" s="270"/>
      <c r="T184" s="270"/>
      <c r="U184" s="852"/>
      <c r="V184" s="270"/>
      <c r="W184" s="270"/>
      <c r="X184" s="270"/>
      <c r="Y184" s="852"/>
      <c r="Z184" s="270"/>
      <c r="AA184" s="270"/>
      <c r="AB184" s="270"/>
      <c r="AC184" s="852"/>
      <c r="AD184" s="270"/>
      <c r="AE184" s="270"/>
      <c r="AF184" s="270"/>
      <c r="AG184" s="853"/>
      <c r="AH184" s="853"/>
      <c r="AI184" s="856"/>
      <c r="AJ184" s="213"/>
      <c r="AK184" s="213"/>
    </row>
    <row r="185" spans="1:37" ht="9.9499999999999993" customHeight="1" x14ac:dyDescent="0.25">
      <c r="A185" s="1616">
        <v>17</v>
      </c>
      <c r="B185" s="1617">
        <v>3</v>
      </c>
      <c r="C185" s="1574" t="s">
        <v>5464</v>
      </c>
      <c r="D185" s="1574" t="s">
        <v>5475</v>
      </c>
      <c r="E185" s="1574" t="s">
        <v>6581</v>
      </c>
      <c r="F185" s="849"/>
      <c r="G185" s="849"/>
      <c r="H185" s="849"/>
      <c r="I185" s="1652"/>
      <c r="J185" s="849"/>
      <c r="K185" s="849"/>
      <c r="L185" s="849"/>
      <c r="M185" s="1652"/>
      <c r="N185" s="849"/>
      <c r="O185" s="849"/>
      <c r="P185" s="849"/>
      <c r="Q185" s="1652"/>
      <c r="R185" s="849"/>
      <c r="S185" s="849"/>
      <c r="T185" s="849"/>
      <c r="U185" s="1652"/>
      <c r="V185" s="849"/>
      <c r="W185" s="849"/>
      <c r="X185" s="849"/>
      <c r="Y185" s="1652"/>
      <c r="Z185" s="849"/>
      <c r="AA185" s="849"/>
      <c r="AB185" s="849"/>
      <c r="AC185" s="1652"/>
      <c r="AD185" s="849"/>
      <c r="AE185" s="849"/>
      <c r="AF185" s="849"/>
      <c r="AG185" s="1646"/>
      <c r="AH185" s="1646"/>
      <c r="AI185" s="1655"/>
      <c r="AJ185" s="213"/>
      <c r="AK185" s="213"/>
    </row>
    <row r="186" spans="1:37" ht="9.9499999999999993" customHeight="1" x14ac:dyDescent="0.25">
      <c r="A186" s="1616"/>
      <c r="B186" s="1617"/>
      <c r="C186" s="1575"/>
      <c r="D186" s="1575"/>
      <c r="E186" s="1575"/>
      <c r="F186" s="850"/>
      <c r="G186" s="851"/>
      <c r="H186" s="850"/>
      <c r="I186" s="1653"/>
      <c r="J186" s="850"/>
      <c r="K186" s="851"/>
      <c r="L186" s="850"/>
      <c r="M186" s="1653"/>
      <c r="N186" s="850"/>
      <c r="O186" s="851"/>
      <c r="P186" s="850"/>
      <c r="Q186" s="1653"/>
      <c r="R186" s="850"/>
      <c r="S186" s="851"/>
      <c r="T186" s="850"/>
      <c r="U186" s="1653"/>
      <c r="V186" s="850"/>
      <c r="W186" s="851"/>
      <c r="X186" s="850"/>
      <c r="Y186" s="1653"/>
      <c r="Z186" s="850"/>
      <c r="AA186" s="851"/>
      <c r="AB186" s="850"/>
      <c r="AC186" s="1653"/>
      <c r="AD186" s="850"/>
      <c r="AE186" s="851"/>
      <c r="AF186" s="850"/>
      <c r="AG186" s="1647"/>
      <c r="AH186" s="1647"/>
      <c r="AI186" s="1656"/>
      <c r="AJ186" s="213"/>
      <c r="AK186" s="213"/>
    </row>
    <row r="187" spans="1:37" ht="9.9499999999999993" customHeight="1" x14ac:dyDescent="0.25">
      <c r="A187" s="1616"/>
      <c r="B187" s="1617"/>
      <c r="C187" s="1576"/>
      <c r="D187" s="1576"/>
      <c r="E187" s="1576"/>
      <c r="F187" s="849"/>
      <c r="G187" s="849"/>
      <c r="H187" s="849"/>
      <c r="I187" s="1654"/>
      <c r="J187" s="849"/>
      <c r="K187" s="849"/>
      <c r="L187" s="849"/>
      <c r="M187" s="1654"/>
      <c r="N187" s="849"/>
      <c r="O187" s="849"/>
      <c r="P187" s="849"/>
      <c r="Q187" s="1654"/>
      <c r="R187" s="849"/>
      <c r="S187" s="849"/>
      <c r="T187" s="849"/>
      <c r="U187" s="1654"/>
      <c r="V187" s="849"/>
      <c r="W187" s="849"/>
      <c r="X187" s="849"/>
      <c r="Y187" s="1654"/>
      <c r="Z187" s="849"/>
      <c r="AA187" s="849"/>
      <c r="AB187" s="849"/>
      <c r="AC187" s="1654"/>
      <c r="AD187" s="849"/>
      <c r="AE187" s="849"/>
      <c r="AF187" s="849"/>
      <c r="AG187" s="1648"/>
      <c r="AH187" s="1648"/>
      <c r="AI187" s="1657"/>
      <c r="AJ187" s="213"/>
      <c r="AK187" s="213"/>
    </row>
    <row r="188" spans="1:37" ht="9.9499999999999993" customHeight="1" x14ac:dyDescent="0.25">
      <c r="A188" s="270"/>
      <c r="B188" s="270"/>
      <c r="C188" s="270"/>
      <c r="D188" s="270"/>
      <c r="E188" s="270"/>
      <c r="F188" s="270"/>
      <c r="G188" s="270"/>
      <c r="H188" s="270"/>
      <c r="I188" s="270"/>
      <c r="J188" s="270"/>
      <c r="K188" s="270"/>
      <c r="L188" s="270"/>
      <c r="M188" s="852"/>
      <c r="N188" s="270"/>
      <c r="O188" s="270"/>
      <c r="P188" s="270"/>
      <c r="Q188" s="852"/>
      <c r="R188" s="270"/>
      <c r="S188" s="270"/>
      <c r="T188" s="270"/>
      <c r="U188" s="852"/>
      <c r="V188" s="270"/>
      <c r="W188" s="270"/>
      <c r="X188" s="270"/>
      <c r="Y188" s="852"/>
      <c r="Z188" s="270"/>
      <c r="AA188" s="270"/>
      <c r="AB188" s="270"/>
      <c r="AC188" s="852"/>
      <c r="AD188" s="270"/>
      <c r="AE188" s="270"/>
      <c r="AF188" s="270"/>
      <c r="AG188" s="853"/>
      <c r="AH188" s="853"/>
      <c r="AI188" s="856"/>
      <c r="AJ188" s="213"/>
      <c r="AK188" s="213"/>
    </row>
    <row r="189" spans="1:37" ht="9.9499999999999993" customHeight="1" x14ac:dyDescent="0.25">
      <c r="A189" s="1616">
        <v>18</v>
      </c>
      <c r="B189" s="1617">
        <v>3</v>
      </c>
      <c r="C189" s="1574" t="s">
        <v>5465</v>
      </c>
      <c r="D189" s="1574" t="s">
        <v>5475</v>
      </c>
      <c r="E189" s="1574" t="s">
        <v>6581</v>
      </c>
      <c r="F189" s="849"/>
      <c r="G189" s="849"/>
      <c r="H189" s="849"/>
      <c r="I189" s="1652"/>
      <c r="J189" s="849"/>
      <c r="K189" s="849"/>
      <c r="L189" s="849"/>
      <c r="M189" s="1652"/>
      <c r="N189" s="849"/>
      <c r="O189" s="849"/>
      <c r="P189" s="849"/>
      <c r="Q189" s="1652"/>
      <c r="R189" s="849"/>
      <c r="S189" s="849"/>
      <c r="T189" s="849"/>
      <c r="U189" s="1652"/>
      <c r="V189" s="849"/>
      <c r="W189" s="849"/>
      <c r="X189" s="849"/>
      <c r="Y189" s="1652"/>
      <c r="Z189" s="849"/>
      <c r="AA189" s="849"/>
      <c r="AB189" s="849"/>
      <c r="AC189" s="1652"/>
      <c r="AD189" s="849"/>
      <c r="AE189" s="849"/>
      <c r="AF189" s="849"/>
      <c r="AG189" s="1646"/>
      <c r="AH189" s="1646"/>
      <c r="AI189" s="1655"/>
      <c r="AJ189" s="213"/>
      <c r="AK189" s="213"/>
    </row>
    <row r="190" spans="1:37" ht="9.9499999999999993" customHeight="1" x14ac:dyDescent="0.25">
      <c r="A190" s="1616"/>
      <c r="B190" s="1617"/>
      <c r="C190" s="1575"/>
      <c r="D190" s="1575"/>
      <c r="E190" s="1575"/>
      <c r="F190" s="850"/>
      <c r="G190" s="851"/>
      <c r="H190" s="850"/>
      <c r="I190" s="1653"/>
      <c r="J190" s="850"/>
      <c r="K190" s="851"/>
      <c r="L190" s="850"/>
      <c r="M190" s="1653"/>
      <c r="N190" s="850"/>
      <c r="O190" s="851"/>
      <c r="P190" s="850"/>
      <c r="Q190" s="1653"/>
      <c r="R190" s="850"/>
      <c r="S190" s="851"/>
      <c r="T190" s="850"/>
      <c r="U190" s="1653"/>
      <c r="V190" s="850"/>
      <c r="W190" s="851"/>
      <c r="X190" s="850"/>
      <c r="Y190" s="1653"/>
      <c r="Z190" s="850"/>
      <c r="AA190" s="851"/>
      <c r="AB190" s="850"/>
      <c r="AC190" s="1653"/>
      <c r="AD190" s="850"/>
      <c r="AE190" s="851"/>
      <c r="AF190" s="850"/>
      <c r="AG190" s="1647"/>
      <c r="AH190" s="1647"/>
      <c r="AI190" s="1656"/>
      <c r="AJ190" s="213"/>
      <c r="AK190" s="213"/>
    </row>
    <row r="191" spans="1:37" ht="9.9499999999999993" customHeight="1" x14ac:dyDescent="0.25">
      <c r="A191" s="1616"/>
      <c r="B191" s="1617"/>
      <c r="C191" s="1576"/>
      <c r="D191" s="1576"/>
      <c r="E191" s="1576"/>
      <c r="F191" s="849"/>
      <c r="G191" s="849"/>
      <c r="H191" s="849"/>
      <c r="I191" s="1654"/>
      <c r="J191" s="849"/>
      <c r="K191" s="849"/>
      <c r="L191" s="849"/>
      <c r="M191" s="1654"/>
      <c r="N191" s="849"/>
      <c r="O191" s="849"/>
      <c r="P191" s="849"/>
      <c r="Q191" s="1654"/>
      <c r="R191" s="849"/>
      <c r="S191" s="849"/>
      <c r="T191" s="849"/>
      <c r="U191" s="1654"/>
      <c r="V191" s="849"/>
      <c r="W191" s="849"/>
      <c r="X191" s="849"/>
      <c r="Y191" s="1654"/>
      <c r="Z191" s="849"/>
      <c r="AA191" s="849"/>
      <c r="AB191" s="849"/>
      <c r="AC191" s="1654"/>
      <c r="AD191" s="849"/>
      <c r="AE191" s="849"/>
      <c r="AF191" s="849"/>
      <c r="AG191" s="1648"/>
      <c r="AH191" s="1648"/>
      <c r="AI191" s="1657"/>
      <c r="AJ191" s="213"/>
      <c r="AK191" s="213"/>
    </row>
    <row r="192" spans="1:37" ht="9.9499999999999993" customHeight="1" x14ac:dyDescent="0.25">
      <c r="A192" s="270"/>
      <c r="B192" s="270"/>
      <c r="C192" s="270"/>
      <c r="D192" s="270"/>
      <c r="E192" s="270"/>
      <c r="F192" s="270"/>
      <c r="G192" s="270"/>
      <c r="H192" s="270"/>
      <c r="I192" s="270"/>
      <c r="J192" s="270"/>
      <c r="K192" s="270"/>
      <c r="L192" s="270"/>
      <c r="M192" s="852"/>
      <c r="N192" s="270"/>
      <c r="O192" s="270"/>
      <c r="P192" s="270"/>
      <c r="Q192" s="852"/>
      <c r="R192" s="270"/>
      <c r="S192" s="270"/>
      <c r="T192" s="270"/>
      <c r="U192" s="852"/>
      <c r="V192" s="270"/>
      <c r="W192" s="270"/>
      <c r="X192" s="270"/>
      <c r="Y192" s="852"/>
      <c r="Z192" s="270"/>
      <c r="AA192" s="270"/>
      <c r="AB192" s="270"/>
      <c r="AC192" s="852"/>
      <c r="AD192" s="270"/>
      <c r="AE192" s="270"/>
      <c r="AF192" s="270"/>
      <c r="AG192" s="853"/>
      <c r="AH192" s="853"/>
      <c r="AI192" s="856"/>
      <c r="AJ192" s="213"/>
      <c r="AK192" s="213"/>
    </row>
    <row r="193" spans="1:37" ht="9.9499999999999993" customHeight="1" x14ac:dyDescent="0.25">
      <c r="A193" s="1616">
        <v>19</v>
      </c>
      <c r="B193" s="1617">
        <v>3</v>
      </c>
      <c r="C193" s="1574" t="s">
        <v>5466</v>
      </c>
      <c r="D193" s="1574" t="s">
        <v>5475</v>
      </c>
      <c r="E193" s="1574" t="s">
        <v>6581</v>
      </c>
      <c r="F193" s="849"/>
      <c r="G193" s="849"/>
      <c r="H193" s="849"/>
      <c r="I193" s="1652"/>
      <c r="J193" s="849"/>
      <c r="K193" s="849"/>
      <c r="L193" s="849"/>
      <c r="M193" s="1652"/>
      <c r="N193" s="849"/>
      <c r="O193" s="849"/>
      <c r="P193" s="849"/>
      <c r="Q193" s="1652"/>
      <c r="R193" s="849"/>
      <c r="S193" s="849"/>
      <c r="T193" s="849"/>
      <c r="U193" s="1652"/>
      <c r="V193" s="849"/>
      <c r="W193" s="849"/>
      <c r="X193" s="849"/>
      <c r="Y193" s="1652"/>
      <c r="Z193" s="849"/>
      <c r="AA193" s="849"/>
      <c r="AB193" s="849"/>
      <c r="AC193" s="1652"/>
      <c r="AD193" s="849"/>
      <c r="AE193" s="849"/>
      <c r="AF193" s="849"/>
      <c r="AG193" s="1646"/>
      <c r="AH193" s="1646"/>
      <c r="AI193" s="1655"/>
      <c r="AJ193" s="213"/>
      <c r="AK193" s="213"/>
    </row>
    <row r="194" spans="1:37" ht="9.9499999999999993" customHeight="1" x14ac:dyDescent="0.25">
      <c r="A194" s="1616"/>
      <c r="B194" s="1617"/>
      <c r="C194" s="1575"/>
      <c r="D194" s="1575"/>
      <c r="E194" s="1575"/>
      <c r="F194" s="850"/>
      <c r="G194" s="851"/>
      <c r="H194" s="850"/>
      <c r="I194" s="1653"/>
      <c r="J194" s="850"/>
      <c r="K194" s="851"/>
      <c r="L194" s="850"/>
      <c r="M194" s="1653"/>
      <c r="N194" s="850"/>
      <c r="O194" s="851"/>
      <c r="P194" s="850"/>
      <c r="Q194" s="1653"/>
      <c r="R194" s="850"/>
      <c r="S194" s="851"/>
      <c r="T194" s="850"/>
      <c r="U194" s="1653"/>
      <c r="V194" s="850"/>
      <c r="W194" s="851"/>
      <c r="X194" s="850"/>
      <c r="Y194" s="1653"/>
      <c r="Z194" s="850"/>
      <c r="AA194" s="851"/>
      <c r="AB194" s="850"/>
      <c r="AC194" s="1653"/>
      <c r="AD194" s="850"/>
      <c r="AE194" s="851"/>
      <c r="AF194" s="850"/>
      <c r="AG194" s="1647"/>
      <c r="AH194" s="1647"/>
      <c r="AI194" s="1656"/>
      <c r="AJ194" s="213"/>
      <c r="AK194" s="213"/>
    </row>
    <row r="195" spans="1:37" ht="9.9499999999999993" customHeight="1" x14ac:dyDescent="0.25">
      <c r="A195" s="1616"/>
      <c r="B195" s="1617"/>
      <c r="C195" s="1576"/>
      <c r="D195" s="1576"/>
      <c r="E195" s="1576"/>
      <c r="F195" s="849"/>
      <c r="G195" s="849"/>
      <c r="H195" s="849"/>
      <c r="I195" s="1654"/>
      <c r="J195" s="849"/>
      <c r="K195" s="849"/>
      <c r="L195" s="849"/>
      <c r="M195" s="1654"/>
      <c r="N195" s="849"/>
      <c r="O195" s="849"/>
      <c r="P195" s="849"/>
      <c r="Q195" s="1654"/>
      <c r="R195" s="849"/>
      <c r="S195" s="849"/>
      <c r="T195" s="849"/>
      <c r="U195" s="1654"/>
      <c r="V195" s="849"/>
      <c r="W195" s="849"/>
      <c r="X195" s="849"/>
      <c r="Y195" s="1654"/>
      <c r="Z195" s="849"/>
      <c r="AA195" s="849"/>
      <c r="AB195" s="849"/>
      <c r="AC195" s="1654"/>
      <c r="AD195" s="849"/>
      <c r="AE195" s="849"/>
      <c r="AF195" s="849"/>
      <c r="AG195" s="1648"/>
      <c r="AH195" s="1648"/>
      <c r="AI195" s="1657"/>
      <c r="AJ195" s="213"/>
      <c r="AK195" s="213"/>
    </row>
    <row r="196" spans="1:37" ht="9.9499999999999993" customHeight="1" x14ac:dyDescent="0.25">
      <c r="A196" s="270"/>
      <c r="B196" s="270"/>
      <c r="C196" s="270"/>
      <c r="D196" s="270"/>
      <c r="E196" s="270"/>
      <c r="F196" s="270"/>
      <c r="G196" s="270"/>
      <c r="H196" s="270"/>
      <c r="I196" s="270"/>
      <c r="J196" s="270"/>
      <c r="K196" s="270"/>
      <c r="L196" s="270"/>
      <c r="M196" s="852"/>
      <c r="N196" s="270"/>
      <c r="O196" s="270"/>
      <c r="P196" s="270"/>
      <c r="Q196" s="852"/>
      <c r="R196" s="270"/>
      <c r="S196" s="270"/>
      <c r="T196" s="270"/>
      <c r="U196" s="852"/>
      <c r="V196" s="270"/>
      <c r="W196" s="270"/>
      <c r="X196" s="270"/>
      <c r="Y196" s="852"/>
      <c r="Z196" s="270"/>
      <c r="AA196" s="270"/>
      <c r="AB196" s="270"/>
      <c r="AC196" s="852"/>
      <c r="AD196" s="270"/>
      <c r="AE196" s="270"/>
      <c r="AF196" s="270"/>
      <c r="AG196" s="853"/>
      <c r="AH196" s="853"/>
      <c r="AI196" s="856"/>
      <c r="AJ196" s="213"/>
      <c r="AK196" s="213"/>
    </row>
    <row r="197" spans="1:37" ht="9.9499999999999993" customHeight="1" x14ac:dyDescent="0.25">
      <c r="A197" s="1616">
        <v>20</v>
      </c>
      <c r="B197" s="1617">
        <v>3</v>
      </c>
      <c r="C197" s="1574" t="s">
        <v>5467</v>
      </c>
      <c r="D197" s="1574" t="s">
        <v>5475</v>
      </c>
      <c r="E197" s="1574" t="s">
        <v>6581</v>
      </c>
      <c r="F197" s="849"/>
      <c r="G197" s="849"/>
      <c r="H197" s="849"/>
      <c r="I197" s="1652"/>
      <c r="J197" s="849"/>
      <c r="K197" s="849"/>
      <c r="L197" s="849"/>
      <c r="M197" s="1652"/>
      <c r="N197" s="849"/>
      <c r="O197" s="849"/>
      <c r="P197" s="849"/>
      <c r="Q197" s="1652"/>
      <c r="R197" s="849"/>
      <c r="S197" s="849"/>
      <c r="T197" s="849"/>
      <c r="U197" s="1652"/>
      <c r="V197" s="849"/>
      <c r="W197" s="849"/>
      <c r="X197" s="849"/>
      <c r="Y197" s="1652"/>
      <c r="Z197" s="849"/>
      <c r="AA197" s="849"/>
      <c r="AB197" s="849"/>
      <c r="AC197" s="1652"/>
      <c r="AD197" s="849"/>
      <c r="AE197" s="849"/>
      <c r="AF197" s="849"/>
      <c r="AG197" s="1646"/>
      <c r="AH197" s="1646"/>
      <c r="AI197" s="1655"/>
      <c r="AJ197" s="213"/>
      <c r="AK197" s="213"/>
    </row>
    <row r="198" spans="1:37" ht="9.9499999999999993" customHeight="1" x14ac:dyDescent="0.25">
      <c r="A198" s="1616"/>
      <c r="B198" s="1617"/>
      <c r="C198" s="1575"/>
      <c r="D198" s="1575"/>
      <c r="E198" s="1575"/>
      <c r="F198" s="850"/>
      <c r="G198" s="851"/>
      <c r="H198" s="850"/>
      <c r="I198" s="1653"/>
      <c r="J198" s="850"/>
      <c r="K198" s="851"/>
      <c r="L198" s="850"/>
      <c r="M198" s="1653"/>
      <c r="N198" s="850"/>
      <c r="O198" s="851"/>
      <c r="P198" s="850"/>
      <c r="Q198" s="1653"/>
      <c r="R198" s="850"/>
      <c r="S198" s="851"/>
      <c r="T198" s="850"/>
      <c r="U198" s="1653"/>
      <c r="V198" s="850"/>
      <c r="W198" s="851"/>
      <c r="X198" s="850"/>
      <c r="Y198" s="1653"/>
      <c r="Z198" s="850"/>
      <c r="AA198" s="851"/>
      <c r="AB198" s="850"/>
      <c r="AC198" s="1653"/>
      <c r="AD198" s="850"/>
      <c r="AE198" s="851"/>
      <c r="AF198" s="850"/>
      <c r="AG198" s="1647"/>
      <c r="AH198" s="1647"/>
      <c r="AI198" s="1656"/>
      <c r="AJ198" s="213"/>
      <c r="AK198" s="213"/>
    </row>
    <row r="199" spans="1:37" ht="9.9499999999999993" customHeight="1" x14ac:dyDescent="0.25">
      <c r="A199" s="1616"/>
      <c r="B199" s="1617"/>
      <c r="C199" s="1576"/>
      <c r="D199" s="1576"/>
      <c r="E199" s="1576"/>
      <c r="F199" s="849"/>
      <c r="G199" s="849"/>
      <c r="H199" s="849"/>
      <c r="I199" s="1654"/>
      <c r="J199" s="849"/>
      <c r="K199" s="849"/>
      <c r="L199" s="849"/>
      <c r="M199" s="1654"/>
      <c r="N199" s="849"/>
      <c r="O199" s="849"/>
      <c r="P199" s="849"/>
      <c r="Q199" s="1654"/>
      <c r="R199" s="849"/>
      <c r="S199" s="849"/>
      <c r="T199" s="849"/>
      <c r="U199" s="1654"/>
      <c r="V199" s="849"/>
      <c r="W199" s="849"/>
      <c r="X199" s="849"/>
      <c r="Y199" s="1654"/>
      <c r="Z199" s="849"/>
      <c r="AA199" s="849"/>
      <c r="AB199" s="849"/>
      <c r="AC199" s="1654"/>
      <c r="AD199" s="849"/>
      <c r="AE199" s="849"/>
      <c r="AF199" s="849"/>
      <c r="AG199" s="1648"/>
      <c r="AH199" s="1648"/>
      <c r="AI199" s="1657"/>
      <c r="AJ199" s="213"/>
      <c r="AK199" s="213"/>
    </row>
    <row r="200" spans="1:37" ht="9.9499999999999993" customHeight="1" x14ac:dyDescent="0.25">
      <c r="A200" s="270"/>
      <c r="B200" s="270"/>
      <c r="C200" s="270"/>
      <c r="D200" s="270"/>
      <c r="E200" s="270"/>
      <c r="F200" s="270"/>
      <c r="G200" s="270"/>
      <c r="H200" s="270"/>
      <c r="I200" s="270"/>
      <c r="J200" s="270"/>
      <c r="K200" s="270"/>
      <c r="L200" s="270"/>
      <c r="M200" s="852"/>
      <c r="N200" s="270"/>
      <c r="O200" s="270"/>
      <c r="P200" s="270"/>
      <c r="Q200" s="852"/>
      <c r="R200" s="270"/>
      <c r="S200" s="270"/>
      <c r="T200" s="270"/>
      <c r="U200" s="852"/>
      <c r="V200" s="270"/>
      <c r="W200" s="270"/>
      <c r="X200" s="270"/>
      <c r="Y200" s="852"/>
      <c r="Z200" s="270"/>
      <c r="AA200" s="270"/>
      <c r="AB200" s="270"/>
      <c r="AC200" s="852"/>
      <c r="AD200" s="270"/>
      <c r="AE200" s="270"/>
      <c r="AF200" s="270"/>
      <c r="AG200" s="853"/>
      <c r="AH200" s="853"/>
      <c r="AI200" s="856"/>
      <c r="AJ200" s="213"/>
      <c r="AK200" s="213"/>
    </row>
    <row r="201" spans="1:37" ht="9.9499999999999993" customHeight="1" x14ac:dyDescent="0.25">
      <c r="A201" s="1616">
        <v>21</v>
      </c>
      <c r="B201" s="1617">
        <v>3</v>
      </c>
      <c r="C201" s="1574" t="s">
        <v>5468</v>
      </c>
      <c r="D201" s="1574" t="s">
        <v>5475</v>
      </c>
      <c r="E201" s="1574" t="s">
        <v>6581</v>
      </c>
      <c r="F201" s="849"/>
      <c r="G201" s="849"/>
      <c r="H201" s="849"/>
      <c r="I201" s="1652"/>
      <c r="J201" s="849"/>
      <c r="K201" s="849"/>
      <c r="L201" s="849"/>
      <c r="M201" s="1652"/>
      <c r="N201" s="849"/>
      <c r="O201" s="849"/>
      <c r="P201" s="849"/>
      <c r="Q201" s="1652"/>
      <c r="R201" s="849"/>
      <c r="S201" s="849"/>
      <c r="T201" s="849"/>
      <c r="U201" s="1652"/>
      <c r="V201" s="849"/>
      <c r="W201" s="849"/>
      <c r="X201" s="849"/>
      <c r="Y201" s="1652"/>
      <c r="Z201" s="849"/>
      <c r="AA201" s="849"/>
      <c r="AB201" s="849"/>
      <c r="AC201" s="1652"/>
      <c r="AD201" s="849"/>
      <c r="AE201" s="849"/>
      <c r="AF201" s="849"/>
      <c r="AG201" s="1646"/>
      <c r="AH201" s="1646"/>
      <c r="AI201" s="1655"/>
      <c r="AJ201" s="213"/>
      <c r="AK201" s="213"/>
    </row>
    <row r="202" spans="1:37" ht="9.9499999999999993" customHeight="1" x14ac:dyDescent="0.25">
      <c r="A202" s="1616"/>
      <c r="B202" s="1617"/>
      <c r="C202" s="1575"/>
      <c r="D202" s="1575"/>
      <c r="E202" s="1575"/>
      <c r="F202" s="850"/>
      <c r="G202" s="851"/>
      <c r="H202" s="850"/>
      <c r="I202" s="1653"/>
      <c r="J202" s="850"/>
      <c r="K202" s="851"/>
      <c r="L202" s="850"/>
      <c r="M202" s="1653"/>
      <c r="N202" s="850"/>
      <c r="O202" s="851"/>
      <c r="P202" s="850"/>
      <c r="Q202" s="1653"/>
      <c r="R202" s="850"/>
      <c r="S202" s="851"/>
      <c r="T202" s="850"/>
      <c r="U202" s="1653"/>
      <c r="V202" s="850"/>
      <c r="W202" s="851"/>
      <c r="X202" s="850"/>
      <c r="Y202" s="1653"/>
      <c r="Z202" s="850"/>
      <c r="AA202" s="851"/>
      <c r="AB202" s="850"/>
      <c r="AC202" s="1653"/>
      <c r="AD202" s="850"/>
      <c r="AE202" s="851"/>
      <c r="AF202" s="850"/>
      <c r="AG202" s="1647"/>
      <c r="AH202" s="1647"/>
      <c r="AI202" s="1656"/>
      <c r="AJ202" s="213"/>
      <c r="AK202" s="213"/>
    </row>
    <row r="203" spans="1:37" ht="9.9499999999999993" customHeight="1" x14ac:dyDescent="0.25">
      <c r="A203" s="1616"/>
      <c r="B203" s="1617"/>
      <c r="C203" s="1576"/>
      <c r="D203" s="1576"/>
      <c r="E203" s="1576"/>
      <c r="F203" s="849"/>
      <c r="G203" s="849"/>
      <c r="H203" s="849"/>
      <c r="I203" s="1654"/>
      <c r="J203" s="849"/>
      <c r="K203" s="849"/>
      <c r="L203" s="849"/>
      <c r="M203" s="1654"/>
      <c r="N203" s="849"/>
      <c r="O203" s="849"/>
      <c r="P203" s="849"/>
      <c r="Q203" s="1654"/>
      <c r="R203" s="849"/>
      <c r="S203" s="849"/>
      <c r="T203" s="849"/>
      <c r="U203" s="1654"/>
      <c r="V203" s="849"/>
      <c r="W203" s="849"/>
      <c r="X203" s="849"/>
      <c r="Y203" s="1654"/>
      <c r="Z203" s="849"/>
      <c r="AA203" s="849"/>
      <c r="AB203" s="849"/>
      <c r="AC203" s="1654"/>
      <c r="AD203" s="849"/>
      <c r="AE203" s="849"/>
      <c r="AF203" s="849"/>
      <c r="AG203" s="1648"/>
      <c r="AH203" s="1648"/>
      <c r="AI203" s="1657"/>
      <c r="AJ203" s="213"/>
      <c r="AK203" s="213"/>
    </row>
    <row r="204" spans="1:37" ht="9.9499999999999993" customHeight="1" x14ac:dyDescent="0.25">
      <c r="A204" s="270"/>
      <c r="B204" s="270"/>
      <c r="C204" s="270"/>
      <c r="D204" s="270"/>
      <c r="E204" s="270"/>
      <c r="F204" s="270"/>
      <c r="G204" s="270"/>
      <c r="H204" s="270"/>
      <c r="I204" s="270"/>
      <c r="J204" s="270"/>
      <c r="K204" s="270"/>
      <c r="L204" s="270"/>
      <c r="M204" s="852"/>
      <c r="N204" s="270"/>
      <c r="O204" s="270"/>
      <c r="P204" s="270"/>
      <c r="Q204" s="852"/>
      <c r="R204" s="270"/>
      <c r="S204" s="270"/>
      <c r="T204" s="270"/>
      <c r="U204" s="852"/>
      <c r="V204" s="270"/>
      <c r="W204" s="270"/>
      <c r="X204" s="270"/>
      <c r="Y204" s="852"/>
      <c r="Z204" s="270"/>
      <c r="AA204" s="270"/>
      <c r="AB204" s="270"/>
      <c r="AC204" s="852"/>
      <c r="AD204" s="270"/>
      <c r="AE204" s="270"/>
      <c r="AF204" s="270"/>
      <c r="AG204" s="853"/>
      <c r="AH204" s="853"/>
      <c r="AI204" s="856"/>
      <c r="AJ204" s="213"/>
      <c r="AK204" s="213"/>
    </row>
    <row r="205" spans="1:37" ht="9.9499999999999993" customHeight="1" x14ac:dyDescent="0.25">
      <c r="A205" s="1616">
        <v>22</v>
      </c>
      <c r="B205" s="1617">
        <v>4</v>
      </c>
      <c r="C205" s="1574" t="s">
        <v>5458</v>
      </c>
      <c r="D205" s="1574" t="s">
        <v>5475</v>
      </c>
      <c r="E205" s="1574" t="s">
        <v>6581</v>
      </c>
      <c r="F205" s="849"/>
      <c r="G205" s="849"/>
      <c r="H205" s="849"/>
      <c r="I205" s="1652"/>
      <c r="J205" s="849"/>
      <c r="K205" s="849"/>
      <c r="L205" s="849"/>
      <c r="M205" s="1652"/>
      <c r="N205" s="849"/>
      <c r="O205" s="849"/>
      <c r="P205" s="849"/>
      <c r="Q205" s="1652"/>
      <c r="R205" s="849"/>
      <c r="S205" s="849"/>
      <c r="T205" s="849"/>
      <c r="U205" s="1652"/>
      <c r="V205" s="849"/>
      <c r="W205" s="849"/>
      <c r="X205" s="849"/>
      <c r="Y205" s="1652"/>
      <c r="Z205" s="849"/>
      <c r="AA205" s="849"/>
      <c r="AB205" s="849"/>
      <c r="AC205" s="1652"/>
      <c r="AD205" s="849"/>
      <c r="AE205" s="849"/>
      <c r="AF205" s="849"/>
      <c r="AG205" s="1646"/>
      <c r="AH205" s="1646"/>
      <c r="AI205" s="1655"/>
      <c r="AJ205" s="213"/>
      <c r="AK205" s="213"/>
    </row>
    <row r="206" spans="1:37" ht="9.9499999999999993" customHeight="1" x14ac:dyDescent="0.25">
      <c r="A206" s="1616"/>
      <c r="B206" s="1617"/>
      <c r="C206" s="1575"/>
      <c r="D206" s="1575"/>
      <c r="E206" s="1575"/>
      <c r="F206" s="850"/>
      <c r="G206" s="851"/>
      <c r="H206" s="850"/>
      <c r="I206" s="1653"/>
      <c r="J206" s="850"/>
      <c r="K206" s="851"/>
      <c r="L206" s="850"/>
      <c r="M206" s="1653"/>
      <c r="N206" s="850"/>
      <c r="O206" s="851"/>
      <c r="P206" s="850"/>
      <c r="Q206" s="1653"/>
      <c r="R206" s="850"/>
      <c r="S206" s="851"/>
      <c r="T206" s="850"/>
      <c r="U206" s="1653"/>
      <c r="V206" s="850"/>
      <c r="W206" s="851"/>
      <c r="X206" s="850"/>
      <c r="Y206" s="1653"/>
      <c r="Z206" s="850"/>
      <c r="AA206" s="851"/>
      <c r="AB206" s="850"/>
      <c r="AC206" s="1653"/>
      <c r="AD206" s="850"/>
      <c r="AE206" s="851"/>
      <c r="AF206" s="850"/>
      <c r="AG206" s="1647"/>
      <c r="AH206" s="1647"/>
      <c r="AI206" s="1656"/>
      <c r="AJ206" s="213"/>
      <c r="AK206" s="213"/>
    </row>
    <row r="207" spans="1:37" ht="9.9499999999999993" customHeight="1" x14ac:dyDescent="0.25">
      <c r="A207" s="1616"/>
      <c r="B207" s="1617"/>
      <c r="C207" s="1576"/>
      <c r="D207" s="1576"/>
      <c r="E207" s="1576"/>
      <c r="F207" s="849"/>
      <c r="G207" s="849"/>
      <c r="H207" s="849"/>
      <c r="I207" s="1654"/>
      <c r="J207" s="849"/>
      <c r="K207" s="849"/>
      <c r="L207" s="849"/>
      <c r="M207" s="1654"/>
      <c r="N207" s="849"/>
      <c r="O207" s="849"/>
      <c r="P207" s="849"/>
      <c r="Q207" s="1654"/>
      <c r="R207" s="849"/>
      <c r="S207" s="849"/>
      <c r="T207" s="849"/>
      <c r="U207" s="1654"/>
      <c r="V207" s="849"/>
      <c r="W207" s="849"/>
      <c r="X207" s="849"/>
      <c r="Y207" s="1654"/>
      <c r="Z207" s="849"/>
      <c r="AA207" s="849"/>
      <c r="AB207" s="849"/>
      <c r="AC207" s="1654"/>
      <c r="AD207" s="849"/>
      <c r="AE207" s="849"/>
      <c r="AF207" s="849"/>
      <c r="AG207" s="1648"/>
      <c r="AH207" s="1648"/>
      <c r="AI207" s="1657"/>
      <c r="AJ207" s="213"/>
      <c r="AK207" s="213"/>
    </row>
    <row r="208" spans="1:37" ht="9.9499999999999993" customHeight="1" x14ac:dyDescent="0.25">
      <c r="A208" s="270"/>
      <c r="B208" s="270"/>
      <c r="C208" s="270"/>
      <c r="D208" s="270"/>
      <c r="E208" s="270"/>
      <c r="F208" s="270"/>
      <c r="G208" s="270"/>
      <c r="H208" s="270"/>
      <c r="I208" s="270"/>
      <c r="J208" s="270"/>
      <c r="K208" s="270"/>
      <c r="L208" s="270"/>
      <c r="M208" s="852"/>
      <c r="N208" s="270"/>
      <c r="O208" s="270"/>
      <c r="P208" s="270"/>
      <c r="Q208" s="852"/>
      <c r="R208" s="270"/>
      <c r="S208" s="270"/>
      <c r="T208" s="270"/>
      <c r="U208" s="852"/>
      <c r="V208" s="270"/>
      <c r="W208" s="270"/>
      <c r="X208" s="270"/>
      <c r="Y208" s="852"/>
      <c r="Z208" s="270"/>
      <c r="AA208" s="270"/>
      <c r="AB208" s="270"/>
      <c r="AC208" s="852"/>
      <c r="AD208" s="270"/>
      <c r="AE208" s="270"/>
      <c r="AF208" s="270"/>
      <c r="AG208" s="853"/>
      <c r="AH208" s="853"/>
      <c r="AI208" s="856"/>
      <c r="AJ208" s="213"/>
      <c r="AK208" s="213"/>
    </row>
    <row r="209" spans="1:37" ht="9.9499999999999993" customHeight="1" x14ac:dyDescent="0.25">
      <c r="A209" s="1616">
        <v>23</v>
      </c>
      <c r="B209" s="1617">
        <v>4</v>
      </c>
      <c r="C209" s="1574" t="s">
        <v>5463</v>
      </c>
      <c r="D209" s="1574" t="s">
        <v>5475</v>
      </c>
      <c r="E209" s="1574" t="s">
        <v>6581</v>
      </c>
      <c r="F209" s="849"/>
      <c r="G209" s="849"/>
      <c r="H209" s="849"/>
      <c r="I209" s="1652"/>
      <c r="J209" s="849"/>
      <c r="K209" s="849"/>
      <c r="L209" s="849"/>
      <c r="M209" s="1652"/>
      <c r="N209" s="849"/>
      <c r="O209" s="849"/>
      <c r="P209" s="849"/>
      <c r="Q209" s="1652"/>
      <c r="R209" s="849"/>
      <c r="S209" s="849"/>
      <c r="T209" s="849"/>
      <c r="U209" s="1652"/>
      <c r="V209" s="849"/>
      <c r="W209" s="849"/>
      <c r="X209" s="849"/>
      <c r="Y209" s="1652"/>
      <c r="Z209" s="849"/>
      <c r="AA209" s="849"/>
      <c r="AB209" s="849"/>
      <c r="AC209" s="1652"/>
      <c r="AD209" s="849"/>
      <c r="AE209" s="849"/>
      <c r="AF209" s="849"/>
      <c r="AG209" s="1646"/>
      <c r="AH209" s="1646"/>
      <c r="AI209" s="1655"/>
      <c r="AJ209" s="213"/>
      <c r="AK209" s="213"/>
    </row>
    <row r="210" spans="1:37" ht="9.9499999999999993" customHeight="1" x14ac:dyDescent="0.25">
      <c r="A210" s="1616"/>
      <c r="B210" s="1617"/>
      <c r="C210" s="1575"/>
      <c r="D210" s="1575"/>
      <c r="E210" s="1575"/>
      <c r="F210" s="850"/>
      <c r="G210" s="851"/>
      <c r="H210" s="850"/>
      <c r="I210" s="1653"/>
      <c r="J210" s="850"/>
      <c r="K210" s="851"/>
      <c r="L210" s="850"/>
      <c r="M210" s="1653"/>
      <c r="N210" s="850"/>
      <c r="O210" s="851"/>
      <c r="P210" s="850"/>
      <c r="Q210" s="1653"/>
      <c r="R210" s="850"/>
      <c r="S210" s="851"/>
      <c r="T210" s="850"/>
      <c r="U210" s="1653"/>
      <c r="V210" s="850"/>
      <c r="W210" s="851"/>
      <c r="X210" s="850"/>
      <c r="Y210" s="1653"/>
      <c r="Z210" s="850"/>
      <c r="AA210" s="851"/>
      <c r="AB210" s="850"/>
      <c r="AC210" s="1653"/>
      <c r="AD210" s="850"/>
      <c r="AE210" s="851"/>
      <c r="AF210" s="850"/>
      <c r="AG210" s="1647"/>
      <c r="AH210" s="1647"/>
      <c r="AI210" s="1656"/>
      <c r="AJ210" s="213"/>
      <c r="AK210" s="213"/>
    </row>
    <row r="211" spans="1:37" ht="9.9499999999999993" customHeight="1" x14ac:dyDescent="0.25">
      <c r="A211" s="1616"/>
      <c r="B211" s="1617"/>
      <c r="C211" s="1576"/>
      <c r="D211" s="1576"/>
      <c r="E211" s="1576"/>
      <c r="F211" s="849"/>
      <c r="G211" s="849"/>
      <c r="H211" s="849"/>
      <c r="I211" s="1654"/>
      <c r="J211" s="849"/>
      <c r="K211" s="849"/>
      <c r="L211" s="849"/>
      <c r="M211" s="1654"/>
      <c r="N211" s="849"/>
      <c r="O211" s="849"/>
      <c r="P211" s="849"/>
      <c r="Q211" s="1654"/>
      <c r="R211" s="849"/>
      <c r="S211" s="849"/>
      <c r="T211" s="849"/>
      <c r="U211" s="1654"/>
      <c r="V211" s="849"/>
      <c r="W211" s="849"/>
      <c r="X211" s="849"/>
      <c r="Y211" s="1654"/>
      <c r="Z211" s="849"/>
      <c r="AA211" s="849"/>
      <c r="AB211" s="849"/>
      <c r="AC211" s="1654"/>
      <c r="AD211" s="849"/>
      <c r="AE211" s="849"/>
      <c r="AF211" s="849"/>
      <c r="AG211" s="1648"/>
      <c r="AH211" s="1648"/>
      <c r="AI211" s="1657"/>
      <c r="AJ211" s="213"/>
      <c r="AK211" s="213"/>
    </row>
    <row r="212" spans="1:37" ht="9.9499999999999993" customHeight="1" x14ac:dyDescent="0.25">
      <c r="A212" s="270"/>
      <c r="B212" s="270"/>
      <c r="C212" s="270"/>
      <c r="D212" s="270"/>
      <c r="E212" s="270"/>
      <c r="F212" s="270"/>
      <c r="G212" s="270"/>
      <c r="H212" s="270"/>
      <c r="I212" s="270"/>
      <c r="J212" s="270"/>
      <c r="K212" s="270"/>
      <c r="L212" s="270"/>
      <c r="M212" s="852"/>
      <c r="N212" s="270"/>
      <c r="O212" s="270"/>
      <c r="P212" s="270"/>
      <c r="Q212" s="852"/>
      <c r="R212" s="270"/>
      <c r="S212" s="270"/>
      <c r="T212" s="270"/>
      <c r="U212" s="852"/>
      <c r="V212" s="270"/>
      <c r="W212" s="270"/>
      <c r="X212" s="270"/>
      <c r="Y212" s="852"/>
      <c r="Z212" s="270"/>
      <c r="AA212" s="270"/>
      <c r="AB212" s="270"/>
      <c r="AC212" s="852"/>
      <c r="AD212" s="270"/>
      <c r="AE212" s="270"/>
      <c r="AF212" s="270"/>
      <c r="AG212" s="853"/>
      <c r="AH212" s="853"/>
      <c r="AI212" s="856"/>
      <c r="AJ212" s="213"/>
      <c r="AK212" s="213"/>
    </row>
    <row r="213" spans="1:37" ht="9.9499999999999993" customHeight="1" x14ac:dyDescent="0.25">
      <c r="A213" s="1616">
        <v>24</v>
      </c>
      <c r="B213" s="1617">
        <v>4</v>
      </c>
      <c r="C213" s="1574" t="s">
        <v>5464</v>
      </c>
      <c r="D213" s="1574" t="s">
        <v>5475</v>
      </c>
      <c r="E213" s="1574" t="s">
        <v>6581</v>
      </c>
      <c r="F213" s="849"/>
      <c r="G213" s="849"/>
      <c r="H213" s="849"/>
      <c r="I213" s="1652"/>
      <c r="J213" s="849"/>
      <c r="K213" s="849"/>
      <c r="L213" s="849"/>
      <c r="M213" s="1652"/>
      <c r="N213" s="849"/>
      <c r="O213" s="849"/>
      <c r="P213" s="849"/>
      <c r="Q213" s="1652"/>
      <c r="R213" s="849"/>
      <c r="S213" s="849"/>
      <c r="T213" s="849"/>
      <c r="U213" s="1652"/>
      <c r="V213" s="849"/>
      <c r="W213" s="849"/>
      <c r="X213" s="849"/>
      <c r="Y213" s="1652"/>
      <c r="Z213" s="849"/>
      <c r="AA213" s="849"/>
      <c r="AB213" s="849"/>
      <c r="AC213" s="1652"/>
      <c r="AD213" s="849"/>
      <c r="AE213" s="849"/>
      <c r="AF213" s="849"/>
      <c r="AG213" s="1646"/>
      <c r="AH213" s="1646"/>
      <c r="AI213" s="1655"/>
      <c r="AJ213" s="213"/>
      <c r="AK213" s="213"/>
    </row>
    <row r="214" spans="1:37" ht="9.9499999999999993" customHeight="1" x14ac:dyDescent="0.25">
      <c r="A214" s="1616"/>
      <c r="B214" s="1617"/>
      <c r="C214" s="1575"/>
      <c r="D214" s="1575"/>
      <c r="E214" s="1575"/>
      <c r="F214" s="850"/>
      <c r="G214" s="851"/>
      <c r="H214" s="850"/>
      <c r="I214" s="1653"/>
      <c r="J214" s="850"/>
      <c r="K214" s="851"/>
      <c r="L214" s="850"/>
      <c r="M214" s="1653"/>
      <c r="N214" s="850"/>
      <c r="O214" s="851"/>
      <c r="P214" s="850"/>
      <c r="Q214" s="1653"/>
      <c r="R214" s="850"/>
      <c r="S214" s="851"/>
      <c r="T214" s="850"/>
      <c r="U214" s="1653"/>
      <c r="V214" s="850"/>
      <c r="W214" s="851"/>
      <c r="X214" s="850"/>
      <c r="Y214" s="1653"/>
      <c r="Z214" s="850"/>
      <c r="AA214" s="851"/>
      <c r="AB214" s="850"/>
      <c r="AC214" s="1653"/>
      <c r="AD214" s="850"/>
      <c r="AE214" s="851"/>
      <c r="AF214" s="850"/>
      <c r="AG214" s="1647"/>
      <c r="AH214" s="1647"/>
      <c r="AI214" s="1656"/>
      <c r="AJ214" s="213"/>
      <c r="AK214" s="213"/>
    </row>
    <row r="215" spans="1:37" ht="9.9499999999999993" customHeight="1" x14ac:dyDescent="0.25">
      <c r="A215" s="1616"/>
      <c r="B215" s="1617"/>
      <c r="C215" s="1576"/>
      <c r="D215" s="1576"/>
      <c r="E215" s="1576"/>
      <c r="F215" s="849"/>
      <c r="G215" s="849"/>
      <c r="H215" s="849"/>
      <c r="I215" s="1654"/>
      <c r="J215" s="849"/>
      <c r="K215" s="849"/>
      <c r="L215" s="849"/>
      <c r="M215" s="1654"/>
      <c r="N215" s="849"/>
      <c r="O215" s="849"/>
      <c r="P215" s="849"/>
      <c r="Q215" s="1654"/>
      <c r="R215" s="849"/>
      <c r="S215" s="849"/>
      <c r="T215" s="849"/>
      <c r="U215" s="1654"/>
      <c r="V215" s="849"/>
      <c r="W215" s="849"/>
      <c r="X215" s="849"/>
      <c r="Y215" s="1654"/>
      <c r="Z215" s="849"/>
      <c r="AA215" s="849"/>
      <c r="AB215" s="849"/>
      <c r="AC215" s="1654"/>
      <c r="AD215" s="849"/>
      <c r="AE215" s="849"/>
      <c r="AF215" s="849"/>
      <c r="AG215" s="1648"/>
      <c r="AH215" s="1648"/>
      <c r="AI215" s="1657"/>
      <c r="AJ215" s="213"/>
      <c r="AK215" s="213"/>
    </row>
    <row r="216" spans="1:37" ht="9.9499999999999993" customHeight="1" x14ac:dyDescent="0.25">
      <c r="A216" s="270"/>
      <c r="B216" s="270"/>
      <c r="C216" s="270"/>
      <c r="D216" s="270"/>
      <c r="E216" s="270"/>
      <c r="F216" s="270"/>
      <c r="G216" s="270"/>
      <c r="H216" s="270"/>
      <c r="I216" s="270"/>
      <c r="J216" s="270"/>
      <c r="K216" s="270"/>
      <c r="L216" s="270"/>
      <c r="M216" s="852"/>
      <c r="N216" s="270"/>
      <c r="O216" s="270"/>
      <c r="P216" s="270"/>
      <c r="Q216" s="852"/>
      <c r="R216" s="270"/>
      <c r="S216" s="270"/>
      <c r="T216" s="270"/>
      <c r="U216" s="852"/>
      <c r="V216" s="270"/>
      <c r="W216" s="270"/>
      <c r="X216" s="270"/>
      <c r="Y216" s="852"/>
      <c r="Z216" s="270"/>
      <c r="AA216" s="270"/>
      <c r="AB216" s="270"/>
      <c r="AC216" s="852"/>
      <c r="AD216" s="270"/>
      <c r="AE216" s="270"/>
      <c r="AF216" s="270"/>
      <c r="AG216" s="853"/>
      <c r="AH216" s="853"/>
      <c r="AI216" s="856"/>
      <c r="AJ216" s="213"/>
      <c r="AK216" s="213"/>
    </row>
    <row r="217" spans="1:37" ht="9.9499999999999993" customHeight="1" x14ac:dyDescent="0.25">
      <c r="A217" s="1616">
        <v>25</v>
      </c>
      <c r="B217" s="1617">
        <v>4</v>
      </c>
      <c r="C217" s="1574" t="s">
        <v>5465</v>
      </c>
      <c r="D217" s="1574" t="s">
        <v>5475</v>
      </c>
      <c r="E217" s="1574" t="s">
        <v>6581</v>
      </c>
      <c r="F217" s="849"/>
      <c r="G217" s="849"/>
      <c r="H217" s="849"/>
      <c r="I217" s="1652"/>
      <c r="J217" s="849"/>
      <c r="K217" s="849"/>
      <c r="L217" s="849"/>
      <c r="M217" s="1652"/>
      <c r="N217" s="849"/>
      <c r="O217" s="849"/>
      <c r="P217" s="849"/>
      <c r="Q217" s="1652"/>
      <c r="R217" s="849"/>
      <c r="S217" s="849"/>
      <c r="T217" s="849"/>
      <c r="U217" s="1652"/>
      <c r="V217" s="849"/>
      <c r="W217" s="849"/>
      <c r="X217" s="849"/>
      <c r="Y217" s="1652"/>
      <c r="Z217" s="849"/>
      <c r="AA217" s="849"/>
      <c r="AB217" s="849"/>
      <c r="AC217" s="1652"/>
      <c r="AD217" s="849"/>
      <c r="AE217" s="849"/>
      <c r="AF217" s="849"/>
      <c r="AG217" s="1646"/>
      <c r="AH217" s="1646"/>
      <c r="AI217" s="1655"/>
      <c r="AJ217" s="213"/>
      <c r="AK217" s="213"/>
    </row>
    <row r="218" spans="1:37" ht="9.9499999999999993" customHeight="1" x14ac:dyDescent="0.25">
      <c r="A218" s="1616"/>
      <c r="B218" s="1617"/>
      <c r="C218" s="1575"/>
      <c r="D218" s="1575"/>
      <c r="E218" s="1575"/>
      <c r="F218" s="850"/>
      <c r="G218" s="851"/>
      <c r="H218" s="850"/>
      <c r="I218" s="1653"/>
      <c r="J218" s="850"/>
      <c r="K218" s="851"/>
      <c r="L218" s="850"/>
      <c r="M218" s="1653"/>
      <c r="N218" s="850"/>
      <c r="O218" s="851"/>
      <c r="P218" s="850"/>
      <c r="Q218" s="1653"/>
      <c r="R218" s="850"/>
      <c r="S218" s="851"/>
      <c r="T218" s="850"/>
      <c r="U218" s="1653"/>
      <c r="V218" s="850"/>
      <c r="W218" s="851"/>
      <c r="X218" s="850"/>
      <c r="Y218" s="1653"/>
      <c r="Z218" s="850"/>
      <c r="AA218" s="851"/>
      <c r="AB218" s="850"/>
      <c r="AC218" s="1653"/>
      <c r="AD218" s="850"/>
      <c r="AE218" s="851"/>
      <c r="AF218" s="850"/>
      <c r="AG218" s="1647"/>
      <c r="AH218" s="1647"/>
      <c r="AI218" s="1656"/>
      <c r="AJ218" s="213"/>
      <c r="AK218" s="213"/>
    </row>
    <row r="219" spans="1:37" ht="9.9499999999999993" customHeight="1" x14ac:dyDescent="0.25">
      <c r="A219" s="1616"/>
      <c r="B219" s="1617"/>
      <c r="C219" s="1576"/>
      <c r="D219" s="1576"/>
      <c r="E219" s="1576"/>
      <c r="F219" s="849"/>
      <c r="G219" s="849"/>
      <c r="H219" s="849"/>
      <c r="I219" s="1654"/>
      <c r="J219" s="849"/>
      <c r="K219" s="849"/>
      <c r="L219" s="849"/>
      <c r="M219" s="1654"/>
      <c r="N219" s="849"/>
      <c r="O219" s="849"/>
      <c r="P219" s="849"/>
      <c r="Q219" s="1654"/>
      <c r="R219" s="849"/>
      <c r="S219" s="849"/>
      <c r="T219" s="849"/>
      <c r="U219" s="1654"/>
      <c r="V219" s="849"/>
      <c r="W219" s="849"/>
      <c r="X219" s="849"/>
      <c r="Y219" s="1654"/>
      <c r="Z219" s="849"/>
      <c r="AA219" s="849"/>
      <c r="AB219" s="849"/>
      <c r="AC219" s="1654"/>
      <c r="AD219" s="849"/>
      <c r="AE219" s="849"/>
      <c r="AF219" s="849"/>
      <c r="AG219" s="1648"/>
      <c r="AH219" s="1648"/>
      <c r="AI219" s="1657"/>
      <c r="AJ219" s="213"/>
      <c r="AK219" s="213"/>
    </row>
    <row r="220" spans="1:37" ht="9.9499999999999993" customHeight="1" x14ac:dyDescent="0.25">
      <c r="A220" s="270"/>
      <c r="B220" s="270"/>
      <c r="C220" s="270"/>
      <c r="D220" s="270"/>
      <c r="E220" s="270"/>
      <c r="F220" s="270"/>
      <c r="G220" s="270"/>
      <c r="H220" s="270"/>
      <c r="I220" s="270"/>
      <c r="J220" s="270"/>
      <c r="K220" s="270"/>
      <c r="L220" s="270"/>
      <c r="M220" s="852"/>
      <c r="N220" s="270"/>
      <c r="O220" s="270"/>
      <c r="P220" s="270"/>
      <c r="Q220" s="852"/>
      <c r="R220" s="270"/>
      <c r="S220" s="270"/>
      <c r="T220" s="270"/>
      <c r="U220" s="852"/>
      <c r="V220" s="270"/>
      <c r="W220" s="270"/>
      <c r="X220" s="270"/>
      <c r="Y220" s="852"/>
      <c r="Z220" s="270"/>
      <c r="AA220" s="270"/>
      <c r="AB220" s="270"/>
      <c r="AC220" s="852"/>
      <c r="AD220" s="270"/>
      <c r="AE220" s="270"/>
      <c r="AF220" s="270"/>
      <c r="AG220" s="853"/>
      <c r="AH220" s="853"/>
      <c r="AI220" s="856"/>
      <c r="AJ220" s="213"/>
      <c r="AK220" s="213"/>
    </row>
    <row r="221" spans="1:37" ht="9.9499999999999993" customHeight="1" x14ac:dyDescent="0.25">
      <c r="A221" s="1616">
        <v>26</v>
      </c>
      <c r="B221" s="1617">
        <v>4</v>
      </c>
      <c r="C221" s="1574" t="s">
        <v>5466</v>
      </c>
      <c r="D221" s="1574" t="s">
        <v>5475</v>
      </c>
      <c r="E221" s="1574" t="s">
        <v>6581</v>
      </c>
      <c r="F221" s="849"/>
      <c r="G221" s="849"/>
      <c r="H221" s="849"/>
      <c r="I221" s="1652"/>
      <c r="J221" s="849"/>
      <c r="K221" s="849"/>
      <c r="L221" s="849"/>
      <c r="M221" s="1652"/>
      <c r="N221" s="849"/>
      <c r="O221" s="849"/>
      <c r="P221" s="849"/>
      <c r="Q221" s="1652"/>
      <c r="R221" s="849"/>
      <c r="S221" s="849"/>
      <c r="T221" s="849"/>
      <c r="U221" s="1652"/>
      <c r="V221" s="849"/>
      <c r="W221" s="849"/>
      <c r="X221" s="849"/>
      <c r="Y221" s="1652"/>
      <c r="Z221" s="849"/>
      <c r="AA221" s="849"/>
      <c r="AB221" s="849"/>
      <c r="AC221" s="1652"/>
      <c r="AD221" s="849"/>
      <c r="AE221" s="849"/>
      <c r="AF221" s="849"/>
      <c r="AG221" s="1646"/>
      <c r="AH221" s="1646"/>
      <c r="AI221" s="1655"/>
      <c r="AJ221" s="213"/>
      <c r="AK221" s="213"/>
    </row>
    <row r="222" spans="1:37" ht="9.9499999999999993" customHeight="1" x14ac:dyDescent="0.25">
      <c r="A222" s="1616"/>
      <c r="B222" s="1617"/>
      <c r="C222" s="1575"/>
      <c r="D222" s="1575"/>
      <c r="E222" s="1575"/>
      <c r="F222" s="850"/>
      <c r="G222" s="851"/>
      <c r="H222" s="850"/>
      <c r="I222" s="1653"/>
      <c r="J222" s="850"/>
      <c r="K222" s="851"/>
      <c r="L222" s="850"/>
      <c r="M222" s="1653"/>
      <c r="N222" s="850"/>
      <c r="O222" s="851"/>
      <c r="P222" s="850"/>
      <c r="Q222" s="1653"/>
      <c r="R222" s="850"/>
      <c r="S222" s="851"/>
      <c r="T222" s="850"/>
      <c r="U222" s="1653"/>
      <c r="V222" s="850"/>
      <c r="W222" s="851"/>
      <c r="X222" s="850"/>
      <c r="Y222" s="1653"/>
      <c r="Z222" s="850"/>
      <c r="AA222" s="851"/>
      <c r="AB222" s="850"/>
      <c r="AC222" s="1653"/>
      <c r="AD222" s="850"/>
      <c r="AE222" s="851"/>
      <c r="AF222" s="850"/>
      <c r="AG222" s="1647"/>
      <c r="AH222" s="1647"/>
      <c r="AI222" s="1656"/>
      <c r="AJ222" s="213"/>
      <c r="AK222" s="213"/>
    </row>
    <row r="223" spans="1:37" ht="9.9499999999999993" customHeight="1" x14ac:dyDescent="0.25">
      <c r="A223" s="1616"/>
      <c r="B223" s="1617"/>
      <c r="C223" s="1576"/>
      <c r="D223" s="1576"/>
      <c r="E223" s="1576"/>
      <c r="F223" s="849"/>
      <c r="G223" s="849"/>
      <c r="H223" s="849"/>
      <c r="I223" s="1654"/>
      <c r="J223" s="849"/>
      <c r="K223" s="849"/>
      <c r="L223" s="849"/>
      <c r="M223" s="1654"/>
      <c r="N223" s="849"/>
      <c r="O223" s="849"/>
      <c r="P223" s="849"/>
      <c r="Q223" s="1654"/>
      <c r="R223" s="849"/>
      <c r="S223" s="849"/>
      <c r="T223" s="849"/>
      <c r="U223" s="1654"/>
      <c r="V223" s="849"/>
      <c r="W223" s="849"/>
      <c r="X223" s="849"/>
      <c r="Y223" s="1654"/>
      <c r="Z223" s="849"/>
      <c r="AA223" s="849"/>
      <c r="AB223" s="849"/>
      <c r="AC223" s="1654"/>
      <c r="AD223" s="849"/>
      <c r="AE223" s="849"/>
      <c r="AF223" s="849"/>
      <c r="AG223" s="1648"/>
      <c r="AH223" s="1648"/>
      <c r="AI223" s="1657"/>
      <c r="AJ223" s="213"/>
      <c r="AK223" s="213"/>
    </row>
    <row r="224" spans="1:37" ht="9.9499999999999993" customHeight="1" x14ac:dyDescent="0.25">
      <c r="A224" s="270"/>
      <c r="B224" s="270"/>
      <c r="C224" s="270"/>
      <c r="D224" s="270"/>
      <c r="E224" s="270"/>
      <c r="F224" s="270"/>
      <c r="G224" s="270"/>
      <c r="H224" s="270"/>
      <c r="I224" s="270"/>
      <c r="J224" s="270"/>
      <c r="K224" s="270"/>
      <c r="L224" s="270"/>
      <c r="M224" s="852"/>
      <c r="N224" s="270"/>
      <c r="O224" s="270"/>
      <c r="P224" s="270"/>
      <c r="Q224" s="852"/>
      <c r="R224" s="270"/>
      <c r="S224" s="270"/>
      <c r="T224" s="270"/>
      <c r="U224" s="852"/>
      <c r="V224" s="270"/>
      <c r="W224" s="270"/>
      <c r="X224" s="270"/>
      <c r="Y224" s="852"/>
      <c r="Z224" s="270"/>
      <c r="AA224" s="270"/>
      <c r="AB224" s="270"/>
      <c r="AC224" s="852"/>
      <c r="AD224" s="270"/>
      <c r="AE224" s="270"/>
      <c r="AF224" s="270"/>
      <c r="AG224" s="853"/>
      <c r="AH224" s="853"/>
      <c r="AI224" s="856"/>
      <c r="AJ224" s="213"/>
      <c r="AK224" s="213"/>
    </row>
    <row r="225" spans="1:37" ht="9.9499999999999993" customHeight="1" x14ac:dyDescent="0.25">
      <c r="A225" s="1616">
        <v>27</v>
      </c>
      <c r="B225" s="1617">
        <v>4</v>
      </c>
      <c r="C225" s="1574" t="s">
        <v>5467</v>
      </c>
      <c r="D225" s="1574" t="s">
        <v>5475</v>
      </c>
      <c r="E225" s="1574" t="s">
        <v>6581</v>
      </c>
      <c r="F225" s="849"/>
      <c r="G225" s="849"/>
      <c r="H225" s="849"/>
      <c r="I225" s="1652"/>
      <c r="J225" s="849"/>
      <c r="K225" s="849"/>
      <c r="L225" s="849"/>
      <c r="M225" s="1652"/>
      <c r="N225" s="849"/>
      <c r="O225" s="849"/>
      <c r="P225" s="849"/>
      <c r="Q225" s="1652"/>
      <c r="R225" s="849"/>
      <c r="S225" s="849"/>
      <c r="T225" s="849"/>
      <c r="U225" s="1652"/>
      <c r="V225" s="849"/>
      <c r="W225" s="849"/>
      <c r="X225" s="849"/>
      <c r="Y225" s="1652"/>
      <c r="Z225" s="849"/>
      <c r="AA225" s="849"/>
      <c r="AB225" s="849"/>
      <c r="AC225" s="1652"/>
      <c r="AD225" s="849"/>
      <c r="AE225" s="849"/>
      <c r="AF225" s="849"/>
      <c r="AG225" s="1646"/>
      <c r="AH225" s="1646"/>
      <c r="AI225" s="1655"/>
      <c r="AJ225" s="213"/>
      <c r="AK225" s="213"/>
    </row>
    <row r="226" spans="1:37" ht="9.9499999999999993" customHeight="1" x14ac:dyDescent="0.25">
      <c r="A226" s="1616"/>
      <c r="B226" s="1617"/>
      <c r="C226" s="1575"/>
      <c r="D226" s="1575"/>
      <c r="E226" s="1575"/>
      <c r="F226" s="850"/>
      <c r="G226" s="851"/>
      <c r="H226" s="850"/>
      <c r="I226" s="1653"/>
      <c r="J226" s="850"/>
      <c r="K226" s="851"/>
      <c r="L226" s="850"/>
      <c r="M226" s="1653"/>
      <c r="N226" s="850"/>
      <c r="O226" s="851"/>
      <c r="P226" s="850"/>
      <c r="Q226" s="1653"/>
      <c r="R226" s="850"/>
      <c r="S226" s="851"/>
      <c r="T226" s="850"/>
      <c r="U226" s="1653"/>
      <c r="V226" s="850"/>
      <c r="W226" s="851"/>
      <c r="X226" s="850"/>
      <c r="Y226" s="1653"/>
      <c r="Z226" s="850"/>
      <c r="AA226" s="851"/>
      <c r="AB226" s="850"/>
      <c r="AC226" s="1653"/>
      <c r="AD226" s="850"/>
      <c r="AE226" s="851"/>
      <c r="AF226" s="850"/>
      <c r="AG226" s="1647"/>
      <c r="AH226" s="1647"/>
      <c r="AI226" s="1656"/>
      <c r="AJ226" s="213"/>
      <c r="AK226" s="213"/>
    </row>
    <row r="227" spans="1:37" ht="9.9499999999999993" customHeight="1" x14ac:dyDescent="0.25">
      <c r="A227" s="1616"/>
      <c r="B227" s="1617"/>
      <c r="C227" s="1576"/>
      <c r="D227" s="1576"/>
      <c r="E227" s="1576"/>
      <c r="F227" s="849"/>
      <c r="G227" s="849"/>
      <c r="H227" s="849"/>
      <c r="I227" s="1654"/>
      <c r="J227" s="849"/>
      <c r="K227" s="849"/>
      <c r="L227" s="849"/>
      <c r="M227" s="1654"/>
      <c r="N227" s="849"/>
      <c r="O227" s="849"/>
      <c r="P227" s="849"/>
      <c r="Q227" s="1654"/>
      <c r="R227" s="849"/>
      <c r="S227" s="849"/>
      <c r="T227" s="849"/>
      <c r="U227" s="1654"/>
      <c r="V227" s="849"/>
      <c r="W227" s="849"/>
      <c r="X227" s="849"/>
      <c r="Y227" s="1654"/>
      <c r="Z227" s="849"/>
      <c r="AA227" s="849"/>
      <c r="AB227" s="849"/>
      <c r="AC227" s="1654"/>
      <c r="AD227" s="849"/>
      <c r="AE227" s="849"/>
      <c r="AF227" s="849"/>
      <c r="AG227" s="1648"/>
      <c r="AH227" s="1648"/>
      <c r="AI227" s="1657"/>
      <c r="AJ227" s="213"/>
      <c r="AK227" s="213"/>
    </row>
    <row r="228" spans="1:37" ht="9.9499999999999993" customHeight="1" x14ac:dyDescent="0.25">
      <c r="A228" s="270"/>
      <c r="B228" s="270"/>
      <c r="C228" s="270"/>
      <c r="D228" s="270"/>
      <c r="E228" s="270"/>
      <c r="F228" s="270"/>
      <c r="G228" s="270"/>
      <c r="H228" s="270"/>
      <c r="I228" s="270"/>
      <c r="J228" s="270"/>
      <c r="K228" s="270"/>
      <c r="L228" s="270"/>
      <c r="M228" s="852"/>
      <c r="N228" s="270"/>
      <c r="O228" s="270"/>
      <c r="P228" s="270"/>
      <c r="Q228" s="852"/>
      <c r="R228" s="270"/>
      <c r="S228" s="270"/>
      <c r="T228" s="270"/>
      <c r="U228" s="852"/>
      <c r="V228" s="270"/>
      <c r="W228" s="270"/>
      <c r="X228" s="270"/>
      <c r="Y228" s="852"/>
      <c r="Z228" s="270"/>
      <c r="AA228" s="270"/>
      <c r="AB228" s="270"/>
      <c r="AC228" s="852"/>
      <c r="AD228" s="270"/>
      <c r="AE228" s="270"/>
      <c r="AF228" s="270"/>
      <c r="AG228" s="853"/>
      <c r="AH228" s="853"/>
      <c r="AI228" s="856"/>
      <c r="AJ228" s="213"/>
      <c r="AK228" s="213"/>
    </row>
    <row r="229" spans="1:37" ht="9.9499999999999993" customHeight="1" x14ac:dyDescent="0.25">
      <c r="A229" s="1616">
        <v>28</v>
      </c>
      <c r="B229" s="1617">
        <v>4</v>
      </c>
      <c r="C229" s="1574" t="s">
        <v>5468</v>
      </c>
      <c r="D229" s="1574" t="s">
        <v>5475</v>
      </c>
      <c r="E229" s="1574" t="s">
        <v>6581</v>
      </c>
      <c r="F229" s="849"/>
      <c r="G229" s="849"/>
      <c r="H229" s="849"/>
      <c r="I229" s="1652"/>
      <c r="J229" s="849"/>
      <c r="K229" s="849"/>
      <c r="L229" s="849"/>
      <c r="M229" s="1652"/>
      <c r="N229" s="849"/>
      <c r="O229" s="849"/>
      <c r="P229" s="849"/>
      <c r="Q229" s="1652"/>
      <c r="R229" s="849"/>
      <c r="S229" s="849"/>
      <c r="T229" s="849"/>
      <c r="U229" s="1652"/>
      <c r="V229" s="849"/>
      <c r="W229" s="849"/>
      <c r="X229" s="849"/>
      <c r="Y229" s="1652"/>
      <c r="Z229" s="849"/>
      <c r="AA229" s="849"/>
      <c r="AB229" s="849"/>
      <c r="AC229" s="1652"/>
      <c r="AD229" s="849"/>
      <c r="AE229" s="849"/>
      <c r="AF229" s="849"/>
      <c r="AG229" s="1646"/>
      <c r="AH229" s="1646"/>
      <c r="AI229" s="1655"/>
      <c r="AJ229" s="213"/>
      <c r="AK229" s="213"/>
    </row>
    <row r="230" spans="1:37" ht="9.9499999999999993" customHeight="1" x14ac:dyDescent="0.25">
      <c r="A230" s="1616"/>
      <c r="B230" s="1617"/>
      <c r="C230" s="1575"/>
      <c r="D230" s="1575"/>
      <c r="E230" s="1575"/>
      <c r="F230" s="850"/>
      <c r="G230" s="851"/>
      <c r="H230" s="850"/>
      <c r="I230" s="1653"/>
      <c r="J230" s="850"/>
      <c r="K230" s="851"/>
      <c r="L230" s="850"/>
      <c r="M230" s="1653"/>
      <c r="N230" s="850"/>
      <c r="O230" s="851"/>
      <c r="P230" s="850"/>
      <c r="Q230" s="1653"/>
      <c r="R230" s="850"/>
      <c r="S230" s="851"/>
      <c r="T230" s="850"/>
      <c r="U230" s="1653"/>
      <c r="V230" s="850"/>
      <c r="W230" s="851"/>
      <c r="X230" s="850"/>
      <c r="Y230" s="1653"/>
      <c r="Z230" s="850"/>
      <c r="AA230" s="851"/>
      <c r="AB230" s="850"/>
      <c r="AC230" s="1653"/>
      <c r="AD230" s="850"/>
      <c r="AE230" s="851"/>
      <c r="AF230" s="850"/>
      <c r="AG230" s="1647"/>
      <c r="AH230" s="1647"/>
      <c r="AI230" s="1656"/>
      <c r="AJ230" s="213"/>
      <c r="AK230" s="213"/>
    </row>
    <row r="231" spans="1:37" ht="9.9499999999999993" customHeight="1" x14ac:dyDescent="0.25">
      <c r="A231" s="1616"/>
      <c r="B231" s="1617"/>
      <c r="C231" s="1576"/>
      <c r="D231" s="1576"/>
      <c r="E231" s="1576"/>
      <c r="F231" s="849"/>
      <c r="G231" s="849"/>
      <c r="H231" s="849"/>
      <c r="I231" s="1654"/>
      <c r="J231" s="849"/>
      <c r="K231" s="849"/>
      <c r="L231" s="849"/>
      <c r="M231" s="1654"/>
      <c r="N231" s="849"/>
      <c r="O231" s="849"/>
      <c r="P231" s="849"/>
      <c r="Q231" s="1654"/>
      <c r="R231" s="849"/>
      <c r="S231" s="849"/>
      <c r="T231" s="849"/>
      <c r="U231" s="1654"/>
      <c r="V231" s="849"/>
      <c r="W231" s="849"/>
      <c r="X231" s="849"/>
      <c r="Y231" s="1654"/>
      <c r="Z231" s="849"/>
      <c r="AA231" s="849"/>
      <c r="AB231" s="849"/>
      <c r="AC231" s="1654"/>
      <c r="AD231" s="849"/>
      <c r="AE231" s="849"/>
      <c r="AF231" s="849"/>
      <c r="AG231" s="1648"/>
      <c r="AH231" s="1648"/>
      <c r="AI231" s="1657"/>
      <c r="AJ231" s="213"/>
      <c r="AK231" s="213"/>
    </row>
    <row r="232" spans="1:37" ht="9.9499999999999993" customHeight="1" x14ac:dyDescent="0.25">
      <c r="A232" s="270"/>
      <c r="B232" s="270"/>
      <c r="C232" s="270"/>
      <c r="D232" s="270"/>
      <c r="E232" s="270"/>
      <c r="F232" s="270"/>
      <c r="G232" s="270"/>
      <c r="H232" s="270"/>
      <c r="I232" s="270"/>
      <c r="J232" s="270"/>
      <c r="K232" s="270"/>
      <c r="L232" s="270"/>
      <c r="M232" s="852"/>
      <c r="N232" s="270"/>
      <c r="O232" s="270"/>
      <c r="P232" s="270"/>
      <c r="Q232" s="852"/>
      <c r="R232" s="270"/>
      <c r="S232" s="270"/>
      <c r="T232" s="270"/>
      <c r="U232" s="852"/>
      <c r="V232" s="270"/>
      <c r="W232" s="270"/>
      <c r="X232" s="270"/>
      <c r="Y232" s="852"/>
      <c r="Z232" s="270"/>
      <c r="AA232" s="270"/>
      <c r="AB232" s="270"/>
      <c r="AC232" s="852"/>
      <c r="AD232" s="270"/>
      <c r="AE232" s="270"/>
      <c r="AF232" s="270"/>
      <c r="AG232" s="852"/>
      <c r="AH232" s="852"/>
      <c r="AI232" s="852"/>
      <c r="AJ232" s="213"/>
      <c r="AK232" s="213"/>
    </row>
    <row r="233" spans="1:37" x14ac:dyDescent="0.25">
      <c r="A233" s="213"/>
      <c r="B233" s="213"/>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row>
    <row r="234" spans="1:37" x14ac:dyDescent="0.25">
      <c r="A234" s="213"/>
      <c r="B234" s="213"/>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row>
    <row r="235" spans="1:37" ht="50.1" customHeight="1" x14ac:dyDescent="0.25">
      <c r="A235" s="857" t="s">
        <v>5480</v>
      </c>
      <c r="B235" s="857" t="s">
        <v>5481</v>
      </c>
      <c r="C235" s="857" t="s">
        <v>5482</v>
      </c>
      <c r="D235" s="857" t="s">
        <v>5483</v>
      </c>
      <c r="E235" s="857" t="s">
        <v>5484</v>
      </c>
      <c r="F235" s="857"/>
      <c r="G235" s="857"/>
      <c r="H235" s="857"/>
      <c r="I235" s="857" t="s">
        <v>5485</v>
      </c>
      <c r="J235" s="857"/>
      <c r="K235" s="857"/>
      <c r="L235" s="857"/>
      <c r="M235" s="857" t="s">
        <v>5486</v>
      </c>
      <c r="N235" s="857"/>
      <c r="O235" s="857"/>
      <c r="P235" s="857"/>
      <c r="Q235" s="857" t="s">
        <v>5487</v>
      </c>
      <c r="R235" s="857"/>
      <c r="S235" s="857"/>
      <c r="T235" s="857"/>
      <c r="U235" s="857" t="s">
        <v>5488</v>
      </c>
      <c r="V235" s="857"/>
      <c r="W235" s="857"/>
      <c r="X235" s="857"/>
      <c r="Y235" s="857" t="s">
        <v>5489</v>
      </c>
      <c r="Z235" s="857"/>
      <c r="AA235" s="857"/>
      <c r="AB235" s="857"/>
      <c r="AC235" s="857" t="s">
        <v>5490</v>
      </c>
      <c r="AD235" s="857"/>
      <c r="AE235" s="857"/>
      <c r="AF235" s="857"/>
      <c r="AG235" s="857" t="s">
        <v>5491</v>
      </c>
      <c r="AH235" s="213"/>
      <c r="AI235" s="858" t="s">
        <v>5492</v>
      </c>
      <c r="AJ235" s="858" t="s">
        <v>5459</v>
      </c>
      <c r="AK235" s="858" t="s">
        <v>5493</v>
      </c>
    </row>
    <row r="236" spans="1:37" ht="50.1" customHeight="1" x14ac:dyDescent="0.25">
      <c r="A236" s="859" t="s">
        <v>5494</v>
      </c>
      <c r="B236" s="197" t="s">
        <v>5350</v>
      </c>
      <c r="C236" s="166" t="s">
        <v>55</v>
      </c>
      <c r="D236" s="860"/>
      <c r="E236" s="860">
        <v>12</v>
      </c>
      <c r="F236" s="850"/>
      <c r="G236" s="851"/>
      <c r="H236" s="850"/>
      <c r="I236" s="860"/>
      <c r="J236" s="850"/>
      <c r="K236" s="851"/>
      <c r="L236" s="850"/>
      <c r="M236" s="860">
        <v>2</v>
      </c>
      <c r="N236" s="850"/>
      <c r="O236" s="851"/>
      <c r="P236" s="850"/>
      <c r="Q236" s="860">
        <f>COUNTIFS(D9:D229,"Déjeuner",I9:I229,"Entrée &gt;15% lipides")</f>
        <v>0</v>
      </c>
      <c r="R236" s="850"/>
      <c r="S236" s="851"/>
      <c r="T236" s="850"/>
      <c r="U236" s="166" t="str">
        <f>IF(COUNTIF(I9:AC117,"&lt;&gt;")=0,"A SAISIR",IF(AND(D236="",E236=""),"LIBRE",IF(AND(D236&lt;&gt;"",Q236&lt;D236),"MANQUE",IF(AND(E236&lt;&gt;"",Q236&gt;E236),"TROP","OK"))))</f>
        <v>A SAISIR</v>
      </c>
      <c r="V236" s="850"/>
      <c r="W236" s="851"/>
      <c r="X236" s="850"/>
      <c r="Y236" s="861">
        <f>COUNTIFS(D9:D229,"Dîner",I9:I229,"Entrée &gt;15% lipides")</f>
        <v>0</v>
      </c>
      <c r="Z236" s="850"/>
      <c r="AA236" s="851"/>
      <c r="AB236" s="850"/>
      <c r="AC236" s="166" t="str">
        <f>IF(COUNTIF(I121:AC229,"&lt;&gt;")=0,"A SAISIR",IF(AND(I236="",M236=""),"LIBRE",IF(AND(I236&lt;&gt;"",Y236&lt;I236),"MANQUE",IF(AND(M236&lt;&gt;"",Y236&gt;M236),"TROP","OK"))))</f>
        <v>A SAISIR</v>
      </c>
      <c r="AD236" s="850"/>
      <c r="AE236" s="851"/>
      <c r="AF236" s="850"/>
      <c r="AG236" s="862" t="s">
        <v>5495</v>
      </c>
      <c r="AH236" s="197"/>
      <c r="AI236" s="170" t="s">
        <v>5496</v>
      </c>
      <c r="AJ236" s="861">
        <f>COUNTIF(U236:U249,"OK")</f>
        <v>0</v>
      </c>
      <c r="AK236" s="170" t="s">
        <v>5497</v>
      </c>
    </row>
    <row r="237" spans="1:37" ht="50.1" customHeight="1" x14ac:dyDescent="0.25">
      <c r="A237" s="863" t="s">
        <v>5498</v>
      </c>
      <c r="B237" s="197" t="s">
        <v>5346</v>
      </c>
      <c r="C237" s="166" t="s">
        <v>55</v>
      </c>
      <c r="D237" s="860">
        <v>8</v>
      </c>
      <c r="E237" s="860"/>
      <c r="F237" s="850"/>
      <c r="G237" s="851"/>
      <c r="H237" s="850"/>
      <c r="I237" s="860"/>
      <c r="J237" s="850"/>
      <c r="K237" s="851"/>
      <c r="L237" s="850"/>
      <c r="M237" s="860"/>
      <c r="N237" s="850"/>
      <c r="O237" s="851"/>
      <c r="P237" s="850"/>
      <c r="Q237" s="860">
        <f>COUNTIFS(D9:D229,"Déjeuner",I9:I229,"Crudité ou fruit frais")</f>
        <v>0</v>
      </c>
      <c r="R237" s="850"/>
      <c r="S237" s="851"/>
      <c r="T237" s="850"/>
      <c r="U237" s="166" t="str">
        <f>IF(COUNTIF(I9:AC117,"&lt;&gt;")=0,"A SAISIR",IF(AND(D237="",E237=""),"LIBRE",IF(AND(D237&lt;&gt;"",Q237&lt;D237),"MANQUE",IF(AND(E237&lt;&gt;"",Q237&gt;E237),"TROP","OK"))))</f>
        <v>A SAISIR</v>
      </c>
      <c r="V237" s="850"/>
      <c r="W237" s="851"/>
      <c r="X237" s="850"/>
      <c r="Y237" s="861">
        <f>COUNTIFS(D9:D229,"Dîner",I9:I229,"Crudité ou fruit frais")</f>
        <v>0</v>
      </c>
      <c r="Z237" s="850"/>
      <c r="AA237" s="851"/>
      <c r="AB237" s="850"/>
      <c r="AC237" s="166" t="str">
        <f>IF(COUNTIF(I121:AC229,"&lt;&gt;")=0,"A SAISIR",IF(AND(I237="",M237=""),"LIBRE",IF(AND(I237&lt;&gt;"",Y237&lt;I237),"MANQUE",IF(AND(M237&lt;&gt;"",Y237&gt;M237),"TROP","OK"))))</f>
        <v>A SAISIR</v>
      </c>
      <c r="AD237" s="850"/>
      <c r="AE237" s="851"/>
      <c r="AF237" s="850"/>
      <c r="AG237" s="862" t="s">
        <v>5499</v>
      </c>
      <c r="AH237" s="197"/>
      <c r="AI237" s="170" t="s">
        <v>5500</v>
      </c>
      <c r="AJ237" s="861">
        <f>COUNTIF(U236:U249,"MANQUE")</f>
        <v>0</v>
      </c>
      <c r="AK237" s="170" t="s">
        <v>5501</v>
      </c>
    </row>
    <row r="238" spans="1:37" ht="50.1" customHeight="1" x14ac:dyDescent="0.25">
      <c r="A238" s="864" t="s">
        <v>5502</v>
      </c>
      <c r="B238" s="197" t="s">
        <v>5355</v>
      </c>
      <c r="C238" s="166" t="s">
        <v>55</v>
      </c>
      <c r="D238" s="860"/>
      <c r="E238" s="860"/>
      <c r="F238" s="850"/>
      <c r="G238" s="851"/>
      <c r="H238" s="850"/>
      <c r="I238" s="860">
        <v>14</v>
      </c>
      <c r="J238" s="850"/>
      <c r="K238" s="851"/>
      <c r="L238" s="850"/>
      <c r="M238" s="860"/>
      <c r="N238" s="850"/>
      <c r="O238" s="851"/>
      <c r="P238" s="850"/>
      <c r="Q238" s="860">
        <f>COUNTIFS(D9:D229,"Déjeuner",I9:I229,"Entrée légumes cuits/potage")</f>
        <v>0</v>
      </c>
      <c r="R238" s="850"/>
      <c r="S238" s="851"/>
      <c r="T238" s="850"/>
      <c r="U238" s="166" t="str">
        <f>IF(COUNTIF(I9:AC117,"&lt;&gt;")=0,"A SAISIR",IF(AND(D238="",E238=""),"LIBRE",IF(AND(D238&lt;&gt;"",Q238&lt;D238),"MANQUE",IF(AND(E238&lt;&gt;"",Q238&gt;E238),"TROP","OK"))))</f>
        <v>A SAISIR</v>
      </c>
      <c r="V238" s="850"/>
      <c r="W238" s="851"/>
      <c r="X238" s="850"/>
      <c r="Y238" s="861">
        <f>COUNTIFS(D9:D229,"Dîner",I9:I229,"Entrée légumes cuits/potage")</f>
        <v>0</v>
      </c>
      <c r="Z238" s="850"/>
      <c r="AA238" s="851"/>
      <c r="AB238" s="850"/>
      <c r="AC238" s="166" t="str">
        <f>IF(COUNTIF(I121:AC229,"&lt;&gt;")=0,"A SAISIR",IF(AND(I238="",M238=""),"LIBRE",IF(AND(I238&lt;&gt;"",Y238&lt;I238),"MANQUE",IF(AND(M238&lt;&gt;"",Y238&gt;M238),"TROP","OK"))))</f>
        <v>A SAISIR</v>
      </c>
      <c r="AD238" s="850"/>
      <c r="AE238" s="851"/>
      <c r="AF238" s="850"/>
      <c r="AG238" s="862" t="s">
        <v>5503</v>
      </c>
      <c r="AH238" s="197"/>
      <c r="AI238" s="170" t="s">
        <v>5504</v>
      </c>
      <c r="AJ238" s="861">
        <f>COUNTIF(U236:U249,"TROP")</f>
        <v>0</v>
      </c>
      <c r="AK238" s="170" t="s">
        <v>5505</v>
      </c>
    </row>
    <row r="239" spans="1:37" ht="50.1" customHeight="1" x14ac:dyDescent="0.25">
      <c r="A239" s="865" t="s">
        <v>5506</v>
      </c>
      <c r="B239" s="197" t="s">
        <v>5371</v>
      </c>
      <c r="C239" s="166" t="s">
        <v>5507</v>
      </c>
      <c r="D239" s="860"/>
      <c r="E239" s="860">
        <v>6</v>
      </c>
      <c r="F239" s="850"/>
      <c r="G239" s="851"/>
      <c r="H239" s="850"/>
      <c r="I239" s="860"/>
      <c r="J239" s="850"/>
      <c r="K239" s="851"/>
      <c r="L239" s="850"/>
      <c r="M239" s="860">
        <v>4</v>
      </c>
      <c r="N239" s="850"/>
      <c r="O239" s="851"/>
      <c r="P239" s="850"/>
      <c r="Q239" s="860">
        <f>COUNTIFS(D9:D229,"Déjeuner",Q9:Q229,"Frit/préfrit &gt;15% lipides")</f>
        <v>0</v>
      </c>
      <c r="R239" s="850"/>
      <c r="S239" s="851"/>
      <c r="T239" s="850"/>
      <c r="U239" s="166" t="str">
        <f>IF(COUNTIF(I9:AC117,"&lt;&gt;")=0,"A SAISIR",IF(AND(D239="",E239=""),"LIBRE",IF(AND(D239&lt;&gt;"",Q239&lt;D239),"MANQUE",IF(AND(E239&lt;&gt;"",Q239&gt;E239),"TROP","OK"))))</f>
        <v>A SAISIR</v>
      </c>
      <c r="V239" s="850"/>
      <c r="W239" s="851"/>
      <c r="X239" s="850"/>
      <c r="Y239" s="861">
        <f>COUNTIFS(D9:D229,"Dîner",Q9:Q229,"Frit/préfrit &gt;15% lipides")</f>
        <v>0</v>
      </c>
      <c r="Z239" s="850"/>
      <c r="AA239" s="851"/>
      <c r="AB239" s="850"/>
      <c r="AC239" s="166" t="str">
        <f>IF(COUNTIF(I121:AC229,"&lt;&gt;")=0,"A SAISIR",IF(AND(I239="",M239=""),"LIBRE",IF(AND(I239&lt;&gt;"",Y239&lt;I239),"MANQUE",IF(AND(M239&lt;&gt;"",Y239&gt;M239),"TROP","OK"))))</f>
        <v>A SAISIR</v>
      </c>
      <c r="AD239" s="850"/>
      <c r="AE239" s="851"/>
      <c r="AF239" s="850"/>
      <c r="AG239" s="862" t="s">
        <v>5508</v>
      </c>
      <c r="AH239" s="197"/>
      <c r="AI239" s="170" t="s">
        <v>5509</v>
      </c>
      <c r="AJ239" s="861">
        <f>COUNTIF(U236:U249,"LIBRE")</f>
        <v>0</v>
      </c>
      <c r="AK239" s="170" t="s">
        <v>5510</v>
      </c>
    </row>
    <row r="240" spans="1:37" ht="50.1" customHeight="1" x14ac:dyDescent="0.25">
      <c r="A240" s="866" t="s">
        <v>5511</v>
      </c>
      <c r="B240" s="197" t="s">
        <v>5377</v>
      </c>
      <c r="C240" s="166" t="s">
        <v>5358</v>
      </c>
      <c r="D240" s="860"/>
      <c r="E240" s="860">
        <v>3</v>
      </c>
      <c r="F240" s="850"/>
      <c r="G240" s="851"/>
      <c r="H240" s="850"/>
      <c r="I240" s="860"/>
      <c r="J240" s="850"/>
      <c r="K240" s="851"/>
      <c r="L240" s="850"/>
      <c r="M240" s="860">
        <v>6</v>
      </c>
      <c r="N240" s="850"/>
      <c r="O240" s="851"/>
      <c r="P240" s="850"/>
      <c r="Q240" s="860">
        <f>COUNTIFS(D9:D229,"Déjeuner",Q9:Q229,"P/L &lt;=1")</f>
        <v>0</v>
      </c>
      <c r="R240" s="850"/>
      <c r="S240" s="851"/>
      <c r="T240" s="850"/>
      <c r="U240" s="166" t="str">
        <f>IF(COUNTIF(I9:AC117,"&lt;&gt;")=0,"A SAISIR",IF(AND(D240="",E240=""),"LIBRE",IF(AND(D240&lt;&gt;"",Q240&lt;D240),"MANQUE",IF(AND(E240&lt;&gt;"",Q240&gt;E240),"TROP","OK"))))</f>
        <v>A SAISIR</v>
      </c>
      <c r="V240" s="850"/>
      <c r="W240" s="851"/>
      <c r="X240" s="850"/>
      <c r="Y240" s="861">
        <f>COUNTIFS(D9:D229,"Dîner",Q9:Q229,"P/L &lt;=1")</f>
        <v>0</v>
      </c>
      <c r="Z240" s="850"/>
      <c r="AA240" s="851"/>
      <c r="AB240" s="850"/>
      <c r="AC240" s="166" t="str">
        <f>IF(COUNTIF(I121:AC229,"&lt;&gt;")=0,"A SAISIR",IF(AND(I240="",M240=""),"LIBRE",IF(AND(I240&lt;&gt;"",Y240&lt;I240),"MANQUE",IF(AND(M240&lt;&gt;"",Y240&gt;M240),"TROP","OK"))))</f>
        <v>A SAISIR</v>
      </c>
      <c r="AD240" s="850"/>
      <c r="AE240" s="851"/>
      <c r="AF240" s="850"/>
      <c r="AG240" s="862" t="s">
        <v>5512</v>
      </c>
      <c r="AH240" s="197"/>
      <c r="AI240" s="197"/>
      <c r="AJ240" s="197"/>
      <c r="AK240" s="197"/>
    </row>
    <row r="241" spans="1:37" ht="50.1" customHeight="1" x14ac:dyDescent="0.25">
      <c r="A241" s="867" t="s">
        <v>5513</v>
      </c>
      <c r="B241" s="197" t="s">
        <v>5367</v>
      </c>
      <c r="C241" s="166" t="s">
        <v>5358</v>
      </c>
      <c r="D241" s="860">
        <v>5</v>
      </c>
      <c r="E241" s="860"/>
      <c r="F241" s="850"/>
      <c r="G241" s="851"/>
      <c r="H241" s="850"/>
      <c r="I241" s="860">
        <v>3</v>
      </c>
      <c r="J241" s="850"/>
      <c r="K241" s="851"/>
      <c r="L241" s="850"/>
      <c r="M241" s="860"/>
      <c r="N241" s="850"/>
      <c r="O241" s="851"/>
      <c r="P241" s="850"/>
      <c r="Q241" s="860">
        <f>COUNTIFS(D9:D229,"Déjeuner",M9:M229,"Poisson &gt;=70% P/L &gt;=2")</f>
        <v>0</v>
      </c>
      <c r="R241" s="850"/>
      <c r="S241" s="851"/>
      <c r="T241" s="850"/>
      <c r="U241" s="166" t="str">
        <f>IF(COUNTIF(I9:AC117,"&lt;&gt;")=0,"A SAISIR",IF(AND(D241="",E241=""),"LIBRE",IF(AND(D241&lt;&gt;"",Q241&lt;D241),"MANQUE",IF(AND(E241&lt;&gt;"",Q241&gt;E241),"TROP","OK"))))</f>
        <v>A SAISIR</v>
      </c>
      <c r="V241" s="850"/>
      <c r="W241" s="851"/>
      <c r="X241" s="850"/>
      <c r="Y241" s="861">
        <f>COUNTIFS(D9:D229,"Dîner",M9:M229,"Poisson &gt;=70% P/L &gt;=2")</f>
        <v>0</v>
      </c>
      <c r="Z241" s="850"/>
      <c r="AA241" s="851"/>
      <c r="AB241" s="850"/>
      <c r="AC241" s="166" t="str">
        <f>IF(COUNTIF(I121:AC229,"&lt;&gt;")=0,"A SAISIR",IF(AND(I241="",M241=""),"LIBRE",IF(AND(I241&lt;&gt;"",Y241&lt;I241),"MANQUE",IF(AND(M241&lt;&gt;"",Y241&gt;M241),"TROP","OK"))))</f>
        <v>A SAISIR</v>
      </c>
      <c r="AD241" s="850"/>
      <c r="AE241" s="851"/>
      <c r="AF241" s="850"/>
      <c r="AG241" s="862" t="s">
        <v>5514</v>
      </c>
      <c r="AH241" s="197"/>
      <c r="AI241" s="197"/>
      <c r="AJ241" s="197"/>
      <c r="AK241" s="197"/>
    </row>
    <row r="242" spans="1:37" ht="50.1" customHeight="1" x14ac:dyDescent="0.25">
      <c r="A242" s="867" t="s">
        <v>5515</v>
      </c>
      <c r="B242" s="197" t="s">
        <v>5359</v>
      </c>
      <c r="C242" s="166" t="s">
        <v>5358</v>
      </c>
      <c r="D242" s="860">
        <v>8</v>
      </c>
      <c r="E242" s="860"/>
      <c r="F242" s="850"/>
      <c r="G242" s="851"/>
      <c r="H242" s="850"/>
      <c r="I242" s="860"/>
      <c r="J242" s="850"/>
      <c r="K242" s="851"/>
      <c r="L242" s="850"/>
      <c r="M242" s="860"/>
      <c r="N242" s="850"/>
      <c r="O242" s="851"/>
      <c r="P242" s="850"/>
      <c r="Q242" s="860">
        <f>COUNTIFS(D9:D229,"Déjeuner",M9:M229,"Viande non hachée BVA/abats")</f>
        <v>0</v>
      </c>
      <c r="R242" s="850"/>
      <c r="S242" s="851"/>
      <c r="T242" s="850"/>
      <c r="U242" s="166" t="str">
        <f>IF(COUNTIF(I9:AC117,"&lt;&gt;")=0,"A SAISIR",IF(AND(D242="",E242=""),"LIBRE",IF(AND(D242&lt;&gt;"",Q242&lt;D242),"MANQUE",IF(AND(E242&lt;&gt;"",Q242&gt;E242),"TROP","OK"))))</f>
        <v>A SAISIR</v>
      </c>
      <c r="V242" s="850"/>
      <c r="W242" s="851"/>
      <c r="X242" s="850"/>
      <c r="Y242" s="861">
        <f>COUNTIFS(D9:D229,"Dîner",M9:M229,"Viande non hachée BVA/abats")</f>
        <v>0</v>
      </c>
      <c r="Z242" s="850"/>
      <c r="AA242" s="851"/>
      <c r="AB242" s="850"/>
      <c r="AC242" s="166" t="str">
        <f>IF(COUNTIF(I121:AC229,"&lt;&gt;")=0,"A SAISIR",IF(AND(I242="",M242=""),"LIBRE",IF(AND(I242&lt;&gt;"",Y242&lt;I242),"MANQUE",IF(AND(M242&lt;&gt;"",Y242&gt;M242),"TROP","OK"))))</f>
        <v>A SAISIR</v>
      </c>
      <c r="AD242" s="850"/>
      <c r="AE242" s="851"/>
      <c r="AF242" s="850"/>
      <c r="AG242" s="862" t="s">
        <v>5516</v>
      </c>
      <c r="AH242" s="197"/>
      <c r="AI242" s="197"/>
      <c r="AJ242" s="197"/>
      <c r="AK242" s="197"/>
    </row>
    <row r="243" spans="1:37" ht="50.1" customHeight="1" x14ac:dyDescent="0.25">
      <c r="A243" s="866" t="s">
        <v>5517</v>
      </c>
      <c r="B243" s="197" t="s">
        <v>5374</v>
      </c>
      <c r="C243" s="166" t="s">
        <v>5358</v>
      </c>
      <c r="D243" s="860"/>
      <c r="E243" s="860">
        <v>3</v>
      </c>
      <c r="F243" s="850"/>
      <c r="G243" s="851"/>
      <c r="H243" s="850"/>
      <c r="I243" s="860"/>
      <c r="J243" s="850"/>
      <c r="K243" s="851"/>
      <c r="L243" s="850"/>
      <c r="M243" s="860">
        <v>8</v>
      </c>
      <c r="N243" s="850"/>
      <c r="O243" s="851"/>
      <c r="P243" s="850"/>
      <c r="Q243" s="860">
        <f>COUNTIFS(D9:D229,"Déjeuner",Q9:Q229,"VPO &lt;70%")</f>
        <v>0</v>
      </c>
      <c r="R243" s="850"/>
      <c r="S243" s="851"/>
      <c r="T243" s="850"/>
      <c r="U243" s="166" t="str">
        <f>IF(COUNTIF(I9:AC117,"&lt;&gt;")=0,"A SAISIR",IF(AND(D243="",E243=""),"LIBRE",IF(AND(D243&lt;&gt;"",Q243&lt;D243),"MANQUE",IF(AND(E243&lt;&gt;"",Q243&gt;E243),"TROP","OK"))))</f>
        <v>A SAISIR</v>
      </c>
      <c r="V243" s="850"/>
      <c r="W243" s="851"/>
      <c r="X243" s="850"/>
      <c r="Y243" s="861">
        <f>COUNTIFS(D9:D229,"Dîner",Q9:Q229,"VPO &lt;70%")</f>
        <v>0</v>
      </c>
      <c r="Z243" s="850"/>
      <c r="AA243" s="851"/>
      <c r="AB243" s="850"/>
      <c r="AC243" s="166" t="str">
        <f>IF(COUNTIF(I121:AC229,"&lt;&gt;")=0,"A SAISIR",IF(AND(I243="",M243=""),"LIBRE",IF(AND(I243&lt;&gt;"",Y243&lt;I243),"MANQUE",IF(AND(M243&lt;&gt;"",Y243&gt;M243),"TROP","OK"))))</f>
        <v>A SAISIR</v>
      </c>
      <c r="AD243" s="850"/>
      <c r="AE243" s="851"/>
      <c r="AF243" s="850"/>
      <c r="AG243" s="862" t="s">
        <v>5518</v>
      </c>
      <c r="AH243" s="197"/>
      <c r="AI243" s="197"/>
      <c r="AJ243" s="197"/>
      <c r="AK243" s="197"/>
    </row>
    <row r="244" spans="1:37" ht="50.1" customHeight="1" x14ac:dyDescent="0.25">
      <c r="A244" s="868" t="s">
        <v>5519</v>
      </c>
      <c r="B244" s="197" t="s">
        <v>5380</v>
      </c>
      <c r="C244" s="166" t="s">
        <v>53</v>
      </c>
      <c r="D244" s="860">
        <v>14</v>
      </c>
      <c r="E244" s="860">
        <v>14</v>
      </c>
      <c r="F244" s="850"/>
      <c r="G244" s="851"/>
      <c r="H244" s="850"/>
      <c r="I244" s="860">
        <v>12</v>
      </c>
      <c r="J244" s="850"/>
      <c r="K244" s="851"/>
      <c r="L244" s="850"/>
      <c r="M244" s="860"/>
      <c r="N244" s="850"/>
      <c r="O244" s="851"/>
      <c r="P244" s="850"/>
      <c r="Q244" s="860">
        <f>COUNTIFS(D9:D229,"Déjeuner",U9:U229,"Légume cuit")</f>
        <v>0</v>
      </c>
      <c r="R244" s="850"/>
      <c r="S244" s="851"/>
      <c r="T244" s="850"/>
      <c r="U244" s="166" t="str">
        <f>IF(COUNTIF(I9:AC117,"&lt;&gt;")=0,"A SAISIR",IF(AND(D244="",E244=""),"LIBRE",IF(AND(D244&lt;&gt;"",Q244&lt;D244),"MANQUE",IF(AND(E244&lt;&gt;"",Q244&gt;E244),"TROP","OK"))))</f>
        <v>A SAISIR</v>
      </c>
      <c r="V244" s="850"/>
      <c r="W244" s="851"/>
      <c r="X244" s="850"/>
      <c r="Y244" s="861">
        <f>COUNTIFS(D9:D229,"Dîner",U9:U229,"Légume cuit")</f>
        <v>0</v>
      </c>
      <c r="Z244" s="850"/>
      <c r="AA244" s="851"/>
      <c r="AB244" s="850"/>
      <c r="AC244" s="166" t="str">
        <f>IF(COUNTIF(I121:AC229,"&lt;&gt;")=0,"A SAISIR",IF(AND(I244="",M244=""),"LIBRE",IF(AND(I244&lt;&gt;"",Y244&lt;I244),"MANQUE",IF(AND(M244&lt;&gt;"",Y244&gt;M244),"TROP","OK"))))</f>
        <v>A SAISIR</v>
      </c>
      <c r="AD244" s="850"/>
      <c r="AE244" s="851"/>
      <c r="AF244" s="850"/>
      <c r="AG244" s="862" t="s">
        <v>5520</v>
      </c>
      <c r="AH244" s="197"/>
      <c r="AI244" s="197"/>
      <c r="AJ244" s="197"/>
      <c r="AK244" s="197"/>
    </row>
    <row r="245" spans="1:37" ht="50.1" customHeight="1" x14ac:dyDescent="0.25">
      <c r="A245" s="869" t="s">
        <v>5521</v>
      </c>
      <c r="B245" s="197" t="s">
        <v>5383</v>
      </c>
      <c r="C245" s="166" t="s">
        <v>53</v>
      </c>
      <c r="D245" s="860">
        <v>14</v>
      </c>
      <c r="E245" s="860">
        <v>14</v>
      </c>
      <c r="F245" s="850"/>
      <c r="G245" s="851"/>
      <c r="H245" s="850"/>
      <c r="I245" s="860">
        <v>12</v>
      </c>
      <c r="J245" s="850"/>
      <c r="K245" s="851"/>
      <c r="L245" s="850"/>
      <c r="M245" s="860"/>
      <c r="N245" s="850"/>
      <c r="O245" s="851"/>
      <c r="P245" s="850"/>
      <c r="Q245" s="860">
        <f>COUNTIFS(D9:D229,"Déjeuner",U9:U229,"Féculent/légume sec/céréale")</f>
        <v>0</v>
      </c>
      <c r="R245" s="850"/>
      <c r="S245" s="851"/>
      <c r="T245" s="850"/>
      <c r="U245" s="166" t="str">
        <f>IF(COUNTIF(I9:AC117,"&lt;&gt;")=0,"A SAISIR",IF(AND(D245="",E245=""),"LIBRE",IF(AND(D245&lt;&gt;"",Q245&lt;D245),"MANQUE",IF(AND(E245&lt;&gt;"",Q245&gt;E245),"TROP","OK"))))</f>
        <v>A SAISIR</v>
      </c>
      <c r="V245" s="850"/>
      <c r="W245" s="851"/>
      <c r="X245" s="850"/>
      <c r="Y245" s="861">
        <f>COUNTIFS(D9:D229,"Dîner",U9:U229,"Féculent/légume sec/céréale")</f>
        <v>0</v>
      </c>
      <c r="Z245" s="850"/>
      <c r="AA245" s="851"/>
      <c r="AB245" s="850"/>
      <c r="AC245" s="166" t="str">
        <f>IF(COUNTIF(I121:AC229,"&lt;&gt;")=0,"A SAISIR",IF(AND(I245="",M245=""),"LIBRE",IF(AND(I245&lt;&gt;"",Y245&lt;I245),"MANQUE",IF(AND(M245&lt;&gt;"",Y245&gt;M245),"TROP","OK"))))</f>
        <v>A SAISIR</v>
      </c>
      <c r="AD245" s="850"/>
      <c r="AE245" s="851"/>
      <c r="AF245" s="850"/>
      <c r="AG245" s="862" t="s">
        <v>5522</v>
      </c>
      <c r="AH245" s="197"/>
      <c r="AI245" s="197"/>
      <c r="AJ245" s="197"/>
      <c r="AK245" s="197"/>
    </row>
    <row r="246" spans="1:37" ht="50.1" customHeight="1" x14ac:dyDescent="0.25">
      <c r="A246" s="870" t="s">
        <v>5523</v>
      </c>
      <c r="B246" s="197" t="s">
        <v>5386</v>
      </c>
      <c r="C246" s="166" t="s">
        <v>5129</v>
      </c>
      <c r="D246" s="860">
        <v>16</v>
      </c>
      <c r="E246" s="860"/>
      <c r="F246" s="850"/>
      <c r="G246" s="851"/>
      <c r="H246" s="850"/>
      <c r="I246" s="860">
        <v>12</v>
      </c>
      <c r="J246" s="850"/>
      <c r="K246" s="851"/>
      <c r="L246" s="850"/>
      <c r="M246" s="860"/>
      <c r="N246" s="850"/>
      <c r="O246" s="851"/>
      <c r="P246" s="850"/>
      <c r="Q246" s="860">
        <f>COUNTIFS(D9:D229,"Déjeuner",Y9:Y229,"Fromage Ca &gt;=150 mg")</f>
        <v>0</v>
      </c>
      <c r="R246" s="850"/>
      <c r="S246" s="851"/>
      <c r="T246" s="850"/>
      <c r="U246" s="166" t="str">
        <f>IF(COUNTIF(I9:AC117,"&lt;&gt;")=0,"A SAISIR",IF(AND(D246="",E246=""),"LIBRE",IF(AND(D246&lt;&gt;"",Q246&lt;D246),"MANQUE",IF(AND(E246&lt;&gt;"",Q246&gt;E246),"TROP","OK"))))</f>
        <v>A SAISIR</v>
      </c>
      <c r="V246" s="850"/>
      <c r="W246" s="851"/>
      <c r="X246" s="850"/>
      <c r="Y246" s="861">
        <f>COUNTIFS(D9:D229,"Dîner",Y9:Y229,"Fromage Ca &gt;=150 mg")</f>
        <v>0</v>
      </c>
      <c r="Z246" s="850"/>
      <c r="AA246" s="851"/>
      <c r="AB246" s="850"/>
      <c r="AC246" s="166" t="str">
        <f>IF(COUNTIF(I121:AC229,"&lt;&gt;")=0,"A SAISIR",IF(AND(I246="",M246=""),"LIBRE",IF(AND(I246&lt;&gt;"",Y246&lt;I246),"MANQUE",IF(AND(M246&lt;&gt;"",Y246&gt;M246),"TROP","OK"))))</f>
        <v>A SAISIR</v>
      </c>
      <c r="AD246" s="850"/>
      <c r="AE246" s="851"/>
      <c r="AF246" s="850"/>
      <c r="AG246" s="862" t="s">
        <v>5524</v>
      </c>
      <c r="AH246" s="197"/>
      <c r="AI246" s="197"/>
      <c r="AJ246" s="197"/>
      <c r="AK246" s="197"/>
    </row>
    <row r="247" spans="1:37" ht="50.1" customHeight="1" x14ac:dyDescent="0.25">
      <c r="A247" s="871" t="s">
        <v>5525</v>
      </c>
      <c r="B247" s="197" t="s">
        <v>5389</v>
      </c>
      <c r="C247" s="166" t="s">
        <v>5129</v>
      </c>
      <c r="D247" s="860">
        <v>2</v>
      </c>
      <c r="E247" s="860"/>
      <c r="F247" s="850"/>
      <c r="G247" s="851"/>
      <c r="H247" s="850"/>
      <c r="I247" s="860">
        <v>2</v>
      </c>
      <c r="J247" s="850"/>
      <c r="K247" s="851"/>
      <c r="L247" s="850"/>
      <c r="M247" s="860"/>
      <c r="N247" s="850"/>
      <c r="O247" s="851"/>
      <c r="P247" s="850"/>
      <c r="Q247" s="860">
        <f>COUNTIFS(D9:D229,"Déjeuner",Y9:Y229,"Fromage Ca 100-150 mg")</f>
        <v>0</v>
      </c>
      <c r="R247" s="850"/>
      <c r="S247" s="851"/>
      <c r="T247" s="850"/>
      <c r="U247" s="166" t="str">
        <f>IF(COUNTIF(I9:AC117,"&lt;&gt;")=0,"A SAISIR",IF(AND(D247="",E247=""),"LIBRE",IF(AND(D247&lt;&gt;"",Q247&lt;D247),"MANQUE",IF(AND(E247&lt;&gt;"",Q247&gt;E247),"TROP","OK"))))</f>
        <v>A SAISIR</v>
      </c>
      <c r="V247" s="850"/>
      <c r="W247" s="851"/>
      <c r="X247" s="850"/>
      <c r="Y247" s="861">
        <f>COUNTIFS(D9:D229,"Dîner",Y9:Y229,"Fromage Ca 100-150 mg")</f>
        <v>0</v>
      </c>
      <c r="Z247" s="850"/>
      <c r="AA247" s="851"/>
      <c r="AB247" s="850"/>
      <c r="AC247" s="166" t="str">
        <f>IF(COUNTIF(I121:AC229,"&lt;&gt;")=0,"A SAISIR",IF(AND(I247="",M247=""),"LIBRE",IF(AND(I247&lt;&gt;"",Y247&lt;I247),"MANQUE",IF(AND(M247&lt;&gt;"",Y247&gt;M247),"TROP","OK"))))</f>
        <v>A SAISIR</v>
      </c>
      <c r="AD247" s="850"/>
      <c r="AE247" s="851"/>
      <c r="AF247" s="850"/>
      <c r="AG247" s="862" t="s">
        <v>5526</v>
      </c>
      <c r="AH247" s="197"/>
      <c r="AI247" s="197"/>
      <c r="AJ247" s="197"/>
      <c r="AK247" s="197"/>
    </row>
    <row r="248" spans="1:37" ht="50.1" customHeight="1" x14ac:dyDescent="0.25">
      <c r="A248" s="872" t="s">
        <v>5527</v>
      </c>
      <c r="B248" s="197" t="s">
        <v>5391</v>
      </c>
      <c r="C248" s="166" t="s">
        <v>5528</v>
      </c>
      <c r="D248" s="860">
        <v>10</v>
      </c>
      <c r="E248" s="860"/>
      <c r="F248" s="850"/>
      <c r="G248" s="851"/>
      <c r="H248" s="850"/>
      <c r="I248" s="860">
        <v>12</v>
      </c>
      <c r="J248" s="850"/>
      <c r="K248" s="851"/>
      <c r="L248" s="850"/>
      <c r="M248" s="860"/>
      <c r="N248" s="850"/>
      <c r="O248" s="851"/>
      <c r="P248" s="850"/>
      <c r="Q248" s="860">
        <f>COUNTIFS(D9:D229,"Déjeuner",Y9:Y229,"Laitage Ca &gt;100mg MG&lt;5g")+COUNTIFS(D9:D229,"Déjeuner",AC9:AC229,"Dessert lacté Ca &gt;100mg MG&lt;5g")</f>
        <v>0</v>
      </c>
      <c r="R248" s="850"/>
      <c r="S248" s="851"/>
      <c r="T248" s="850"/>
      <c r="U248" s="166" t="str">
        <f>IF(COUNTIF(I9:AC117,"&lt;&gt;")=0,"A SAISIR",IF(AND(D248="",E248=""),"LIBRE",IF(AND(D248&lt;&gt;"",Q248&lt;D248),"MANQUE",IF(AND(E248&lt;&gt;"",Q248&gt;E248),"TROP","OK"))))</f>
        <v>A SAISIR</v>
      </c>
      <c r="V248" s="850"/>
      <c r="W248" s="851"/>
      <c r="X248" s="850"/>
      <c r="Y248" s="861">
        <f>COUNTIFS(D9:D229,"Dîner",Y9:Y229,"Laitage Ca &gt;100mg MG&lt;5g")+COUNTIFS(D9:D229,"Dîner",AC9:AC229,"Dessert lacté Ca &gt;100mg MG&lt;5g")</f>
        <v>0</v>
      </c>
      <c r="Z248" s="850"/>
      <c r="AA248" s="851"/>
      <c r="AB248" s="850"/>
      <c r="AC248" s="166" t="str">
        <f>IF(COUNTIF(I121:AC229,"&lt;&gt;")=0,"A SAISIR",IF(AND(I248="",M248=""),"LIBRE",IF(AND(I248&lt;&gt;"",Y248&lt;I248),"MANQUE",IF(AND(M248&lt;&gt;"",Y248&gt;M248),"TROP","OK"))))</f>
        <v>A SAISIR</v>
      </c>
      <c r="AD248" s="850"/>
      <c r="AE248" s="851"/>
      <c r="AF248" s="850"/>
      <c r="AG248" s="862" t="s">
        <v>5529</v>
      </c>
      <c r="AH248" s="197"/>
      <c r="AI248" s="197"/>
      <c r="AJ248" s="197"/>
      <c r="AK248" s="197"/>
    </row>
    <row r="249" spans="1:37" ht="50.1" customHeight="1" x14ac:dyDescent="0.25">
      <c r="A249" s="873" t="s">
        <v>5530</v>
      </c>
      <c r="B249" s="197" t="s">
        <v>5394</v>
      </c>
      <c r="C249" s="166" t="s">
        <v>56</v>
      </c>
      <c r="D249" s="860">
        <v>12</v>
      </c>
      <c r="E249" s="860"/>
      <c r="F249" s="850"/>
      <c r="G249" s="851"/>
      <c r="H249" s="850"/>
      <c r="I249" s="860">
        <v>8</v>
      </c>
      <c r="J249" s="850"/>
      <c r="K249" s="851"/>
      <c r="L249" s="850"/>
      <c r="M249" s="860"/>
      <c r="N249" s="850"/>
      <c r="O249" s="851"/>
      <c r="P249" s="850"/>
      <c r="Q249" s="860">
        <f>COUNTIFS(D9:D229,"Déjeuner",AC9:AC229,"Fruit cru")</f>
        <v>0</v>
      </c>
      <c r="R249" s="850"/>
      <c r="S249" s="851"/>
      <c r="T249" s="850"/>
      <c r="U249" s="166" t="str">
        <f>IF(COUNTIF(I9:AC117,"&lt;&gt;")=0,"A SAISIR",IF(AND(D249="",E249=""),"LIBRE",IF(AND(D249&lt;&gt;"",Q249&lt;D249),"MANQUE",IF(AND(E249&lt;&gt;"",Q249&gt;E249),"TROP","OK"))))</f>
        <v>A SAISIR</v>
      </c>
      <c r="V249" s="850"/>
      <c r="W249" s="851"/>
      <c r="X249" s="850"/>
      <c r="Y249" s="861">
        <f>COUNTIFS(D9:D229,"Dîner",AC9:AC229,"Fruit cru")</f>
        <v>0</v>
      </c>
      <c r="Z249" s="850"/>
      <c r="AA249" s="851"/>
      <c r="AB249" s="850"/>
      <c r="AC249" s="166" t="str">
        <f>IF(COUNTIF(I121:AC229,"&lt;&gt;")=0,"A SAISIR",IF(AND(I249="",M249=""),"LIBRE",IF(AND(I249&lt;&gt;"",Y249&lt;I249),"MANQUE",IF(AND(M249&lt;&gt;"",Y249&gt;M249),"TROP","OK"))))</f>
        <v>A SAISIR</v>
      </c>
      <c r="AD249" s="850"/>
      <c r="AE249" s="851"/>
      <c r="AF249" s="850"/>
      <c r="AG249" s="862" t="s">
        <v>5531</v>
      </c>
      <c r="AH249" s="197"/>
      <c r="AI249" s="197"/>
      <c r="AJ249" s="197"/>
      <c r="AK249" s="197"/>
    </row>
  </sheetData>
  <mergeCells count="823">
    <mergeCell ref="AH9:AH11"/>
    <mergeCell ref="AI9:AI11"/>
    <mergeCell ref="AK9:AK11"/>
    <mergeCell ref="AM9:AM11"/>
    <mergeCell ref="A13:A15"/>
    <mergeCell ref="B13:B15"/>
    <mergeCell ref="C13:C15"/>
    <mergeCell ref="D13:D15"/>
    <mergeCell ref="E13:E15"/>
    <mergeCell ref="I13:I15"/>
    <mergeCell ref="M9:M11"/>
    <mergeCell ref="Q9:Q11"/>
    <mergeCell ref="U9:U11"/>
    <mergeCell ref="Y9:Y11"/>
    <mergeCell ref="AC9:AC11"/>
    <mergeCell ref="AG9:AG11"/>
    <mergeCell ref="A9:A11"/>
    <mergeCell ref="B9:B11"/>
    <mergeCell ref="C9:C11"/>
    <mergeCell ref="D9:D11"/>
    <mergeCell ref="E9:E11"/>
    <mergeCell ref="I9:I11"/>
    <mergeCell ref="AH13:AH15"/>
    <mergeCell ref="AI13:AI15"/>
    <mergeCell ref="AM13:AM15"/>
    <mergeCell ref="A17:A19"/>
    <mergeCell ref="B17:B19"/>
    <mergeCell ref="C17:C19"/>
    <mergeCell ref="D17:D19"/>
    <mergeCell ref="E17:E19"/>
    <mergeCell ref="I17:I19"/>
    <mergeCell ref="M13:M15"/>
    <mergeCell ref="Q13:Q15"/>
    <mergeCell ref="U13:U15"/>
    <mergeCell ref="Y13:Y15"/>
    <mergeCell ref="AC13:AC15"/>
    <mergeCell ref="AG13:AG15"/>
    <mergeCell ref="AH17:AH19"/>
    <mergeCell ref="AI17:AI19"/>
    <mergeCell ref="AK17:AK19"/>
    <mergeCell ref="AM17:AM19"/>
    <mergeCell ref="Y17:Y19"/>
    <mergeCell ref="AC17:AC19"/>
    <mergeCell ref="AG17:AG19"/>
    <mergeCell ref="E21:E23"/>
    <mergeCell ref="I21:I23"/>
    <mergeCell ref="M17:M19"/>
    <mergeCell ref="Q17:Q19"/>
    <mergeCell ref="U17:U19"/>
    <mergeCell ref="AK13:AK15"/>
    <mergeCell ref="AH21:AH23"/>
    <mergeCell ref="AI21:AI23"/>
    <mergeCell ref="AK21:AK23"/>
    <mergeCell ref="AM21:AM23"/>
    <mergeCell ref="A25:A27"/>
    <mergeCell ref="B25:B27"/>
    <mergeCell ref="C25:C27"/>
    <mergeCell ref="D25:D27"/>
    <mergeCell ref="E25:E27"/>
    <mergeCell ref="I25:I27"/>
    <mergeCell ref="M21:M23"/>
    <mergeCell ref="Q21:Q23"/>
    <mergeCell ref="U21:U23"/>
    <mergeCell ref="Y21:Y23"/>
    <mergeCell ref="AC21:AC23"/>
    <mergeCell ref="AG21:AG23"/>
    <mergeCell ref="AH25:AH27"/>
    <mergeCell ref="AI25:AI27"/>
    <mergeCell ref="AK25:AK27"/>
    <mergeCell ref="AM25:AM27"/>
    <mergeCell ref="Y25:Y27"/>
    <mergeCell ref="AC25:AC27"/>
    <mergeCell ref="AG25:AG27"/>
    <mergeCell ref="A21:A23"/>
    <mergeCell ref="B21:B23"/>
    <mergeCell ref="C21:C23"/>
    <mergeCell ref="D21:D23"/>
    <mergeCell ref="B29:B31"/>
    <mergeCell ref="C29:C31"/>
    <mergeCell ref="D29:D31"/>
    <mergeCell ref="E29:E31"/>
    <mergeCell ref="I29:I31"/>
    <mergeCell ref="M25:M27"/>
    <mergeCell ref="Q25:Q27"/>
    <mergeCell ref="U25:U27"/>
    <mergeCell ref="M33:M35"/>
    <mergeCell ref="Q33:Q35"/>
    <mergeCell ref="U33:U35"/>
    <mergeCell ref="AH29:AH31"/>
    <mergeCell ref="AI29:AI31"/>
    <mergeCell ref="AK29:AK31"/>
    <mergeCell ref="AM29:AM31"/>
    <mergeCell ref="A33:A35"/>
    <mergeCell ref="B33:B35"/>
    <mergeCell ref="C33:C35"/>
    <mergeCell ref="D33:D35"/>
    <mergeCell ref="E33:E35"/>
    <mergeCell ref="I33:I35"/>
    <mergeCell ref="M29:M31"/>
    <mergeCell ref="Q29:Q31"/>
    <mergeCell ref="U29:U31"/>
    <mergeCell ref="Y29:Y31"/>
    <mergeCell ref="AC29:AC31"/>
    <mergeCell ref="AG29:AG31"/>
    <mergeCell ref="AH33:AH35"/>
    <mergeCell ref="AI33:AI35"/>
    <mergeCell ref="AK33:AK35"/>
    <mergeCell ref="AM33:AM35"/>
    <mergeCell ref="Y33:Y35"/>
    <mergeCell ref="AC33:AC35"/>
    <mergeCell ref="AG33:AG35"/>
    <mergeCell ref="A29:A31"/>
    <mergeCell ref="AI37:AI39"/>
    <mergeCell ref="AK37:AK39"/>
    <mergeCell ref="AM37:AM39"/>
    <mergeCell ref="A41:A43"/>
    <mergeCell ref="B41:B43"/>
    <mergeCell ref="C41:C43"/>
    <mergeCell ref="D41:D43"/>
    <mergeCell ref="E41:E43"/>
    <mergeCell ref="I41:I43"/>
    <mergeCell ref="M37:M39"/>
    <mergeCell ref="Q37:Q39"/>
    <mergeCell ref="U37:U39"/>
    <mergeCell ref="Y37:Y39"/>
    <mergeCell ref="AC37:AC39"/>
    <mergeCell ref="AG37:AG39"/>
    <mergeCell ref="AH41:AH43"/>
    <mergeCell ref="AI41:AI43"/>
    <mergeCell ref="AK41:AK43"/>
    <mergeCell ref="AM41:AM43"/>
    <mergeCell ref="Y41:Y43"/>
    <mergeCell ref="AC41:AC43"/>
    <mergeCell ref="AG41:AG43"/>
    <mergeCell ref="A37:A39"/>
    <mergeCell ref="B37:B39"/>
    <mergeCell ref="C45:C47"/>
    <mergeCell ref="D45:D47"/>
    <mergeCell ref="E45:E47"/>
    <mergeCell ref="I45:I47"/>
    <mergeCell ref="M41:M43"/>
    <mergeCell ref="Q41:Q43"/>
    <mergeCell ref="U41:U43"/>
    <mergeCell ref="AH37:AH39"/>
    <mergeCell ref="C37:C39"/>
    <mergeCell ref="D37:D39"/>
    <mergeCell ref="E37:E39"/>
    <mergeCell ref="I37:I39"/>
    <mergeCell ref="AH45:AH47"/>
    <mergeCell ref="AI45:AI47"/>
    <mergeCell ref="AK45:AK47"/>
    <mergeCell ref="AM45:AM47"/>
    <mergeCell ref="A49:A51"/>
    <mergeCell ref="B49:B51"/>
    <mergeCell ref="C49:C51"/>
    <mergeCell ref="D49:D51"/>
    <mergeCell ref="E49:E51"/>
    <mergeCell ref="I49:I51"/>
    <mergeCell ref="M45:M47"/>
    <mergeCell ref="Q45:Q47"/>
    <mergeCell ref="U45:U47"/>
    <mergeCell ref="Y45:Y47"/>
    <mergeCell ref="AC45:AC47"/>
    <mergeCell ref="AG45:AG47"/>
    <mergeCell ref="AH49:AH51"/>
    <mergeCell ref="AI49:AI51"/>
    <mergeCell ref="AK49:AK51"/>
    <mergeCell ref="AM49:AM51"/>
    <mergeCell ref="Y49:Y51"/>
    <mergeCell ref="AC49:AC51"/>
    <mergeCell ref="AG49:AG51"/>
    <mergeCell ref="A45:A47"/>
    <mergeCell ref="B45:B47"/>
    <mergeCell ref="B53:B55"/>
    <mergeCell ref="C53:C55"/>
    <mergeCell ref="D53:D55"/>
    <mergeCell ref="E53:E55"/>
    <mergeCell ref="I53:I55"/>
    <mergeCell ref="M49:M51"/>
    <mergeCell ref="Q49:Q51"/>
    <mergeCell ref="U49:U51"/>
    <mergeCell ref="M57:M59"/>
    <mergeCell ref="Q57:Q59"/>
    <mergeCell ref="U57:U59"/>
    <mergeCell ref="AH53:AH55"/>
    <mergeCell ref="AI53:AI55"/>
    <mergeCell ref="AK53:AK55"/>
    <mergeCell ref="AM53:AM55"/>
    <mergeCell ref="A57:A59"/>
    <mergeCell ref="B57:B59"/>
    <mergeCell ref="C57:C59"/>
    <mergeCell ref="D57:D59"/>
    <mergeCell ref="E57:E59"/>
    <mergeCell ref="I57:I59"/>
    <mergeCell ref="M53:M55"/>
    <mergeCell ref="Q53:Q55"/>
    <mergeCell ref="U53:U55"/>
    <mergeCell ref="Y53:Y55"/>
    <mergeCell ref="AC53:AC55"/>
    <mergeCell ref="AG53:AG55"/>
    <mergeCell ref="AH57:AH59"/>
    <mergeCell ref="AI57:AI59"/>
    <mergeCell ref="AK57:AK59"/>
    <mergeCell ref="AM57:AM59"/>
    <mergeCell ref="Y57:Y59"/>
    <mergeCell ref="AC57:AC59"/>
    <mergeCell ref="AG57:AG59"/>
    <mergeCell ref="A53:A55"/>
    <mergeCell ref="AI61:AI63"/>
    <mergeCell ref="AK61:AK63"/>
    <mergeCell ref="AM61:AM63"/>
    <mergeCell ref="A65:A67"/>
    <mergeCell ref="B65:B67"/>
    <mergeCell ref="C65:C67"/>
    <mergeCell ref="D65:D67"/>
    <mergeCell ref="E65:E67"/>
    <mergeCell ref="I65:I67"/>
    <mergeCell ref="M61:M63"/>
    <mergeCell ref="Q61:Q63"/>
    <mergeCell ref="U61:U63"/>
    <mergeCell ref="Y61:Y63"/>
    <mergeCell ref="AC61:AC63"/>
    <mergeCell ref="AG61:AG63"/>
    <mergeCell ref="AH65:AH67"/>
    <mergeCell ref="AI65:AI67"/>
    <mergeCell ref="AK65:AK67"/>
    <mergeCell ref="AM65:AM67"/>
    <mergeCell ref="Y65:Y67"/>
    <mergeCell ref="AC65:AC67"/>
    <mergeCell ref="AG65:AG67"/>
    <mergeCell ref="A61:A63"/>
    <mergeCell ref="B61:B63"/>
    <mergeCell ref="C69:C71"/>
    <mergeCell ref="D69:D71"/>
    <mergeCell ref="E69:E71"/>
    <mergeCell ref="I69:I71"/>
    <mergeCell ref="M65:M67"/>
    <mergeCell ref="Q65:Q67"/>
    <mergeCell ref="U65:U67"/>
    <mergeCell ref="AH61:AH63"/>
    <mergeCell ref="C61:C63"/>
    <mergeCell ref="D61:D63"/>
    <mergeCell ref="E61:E63"/>
    <mergeCell ref="I61:I63"/>
    <mergeCell ref="AH69:AH71"/>
    <mergeCell ref="AI69:AI71"/>
    <mergeCell ref="AK69:AK71"/>
    <mergeCell ref="AM69:AM71"/>
    <mergeCell ref="A73:A75"/>
    <mergeCell ref="B73:B75"/>
    <mergeCell ref="C73:C75"/>
    <mergeCell ref="D73:D75"/>
    <mergeCell ref="E73:E75"/>
    <mergeCell ref="I73:I75"/>
    <mergeCell ref="M69:M71"/>
    <mergeCell ref="Q69:Q71"/>
    <mergeCell ref="U69:U71"/>
    <mergeCell ref="Y69:Y71"/>
    <mergeCell ref="AC69:AC71"/>
    <mergeCell ref="AG69:AG71"/>
    <mergeCell ref="AH73:AH75"/>
    <mergeCell ref="AI73:AI75"/>
    <mergeCell ref="AK73:AK75"/>
    <mergeCell ref="AM73:AM75"/>
    <mergeCell ref="Y73:Y75"/>
    <mergeCell ref="AC73:AC75"/>
    <mergeCell ref="AG73:AG75"/>
    <mergeCell ref="A69:A71"/>
    <mergeCell ref="B69:B71"/>
    <mergeCell ref="AH81:AH83"/>
    <mergeCell ref="A77:A79"/>
    <mergeCell ref="B77:B79"/>
    <mergeCell ref="C77:C79"/>
    <mergeCell ref="D77:D79"/>
    <mergeCell ref="E77:E79"/>
    <mergeCell ref="I77:I79"/>
    <mergeCell ref="M73:M75"/>
    <mergeCell ref="Q73:Q75"/>
    <mergeCell ref="U73:U75"/>
    <mergeCell ref="Q85:Q87"/>
    <mergeCell ref="Q81:Q83"/>
    <mergeCell ref="AH77:AH79"/>
    <mergeCell ref="AI77:AI79"/>
    <mergeCell ref="AK77:AK79"/>
    <mergeCell ref="A81:A83"/>
    <mergeCell ref="B81:B83"/>
    <mergeCell ref="C81:C83"/>
    <mergeCell ref="D81:D83"/>
    <mergeCell ref="E81:E83"/>
    <mergeCell ref="I81:I83"/>
    <mergeCell ref="M81:M83"/>
    <mergeCell ref="M77:M79"/>
    <mergeCell ref="Q77:Q79"/>
    <mergeCell ref="U77:U79"/>
    <mergeCell ref="Y77:Y79"/>
    <mergeCell ref="AC77:AC79"/>
    <mergeCell ref="AG77:AG79"/>
    <mergeCell ref="AI81:AI83"/>
    <mergeCell ref="AK81:AK83"/>
    <mergeCell ref="U81:U83"/>
    <mergeCell ref="Y81:Y83"/>
    <mergeCell ref="AC81:AC83"/>
    <mergeCell ref="AG81:AG83"/>
    <mergeCell ref="AK89:AK91"/>
    <mergeCell ref="AK85:AK87"/>
    <mergeCell ref="A89:A91"/>
    <mergeCell ref="B89:B91"/>
    <mergeCell ref="C89:C91"/>
    <mergeCell ref="D89:D91"/>
    <mergeCell ref="E89:E91"/>
    <mergeCell ref="I89:I91"/>
    <mergeCell ref="M89:M91"/>
    <mergeCell ref="Q89:Q91"/>
    <mergeCell ref="U89:U91"/>
    <mergeCell ref="U85:U87"/>
    <mergeCell ref="Y85:Y87"/>
    <mergeCell ref="AC85:AC87"/>
    <mergeCell ref="AG85:AG87"/>
    <mergeCell ref="AH85:AH87"/>
    <mergeCell ref="AI85:AI87"/>
    <mergeCell ref="A85:A87"/>
    <mergeCell ref="B85:B87"/>
    <mergeCell ref="C85:C87"/>
    <mergeCell ref="D85:D87"/>
    <mergeCell ref="E85:E87"/>
    <mergeCell ref="I85:I87"/>
    <mergeCell ref="M85:M87"/>
    <mergeCell ref="Y89:Y91"/>
    <mergeCell ref="AC89:AC91"/>
    <mergeCell ref="AG89:AG91"/>
    <mergeCell ref="AH89:AH91"/>
    <mergeCell ref="AI89:AI91"/>
    <mergeCell ref="U97:U99"/>
    <mergeCell ref="Y97:Y99"/>
    <mergeCell ref="AC97:AC99"/>
    <mergeCell ref="AG97:AG99"/>
    <mergeCell ref="AH97:AH99"/>
    <mergeCell ref="AH93:AH95"/>
    <mergeCell ref="AI93:AI95"/>
    <mergeCell ref="AK93:AK95"/>
    <mergeCell ref="A97:A99"/>
    <mergeCell ref="B97:B99"/>
    <mergeCell ref="C97:C99"/>
    <mergeCell ref="D97:D99"/>
    <mergeCell ref="E97:E99"/>
    <mergeCell ref="I97:I99"/>
    <mergeCell ref="M97:M99"/>
    <mergeCell ref="M93:M95"/>
    <mergeCell ref="Q93:Q95"/>
    <mergeCell ref="U93:U95"/>
    <mergeCell ref="Y93:Y95"/>
    <mergeCell ref="AC93:AC95"/>
    <mergeCell ref="AG93:AG95"/>
    <mergeCell ref="A93:A95"/>
    <mergeCell ref="B93:B95"/>
    <mergeCell ref="C93:C95"/>
    <mergeCell ref="D93:D95"/>
    <mergeCell ref="E93:E95"/>
    <mergeCell ref="I93:I95"/>
    <mergeCell ref="AI97:AI99"/>
    <mergeCell ref="Q97:Q99"/>
    <mergeCell ref="D109:D111"/>
    <mergeCell ref="E109:E111"/>
    <mergeCell ref="I109:I111"/>
    <mergeCell ref="M109:M111"/>
    <mergeCell ref="I105:I107"/>
    <mergeCell ref="M105:M107"/>
    <mergeCell ref="I101:I103"/>
    <mergeCell ref="M101:M103"/>
    <mergeCell ref="Q101:Q103"/>
    <mergeCell ref="AI101:AI103"/>
    <mergeCell ref="A105:A107"/>
    <mergeCell ref="B105:B107"/>
    <mergeCell ref="C105:C107"/>
    <mergeCell ref="D105:D107"/>
    <mergeCell ref="E105:E107"/>
    <mergeCell ref="AG105:AG107"/>
    <mergeCell ref="AH105:AH107"/>
    <mergeCell ref="AI105:AI107"/>
    <mergeCell ref="Q105:Q107"/>
    <mergeCell ref="U105:U107"/>
    <mergeCell ref="Y105:Y107"/>
    <mergeCell ref="AC105:AC107"/>
    <mergeCell ref="A101:A103"/>
    <mergeCell ref="B101:B103"/>
    <mergeCell ref="C101:C103"/>
    <mergeCell ref="D101:D103"/>
    <mergeCell ref="E101:E103"/>
    <mergeCell ref="Y101:Y103"/>
    <mergeCell ref="AC101:AC103"/>
    <mergeCell ref="AG101:AG103"/>
    <mergeCell ref="AH101:AH103"/>
    <mergeCell ref="U101:U103"/>
    <mergeCell ref="AI109:AI111"/>
    <mergeCell ref="A113:A115"/>
    <mergeCell ref="B113:B115"/>
    <mergeCell ref="C113:C115"/>
    <mergeCell ref="D113:D115"/>
    <mergeCell ref="E113:E115"/>
    <mergeCell ref="I113:I115"/>
    <mergeCell ref="M113:M115"/>
    <mergeCell ref="Q113:Q115"/>
    <mergeCell ref="U113:U115"/>
    <mergeCell ref="Q109:Q111"/>
    <mergeCell ref="U109:U111"/>
    <mergeCell ref="Y109:Y111"/>
    <mergeCell ref="AC109:AC111"/>
    <mergeCell ref="AG109:AG111"/>
    <mergeCell ref="AH109:AH111"/>
    <mergeCell ref="Y113:Y115"/>
    <mergeCell ref="AC113:AC115"/>
    <mergeCell ref="AG113:AG115"/>
    <mergeCell ref="AH113:AH115"/>
    <mergeCell ref="AI113:AI115"/>
    <mergeCell ref="A109:A111"/>
    <mergeCell ref="B109:B111"/>
    <mergeCell ref="C109:C111"/>
    <mergeCell ref="A117:A119"/>
    <mergeCell ref="B117:B119"/>
    <mergeCell ref="C117:C119"/>
    <mergeCell ref="D117:D119"/>
    <mergeCell ref="E117:E119"/>
    <mergeCell ref="AG117:AG119"/>
    <mergeCell ref="AH117:AH119"/>
    <mergeCell ref="AI117:AI119"/>
    <mergeCell ref="A121:A123"/>
    <mergeCell ref="B121:B123"/>
    <mergeCell ref="C121:C123"/>
    <mergeCell ref="D121:D123"/>
    <mergeCell ref="E121:E123"/>
    <mergeCell ref="I121:I123"/>
    <mergeCell ref="M121:M123"/>
    <mergeCell ref="I117:I119"/>
    <mergeCell ref="M117:M119"/>
    <mergeCell ref="Q117:Q119"/>
    <mergeCell ref="U117:U119"/>
    <mergeCell ref="Y117:Y119"/>
    <mergeCell ref="AC117:AC119"/>
    <mergeCell ref="AI121:AI123"/>
    <mergeCell ref="Q121:Q123"/>
    <mergeCell ref="U121:U123"/>
    <mergeCell ref="A125:A127"/>
    <mergeCell ref="B125:B127"/>
    <mergeCell ref="C125:C127"/>
    <mergeCell ref="D125:D127"/>
    <mergeCell ref="E125:E127"/>
    <mergeCell ref="I125:I127"/>
    <mergeCell ref="M125:M127"/>
    <mergeCell ref="Q125:Q127"/>
    <mergeCell ref="U125:U127"/>
    <mergeCell ref="Y121:Y123"/>
    <mergeCell ref="AC121:AC123"/>
    <mergeCell ref="AG121:AG123"/>
    <mergeCell ref="AH121:AH123"/>
    <mergeCell ref="Y125:Y127"/>
    <mergeCell ref="AC125:AC127"/>
    <mergeCell ref="AG125:AG127"/>
    <mergeCell ref="AH125:AH127"/>
    <mergeCell ref="AI125:AI127"/>
    <mergeCell ref="A129:A131"/>
    <mergeCell ref="B129:B131"/>
    <mergeCell ref="C129:C131"/>
    <mergeCell ref="D129:D131"/>
    <mergeCell ref="E129:E131"/>
    <mergeCell ref="AG129:AG131"/>
    <mergeCell ref="AH129:AH131"/>
    <mergeCell ref="AI129:AI131"/>
    <mergeCell ref="A133:A135"/>
    <mergeCell ref="B133:B135"/>
    <mergeCell ref="C133:C135"/>
    <mergeCell ref="D133:D135"/>
    <mergeCell ref="E133:E135"/>
    <mergeCell ref="I133:I135"/>
    <mergeCell ref="M133:M135"/>
    <mergeCell ref="I129:I131"/>
    <mergeCell ref="M129:M131"/>
    <mergeCell ref="Q129:Q131"/>
    <mergeCell ref="U129:U131"/>
    <mergeCell ref="Y129:Y131"/>
    <mergeCell ref="AC129:AC131"/>
    <mergeCell ref="AI133:AI135"/>
    <mergeCell ref="Q133:Q135"/>
    <mergeCell ref="U133:U135"/>
    <mergeCell ref="A137:A139"/>
    <mergeCell ref="B137:B139"/>
    <mergeCell ref="C137:C139"/>
    <mergeCell ref="D137:D139"/>
    <mergeCell ref="E137:E139"/>
    <mergeCell ref="I137:I139"/>
    <mergeCell ref="M137:M139"/>
    <mergeCell ref="Q137:Q139"/>
    <mergeCell ref="U137:U139"/>
    <mergeCell ref="Y133:Y135"/>
    <mergeCell ref="AC133:AC135"/>
    <mergeCell ref="AG133:AG135"/>
    <mergeCell ref="AH133:AH135"/>
    <mergeCell ref="Y137:Y139"/>
    <mergeCell ref="AC137:AC139"/>
    <mergeCell ref="AG137:AG139"/>
    <mergeCell ref="AH137:AH139"/>
    <mergeCell ref="AI137:AI139"/>
    <mergeCell ref="A141:A143"/>
    <mergeCell ref="B141:B143"/>
    <mergeCell ref="C141:C143"/>
    <mergeCell ref="D141:D143"/>
    <mergeCell ref="E141:E143"/>
    <mergeCell ref="AG141:AG143"/>
    <mergeCell ref="AH141:AH143"/>
    <mergeCell ref="AI141:AI143"/>
    <mergeCell ref="A145:A147"/>
    <mergeCell ref="B145:B147"/>
    <mergeCell ref="C145:C147"/>
    <mergeCell ref="D145:D147"/>
    <mergeCell ref="E145:E147"/>
    <mergeCell ref="I145:I147"/>
    <mergeCell ref="M145:M147"/>
    <mergeCell ref="I141:I143"/>
    <mergeCell ref="M141:M143"/>
    <mergeCell ref="Q141:Q143"/>
    <mergeCell ref="U141:U143"/>
    <mergeCell ref="Y141:Y143"/>
    <mergeCell ref="AC141:AC143"/>
    <mergeCell ref="AI145:AI147"/>
    <mergeCell ref="Q145:Q147"/>
    <mergeCell ref="U145:U147"/>
    <mergeCell ref="A149:A151"/>
    <mergeCell ref="B149:B151"/>
    <mergeCell ref="C149:C151"/>
    <mergeCell ref="D149:D151"/>
    <mergeCell ref="E149:E151"/>
    <mergeCell ref="I149:I151"/>
    <mergeCell ref="M149:M151"/>
    <mergeCell ref="Q149:Q151"/>
    <mergeCell ref="U149:U151"/>
    <mergeCell ref="Y145:Y147"/>
    <mergeCell ref="AC145:AC147"/>
    <mergeCell ref="AG145:AG147"/>
    <mergeCell ref="AH145:AH147"/>
    <mergeCell ref="Y149:Y151"/>
    <mergeCell ref="AC149:AC151"/>
    <mergeCell ref="AG149:AG151"/>
    <mergeCell ref="AH149:AH151"/>
    <mergeCell ref="AI149:AI151"/>
    <mergeCell ref="A153:A155"/>
    <mergeCell ref="B153:B155"/>
    <mergeCell ref="C153:C155"/>
    <mergeCell ref="D153:D155"/>
    <mergeCell ref="E153:E155"/>
    <mergeCell ref="AG153:AG155"/>
    <mergeCell ref="AH153:AH155"/>
    <mergeCell ref="AI153:AI155"/>
    <mergeCell ref="A157:A159"/>
    <mergeCell ref="B157:B159"/>
    <mergeCell ref="C157:C159"/>
    <mergeCell ref="D157:D159"/>
    <mergeCell ref="E157:E159"/>
    <mergeCell ref="I157:I159"/>
    <mergeCell ref="M157:M159"/>
    <mergeCell ref="I153:I155"/>
    <mergeCell ref="M153:M155"/>
    <mergeCell ref="Q153:Q155"/>
    <mergeCell ref="U153:U155"/>
    <mergeCell ref="Y153:Y155"/>
    <mergeCell ref="AC153:AC155"/>
    <mergeCell ref="AI157:AI159"/>
    <mergeCell ref="Q157:Q159"/>
    <mergeCell ref="U157:U159"/>
    <mergeCell ref="A161:A163"/>
    <mergeCell ref="B161:B163"/>
    <mergeCell ref="C161:C163"/>
    <mergeCell ref="D161:D163"/>
    <mergeCell ref="E161:E163"/>
    <mergeCell ref="I161:I163"/>
    <mergeCell ref="M161:M163"/>
    <mergeCell ref="Q161:Q163"/>
    <mergeCell ref="U161:U163"/>
    <mergeCell ref="Y157:Y159"/>
    <mergeCell ref="AC157:AC159"/>
    <mergeCell ref="AG157:AG159"/>
    <mergeCell ref="AH157:AH159"/>
    <mergeCell ref="Y161:Y163"/>
    <mergeCell ref="AC161:AC163"/>
    <mergeCell ref="AG161:AG163"/>
    <mergeCell ref="AH161:AH163"/>
    <mergeCell ref="AI161:AI163"/>
    <mergeCell ref="A165:A167"/>
    <mergeCell ref="B165:B167"/>
    <mergeCell ref="C165:C167"/>
    <mergeCell ref="D165:D167"/>
    <mergeCell ref="E165:E167"/>
    <mergeCell ref="AG165:AG167"/>
    <mergeCell ref="AH165:AH167"/>
    <mergeCell ref="AI165:AI167"/>
    <mergeCell ref="A169:A171"/>
    <mergeCell ref="B169:B171"/>
    <mergeCell ref="C169:C171"/>
    <mergeCell ref="D169:D171"/>
    <mergeCell ref="E169:E171"/>
    <mergeCell ref="I169:I171"/>
    <mergeCell ref="M169:M171"/>
    <mergeCell ref="I165:I167"/>
    <mergeCell ref="M165:M167"/>
    <mergeCell ref="Q165:Q167"/>
    <mergeCell ref="U165:U167"/>
    <mergeCell ref="Y165:Y167"/>
    <mergeCell ref="AC165:AC167"/>
    <mergeCell ref="AI169:AI171"/>
    <mergeCell ref="Q169:Q171"/>
    <mergeCell ref="U169:U171"/>
    <mergeCell ref="A173:A175"/>
    <mergeCell ref="B173:B175"/>
    <mergeCell ref="C173:C175"/>
    <mergeCell ref="D173:D175"/>
    <mergeCell ref="E173:E175"/>
    <mergeCell ref="I173:I175"/>
    <mergeCell ref="M173:M175"/>
    <mergeCell ref="Q173:Q175"/>
    <mergeCell ref="U173:U175"/>
    <mergeCell ref="Y169:Y171"/>
    <mergeCell ref="AC169:AC171"/>
    <mergeCell ref="AG169:AG171"/>
    <mergeCell ref="AH169:AH171"/>
    <mergeCell ref="Y173:Y175"/>
    <mergeCell ref="AC173:AC175"/>
    <mergeCell ref="AG173:AG175"/>
    <mergeCell ref="AH173:AH175"/>
    <mergeCell ref="AI173:AI175"/>
    <mergeCell ref="A177:A179"/>
    <mergeCell ref="B177:B179"/>
    <mergeCell ref="C177:C179"/>
    <mergeCell ref="D177:D179"/>
    <mergeCell ref="E177:E179"/>
    <mergeCell ref="AG177:AG179"/>
    <mergeCell ref="AH177:AH179"/>
    <mergeCell ref="AI177:AI179"/>
    <mergeCell ref="A181:A183"/>
    <mergeCell ref="B181:B183"/>
    <mergeCell ref="C181:C183"/>
    <mergeCell ref="D181:D183"/>
    <mergeCell ref="E181:E183"/>
    <mergeCell ref="I181:I183"/>
    <mergeCell ref="M181:M183"/>
    <mergeCell ref="I177:I179"/>
    <mergeCell ref="M177:M179"/>
    <mergeCell ref="Q177:Q179"/>
    <mergeCell ref="U177:U179"/>
    <mergeCell ref="Y177:Y179"/>
    <mergeCell ref="AC177:AC179"/>
    <mergeCell ref="AI181:AI183"/>
    <mergeCell ref="Q181:Q183"/>
    <mergeCell ref="U181:U183"/>
    <mergeCell ref="A185:A187"/>
    <mergeCell ref="B185:B187"/>
    <mergeCell ref="C185:C187"/>
    <mergeCell ref="D185:D187"/>
    <mergeCell ref="E185:E187"/>
    <mergeCell ref="I185:I187"/>
    <mergeCell ref="M185:M187"/>
    <mergeCell ref="Q185:Q187"/>
    <mergeCell ref="U185:U187"/>
    <mergeCell ref="Y181:Y183"/>
    <mergeCell ref="AC181:AC183"/>
    <mergeCell ref="AG181:AG183"/>
    <mergeCell ref="AH181:AH183"/>
    <mergeCell ref="Y185:Y187"/>
    <mergeCell ref="AC185:AC187"/>
    <mergeCell ref="AG185:AG187"/>
    <mergeCell ref="AH185:AH187"/>
    <mergeCell ref="AI185:AI187"/>
    <mergeCell ref="A189:A191"/>
    <mergeCell ref="B189:B191"/>
    <mergeCell ref="C189:C191"/>
    <mergeCell ref="D189:D191"/>
    <mergeCell ref="E189:E191"/>
    <mergeCell ref="AG189:AG191"/>
    <mergeCell ref="AH189:AH191"/>
    <mergeCell ref="AI189:AI191"/>
    <mergeCell ref="A193:A195"/>
    <mergeCell ref="B193:B195"/>
    <mergeCell ref="C193:C195"/>
    <mergeCell ref="D193:D195"/>
    <mergeCell ref="E193:E195"/>
    <mergeCell ref="I193:I195"/>
    <mergeCell ref="M193:M195"/>
    <mergeCell ref="I189:I191"/>
    <mergeCell ref="M189:M191"/>
    <mergeCell ref="Q189:Q191"/>
    <mergeCell ref="U189:U191"/>
    <mergeCell ref="Y189:Y191"/>
    <mergeCell ref="AC189:AC191"/>
    <mergeCell ref="AI193:AI195"/>
    <mergeCell ref="Q193:Q195"/>
    <mergeCell ref="U193:U195"/>
    <mergeCell ref="A197:A199"/>
    <mergeCell ref="B197:B199"/>
    <mergeCell ref="C197:C199"/>
    <mergeCell ref="D197:D199"/>
    <mergeCell ref="E197:E199"/>
    <mergeCell ref="I197:I199"/>
    <mergeCell ref="M197:M199"/>
    <mergeCell ref="Q197:Q199"/>
    <mergeCell ref="U197:U199"/>
    <mergeCell ref="Y193:Y195"/>
    <mergeCell ref="AC193:AC195"/>
    <mergeCell ref="AG193:AG195"/>
    <mergeCell ref="AH193:AH195"/>
    <mergeCell ref="Y197:Y199"/>
    <mergeCell ref="AC197:AC199"/>
    <mergeCell ref="AG197:AG199"/>
    <mergeCell ref="AH197:AH199"/>
    <mergeCell ref="AI197:AI199"/>
    <mergeCell ref="A201:A203"/>
    <mergeCell ref="B201:B203"/>
    <mergeCell ref="C201:C203"/>
    <mergeCell ref="D201:D203"/>
    <mergeCell ref="E201:E203"/>
    <mergeCell ref="AG201:AG203"/>
    <mergeCell ref="AH201:AH203"/>
    <mergeCell ref="AI201:AI203"/>
    <mergeCell ref="A205:A207"/>
    <mergeCell ref="B205:B207"/>
    <mergeCell ref="C205:C207"/>
    <mergeCell ref="D205:D207"/>
    <mergeCell ref="E205:E207"/>
    <mergeCell ref="I205:I207"/>
    <mergeCell ref="M205:M207"/>
    <mergeCell ref="I201:I203"/>
    <mergeCell ref="M201:M203"/>
    <mergeCell ref="Q201:Q203"/>
    <mergeCell ref="U201:U203"/>
    <mergeCell ref="Y201:Y203"/>
    <mergeCell ref="AC201:AC203"/>
    <mergeCell ref="AI205:AI207"/>
    <mergeCell ref="Q205:Q207"/>
    <mergeCell ref="U205:U207"/>
    <mergeCell ref="A209:A211"/>
    <mergeCell ref="B209:B211"/>
    <mergeCell ref="C209:C211"/>
    <mergeCell ref="D209:D211"/>
    <mergeCell ref="E209:E211"/>
    <mergeCell ref="I209:I211"/>
    <mergeCell ref="M209:M211"/>
    <mergeCell ref="Q209:Q211"/>
    <mergeCell ref="U209:U211"/>
    <mergeCell ref="Y205:Y207"/>
    <mergeCell ref="AC205:AC207"/>
    <mergeCell ref="AG205:AG207"/>
    <mergeCell ref="AH205:AH207"/>
    <mergeCell ref="Y209:Y211"/>
    <mergeCell ref="AC209:AC211"/>
    <mergeCell ref="AG209:AG211"/>
    <mergeCell ref="AH209:AH211"/>
    <mergeCell ref="AI209:AI211"/>
    <mergeCell ref="A213:A215"/>
    <mergeCell ref="B213:B215"/>
    <mergeCell ref="C213:C215"/>
    <mergeCell ref="D213:D215"/>
    <mergeCell ref="E213:E215"/>
    <mergeCell ref="AG213:AG215"/>
    <mergeCell ref="AH213:AH215"/>
    <mergeCell ref="AI213:AI215"/>
    <mergeCell ref="A217:A219"/>
    <mergeCell ref="B217:B219"/>
    <mergeCell ref="C217:C219"/>
    <mergeCell ref="D217:D219"/>
    <mergeCell ref="E217:E219"/>
    <mergeCell ref="I217:I219"/>
    <mergeCell ref="M217:M219"/>
    <mergeCell ref="I213:I215"/>
    <mergeCell ref="M213:M215"/>
    <mergeCell ref="Q213:Q215"/>
    <mergeCell ref="U213:U215"/>
    <mergeCell ref="Y213:Y215"/>
    <mergeCell ref="AC213:AC215"/>
    <mergeCell ref="AI217:AI219"/>
    <mergeCell ref="Q217:Q219"/>
    <mergeCell ref="U217:U219"/>
    <mergeCell ref="A221:A223"/>
    <mergeCell ref="B221:B223"/>
    <mergeCell ref="C221:C223"/>
    <mergeCell ref="D221:D223"/>
    <mergeCell ref="E221:E223"/>
    <mergeCell ref="I221:I223"/>
    <mergeCell ref="M221:M223"/>
    <mergeCell ref="Q221:Q223"/>
    <mergeCell ref="U221:U223"/>
    <mergeCell ref="Y217:Y219"/>
    <mergeCell ref="AC217:AC219"/>
    <mergeCell ref="AG217:AG219"/>
    <mergeCell ref="AH217:AH219"/>
    <mergeCell ref="Y221:Y223"/>
    <mergeCell ref="AC221:AC223"/>
    <mergeCell ref="AG221:AG223"/>
    <mergeCell ref="AH221:AH223"/>
    <mergeCell ref="AI221:AI223"/>
    <mergeCell ref="A225:A227"/>
    <mergeCell ref="B225:B227"/>
    <mergeCell ref="C225:C227"/>
    <mergeCell ref="D225:D227"/>
    <mergeCell ref="E225:E227"/>
    <mergeCell ref="A229:A231"/>
    <mergeCell ref="B229:B231"/>
    <mergeCell ref="C229:C231"/>
    <mergeCell ref="D229:D231"/>
    <mergeCell ref="E229:E231"/>
    <mergeCell ref="I229:I231"/>
    <mergeCell ref="M229:M231"/>
    <mergeCell ref="I225:I227"/>
    <mergeCell ref="M225:M227"/>
    <mergeCell ref="AI229:AI231"/>
    <mergeCell ref="Q229:Q231"/>
    <mergeCell ref="U229:U231"/>
    <mergeCell ref="Y229:Y231"/>
    <mergeCell ref="AC229:AC231"/>
    <mergeCell ref="AG229:AG231"/>
    <mergeCell ref="AH229:AH231"/>
    <mergeCell ref="AG225:AG227"/>
    <mergeCell ref="AH225:AH227"/>
    <mergeCell ref="AI225:AI227"/>
    <mergeCell ref="Q225:Q227"/>
    <mergeCell ref="U225:U227"/>
    <mergeCell ref="Y225:Y227"/>
    <mergeCell ref="AC225:AC22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828B1-9656-49E7-A515-37147D251E55}">
  <dimension ref="A1:Z162"/>
  <sheetViews>
    <sheetView workbookViewId="0"/>
  </sheetViews>
  <sheetFormatPr baseColWidth="10" defaultColWidth="9" defaultRowHeight="15" x14ac:dyDescent="0.25"/>
  <cols>
    <col min="1" max="1" width="9" style="810" customWidth="1"/>
    <col min="2" max="2" width="24" style="810" customWidth="1"/>
    <col min="3" max="3" width="26" style="810" customWidth="1"/>
    <col min="4" max="4" width="20" style="810" customWidth="1"/>
    <col min="5" max="5" width="28" style="810" customWidth="1"/>
    <col min="6" max="6" width="18" style="810" customWidth="1"/>
    <col min="7" max="7" width="24" style="810" customWidth="1"/>
    <col min="8" max="8" width="22" style="810" customWidth="1"/>
    <col min="9" max="9" width="34" style="810" customWidth="1"/>
    <col min="10" max="10" width="38" style="810" customWidth="1"/>
    <col min="11" max="11" width="10" style="810" customWidth="1"/>
    <col min="12" max="12" width="18" style="810" customWidth="1"/>
    <col min="13" max="13" width="75" style="810" customWidth="1"/>
    <col min="14" max="25" width="6" style="810" customWidth="1"/>
    <col min="26" max="26" width="42" style="810" customWidth="1"/>
    <col min="27" max="16384" width="9" style="810"/>
  </cols>
  <sheetData>
    <row r="1" spans="1:26" ht="21" customHeight="1" x14ac:dyDescent="0.25">
      <c r="A1" s="1017" t="s">
        <v>7343</v>
      </c>
      <c r="B1" s="1017" t="s">
        <v>7342</v>
      </c>
      <c r="C1" s="1017" t="s">
        <v>7341</v>
      </c>
      <c r="D1" s="1017" t="s">
        <v>7340</v>
      </c>
      <c r="E1" s="1017" t="s">
        <v>7339</v>
      </c>
      <c r="F1" s="1017" t="s">
        <v>7338</v>
      </c>
      <c r="G1" s="1017" t="s">
        <v>7337</v>
      </c>
      <c r="H1" s="1017" t="s">
        <v>7336</v>
      </c>
      <c r="I1" s="1017" t="s">
        <v>7335</v>
      </c>
      <c r="J1" s="1017" t="s">
        <v>7334</v>
      </c>
      <c r="K1" s="1017" t="s">
        <v>7333</v>
      </c>
      <c r="L1" s="1017" t="s">
        <v>7332</v>
      </c>
      <c r="M1" s="1017" t="s">
        <v>7331</v>
      </c>
      <c r="N1" s="1017" t="s">
        <v>7330</v>
      </c>
      <c r="O1" s="1017" t="s">
        <v>7329</v>
      </c>
      <c r="P1" s="1017" t="s">
        <v>7328</v>
      </c>
      <c r="Q1" s="1017" t="s">
        <v>7327</v>
      </c>
      <c r="R1" s="1017" t="s">
        <v>7326</v>
      </c>
      <c r="S1" s="1017" t="s">
        <v>7325</v>
      </c>
      <c r="T1" s="1017" t="s">
        <v>7324</v>
      </c>
      <c r="U1" s="1017" t="s">
        <v>7323</v>
      </c>
      <c r="V1" s="1017" t="s">
        <v>7322</v>
      </c>
      <c r="W1" s="1017" t="s">
        <v>7321</v>
      </c>
      <c r="X1" s="1017" t="s">
        <v>7320</v>
      </c>
      <c r="Y1" s="1017" t="s">
        <v>7319</v>
      </c>
      <c r="Z1" s="1017" t="s">
        <v>7318</v>
      </c>
    </row>
    <row r="2" spans="1:26" ht="21" customHeight="1" x14ac:dyDescent="0.25">
      <c r="A2" s="213" t="s">
        <v>7317</v>
      </c>
      <c r="B2" s="213" t="s">
        <v>7316</v>
      </c>
      <c r="C2" s="1008" t="s">
        <v>7316</v>
      </c>
      <c r="D2" s="213" t="s">
        <v>521</v>
      </c>
      <c r="E2" s="213" t="s">
        <v>6974</v>
      </c>
      <c r="F2" s="1007" t="s">
        <v>6981</v>
      </c>
      <c r="G2" s="213"/>
      <c r="H2" s="213" t="s">
        <v>6856</v>
      </c>
      <c r="I2" s="213" t="s">
        <v>7149</v>
      </c>
      <c r="J2" s="213" t="s">
        <v>7042</v>
      </c>
      <c r="K2" s="213" t="s">
        <v>6853</v>
      </c>
      <c r="L2" s="213" t="s">
        <v>6852</v>
      </c>
      <c r="M2" s="213" t="s">
        <v>6851</v>
      </c>
      <c r="N2" s="987"/>
      <c r="O2" s="987"/>
      <c r="P2" s="987"/>
      <c r="Q2" s="987"/>
      <c r="R2" s="987"/>
      <c r="S2" s="986" t="s">
        <v>4876</v>
      </c>
      <c r="T2" s="986" t="s">
        <v>4876</v>
      </c>
      <c r="U2" s="986" t="s">
        <v>4876</v>
      </c>
      <c r="V2" s="987"/>
      <c r="W2" s="987"/>
      <c r="X2" s="987"/>
      <c r="Y2" s="987"/>
      <c r="Z2" s="213" t="s">
        <v>6850</v>
      </c>
    </row>
    <row r="3" spans="1:26" ht="21" customHeight="1" x14ac:dyDescent="0.25">
      <c r="A3" s="213" t="s">
        <v>7315</v>
      </c>
      <c r="B3" s="213" t="s">
        <v>7314</v>
      </c>
      <c r="C3" s="240" t="s">
        <v>7314</v>
      </c>
      <c r="D3" s="213" t="s">
        <v>7072</v>
      </c>
      <c r="E3" s="213" t="s">
        <v>6893</v>
      </c>
      <c r="F3" s="239" t="s">
        <v>6858</v>
      </c>
      <c r="G3" s="213" t="s">
        <v>7076</v>
      </c>
      <c r="H3" s="213" t="s">
        <v>6980</v>
      </c>
      <c r="I3" s="213" t="s">
        <v>7313</v>
      </c>
      <c r="J3" s="213" t="s">
        <v>7000</v>
      </c>
      <c r="K3" s="213" t="s">
        <v>6906</v>
      </c>
      <c r="L3" s="213" t="s">
        <v>6905</v>
      </c>
      <c r="M3" s="213" t="s">
        <v>6977</v>
      </c>
      <c r="N3" s="987" t="s">
        <v>4904</v>
      </c>
      <c r="O3" s="987" t="s">
        <v>4904</v>
      </c>
      <c r="P3" s="987" t="s">
        <v>4904</v>
      </c>
      <c r="Q3" s="987" t="s">
        <v>4904</v>
      </c>
      <c r="R3" s="988" t="s">
        <v>4876</v>
      </c>
      <c r="S3" s="988" t="s">
        <v>4876</v>
      </c>
      <c r="T3" s="988" t="s">
        <v>4876</v>
      </c>
      <c r="U3" s="988" t="s">
        <v>4876</v>
      </c>
      <c r="V3" s="987" t="s">
        <v>4904</v>
      </c>
      <c r="W3" s="987" t="s">
        <v>4904</v>
      </c>
      <c r="X3" s="987" t="s">
        <v>4904</v>
      </c>
      <c r="Y3" s="987" t="s">
        <v>4904</v>
      </c>
      <c r="Z3" s="213" t="s">
        <v>6850</v>
      </c>
    </row>
    <row r="4" spans="1:26" ht="21" customHeight="1" x14ac:dyDescent="0.25">
      <c r="A4" s="213" t="s">
        <v>7312</v>
      </c>
      <c r="B4" s="213" t="s">
        <v>7311</v>
      </c>
      <c r="C4" s="990" t="s">
        <v>7311</v>
      </c>
      <c r="D4" s="213" t="s">
        <v>7104</v>
      </c>
      <c r="E4" s="213" t="s">
        <v>7002</v>
      </c>
      <c r="F4" s="989" t="s">
        <v>6865</v>
      </c>
      <c r="G4" s="213"/>
      <c r="H4" s="213" t="s">
        <v>7103</v>
      </c>
      <c r="I4" s="213" t="s">
        <v>7102</v>
      </c>
      <c r="J4" s="213" t="s">
        <v>7000</v>
      </c>
      <c r="K4" s="213" t="s">
        <v>6853</v>
      </c>
      <c r="L4" s="213" t="s">
        <v>6852</v>
      </c>
      <c r="M4" s="213" t="s">
        <v>7101</v>
      </c>
      <c r="N4" s="987" t="s">
        <v>7100</v>
      </c>
      <c r="O4" s="987" t="s">
        <v>7100</v>
      </c>
      <c r="P4" s="987" t="s">
        <v>7100</v>
      </c>
      <c r="Q4" s="987" t="s">
        <v>7100</v>
      </c>
      <c r="R4" s="987" t="s">
        <v>7100</v>
      </c>
      <c r="S4" s="987" t="s">
        <v>7100</v>
      </c>
      <c r="T4" s="987" t="s">
        <v>7100</v>
      </c>
      <c r="U4" s="987" t="s">
        <v>7100</v>
      </c>
      <c r="V4" s="987" t="s">
        <v>7100</v>
      </c>
      <c r="W4" s="987" t="s">
        <v>7100</v>
      </c>
      <c r="X4" s="987" t="s">
        <v>7100</v>
      </c>
      <c r="Y4" s="987" t="s">
        <v>7100</v>
      </c>
      <c r="Z4" s="213" t="s">
        <v>6850</v>
      </c>
    </row>
    <row r="5" spans="1:26" ht="21" customHeight="1" x14ac:dyDescent="0.25">
      <c r="A5" s="213" t="s">
        <v>7310</v>
      </c>
      <c r="B5" s="213" t="s">
        <v>7309</v>
      </c>
      <c r="C5" s="1012" t="s">
        <v>7309</v>
      </c>
      <c r="D5" s="213" t="s">
        <v>521</v>
      </c>
      <c r="E5" s="213" t="s">
        <v>6974</v>
      </c>
      <c r="F5" s="1011" t="s">
        <v>7067</v>
      </c>
      <c r="G5" s="213"/>
      <c r="H5" s="213" t="s">
        <v>6856</v>
      </c>
      <c r="I5" s="213" t="s">
        <v>7030</v>
      </c>
      <c r="J5" s="213" t="s">
        <v>6854</v>
      </c>
      <c r="K5" s="213" t="s">
        <v>6853</v>
      </c>
      <c r="L5" s="213" t="s">
        <v>6852</v>
      </c>
      <c r="M5" s="213" t="s">
        <v>6851</v>
      </c>
      <c r="N5" s="987"/>
      <c r="O5" s="987"/>
      <c r="P5" s="987"/>
      <c r="Q5" s="987"/>
      <c r="R5" s="987"/>
      <c r="S5" s="987"/>
      <c r="T5" s="987"/>
      <c r="U5" s="987"/>
      <c r="V5" s="988" t="s">
        <v>4876</v>
      </c>
      <c r="W5" s="988" t="s">
        <v>4876</v>
      </c>
      <c r="X5" s="988" t="s">
        <v>4876</v>
      </c>
      <c r="Y5" s="987"/>
      <c r="Z5" s="213" t="s">
        <v>6850</v>
      </c>
    </row>
    <row r="6" spans="1:26" ht="21" customHeight="1" x14ac:dyDescent="0.25">
      <c r="A6" s="213" t="s">
        <v>7308</v>
      </c>
      <c r="B6" s="213" t="s">
        <v>7307</v>
      </c>
      <c r="C6" s="1010" t="s">
        <v>7307</v>
      </c>
      <c r="D6" s="213" t="s">
        <v>6860</v>
      </c>
      <c r="E6" s="213" t="s">
        <v>6982</v>
      </c>
      <c r="F6" s="1009" t="s">
        <v>7018</v>
      </c>
      <c r="G6" s="213" t="s">
        <v>7166</v>
      </c>
      <c r="H6" s="213" t="s">
        <v>6856</v>
      </c>
      <c r="I6" s="213" t="s">
        <v>7306</v>
      </c>
      <c r="J6" s="213" t="s">
        <v>6874</v>
      </c>
      <c r="K6" s="213" t="s">
        <v>6906</v>
      </c>
      <c r="L6" s="213" t="s">
        <v>6905</v>
      </c>
      <c r="M6" s="213" t="s">
        <v>6851</v>
      </c>
      <c r="N6" s="987"/>
      <c r="O6" s="987"/>
      <c r="P6" s="987"/>
      <c r="Q6" s="987"/>
      <c r="R6" s="986" t="s">
        <v>4876</v>
      </c>
      <c r="S6" s="986" t="s">
        <v>4876</v>
      </c>
      <c r="T6" s="986" t="s">
        <v>4876</v>
      </c>
      <c r="U6" s="986" t="s">
        <v>4876</v>
      </c>
      <c r="V6" s="986" t="s">
        <v>4876</v>
      </c>
      <c r="W6" s="986" t="s">
        <v>4876</v>
      </c>
      <c r="X6" s="986" t="s">
        <v>4876</v>
      </c>
      <c r="Y6" s="987"/>
      <c r="Z6" s="213" t="s">
        <v>6850</v>
      </c>
    </row>
    <row r="7" spans="1:26" ht="21" customHeight="1" x14ac:dyDescent="0.25">
      <c r="A7" s="213" t="s">
        <v>7305</v>
      </c>
      <c r="B7" s="213" t="s">
        <v>7304</v>
      </c>
      <c r="C7" s="240" t="s">
        <v>7304</v>
      </c>
      <c r="D7" s="213" t="s">
        <v>6860</v>
      </c>
      <c r="E7" s="213" t="s">
        <v>7037</v>
      </c>
      <c r="F7" s="239" t="s">
        <v>6858</v>
      </c>
      <c r="G7" s="213" t="s">
        <v>7195</v>
      </c>
      <c r="H7" s="213" t="s">
        <v>6856</v>
      </c>
      <c r="I7" s="213" t="s">
        <v>7301</v>
      </c>
      <c r="J7" s="213" t="s">
        <v>7070</v>
      </c>
      <c r="K7" s="213" t="s">
        <v>6906</v>
      </c>
      <c r="L7" s="213" t="s">
        <v>6905</v>
      </c>
      <c r="M7" s="213" t="s">
        <v>6851</v>
      </c>
      <c r="N7" s="987"/>
      <c r="O7" s="987"/>
      <c r="P7" s="987"/>
      <c r="Q7" s="988" t="s">
        <v>4876</v>
      </c>
      <c r="R7" s="988" t="s">
        <v>4876</v>
      </c>
      <c r="S7" s="988" t="s">
        <v>4876</v>
      </c>
      <c r="T7" s="987"/>
      <c r="U7" s="987"/>
      <c r="V7" s="987"/>
      <c r="W7" s="987"/>
      <c r="X7" s="987"/>
      <c r="Y7" s="987"/>
      <c r="Z7" s="213" t="s">
        <v>6850</v>
      </c>
    </row>
    <row r="8" spans="1:26" ht="21" customHeight="1" x14ac:dyDescent="0.25">
      <c r="A8" s="213" t="s">
        <v>7303</v>
      </c>
      <c r="B8" s="213" t="s">
        <v>7302</v>
      </c>
      <c r="C8" s="1010" t="s">
        <v>7302</v>
      </c>
      <c r="D8" s="213" t="s">
        <v>6860</v>
      </c>
      <c r="E8" s="213" t="s">
        <v>7037</v>
      </c>
      <c r="F8" s="1009" t="s">
        <v>7018</v>
      </c>
      <c r="G8" s="213" t="s">
        <v>7195</v>
      </c>
      <c r="H8" s="213" t="s">
        <v>6856</v>
      </c>
      <c r="I8" s="213" t="s">
        <v>7301</v>
      </c>
      <c r="J8" s="213" t="s">
        <v>7283</v>
      </c>
      <c r="K8" s="213" t="s">
        <v>6906</v>
      </c>
      <c r="L8" s="213" t="s">
        <v>6905</v>
      </c>
      <c r="M8" s="213" t="s">
        <v>6851</v>
      </c>
      <c r="N8" s="987"/>
      <c r="O8" s="987"/>
      <c r="P8" s="987"/>
      <c r="Q8" s="986" t="s">
        <v>4876</v>
      </c>
      <c r="R8" s="986" t="s">
        <v>4876</v>
      </c>
      <c r="S8" s="986" t="s">
        <v>4876</v>
      </c>
      <c r="T8" s="987"/>
      <c r="U8" s="987"/>
      <c r="V8" s="987"/>
      <c r="W8" s="987"/>
      <c r="X8" s="987"/>
      <c r="Y8" s="987"/>
      <c r="Z8" s="213" t="s">
        <v>6850</v>
      </c>
    </row>
    <row r="9" spans="1:26" ht="21" customHeight="1" x14ac:dyDescent="0.25">
      <c r="A9" s="213" t="s">
        <v>7300</v>
      </c>
      <c r="B9" s="213" t="s">
        <v>7299</v>
      </c>
      <c r="C9" s="1008" t="s">
        <v>7299</v>
      </c>
      <c r="D9" s="213" t="s">
        <v>6867</v>
      </c>
      <c r="E9" s="213" t="s">
        <v>6902</v>
      </c>
      <c r="F9" s="1007" t="s">
        <v>6981</v>
      </c>
      <c r="G9" s="213" t="s">
        <v>6870</v>
      </c>
      <c r="H9" s="213" t="s">
        <v>6856</v>
      </c>
      <c r="I9" s="213" t="s">
        <v>6864</v>
      </c>
      <c r="J9" s="213" t="s">
        <v>7007</v>
      </c>
      <c r="K9" s="213" t="s">
        <v>6906</v>
      </c>
      <c r="L9" s="213" t="s">
        <v>6905</v>
      </c>
      <c r="M9" s="213" t="s">
        <v>6851</v>
      </c>
      <c r="N9" s="987"/>
      <c r="O9" s="987"/>
      <c r="P9" s="987"/>
      <c r="Q9" s="987"/>
      <c r="R9" s="987"/>
      <c r="S9" s="988" t="s">
        <v>4876</v>
      </c>
      <c r="T9" s="988" t="s">
        <v>4876</v>
      </c>
      <c r="U9" s="988" t="s">
        <v>4876</v>
      </c>
      <c r="V9" s="988" t="s">
        <v>4876</v>
      </c>
      <c r="W9" s="988" t="s">
        <v>4876</v>
      </c>
      <c r="X9" s="987"/>
      <c r="Y9" s="987"/>
      <c r="Z9" s="213" t="s">
        <v>6850</v>
      </c>
    </row>
    <row r="10" spans="1:26" ht="21" customHeight="1" x14ac:dyDescent="0.25">
      <c r="A10" s="213" t="s">
        <v>7298</v>
      </c>
      <c r="B10" s="213" t="s">
        <v>7297</v>
      </c>
      <c r="C10" s="1010" t="s">
        <v>7297</v>
      </c>
      <c r="D10" s="213" t="s">
        <v>7104</v>
      </c>
      <c r="E10" s="213" t="s">
        <v>6866</v>
      </c>
      <c r="F10" s="1009" t="s">
        <v>7018</v>
      </c>
      <c r="G10" s="213"/>
      <c r="H10" s="213" t="s">
        <v>7103</v>
      </c>
      <c r="I10" s="213" t="s">
        <v>7102</v>
      </c>
      <c r="J10" s="213" t="s">
        <v>7000</v>
      </c>
      <c r="K10" s="213" t="s">
        <v>6853</v>
      </c>
      <c r="L10" s="213" t="s">
        <v>6852</v>
      </c>
      <c r="M10" s="213" t="s">
        <v>7101</v>
      </c>
      <c r="N10" s="987" t="s">
        <v>7100</v>
      </c>
      <c r="O10" s="987" t="s">
        <v>7100</v>
      </c>
      <c r="P10" s="987" t="s">
        <v>7100</v>
      </c>
      <c r="Q10" s="987" t="s">
        <v>7100</v>
      </c>
      <c r="R10" s="987" t="s">
        <v>7100</v>
      </c>
      <c r="S10" s="987" t="s">
        <v>7100</v>
      </c>
      <c r="T10" s="987" t="s">
        <v>7100</v>
      </c>
      <c r="U10" s="987" t="s">
        <v>7100</v>
      </c>
      <c r="V10" s="987" t="s">
        <v>7100</v>
      </c>
      <c r="W10" s="987" t="s">
        <v>7100</v>
      </c>
      <c r="X10" s="987" t="s">
        <v>7100</v>
      </c>
      <c r="Y10" s="987" t="s">
        <v>7100</v>
      </c>
      <c r="Z10" s="213" t="s">
        <v>6850</v>
      </c>
    </row>
    <row r="11" spans="1:26" ht="21" customHeight="1" x14ac:dyDescent="0.25">
      <c r="A11" s="213" t="s">
        <v>7296</v>
      </c>
      <c r="B11" s="213" t="s">
        <v>7295</v>
      </c>
      <c r="C11" s="240" t="s">
        <v>7295</v>
      </c>
      <c r="D11" s="213" t="s">
        <v>7104</v>
      </c>
      <c r="E11" s="213" t="s">
        <v>7037</v>
      </c>
      <c r="F11" s="239" t="s">
        <v>6858</v>
      </c>
      <c r="G11" s="213"/>
      <c r="H11" s="213" t="s">
        <v>7103</v>
      </c>
      <c r="I11" s="213" t="s">
        <v>7102</v>
      </c>
      <c r="J11" s="213" t="s">
        <v>6854</v>
      </c>
      <c r="K11" s="213" t="s">
        <v>6853</v>
      </c>
      <c r="L11" s="213" t="s">
        <v>6852</v>
      </c>
      <c r="M11" s="213" t="s">
        <v>7101</v>
      </c>
      <c r="N11" s="987" t="s">
        <v>7100</v>
      </c>
      <c r="O11" s="987" t="s">
        <v>7100</v>
      </c>
      <c r="P11" s="987" t="s">
        <v>7100</v>
      </c>
      <c r="Q11" s="987" t="s">
        <v>7100</v>
      </c>
      <c r="R11" s="987" t="s">
        <v>7100</v>
      </c>
      <c r="S11" s="987" t="s">
        <v>7100</v>
      </c>
      <c r="T11" s="987" t="s">
        <v>7100</v>
      </c>
      <c r="U11" s="987" t="s">
        <v>7100</v>
      </c>
      <c r="V11" s="987" t="s">
        <v>7100</v>
      </c>
      <c r="W11" s="987" t="s">
        <v>7100</v>
      </c>
      <c r="X11" s="987" t="s">
        <v>7100</v>
      </c>
      <c r="Y11" s="987" t="s">
        <v>7100</v>
      </c>
      <c r="Z11" s="213" t="s">
        <v>6850</v>
      </c>
    </row>
    <row r="12" spans="1:26" ht="21" customHeight="1" x14ac:dyDescent="0.25">
      <c r="A12" s="213" t="s">
        <v>7294</v>
      </c>
      <c r="B12" s="213" t="s">
        <v>7293</v>
      </c>
      <c r="C12" s="240" t="s">
        <v>7293</v>
      </c>
      <c r="D12" s="213" t="s">
        <v>7104</v>
      </c>
      <c r="E12" s="213" t="s">
        <v>7292</v>
      </c>
      <c r="F12" s="239" t="s">
        <v>6858</v>
      </c>
      <c r="G12" s="213"/>
      <c r="H12" s="213" t="s">
        <v>7103</v>
      </c>
      <c r="I12" s="213" t="s">
        <v>7102</v>
      </c>
      <c r="J12" s="213" t="s">
        <v>7000</v>
      </c>
      <c r="K12" s="213" t="s">
        <v>6853</v>
      </c>
      <c r="L12" s="213" t="s">
        <v>6852</v>
      </c>
      <c r="M12" s="213" t="s">
        <v>7101</v>
      </c>
      <c r="N12" s="987" t="s">
        <v>7100</v>
      </c>
      <c r="O12" s="987" t="s">
        <v>7100</v>
      </c>
      <c r="P12" s="987" t="s">
        <v>7100</v>
      </c>
      <c r="Q12" s="987" t="s">
        <v>7100</v>
      </c>
      <c r="R12" s="987" t="s">
        <v>7100</v>
      </c>
      <c r="S12" s="987" t="s">
        <v>7100</v>
      </c>
      <c r="T12" s="987" t="s">
        <v>7100</v>
      </c>
      <c r="U12" s="987" t="s">
        <v>7100</v>
      </c>
      <c r="V12" s="987" t="s">
        <v>7100</v>
      </c>
      <c r="W12" s="987" t="s">
        <v>7100</v>
      </c>
      <c r="X12" s="987" t="s">
        <v>7100</v>
      </c>
      <c r="Y12" s="987" t="s">
        <v>7100</v>
      </c>
      <c r="Z12" s="213" t="s">
        <v>6850</v>
      </c>
    </row>
    <row r="13" spans="1:26" ht="21" customHeight="1" x14ac:dyDescent="0.25">
      <c r="A13" s="213" t="s">
        <v>7291</v>
      </c>
      <c r="B13" s="213" t="s">
        <v>7290</v>
      </c>
      <c r="C13" s="990" t="s">
        <v>7290</v>
      </c>
      <c r="D13" s="213" t="s">
        <v>7104</v>
      </c>
      <c r="E13" s="213" t="s">
        <v>6902</v>
      </c>
      <c r="F13" s="989"/>
      <c r="G13" s="213" t="s">
        <v>6870</v>
      </c>
      <c r="H13" s="213" t="s">
        <v>7103</v>
      </c>
      <c r="I13" s="213" t="s">
        <v>7102</v>
      </c>
      <c r="J13" s="213" t="s">
        <v>6854</v>
      </c>
      <c r="K13" s="213" t="s">
        <v>6853</v>
      </c>
      <c r="L13" s="213" t="s">
        <v>6852</v>
      </c>
      <c r="M13" s="213" t="s">
        <v>7101</v>
      </c>
      <c r="N13" s="987" t="s">
        <v>7100</v>
      </c>
      <c r="O13" s="987" t="s">
        <v>7100</v>
      </c>
      <c r="P13" s="987" t="s">
        <v>7100</v>
      </c>
      <c r="Q13" s="987" t="s">
        <v>7100</v>
      </c>
      <c r="R13" s="987" t="s">
        <v>7100</v>
      </c>
      <c r="S13" s="987" t="s">
        <v>7100</v>
      </c>
      <c r="T13" s="987" t="s">
        <v>7100</v>
      </c>
      <c r="U13" s="987" t="s">
        <v>7100</v>
      </c>
      <c r="V13" s="987" t="s">
        <v>7100</v>
      </c>
      <c r="W13" s="987" t="s">
        <v>7100</v>
      </c>
      <c r="X13" s="987" t="s">
        <v>7100</v>
      </c>
      <c r="Y13" s="987" t="s">
        <v>7100</v>
      </c>
      <c r="Z13" s="213" t="s">
        <v>6850</v>
      </c>
    </row>
    <row r="14" spans="1:26" ht="21" customHeight="1" x14ac:dyDescent="0.25">
      <c r="A14" s="213" t="s">
        <v>7289</v>
      </c>
      <c r="B14" s="213" t="s">
        <v>7288</v>
      </c>
      <c r="C14" s="992" t="s">
        <v>7288</v>
      </c>
      <c r="D14" s="213" t="s">
        <v>6860</v>
      </c>
      <c r="E14" s="213" t="s">
        <v>6871</v>
      </c>
      <c r="F14" s="991" t="s">
        <v>6875</v>
      </c>
      <c r="G14" s="213" t="s">
        <v>6901</v>
      </c>
      <c r="H14" s="213" t="s">
        <v>6980</v>
      </c>
      <c r="I14" s="213" t="s">
        <v>7287</v>
      </c>
      <c r="J14" s="213" t="s">
        <v>6990</v>
      </c>
      <c r="K14" s="213" t="s">
        <v>6906</v>
      </c>
      <c r="L14" s="213" t="s">
        <v>6905</v>
      </c>
      <c r="M14" s="213" t="s">
        <v>6977</v>
      </c>
      <c r="N14" s="987" t="s">
        <v>4904</v>
      </c>
      <c r="O14" s="987" t="s">
        <v>4904</v>
      </c>
      <c r="P14" s="987" t="s">
        <v>4904</v>
      </c>
      <c r="Q14" s="986" t="s">
        <v>4876</v>
      </c>
      <c r="R14" s="986" t="s">
        <v>4876</v>
      </c>
      <c r="S14" s="986" t="s">
        <v>4876</v>
      </c>
      <c r="T14" s="986" t="s">
        <v>4876</v>
      </c>
      <c r="U14" s="986" t="s">
        <v>4876</v>
      </c>
      <c r="V14" s="986" t="s">
        <v>4876</v>
      </c>
      <c r="W14" s="986" t="s">
        <v>4876</v>
      </c>
      <c r="X14" s="986" t="s">
        <v>4876</v>
      </c>
      <c r="Y14" s="986" t="s">
        <v>4876</v>
      </c>
      <c r="Z14" s="213" t="s">
        <v>6850</v>
      </c>
    </row>
    <row r="15" spans="1:26" ht="21" customHeight="1" x14ac:dyDescent="0.25">
      <c r="A15" s="213" t="s">
        <v>7286</v>
      </c>
      <c r="B15" s="213" t="s">
        <v>7285</v>
      </c>
      <c r="C15" s="1002" t="s">
        <v>7285</v>
      </c>
      <c r="D15" s="213" t="s">
        <v>6894</v>
      </c>
      <c r="E15" s="213" t="s">
        <v>6902</v>
      </c>
      <c r="F15" s="1001" t="s">
        <v>6916</v>
      </c>
      <c r="G15" s="213" t="s">
        <v>7261</v>
      </c>
      <c r="H15" s="213" t="s">
        <v>6856</v>
      </c>
      <c r="I15" s="213" t="s">
        <v>7284</v>
      </c>
      <c r="J15" s="213" t="s">
        <v>7283</v>
      </c>
      <c r="K15" s="213" t="s">
        <v>6906</v>
      </c>
      <c r="L15" s="213" t="s">
        <v>6905</v>
      </c>
      <c r="M15" s="213" t="s">
        <v>6851</v>
      </c>
      <c r="N15" s="987"/>
      <c r="O15" s="987"/>
      <c r="P15" s="987"/>
      <c r="Q15" s="988" t="s">
        <v>4876</v>
      </c>
      <c r="R15" s="988" t="s">
        <v>4876</v>
      </c>
      <c r="S15" s="988" t="s">
        <v>4876</v>
      </c>
      <c r="T15" s="988" t="s">
        <v>4876</v>
      </c>
      <c r="U15" s="988" t="s">
        <v>4876</v>
      </c>
      <c r="V15" s="988" t="s">
        <v>4876</v>
      </c>
      <c r="W15" s="988" t="s">
        <v>4876</v>
      </c>
      <c r="X15" s="988" t="s">
        <v>4876</v>
      </c>
      <c r="Y15" s="987"/>
      <c r="Z15" s="213" t="s">
        <v>6850</v>
      </c>
    </row>
    <row r="16" spans="1:26" ht="21" customHeight="1" x14ac:dyDescent="0.25">
      <c r="A16" s="213" t="s">
        <v>7282</v>
      </c>
      <c r="B16" s="213" t="s">
        <v>7281</v>
      </c>
      <c r="C16" s="994" t="s">
        <v>7281</v>
      </c>
      <c r="D16" s="213" t="s">
        <v>6894</v>
      </c>
      <c r="E16" s="213" t="s">
        <v>6902</v>
      </c>
      <c r="F16" s="993" t="s">
        <v>6928</v>
      </c>
      <c r="G16" s="213" t="s">
        <v>6885</v>
      </c>
      <c r="H16" s="213" t="s">
        <v>6856</v>
      </c>
      <c r="I16" s="213" t="s">
        <v>7191</v>
      </c>
      <c r="J16" s="213" t="s">
        <v>6968</v>
      </c>
      <c r="K16" s="213" t="s">
        <v>6906</v>
      </c>
      <c r="L16" s="213" t="s">
        <v>6905</v>
      </c>
      <c r="M16" s="213" t="s">
        <v>6851</v>
      </c>
      <c r="N16" s="987"/>
      <c r="O16" s="987"/>
      <c r="P16" s="986" t="s">
        <v>4876</v>
      </c>
      <c r="Q16" s="986" t="s">
        <v>4876</v>
      </c>
      <c r="R16" s="986" t="s">
        <v>4876</v>
      </c>
      <c r="S16" s="986" t="s">
        <v>4876</v>
      </c>
      <c r="T16" s="987"/>
      <c r="U16" s="987"/>
      <c r="V16" s="986" t="s">
        <v>4876</v>
      </c>
      <c r="W16" s="986" t="s">
        <v>4876</v>
      </c>
      <c r="X16" s="986" t="s">
        <v>4876</v>
      </c>
      <c r="Y16" s="986" t="s">
        <v>4876</v>
      </c>
      <c r="Z16" s="213" t="s">
        <v>6850</v>
      </c>
    </row>
    <row r="17" spans="1:26" ht="21" customHeight="1" x14ac:dyDescent="0.25">
      <c r="A17" s="213" t="s">
        <v>7280</v>
      </c>
      <c r="B17" s="213" t="s">
        <v>7279</v>
      </c>
      <c r="C17" s="992" t="s">
        <v>7279</v>
      </c>
      <c r="D17" s="213" t="s">
        <v>521</v>
      </c>
      <c r="E17" s="213" t="s">
        <v>6974</v>
      </c>
      <c r="F17" s="991" t="s">
        <v>6875</v>
      </c>
      <c r="G17" s="213"/>
      <c r="H17" s="213" t="s">
        <v>6856</v>
      </c>
      <c r="I17" s="213" t="s">
        <v>7043</v>
      </c>
      <c r="J17" s="213" t="s">
        <v>6854</v>
      </c>
      <c r="K17" s="213" t="s">
        <v>6853</v>
      </c>
      <c r="L17" s="213" t="s">
        <v>6852</v>
      </c>
      <c r="M17" s="213" t="s">
        <v>6851</v>
      </c>
      <c r="N17" s="987"/>
      <c r="O17" s="987"/>
      <c r="P17" s="987"/>
      <c r="Q17" s="987"/>
      <c r="R17" s="988" t="s">
        <v>4876</v>
      </c>
      <c r="S17" s="988" t="s">
        <v>4876</v>
      </c>
      <c r="T17" s="988" t="s">
        <v>4876</v>
      </c>
      <c r="U17" s="987"/>
      <c r="V17" s="987"/>
      <c r="W17" s="987"/>
      <c r="X17" s="987"/>
      <c r="Y17" s="987"/>
      <c r="Z17" s="213" t="s">
        <v>6850</v>
      </c>
    </row>
    <row r="18" spans="1:26" ht="21" customHeight="1" x14ac:dyDescent="0.25">
      <c r="A18" s="213" t="s">
        <v>7278</v>
      </c>
      <c r="B18" s="213" t="s">
        <v>7277</v>
      </c>
      <c r="C18" s="240" t="s">
        <v>7277</v>
      </c>
      <c r="D18" s="213" t="s">
        <v>6894</v>
      </c>
      <c r="E18" s="213" t="s">
        <v>6897</v>
      </c>
      <c r="F18" s="239" t="s">
        <v>6858</v>
      </c>
      <c r="G18" s="213" t="s">
        <v>6891</v>
      </c>
      <c r="H18" s="213" t="s">
        <v>6890</v>
      </c>
      <c r="I18" s="213" t="s">
        <v>6889</v>
      </c>
      <c r="J18" s="213" t="s">
        <v>6854</v>
      </c>
      <c r="K18" s="213" t="s">
        <v>6853</v>
      </c>
      <c r="L18" s="213" t="s">
        <v>6852</v>
      </c>
      <c r="M18" s="213" t="s">
        <v>6888</v>
      </c>
      <c r="N18" s="987" t="s">
        <v>4904</v>
      </c>
      <c r="O18" s="987" t="s">
        <v>4904</v>
      </c>
      <c r="P18" s="987" t="s">
        <v>4904</v>
      </c>
      <c r="Q18" s="987" t="s">
        <v>4904</v>
      </c>
      <c r="R18" s="987" t="s">
        <v>4904</v>
      </c>
      <c r="S18" s="987" t="s">
        <v>4904</v>
      </c>
      <c r="T18" s="987" t="s">
        <v>4904</v>
      </c>
      <c r="U18" s="987" t="s">
        <v>4904</v>
      </c>
      <c r="V18" s="987" t="s">
        <v>4904</v>
      </c>
      <c r="W18" s="987" t="s">
        <v>4904</v>
      </c>
      <c r="X18" s="987" t="s">
        <v>4904</v>
      </c>
      <c r="Y18" s="987" t="s">
        <v>4904</v>
      </c>
      <c r="Z18" s="213" t="s">
        <v>6850</v>
      </c>
    </row>
    <row r="19" spans="1:26" ht="21" customHeight="1" x14ac:dyDescent="0.25">
      <c r="A19" s="213" t="s">
        <v>7276</v>
      </c>
      <c r="B19" s="213" t="s">
        <v>7275</v>
      </c>
      <c r="C19" s="240" t="s">
        <v>7275</v>
      </c>
      <c r="D19" s="213" t="s">
        <v>6894</v>
      </c>
      <c r="E19" s="213" t="s">
        <v>6897</v>
      </c>
      <c r="F19" s="239" t="s">
        <v>6858</v>
      </c>
      <c r="G19" s="213"/>
      <c r="H19" s="213" t="s">
        <v>6890</v>
      </c>
      <c r="I19" s="213" t="s">
        <v>6889</v>
      </c>
      <c r="J19" s="213" t="s">
        <v>6854</v>
      </c>
      <c r="K19" s="213" t="s">
        <v>6853</v>
      </c>
      <c r="L19" s="213" t="s">
        <v>6852</v>
      </c>
      <c r="M19" s="213" t="s">
        <v>6888</v>
      </c>
      <c r="N19" s="987" t="s">
        <v>4904</v>
      </c>
      <c r="O19" s="987" t="s">
        <v>4904</v>
      </c>
      <c r="P19" s="987" t="s">
        <v>4904</v>
      </c>
      <c r="Q19" s="987" t="s">
        <v>4904</v>
      </c>
      <c r="R19" s="987" t="s">
        <v>4904</v>
      </c>
      <c r="S19" s="987" t="s">
        <v>4904</v>
      </c>
      <c r="T19" s="987" t="s">
        <v>4904</v>
      </c>
      <c r="U19" s="987" t="s">
        <v>4904</v>
      </c>
      <c r="V19" s="987" t="s">
        <v>4904</v>
      </c>
      <c r="W19" s="987" t="s">
        <v>4904</v>
      </c>
      <c r="X19" s="987" t="s">
        <v>4904</v>
      </c>
      <c r="Y19" s="987" t="s">
        <v>4904</v>
      </c>
      <c r="Z19" s="213" t="s">
        <v>6850</v>
      </c>
    </row>
    <row r="20" spans="1:26" ht="21" customHeight="1" x14ac:dyDescent="0.25">
      <c r="A20" s="213" t="s">
        <v>7274</v>
      </c>
      <c r="B20" s="213" t="s">
        <v>7273</v>
      </c>
      <c r="C20" s="994" t="s">
        <v>7273</v>
      </c>
      <c r="D20" s="213" t="s">
        <v>6860</v>
      </c>
      <c r="E20" s="213" t="s">
        <v>6902</v>
      </c>
      <c r="F20" s="993" t="s">
        <v>6928</v>
      </c>
      <c r="G20" s="213"/>
      <c r="H20" s="213" t="s">
        <v>6856</v>
      </c>
      <c r="I20" s="213" t="s">
        <v>7154</v>
      </c>
      <c r="J20" s="213" t="s">
        <v>6959</v>
      </c>
      <c r="K20" s="213" t="s">
        <v>6853</v>
      </c>
      <c r="L20" s="213" t="s">
        <v>6852</v>
      </c>
      <c r="M20" s="213" t="s">
        <v>6851</v>
      </c>
      <c r="N20" s="987"/>
      <c r="O20" s="987"/>
      <c r="P20" s="987"/>
      <c r="Q20" s="987"/>
      <c r="R20" s="987"/>
      <c r="S20" s="986" t="s">
        <v>4876</v>
      </c>
      <c r="T20" s="986" t="s">
        <v>4876</v>
      </c>
      <c r="U20" s="986" t="s">
        <v>4876</v>
      </c>
      <c r="V20" s="986" t="s">
        <v>4876</v>
      </c>
      <c r="W20" s="986" t="s">
        <v>4876</v>
      </c>
      <c r="X20" s="986" t="s">
        <v>4876</v>
      </c>
      <c r="Y20" s="987"/>
      <c r="Z20" s="213" t="s">
        <v>6850</v>
      </c>
    </row>
    <row r="21" spans="1:26" ht="21" customHeight="1" x14ac:dyDescent="0.25">
      <c r="A21" s="213" t="s">
        <v>7272</v>
      </c>
      <c r="B21" s="213" t="s">
        <v>7271</v>
      </c>
      <c r="C21" s="240" t="s">
        <v>7271</v>
      </c>
      <c r="D21" s="213" t="s">
        <v>521</v>
      </c>
      <c r="E21" s="213" t="s">
        <v>6974</v>
      </c>
      <c r="F21" s="239" t="s">
        <v>7047</v>
      </c>
      <c r="G21" s="213"/>
      <c r="H21" s="213" t="s">
        <v>6856</v>
      </c>
      <c r="I21" s="213" t="s">
        <v>7075</v>
      </c>
      <c r="J21" s="213" t="s">
        <v>6854</v>
      </c>
      <c r="K21" s="213" t="s">
        <v>6853</v>
      </c>
      <c r="L21" s="213" t="s">
        <v>6852</v>
      </c>
      <c r="M21" s="213" t="s">
        <v>6851</v>
      </c>
      <c r="N21" s="987"/>
      <c r="O21" s="987"/>
      <c r="P21" s="987"/>
      <c r="Q21" s="987"/>
      <c r="R21" s="987"/>
      <c r="S21" s="987"/>
      <c r="T21" s="988" t="s">
        <v>4876</v>
      </c>
      <c r="U21" s="988" t="s">
        <v>4876</v>
      </c>
      <c r="V21" s="988" t="s">
        <v>4876</v>
      </c>
      <c r="W21" s="987"/>
      <c r="X21" s="987"/>
      <c r="Y21" s="987"/>
      <c r="Z21" s="213" t="s">
        <v>6850</v>
      </c>
    </row>
    <row r="22" spans="1:26" ht="21" customHeight="1" x14ac:dyDescent="0.25">
      <c r="A22" s="213" t="s">
        <v>7270</v>
      </c>
      <c r="B22" s="213" t="s">
        <v>7269</v>
      </c>
      <c r="C22" s="1002" t="s">
        <v>7269</v>
      </c>
      <c r="D22" s="213" t="s">
        <v>6860</v>
      </c>
      <c r="E22" s="213" t="s">
        <v>6902</v>
      </c>
      <c r="F22" s="1001"/>
      <c r="G22" s="213" t="s">
        <v>7261</v>
      </c>
      <c r="H22" s="213" t="s">
        <v>6856</v>
      </c>
      <c r="I22" s="213" t="s">
        <v>7107</v>
      </c>
      <c r="J22" s="213" t="s">
        <v>7122</v>
      </c>
      <c r="K22" s="213" t="s">
        <v>6906</v>
      </c>
      <c r="L22" s="213" t="s">
        <v>6905</v>
      </c>
      <c r="M22" s="213" t="s">
        <v>6851</v>
      </c>
      <c r="N22" s="986" t="s">
        <v>4876</v>
      </c>
      <c r="O22" s="986" t="s">
        <v>4876</v>
      </c>
      <c r="P22" s="987"/>
      <c r="Q22" s="987"/>
      <c r="R22" s="987"/>
      <c r="S22" s="987"/>
      <c r="T22" s="987"/>
      <c r="U22" s="987"/>
      <c r="V22" s="987"/>
      <c r="W22" s="987"/>
      <c r="X22" s="986" t="s">
        <v>4876</v>
      </c>
      <c r="Y22" s="986" t="s">
        <v>4876</v>
      </c>
      <c r="Z22" s="213" t="s">
        <v>6850</v>
      </c>
    </row>
    <row r="23" spans="1:26" ht="21" customHeight="1" x14ac:dyDescent="0.25">
      <c r="A23" s="213" t="s">
        <v>7268</v>
      </c>
      <c r="B23" s="213" t="s">
        <v>7267</v>
      </c>
      <c r="C23" s="1012" t="s">
        <v>7267</v>
      </c>
      <c r="D23" s="213" t="s">
        <v>6860</v>
      </c>
      <c r="E23" s="213" t="s">
        <v>6876</v>
      </c>
      <c r="F23" s="1011" t="s">
        <v>7067</v>
      </c>
      <c r="G23" s="213" t="s">
        <v>6901</v>
      </c>
      <c r="H23" s="213" t="s">
        <v>6856</v>
      </c>
      <c r="I23" s="213" t="s">
        <v>7252</v>
      </c>
      <c r="J23" s="213" t="s">
        <v>7266</v>
      </c>
      <c r="K23" s="213" t="s">
        <v>6906</v>
      </c>
      <c r="L23" s="213" t="s">
        <v>6905</v>
      </c>
      <c r="M23" s="213" t="s">
        <v>6851</v>
      </c>
      <c r="N23" s="988" t="s">
        <v>4876</v>
      </c>
      <c r="O23" s="988" t="s">
        <v>4876</v>
      </c>
      <c r="P23" s="988" t="s">
        <v>4876</v>
      </c>
      <c r="Q23" s="988" t="s">
        <v>4876</v>
      </c>
      <c r="R23" s="988" t="s">
        <v>4876</v>
      </c>
      <c r="S23" s="988" t="s">
        <v>4876</v>
      </c>
      <c r="T23" s="988" t="s">
        <v>4876</v>
      </c>
      <c r="U23" s="988" t="s">
        <v>4876</v>
      </c>
      <c r="V23" s="988" t="s">
        <v>4876</v>
      </c>
      <c r="W23" s="988" t="s">
        <v>4876</v>
      </c>
      <c r="X23" s="988" t="s">
        <v>4876</v>
      </c>
      <c r="Y23" s="988" t="s">
        <v>4876</v>
      </c>
      <c r="Z23" s="213" t="s">
        <v>6850</v>
      </c>
    </row>
    <row r="24" spans="1:26" ht="21" customHeight="1" x14ac:dyDescent="0.25">
      <c r="A24" s="213" t="s">
        <v>7265</v>
      </c>
      <c r="B24" s="213" t="s">
        <v>7264</v>
      </c>
      <c r="C24" s="1004" t="s">
        <v>7264</v>
      </c>
      <c r="D24" s="213" t="s">
        <v>521</v>
      </c>
      <c r="E24" s="213" t="s">
        <v>6974</v>
      </c>
      <c r="F24" s="1003" t="s">
        <v>6961</v>
      </c>
      <c r="G24" s="213"/>
      <c r="H24" s="213" t="s">
        <v>6856</v>
      </c>
      <c r="I24" s="213" t="s">
        <v>7149</v>
      </c>
      <c r="J24" s="213" t="s">
        <v>6854</v>
      </c>
      <c r="K24" s="213" t="s">
        <v>6853</v>
      </c>
      <c r="L24" s="213" t="s">
        <v>6852</v>
      </c>
      <c r="M24" s="213" t="s">
        <v>6851</v>
      </c>
      <c r="N24" s="987"/>
      <c r="O24" s="987"/>
      <c r="P24" s="987"/>
      <c r="Q24" s="987"/>
      <c r="R24" s="987"/>
      <c r="S24" s="986" t="s">
        <v>4876</v>
      </c>
      <c r="T24" s="986" t="s">
        <v>4876</v>
      </c>
      <c r="U24" s="986" t="s">
        <v>4876</v>
      </c>
      <c r="V24" s="987"/>
      <c r="W24" s="987"/>
      <c r="X24" s="987"/>
      <c r="Y24" s="987"/>
      <c r="Z24" s="213" t="s">
        <v>6850</v>
      </c>
    </row>
    <row r="25" spans="1:26" ht="21" customHeight="1" x14ac:dyDescent="0.25">
      <c r="A25" s="213" t="s">
        <v>7263</v>
      </c>
      <c r="B25" s="213" t="s">
        <v>7262</v>
      </c>
      <c r="C25" s="1002" t="s">
        <v>7262</v>
      </c>
      <c r="D25" s="213" t="s">
        <v>6860</v>
      </c>
      <c r="E25" s="213" t="s">
        <v>6876</v>
      </c>
      <c r="F25" s="1001" t="s">
        <v>6916</v>
      </c>
      <c r="G25" s="213" t="s">
        <v>7261</v>
      </c>
      <c r="H25" s="213" t="s">
        <v>6980</v>
      </c>
      <c r="I25" s="213" t="s">
        <v>7260</v>
      </c>
      <c r="J25" s="213" t="s">
        <v>7259</v>
      </c>
      <c r="K25" s="213" t="s">
        <v>6906</v>
      </c>
      <c r="L25" s="213" t="s">
        <v>6905</v>
      </c>
      <c r="M25" s="213" t="s">
        <v>6977</v>
      </c>
      <c r="N25" s="987" t="s">
        <v>4904</v>
      </c>
      <c r="O25" s="987"/>
      <c r="P25" s="987"/>
      <c r="Q25" s="987"/>
      <c r="R25" s="987"/>
      <c r="S25" s="988" t="s">
        <v>4876</v>
      </c>
      <c r="T25" s="988" t="s">
        <v>4876</v>
      </c>
      <c r="U25" s="988" t="s">
        <v>4876</v>
      </c>
      <c r="V25" s="988" t="s">
        <v>4876</v>
      </c>
      <c r="W25" s="988" t="s">
        <v>4876</v>
      </c>
      <c r="X25" s="988" t="s">
        <v>4876</v>
      </c>
      <c r="Y25" s="988" t="s">
        <v>4876</v>
      </c>
      <c r="Z25" s="213" t="s">
        <v>6850</v>
      </c>
    </row>
    <row r="26" spans="1:26" ht="21" customHeight="1" x14ac:dyDescent="0.25">
      <c r="A26" s="213" t="s">
        <v>7258</v>
      </c>
      <c r="B26" s="213" t="s">
        <v>7257</v>
      </c>
      <c r="C26" s="240" t="s">
        <v>7257</v>
      </c>
      <c r="D26" s="213" t="s">
        <v>6860</v>
      </c>
      <c r="E26" s="213" t="s">
        <v>6893</v>
      </c>
      <c r="F26" s="239" t="s">
        <v>6858</v>
      </c>
      <c r="G26" s="213" t="s">
        <v>6901</v>
      </c>
      <c r="H26" s="213" t="s">
        <v>6856</v>
      </c>
      <c r="I26" s="213" t="s">
        <v>6915</v>
      </c>
      <c r="J26" s="213" t="s">
        <v>6997</v>
      </c>
      <c r="K26" s="213" t="s">
        <v>6906</v>
      </c>
      <c r="L26" s="213" t="s">
        <v>6905</v>
      </c>
      <c r="M26" s="213" t="s">
        <v>6851</v>
      </c>
      <c r="N26" s="986" t="s">
        <v>4876</v>
      </c>
      <c r="O26" s="986" t="s">
        <v>4876</v>
      </c>
      <c r="P26" s="986" t="s">
        <v>4876</v>
      </c>
      <c r="Q26" s="987"/>
      <c r="R26" s="987"/>
      <c r="S26" s="987"/>
      <c r="T26" s="987"/>
      <c r="U26" s="987"/>
      <c r="V26" s="986" t="s">
        <v>4876</v>
      </c>
      <c r="W26" s="986" t="s">
        <v>4876</v>
      </c>
      <c r="X26" s="986" t="s">
        <v>4876</v>
      </c>
      <c r="Y26" s="986" t="s">
        <v>4876</v>
      </c>
      <c r="Z26" s="213" t="s">
        <v>6850</v>
      </c>
    </row>
    <row r="27" spans="1:26" ht="21" customHeight="1" x14ac:dyDescent="0.25">
      <c r="A27" s="213" t="s">
        <v>7256</v>
      </c>
      <c r="B27" s="213" t="s">
        <v>7255</v>
      </c>
      <c r="C27" s="1000" t="s">
        <v>7255</v>
      </c>
      <c r="D27" s="213" t="s">
        <v>521</v>
      </c>
      <c r="E27" s="213" t="s">
        <v>6974</v>
      </c>
      <c r="F27" s="999" t="s">
        <v>7090</v>
      </c>
      <c r="G27" s="213"/>
      <c r="H27" s="213" t="s">
        <v>6856</v>
      </c>
      <c r="I27" s="213" t="s">
        <v>7043</v>
      </c>
      <c r="J27" s="213" t="s">
        <v>7070</v>
      </c>
      <c r="K27" s="213" t="s">
        <v>6853</v>
      </c>
      <c r="L27" s="213" t="s">
        <v>6852</v>
      </c>
      <c r="M27" s="213" t="s">
        <v>6851</v>
      </c>
      <c r="N27" s="987"/>
      <c r="O27" s="987"/>
      <c r="P27" s="987"/>
      <c r="Q27" s="987"/>
      <c r="R27" s="988" t="s">
        <v>4876</v>
      </c>
      <c r="S27" s="988" t="s">
        <v>4876</v>
      </c>
      <c r="T27" s="988" t="s">
        <v>4876</v>
      </c>
      <c r="U27" s="987"/>
      <c r="V27" s="987"/>
      <c r="W27" s="987"/>
      <c r="X27" s="987"/>
      <c r="Y27" s="987"/>
      <c r="Z27" s="213" t="s">
        <v>6850</v>
      </c>
    </row>
    <row r="28" spans="1:26" ht="21" customHeight="1" x14ac:dyDescent="0.25">
      <c r="A28" s="213" t="s">
        <v>7254</v>
      </c>
      <c r="B28" s="213" t="s">
        <v>7253</v>
      </c>
      <c r="C28" s="1008" t="s">
        <v>7253</v>
      </c>
      <c r="D28" s="213" t="s">
        <v>7156</v>
      </c>
      <c r="E28" s="213" t="s">
        <v>6876</v>
      </c>
      <c r="F28" s="1007" t="s">
        <v>6981</v>
      </c>
      <c r="G28" s="213" t="s">
        <v>7155</v>
      </c>
      <c r="H28" s="213" t="s">
        <v>6856</v>
      </c>
      <c r="I28" s="213" t="s">
        <v>7252</v>
      </c>
      <c r="J28" s="213" t="s">
        <v>7000</v>
      </c>
      <c r="K28" s="213" t="s">
        <v>6906</v>
      </c>
      <c r="L28" s="213" t="s">
        <v>6905</v>
      </c>
      <c r="M28" s="213" t="s">
        <v>6851</v>
      </c>
      <c r="N28" s="986" t="s">
        <v>4876</v>
      </c>
      <c r="O28" s="986" t="s">
        <v>4876</v>
      </c>
      <c r="P28" s="986" t="s">
        <v>4876</v>
      </c>
      <c r="Q28" s="986" t="s">
        <v>4876</v>
      </c>
      <c r="R28" s="986" t="s">
        <v>4876</v>
      </c>
      <c r="S28" s="986" t="s">
        <v>4876</v>
      </c>
      <c r="T28" s="986" t="s">
        <v>4876</v>
      </c>
      <c r="U28" s="986" t="s">
        <v>4876</v>
      </c>
      <c r="V28" s="986" t="s">
        <v>4876</v>
      </c>
      <c r="W28" s="986" t="s">
        <v>4876</v>
      </c>
      <c r="X28" s="986" t="s">
        <v>4876</v>
      </c>
      <c r="Y28" s="986" t="s">
        <v>4876</v>
      </c>
      <c r="Z28" s="213" t="s">
        <v>6850</v>
      </c>
    </row>
    <row r="29" spans="1:26" ht="21" customHeight="1" x14ac:dyDescent="0.25">
      <c r="A29" s="213" t="s">
        <v>7251</v>
      </c>
      <c r="B29" s="213" t="s">
        <v>7250</v>
      </c>
      <c r="C29" s="1002" t="s">
        <v>7250</v>
      </c>
      <c r="D29" s="213" t="s">
        <v>7156</v>
      </c>
      <c r="E29" s="213" t="s">
        <v>6897</v>
      </c>
      <c r="F29" s="1001" t="s">
        <v>6916</v>
      </c>
      <c r="G29" s="213"/>
      <c r="H29" s="213" t="s">
        <v>4970</v>
      </c>
      <c r="I29" s="213" t="s">
        <v>7249</v>
      </c>
      <c r="J29" s="213" t="s">
        <v>6854</v>
      </c>
      <c r="K29" s="213" t="s">
        <v>6853</v>
      </c>
      <c r="L29" s="213" t="s">
        <v>4970</v>
      </c>
      <c r="M29" s="213" t="s">
        <v>7214</v>
      </c>
      <c r="N29" s="987"/>
      <c r="O29" s="987"/>
      <c r="P29" s="987"/>
      <c r="Q29" s="987"/>
      <c r="R29" s="987"/>
      <c r="S29" s="987"/>
      <c r="T29" s="987"/>
      <c r="U29" s="987"/>
      <c r="V29" s="987" t="s">
        <v>7213</v>
      </c>
      <c r="W29" s="987" t="s">
        <v>7213</v>
      </c>
      <c r="X29" s="987" t="s">
        <v>7213</v>
      </c>
      <c r="Y29" s="987"/>
      <c r="Z29" s="213" t="s">
        <v>6850</v>
      </c>
    </row>
    <row r="30" spans="1:26" ht="21" customHeight="1" x14ac:dyDescent="0.25">
      <c r="A30" s="213" t="s">
        <v>7248</v>
      </c>
      <c r="B30" s="213" t="s">
        <v>7247</v>
      </c>
      <c r="C30" s="240" t="s">
        <v>7247</v>
      </c>
      <c r="D30" s="213" t="s">
        <v>6860</v>
      </c>
      <c r="E30" s="213" t="s">
        <v>6902</v>
      </c>
      <c r="F30" s="239" t="s">
        <v>6858</v>
      </c>
      <c r="G30" s="213"/>
      <c r="H30" s="213" t="s">
        <v>6890</v>
      </c>
      <c r="I30" s="213" t="s">
        <v>6889</v>
      </c>
      <c r="J30" s="213" t="s">
        <v>6854</v>
      </c>
      <c r="K30" s="213" t="s">
        <v>6853</v>
      </c>
      <c r="L30" s="213" t="s">
        <v>6852</v>
      </c>
      <c r="M30" s="213" t="s">
        <v>6888</v>
      </c>
      <c r="N30" s="987" t="s">
        <v>4904</v>
      </c>
      <c r="O30" s="987" t="s">
        <v>4904</v>
      </c>
      <c r="P30" s="987" t="s">
        <v>4904</v>
      </c>
      <c r="Q30" s="987" t="s">
        <v>4904</v>
      </c>
      <c r="R30" s="987" t="s">
        <v>4904</v>
      </c>
      <c r="S30" s="987" t="s">
        <v>4904</v>
      </c>
      <c r="T30" s="987" t="s">
        <v>4904</v>
      </c>
      <c r="U30" s="987" t="s">
        <v>4904</v>
      </c>
      <c r="V30" s="987" t="s">
        <v>4904</v>
      </c>
      <c r="W30" s="987" t="s">
        <v>4904</v>
      </c>
      <c r="X30" s="987" t="s">
        <v>4904</v>
      </c>
      <c r="Y30" s="987" t="s">
        <v>4904</v>
      </c>
      <c r="Z30" s="213" t="s">
        <v>6850</v>
      </c>
    </row>
    <row r="31" spans="1:26" ht="21" customHeight="1" x14ac:dyDescent="0.25">
      <c r="A31" s="213" t="s">
        <v>7246</v>
      </c>
      <c r="B31" s="213" t="s">
        <v>7245</v>
      </c>
      <c r="C31" s="240" t="s">
        <v>7245</v>
      </c>
      <c r="D31" s="213" t="s">
        <v>6860</v>
      </c>
      <c r="E31" s="213" t="s">
        <v>6876</v>
      </c>
      <c r="F31" s="239" t="s">
        <v>6858</v>
      </c>
      <c r="G31" s="213" t="s">
        <v>6885</v>
      </c>
      <c r="H31" s="213" t="s">
        <v>6856</v>
      </c>
      <c r="I31" s="213" t="s">
        <v>7036</v>
      </c>
      <c r="J31" s="213" t="s">
        <v>6854</v>
      </c>
      <c r="K31" s="213" t="s">
        <v>6853</v>
      </c>
      <c r="L31" s="213" t="s">
        <v>6852</v>
      </c>
      <c r="M31" s="213" t="s">
        <v>6851</v>
      </c>
      <c r="N31" s="988" t="s">
        <v>4876</v>
      </c>
      <c r="O31" s="988" t="s">
        <v>4876</v>
      </c>
      <c r="P31" s="988" t="s">
        <v>4876</v>
      </c>
      <c r="Q31" s="988" t="s">
        <v>4876</v>
      </c>
      <c r="R31" s="987"/>
      <c r="S31" s="987"/>
      <c r="T31" s="987"/>
      <c r="U31" s="987"/>
      <c r="V31" s="988" t="s">
        <v>4876</v>
      </c>
      <c r="W31" s="988" t="s">
        <v>4876</v>
      </c>
      <c r="X31" s="988" t="s">
        <v>4876</v>
      </c>
      <c r="Y31" s="988" t="s">
        <v>4876</v>
      </c>
      <c r="Z31" s="213" t="s">
        <v>6850</v>
      </c>
    </row>
    <row r="32" spans="1:26" ht="21" customHeight="1" x14ac:dyDescent="0.25">
      <c r="A32" s="213" t="s">
        <v>7244</v>
      </c>
      <c r="B32" s="213" t="s">
        <v>7243</v>
      </c>
      <c r="C32" s="994" t="s">
        <v>7243</v>
      </c>
      <c r="D32" s="213" t="s">
        <v>6860</v>
      </c>
      <c r="E32" s="213" t="s">
        <v>6982</v>
      </c>
      <c r="F32" s="993"/>
      <c r="G32" s="213" t="s">
        <v>7166</v>
      </c>
      <c r="H32" s="213" t="s">
        <v>6856</v>
      </c>
      <c r="I32" s="213" t="s">
        <v>7154</v>
      </c>
      <c r="J32" s="213" t="s">
        <v>6854</v>
      </c>
      <c r="K32" s="213" t="s">
        <v>6853</v>
      </c>
      <c r="L32" s="213" t="s">
        <v>6852</v>
      </c>
      <c r="M32" s="213" t="s">
        <v>6851</v>
      </c>
      <c r="N32" s="987"/>
      <c r="O32" s="987"/>
      <c r="P32" s="987"/>
      <c r="Q32" s="987"/>
      <c r="R32" s="987"/>
      <c r="S32" s="986" t="s">
        <v>4876</v>
      </c>
      <c r="T32" s="986" t="s">
        <v>4876</v>
      </c>
      <c r="U32" s="986" t="s">
        <v>4876</v>
      </c>
      <c r="V32" s="986" t="s">
        <v>4876</v>
      </c>
      <c r="W32" s="986" t="s">
        <v>4876</v>
      </c>
      <c r="X32" s="986" t="s">
        <v>4876</v>
      </c>
      <c r="Y32" s="987"/>
      <c r="Z32" s="213" t="s">
        <v>6850</v>
      </c>
    </row>
    <row r="33" spans="1:26" ht="21" customHeight="1" x14ac:dyDescent="0.25">
      <c r="A33" s="213" t="s">
        <v>7242</v>
      </c>
      <c r="B33" s="213" t="s">
        <v>7241</v>
      </c>
      <c r="C33" s="994" t="s">
        <v>7241</v>
      </c>
      <c r="D33" s="213" t="s">
        <v>6860</v>
      </c>
      <c r="E33" s="213" t="s">
        <v>6902</v>
      </c>
      <c r="F33" s="993" t="s">
        <v>6928</v>
      </c>
      <c r="G33" s="213" t="s">
        <v>7166</v>
      </c>
      <c r="H33" s="213" t="s">
        <v>6856</v>
      </c>
      <c r="I33" s="213" t="s">
        <v>6900</v>
      </c>
      <c r="J33" s="213" t="s">
        <v>7194</v>
      </c>
      <c r="K33" s="213" t="s">
        <v>6906</v>
      </c>
      <c r="L33" s="213" t="s">
        <v>6905</v>
      </c>
      <c r="M33" s="213" t="s">
        <v>6851</v>
      </c>
      <c r="N33" s="988" t="s">
        <v>4876</v>
      </c>
      <c r="O33" s="988" t="s">
        <v>4876</v>
      </c>
      <c r="P33" s="988" t="s">
        <v>4876</v>
      </c>
      <c r="Q33" s="987"/>
      <c r="R33" s="987"/>
      <c r="S33" s="987"/>
      <c r="T33" s="987"/>
      <c r="U33" s="987"/>
      <c r="V33" s="987"/>
      <c r="W33" s="988" t="s">
        <v>4876</v>
      </c>
      <c r="X33" s="988" t="s">
        <v>4876</v>
      </c>
      <c r="Y33" s="988" t="s">
        <v>4876</v>
      </c>
      <c r="Z33" s="213" t="s">
        <v>6850</v>
      </c>
    </row>
    <row r="34" spans="1:26" ht="21" customHeight="1" x14ac:dyDescent="0.25">
      <c r="A34" s="213" t="s">
        <v>7240</v>
      </c>
      <c r="B34" s="213" t="s">
        <v>7239</v>
      </c>
      <c r="C34" s="1002" t="s">
        <v>7239</v>
      </c>
      <c r="D34" s="213" t="s">
        <v>6860</v>
      </c>
      <c r="E34" s="213" t="s">
        <v>6876</v>
      </c>
      <c r="F34" s="1001"/>
      <c r="G34" s="213" t="s">
        <v>6885</v>
      </c>
      <c r="H34" s="213" t="s">
        <v>6856</v>
      </c>
      <c r="I34" s="213" t="s">
        <v>6915</v>
      </c>
      <c r="J34" s="213" t="s">
        <v>6854</v>
      </c>
      <c r="K34" s="213" t="s">
        <v>6853</v>
      </c>
      <c r="L34" s="213" t="s">
        <v>6852</v>
      </c>
      <c r="M34" s="213" t="s">
        <v>6851</v>
      </c>
      <c r="N34" s="986" t="s">
        <v>4876</v>
      </c>
      <c r="O34" s="986" t="s">
        <v>4876</v>
      </c>
      <c r="P34" s="986" t="s">
        <v>4876</v>
      </c>
      <c r="Q34" s="987"/>
      <c r="R34" s="987"/>
      <c r="S34" s="987"/>
      <c r="T34" s="987"/>
      <c r="U34" s="987"/>
      <c r="V34" s="986" t="s">
        <v>4876</v>
      </c>
      <c r="W34" s="986" t="s">
        <v>4876</v>
      </c>
      <c r="X34" s="986" t="s">
        <v>4876</v>
      </c>
      <c r="Y34" s="986" t="s">
        <v>4876</v>
      </c>
      <c r="Z34" s="213" t="s">
        <v>6850</v>
      </c>
    </row>
    <row r="35" spans="1:26" ht="21" customHeight="1" x14ac:dyDescent="0.25">
      <c r="A35" s="213" t="s">
        <v>7238</v>
      </c>
      <c r="B35" s="213" t="s">
        <v>7237</v>
      </c>
      <c r="C35" s="240" t="s">
        <v>7237</v>
      </c>
      <c r="D35" s="213" t="s">
        <v>7168</v>
      </c>
      <c r="E35" s="213" t="s">
        <v>6982</v>
      </c>
      <c r="F35" s="239" t="s">
        <v>6858</v>
      </c>
      <c r="G35" s="213" t="s">
        <v>7166</v>
      </c>
      <c r="H35" s="213" t="s">
        <v>6856</v>
      </c>
      <c r="I35" s="213" t="s">
        <v>7036</v>
      </c>
      <c r="J35" s="213" t="s">
        <v>6914</v>
      </c>
      <c r="K35" s="213" t="s">
        <v>6906</v>
      </c>
      <c r="L35" s="213" t="s">
        <v>6905</v>
      </c>
      <c r="M35" s="213" t="s">
        <v>6851</v>
      </c>
      <c r="N35" s="988" t="s">
        <v>4876</v>
      </c>
      <c r="O35" s="988" t="s">
        <v>4876</v>
      </c>
      <c r="P35" s="988" t="s">
        <v>4876</v>
      </c>
      <c r="Q35" s="988" t="s">
        <v>4876</v>
      </c>
      <c r="R35" s="987"/>
      <c r="S35" s="987"/>
      <c r="T35" s="987"/>
      <c r="U35" s="987"/>
      <c r="V35" s="988" t="s">
        <v>4876</v>
      </c>
      <c r="W35" s="988" t="s">
        <v>4876</v>
      </c>
      <c r="X35" s="988" t="s">
        <v>4876</v>
      </c>
      <c r="Y35" s="988" t="s">
        <v>4876</v>
      </c>
      <c r="Z35" s="213" t="s">
        <v>6850</v>
      </c>
    </row>
    <row r="36" spans="1:26" ht="21" customHeight="1" x14ac:dyDescent="0.25">
      <c r="A36" s="213" t="s">
        <v>7236</v>
      </c>
      <c r="B36" s="213" t="s">
        <v>7235</v>
      </c>
      <c r="C36" s="1002" t="s">
        <v>7235</v>
      </c>
      <c r="D36" s="213" t="s">
        <v>6860</v>
      </c>
      <c r="E36" s="213" t="s">
        <v>6893</v>
      </c>
      <c r="F36" s="1001" t="s">
        <v>6916</v>
      </c>
      <c r="G36" s="213"/>
      <c r="H36" s="213" t="s">
        <v>6856</v>
      </c>
      <c r="I36" s="213" t="s">
        <v>6915</v>
      </c>
      <c r="J36" s="213" t="s">
        <v>6914</v>
      </c>
      <c r="K36" s="213" t="s">
        <v>6853</v>
      </c>
      <c r="L36" s="213" t="s">
        <v>6852</v>
      </c>
      <c r="M36" s="213" t="s">
        <v>6851</v>
      </c>
      <c r="N36" s="986" t="s">
        <v>4876</v>
      </c>
      <c r="O36" s="986" t="s">
        <v>4876</v>
      </c>
      <c r="P36" s="986" t="s">
        <v>4876</v>
      </c>
      <c r="Q36" s="987"/>
      <c r="R36" s="987"/>
      <c r="S36" s="987"/>
      <c r="T36" s="987"/>
      <c r="U36" s="987"/>
      <c r="V36" s="986" t="s">
        <v>4876</v>
      </c>
      <c r="W36" s="986" t="s">
        <v>4876</v>
      </c>
      <c r="X36" s="986" t="s">
        <v>4876</v>
      </c>
      <c r="Y36" s="986" t="s">
        <v>4876</v>
      </c>
      <c r="Z36" s="213" t="s">
        <v>6850</v>
      </c>
    </row>
    <row r="37" spans="1:26" ht="21" customHeight="1" x14ac:dyDescent="0.25">
      <c r="A37" s="213" t="s">
        <v>7234</v>
      </c>
      <c r="B37" s="213" t="s">
        <v>7233</v>
      </c>
      <c r="C37" s="1002" t="s">
        <v>7233</v>
      </c>
      <c r="D37" s="213" t="s">
        <v>6860</v>
      </c>
      <c r="E37" s="213" t="s">
        <v>6902</v>
      </c>
      <c r="F37" s="1001"/>
      <c r="G37" s="213" t="s">
        <v>7166</v>
      </c>
      <c r="H37" s="213" t="s">
        <v>6856</v>
      </c>
      <c r="I37" s="213" t="s">
        <v>6979</v>
      </c>
      <c r="J37" s="213" t="s">
        <v>6854</v>
      </c>
      <c r="K37" s="213" t="s">
        <v>6853</v>
      </c>
      <c r="L37" s="213" t="s">
        <v>6852</v>
      </c>
      <c r="M37" s="213" t="s">
        <v>6851</v>
      </c>
      <c r="N37" s="987"/>
      <c r="O37" s="987"/>
      <c r="P37" s="987"/>
      <c r="Q37" s="987"/>
      <c r="R37" s="987"/>
      <c r="S37" s="987"/>
      <c r="T37" s="987"/>
      <c r="U37" s="987"/>
      <c r="V37" s="988" t="s">
        <v>4876</v>
      </c>
      <c r="W37" s="988" t="s">
        <v>4876</v>
      </c>
      <c r="X37" s="988" t="s">
        <v>4876</v>
      </c>
      <c r="Y37" s="988" t="s">
        <v>4876</v>
      </c>
      <c r="Z37" s="213" t="s">
        <v>6850</v>
      </c>
    </row>
    <row r="38" spans="1:26" ht="21" customHeight="1" x14ac:dyDescent="0.25">
      <c r="A38" s="213" t="s">
        <v>7232</v>
      </c>
      <c r="B38" s="213" t="s">
        <v>7231</v>
      </c>
      <c r="C38" s="1000" t="s">
        <v>7231</v>
      </c>
      <c r="D38" s="213" t="s">
        <v>6860</v>
      </c>
      <c r="E38" s="213" t="s">
        <v>6876</v>
      </c>
      <c r="F38" s="999" t="s">
        <v>7090</v>
      </c>
      <c r="G38" s="213" t="s">
        <v>6885</v>
      </c>
      <c r="H38" s="213" t="s">
        <v>6856</v>
      </c>
      <c r="I38" s="213" t="s">
        <v>7036</v>
      </c>
      <c r="J38" s="213" t="s">
        <v>6854</v>
      </c>
      <c r="K38" s="213" t="s">
        <v>6853</v>
      </c>
      <c r="L38" s="213" t="s">
        <v>6852</v>
      </c>
      <c r="M38" s="213" t="s">
        <v>6851</v>
      </c>
      <c r="N38" s="986" t="s">
        <v>4876</v>
      </c>
      <c r="O38" s="986" t="s">
        <v>4876</v>
      </c>
      <c r="P38" s="986" t="s">
        <v>4876</v>
      </c>
      <c r="Q38" s="986" t="s">
        <v>4876</v>
      </c>
      <c r="R38" s="987"/>
      <c r="S38" s="987"/>
      <c r="T38" s="987"/>
      <c r="U38" s="987"/>
      <c r="V38" s="986" t="s">
        <v>4876</v>
      </c>
      <c r="W38" s="986" t="s">
        <v>4876</v>
      </c>
      <c r="X38" s="986" t="s">
        <v>4876</v>
      </c>
      <c r="Y38" s="986" t="s">
        <v>4876</v>
      </c>
      <c r="Z38" s="213" t="s">
        <v>6850</v>
      </c>
    </row>
    <row r="39" spans="1:26" ht="21" customHeight="1" x14ac:dyDescent="0.25">
      <c r="A39" s="213" t="s">
        <v>7230</v>
      </c>
      <c r="B39" s="213" t="s">
        <v>7229</v>
      </c>
      <c r="C39" s="994" t="s">
        <v>7229</v>
      </c>
      <c r="D39" s="213" t="s">
        <v>6860</v>
      </c>
      <c r="E39" s="213" t="s">
        <v>6876</v>
      </c>
      <c r="F39" s="993" t="s">
        <v>6928</v>
      </c>
      <c r="G39" s="213" t="s">
        <v>6885</v>
      </c>
      <c r="H39" s="213" t="s">
        <v>6856</v>
      </c>
      <c r="I39" s="213" t="s">
        <v>6900</v>
      </c>
      <c r="J39" s="213" t="s">
        <v>6997</v>
      </c>
      <c r="K39" s="213" t="s">
        <v>6906</v>
      </c>
      <c r="L39" s="213" t="s">
        <v>6905</v>
      </c>
      <c r="M39" s="213" t="s">
        <v>6851</v>
      </c>
      <c r="N39" s="988" t="s">
        <v>4876</v>
      </c>
      <c r="O39" s="988" t="s">
        <v>4876</v>
      </c>
      <c r="P39" s="988" t="s">
        <v>4876</v>
      </c>
      <c r="Q39" s="987"/>
      <c r="R39" s="987"/>
      <c r="S39" s="987"/>
      <c r="T39" s="987"/>
      <c r="U39" s="987"/>
      <c r="V39" s="987"/>
      <c r="W39" s="988" t="s">
        <v>4876</v>
      </c>
      <c r="X39" s="988" t="s">
        <v>4876</v>
      </c>
      <c r="Y39" s="988" t="s">
        <v>4876</v>
      </c>
      <c r="Z39" s="213" t="s">
        <v>6850</v>
      </c>
    </row>
    <row r="40" spans="1:26" ht="21" customHeight="1" x14ac:dyDescent="0.25">
      <c r="A40" s="213" t="s">
        <v>7228</v>
      </c>
      <c r="B40" s="213" t="s">
        <v>7227</v>
      </c>
      <c r="C40" s="1002" t="s">
        <v>7227</v>
      </c>
      <c r="D40" s="213" t="s">
        <v>7104</v>
      </c>
      <c r="E40" s="213" t="s">
        <v>6902</v>
      </c>
      <c r="F40" s="1001"/>
      <c r="G40" s="213" t="s">
        <v>6870</v>
      </c>
      <c r="H40" s="213" t="s">
        <v>7103</v>
      </c>
      <c r="I40" s="213" t="s">
        <v>7102</v>
      </c>
      <c r="J40" s="213" t="s">
        <v>6854</v>
      </c>
      <c r="K40" s="213" t="s">
        <v>6853</v>
      </c>
      <c r="L40" s="213" t="s">
        <v>6852</v>
      </c>
      <c r="M40" s="213" t="s">
        <v>7101</v>
      </c>
      <c r="N40" s="987" t="s">
        <v>7100</v>
      </c>
      <c r="O40" s="987" t="s">
        <v>7100</v>
      </c>
      <c r="P40" s="987" t="s">
        <v>7100</v>
      </c>
      <c r="Q40" s="987" t="s">
        <v>7100</v>
      </c>
      <c r="R40" s="987" t="s">
        <v>7100</v>
      </c>
      <c r="S40" s="987" t="s">
        <v>7100</v>
      </c>
      <c r="T40" s="987" t="s">
        <v>7100</v>
      </c>
      <c r="U40" s="987" t="s">
        <v>7100</v>
      </c>
      <c r="V40" s="987" t="s">
        <v>7100</v>
      </c>
      <c r="W40" s="987" t="s">
        <v>7100</v>
      </c>
      <c r="X40" s="987" t="s">
        <v>7100</v>
      </c>
      <c r="Y40" s="987" t="s">
        <v>7100</v>
      </c>
      <c r="Z40" s="213" t="s">
        <v>6850</v>
      </c>
    </row>
    <row r="41" spans="1:26" ht="21" customHeight="1" x14ac:dyDescent="0.25">
      <c r="A41" s="213" t="s">
        <v>7226</v>
      </c>
      <c r="B41" s="213" t="s">
        <v>7225</v>
      </c>
      <c r="C41" s="990" t="s">
        <v>7225</v>
      </c>
      <c r="D41" s="213" t="s">
        <v>521</v>
      </c>
      <c r="E41" s="213" t="s">
        <v>6991</v>
      </c>
      <c r="F41" s="989" t="s">
        <v>6865</v>
      </c>
      <c r="G41" s="213"/>
      <c r="H41" s="213" t="s">
        <v>6856</v>
      </c>
      <c r="I41" s="213" t="s">
        <v>7123</v>
      </c>
      <c r="J41" s="213" t="s">
        <v>7224</v>
      </c>
      <c r="K41" s="213" t="s">
        <v>6853</v>
      </c>
      <c r="L41" s="213" t="s">
        <v>6852</v>
      </c>
      <c r="M41" s="213" t="s">
        <v>6851</v>
      </c>
      <c r="N41" s="988" t="s">
        <v>4876</v>
      </c>
      <c r="O41" s="988" t="s">
        <v>4876</v>
      </c>
      <c r="P41" s="988" t="s">
        <v>4876</v>
      </c>
      <c r="Q41" s="988" t="s">
        <v>4876</v>
      </c>
      <c r="R41" s="987"/>
      <c r="S41" s="987"/>
      <c r="T41" s="987"/>
      <c r="U41" s="987"/>
      <c r="V41" s="987"/>
      <c r="W41" s="987"/>
      <c r="X41" s="988" t="s">
        <v>4876</v>
      </c>
      <c r="Y41" s="988" t="s">
        <v>4876</v>
      </c>
      <c r="Z41" s="213" t="s">
        <v>6850</v>
      </c>
    </row>
    <row r="42" spans="1:26" ht="21" customHeight="1" x14ac:dyDescent="0.25">
      <c r="A42" s="213" t="s">
        <v>7223</v>
      </c>
      <c r="B42" s="213" t="s">
        <v>7222</v>
      </c>
      <c r="C42" s="1012" t="s">
        <v>7222</v>
      </c>
      <c r="D42" s="213" t="s">
        <v>6867</v>
      </c>
      <c r="E42" s="213" t="s">
        <v>6902</v>
      </c>
      <c r="F42" s="1011"/>
      <c r="G42" s="213" t="s">
        <v>6870</v>
      </c>
      <c r="H42" s="213" t="s">
        <v>6980</v>
      </c>
      <c r="I42" s="213" t="s">
        <v>6979</v>
      </c>
      <c r="J42" s="213" t="s">
        <v>6854</v>
      </c>
      <c r="K42" s="213" t="s">
        <v>6853</v>
      </c>
      <c r="L42" s="213" t="s">
        <v>6852</v>
      </c>
      <c r="M42" s="213" t="s">
        <v>6977</v>
      </c>
      <c r="N42" s="987" t="s">
        <v>4904</v>
      </c>
      <c r="O42" s="987" t="s">
        <v>4904</v>
      </c>
      <c r="P42" s="987" t="s">
        <v>4904</v>
      </c>
      <c r="Q42" s="987"/>
      <c r="R42" s="987"/>
      <c r="S42" s="987"/>
      <c r="T42" s="987"/>
      <c r="U42" s="987"/>
      <c r="V42" s="986" t="s">
        <v>4876</v>
      </c>
      <c r="W42" s="986" t="s">
        <v>4876</v>
      </c>
      <c r="X42" s="986" t="s">
        <v>4876</v>
      </c>
      <c r="Y42" s="986" t="s">
        <v>4876</v>
      </c>
      <c r="Z42" s="213" t="s">
        <v>6850</v>
      </c>
    </row>
    <row r="43" spans="1:26" ht="21" customHeight="1" x14ac:dyDescent="0.25">
      <c r="A43" s="213" t="s">
        <v>7221</v>
      </c>
      <c r="B43" s="213" t="s">
        <v>7220</v>
      </c>
      <c r="C43" s="1012" t="s">
        <v>7220</v>
      </c>
      <c r="D43" s="213" t="s">
        <v>521</v>
      </c>
      <c r="E43" s="213" t="s">
        <v>6974</v>
      </c>
      <c r="F43" s="1011" t="s">
        <v>7067</v>
      </c>
      <c r="G43" s="213"/>
      <c r="H43" s="213" t="s">
        <v>6856</v>
      </c>
      <c r="I43" s="213" t="s">
        <v>7107</v>
      </c>
      <c r="J43" s="213" t="s">
        <v>6907</v>
      </c>
      <c r="K43" s="213" t="s">
        <v>6853</v>
      </c>
      <c r="L43" s="213" t="s">
        <v>6852</v>
      </c>
      <c r="M43" s="213" t="s">
        <v>6851</v>
      </c>
      <c r="N43" s="988" t="s">
        <v>4876</v>
      </c>
      <c r="O43" s="988" t="s">
        <v>4876</v>
      </c>
      <c r="P43" s="987"/>
      <c r="Q43" s="987"/>
      <c r="R43" s="987"/>
      <c r="S43" s="987"/>
      <c r="T43" s="987"/>
      <c r="U43" s="987"/>
      <c r="V43" s="987"/>
      <c r="W43" s="987"/>
      <c r="X43" s="988" t="s">
        <v>4876</v>
      </c>
      <c r="Y43" s="988" t="s">
        <v>4876</v>
      </c>
      <c r="Z43" s="213" t="s">
        <v>6850</v>
      </c>
    </row>
    <row r="44" spans="1:26" ht="21" customHeight="1" x14ac:dyDescent="0.25">
      <c r="A44" s="213" t="s">
        <v>7219</v>
      </c>
      <c r="B44" s="213" t="s">
        <v>7218</v>
      </c>
      <c r="C44" s="240" t="s">
        <v>7218</v>
      </c>
      <c r="D44" s="213" t="s">
        <v>6860</v>
      </c>
      <c r="E44" s="213" t="s">
        <v>6897</v>
      </c>
      <c r="F44" s="239" t="s">
        <v>6858</v>
      </c>
      <c r="G44" s="213"/>
      <c r="H44" s="213" t="s">
        <v>6980</v>
      </c>
      <c r="I44" s="213" t="s">
        <v>6960</v>
      </c>
      <c r="J44" s="213" t="s">
        <v>6854</v>
      </c>
      <c r="K44" s="213" t="s">
        <v>6853</v>
      </c>
      <c r="L44" s="213" t="s">
        <v>6852</v>
      </c>
      <c r="M44" s="213" t="s">
        <v>6977</v>
      </c>
      <c r="N44" s="987" t="s">
        <v>4904</v>
      </c>
      <c r="O44" s="987" t="s">
        <v>4904</v>
      </c>
      <c r="P44" s="987" t="s">
        <v>4904</v>
      </c>
      <c r="Q44" s="987" t="s">
        <v>4904</v>
      </c>
      <c r="R44" s="987" t="s">
        <v>4904</v>
      </c>
      <c r="S44" s="987" t="s">
        <v>4904</v>
      </c>
      <c r="T44" s="987" t="s">
        <v>4904</v>
      </c>
      <c r="U44" s="986" t="s">
        <v>4876</v>
      </c>
      <c r="V44" s="986" t="s">
        <v>4876</v>
      </c>
      <c r="W44" s="986" t="s">
        <v>4876</v>
      </c>
      <c r="X44" s="987" t="s">
        <v>4904</v>
      </c>
      <c r="Y44" s="987" t="s">
        <v>4904</v>
      </c>
      <c r="Z44" s="213" t="s">
        <v>6850</v>
      </c>
    </row>
    <row r="45" spans="1:26" ht="21" customHeight="1" x14ac:dyDescent="0.25">
      <c r="A45" s="213" t="s">
        <v>7217</v>
      </c>
      <c r="B45" s="213" t="s">
        <v>7216</v>
      </c>
      <c r="C45" s="240" t="s">
        <v>7216</v>
      </c>
      <c r="D45" s="213" t="s">
        <v>7104</v>
      </c>
      <c r="E45" s="213" t="s">
        <v>7037</v>
      </c>
      <c r="F45" s="239" t="s">
        <v>6858</v>
      </c>
      <c r="G45" s="213"/>
      <c r="H45" s="213" t="s">
        <v>4970</v>
      </c>
      <c r="I45" s="213" t="s">
        <v>7215</v>
      </c>
      <c r="J45" s="213" t="s">
        <v>6854</v>
      </c>
      <c r="K45" s="213" t="s">
        <v>6853</v>
      </c>
      <c r="L45" s="213" t="s">
        <v>4970</v>
      </c>
      <c r="M45" s="213" t="s">
        <v>7214</v>
      </c>
      <c r="N45" s="987" t="s">
        <v>7213</v>
      </c>
      <c r="O45" s="987" t="s">
        <v>7213</v>
      </c>
      <c r="P45" s="987" t="s">
        <v>7213</v>
      </c>
      <c r="Q45" s="987" t="s">
        <v>7213</v>
      </c>
      <c r="R45" s="987" t="s">
        <v>7213</v>
      </c>
      <c r="S45" s="987" t="s">
        <v>7213</v>
      </c>
      <c r="T45" s="987" t="s">
        <v>7213</v>
      </c>
      <c r="U45" s="987" t="s">
        <v>7213</v>
      </c>
      <c r="V45" s="987" t="s">
        <v>7213</v>
      </c>
      <c r="W45" s="987" t="s">
        <v>7213</v>
      </c>
      <c r="X45" s="987" t="s">
        <v>7213</v>
      </c>
      <c r="Y45" s="987" t="s">
        <v>7213</v>
      </c>
      <c r="Z45" s="213" t="s">
        <v>6850</v>
      </c>
    </row>
    <row r="46" spans="1:26" ht="21" customHeight="1" x14ac:dyDescent="0.25">
      <c r="A46" s="213" t="s">
        <v>7212</v>
      </c>
      <c r="B46" s="213" t="s">
        <v>7211</v>
      </c>
      <c r="C46" s="1002" t="s">
        <v>7211</v>
      </c>
      <c r="D46" s="213" t="s">
        <v>6867</v>
      </c>
      <c r="E46" s="213" t="s">
        <v>6876</v>
      </c>
      <c r="F46" s="1001" t="s">
        <v>6916</v>
      </c>
      <c r="G46" s="213" t="s">
        <v>6870</v>
      </c>
      <c r="H46" s="213" t="s">
        <v>6856</v>
      </c>
      <c r="I46" s="213" t="s">
        <v>6919</v>
      </c>
      <c r="J46" s="213" t="s">
        <v>6874</v>
      </c>
      <c r="K46" s="213" t="s">
        <v>6906</v>
      </c>
      <c r="L46" s="213" t="s">
        <v>6905</v>
      </c>
      <c r="M46" s="213" t="s">
        <v>6851</v>
      </c>
      <c r="N46" s="987"/>
      <c r="O46" s="987"/>
      <c r="P46" s="987"/>
      <c r="Q46" s="987"/>
      <c r="R46" s="986" t="s">
        <v>4876</v>
      </c>
      <c r="S46" s="986" t="s">
        <v>4876</v>
      </c>
      <c r="T46" s="986" t="s">
        <v>4876</v>
      </c>
      <c r="U46" s="986" t="s">
        <v>4876</v>
      </c>
      <c r="V46" s="986" t="s">
        <v>4876</v>
      </c>
      <c r="W46" s="986" t="s">
        <v>4876</v>
      </c>
      <c r="X46" s="987"/>
      <c r="Y46" s="987"/>
      <c r="Z46" s="213" t="s">
        <v>6850</v>
      </c>
    </row>
    <row r="47" spans="1:26" ht="21" customHeight="1" x14ac:dyDescent="0.25">
      <c r="A47" s="213" t="s">
        <v>7210</v>
      </c>
      <c r="B47" s="213" t="s">
        <v>7209</v>
      </c>
      <c r="C47" s="994" t="s">
        <v>7209</v>
      </c>
      <c r="D47" s="213" t="s">
        <v>6860</v>
      </c>
      <c r="E47" s="213" t="s">
        <v>6982</v>
      </c>
      <c r="F47" s="993"/>
      <c r="G47" s="213" t="s">
        <v>6870</v>
      </c>
      <c r="H47" s="213" t="s">
        <v>6856</v>
      </c>
      <c r="I47" s="213" t="s">
        <v>7046</v>
      </c>
      <c r="J47" s="213" t="s">
        <v>6854</v>
      </c>
      <c r="K47" s="213" t="s">
        <v>6853</v>
      </c>
      <c r="L47" s="213" t="s">
        <v>6852</v>
      </c>
      <c r="M47" s="213" t="s">
        <v>6851</v>
      </c>
      <c r="N47" s="987"/>
      <c r="O47" s="987"/>
      <c r="P47" s="987"/>
      <c r="Q47" s="987"/>
      <c r="R47" s="987"/>
      <c r="S47" s="988" t="s">
        <v>4876</v>
      </c>
      <c r="T47" s="988" t="s">
        <v>4876</v>
      </c>
      <c r="U47" s="988" t="s">
        <v>4876</v>
      </c>
      <c r="V47" s="988" t="s">
        <v>4876</v>
      </c>
      <c r="W47" s="987"/>
      <c r="X47" s="987"/>
      <c r="Y47" s="987"/>
      <c r="Z47" s="213" t="s">
        <v>6850</v>
      </c>
    </row>
    <row r="48" spans="1:26" ht="21" customHeight="1" x14ac:dyDescent="0.25">
      <c r="A48" s="213" t="s">
        <v>7208</v>
      </c>
      <c r="B48" s="213" t="s">
        <v>7207</v>
      </c>
      <c r="C48" s="1008" t="s">
        <v>7207</v>
      </c>
      <c r="D48" s="213" t="s">
        <v>6867</v>
      </c>
      <c r="E48" s="213" t="s">
        <v>6902</v>
      </c>
      <c r="F48" s="1007" t="s">
        <v>6981</v>
      </c>
      <c r="G48" s="213" t="s">
        <v>6870</v>
      </c>
      <c r="H48" s="213" t="s">
        <v>6980</v>
      </c>
      <c r="I48" s="213" t="s">
        <v>6979</v>
      </c>
      <c r="J48" s="213" t="s">
        <v>6978</v>
      </c>
      <c r="K48" s="213" t="s">
        <v>6906</v>
      </c>
      <c r="L48" s="213" t="s">
        <v>6905</v>
      </c>
      <c r="M48" s="213" t="s">
        <v>6977</v>
      </c>
      <c r="N48" s="987" t="s">
        <v>4904</v>
      </c>
      <c r="O48" s="987" t="s">
        <v>4904</v>
      </c>
      <c r="P48" s="987" t="s">
        <v>4904</v>
      </c>
      <c r="Q48" s="987"/>
      <c r="R48" s="987"/>
      <c r="S48" s="987"/>
      <c r="T48" s="987"/>
      <c r="U48" s="987"/>
      <c r="V48" s="986" t="s">
        <v>4876</v>
      </c>
      <c r="W48" s="986" t="s">
        <v>4876</v>
      </c>
      <c r="X48" s="986" t="s">
        <v>4876</v>
      </c>
      <c r="Y48" s="986" t="s">
        <v>4876</v>
      </c>
      <c r="Z48" s="213" t="s">
        <v>6850</v>
      </c>
    </row>
    <row r="49" spans="1:26" ht="21" customHeight="1" x14ac:dyDescent="0.25">
      <c r="A49" s="213" t="s">
        <v>7206</v>
      </c>
      <c r="B49" s="213" t="s">
        <v>7205</v>
      </c>
      <c r="C49" s="1008" t="s">
        <v>7205</v>
      </c>
      <c r="D49" s="213" t="s">
        <v>6867</v>
      </c>
      <c r="E49" s="213" t="s">
        <v>6902</v>
      </c>
      <c r="F49" s="1007" t="s">
        <v>6981</v>
      </c>
      <c r="G49" s="213" t="s">
        <v>6870</v>
      </c>
      <c r="H49" s="213" t="s">
        <v>6856</v>
      </c>
      <c r="I49" s="213" t="s">
        <v>6919</v>
      </c>
      <c r="J49" s="213" t="s">
        <v>7007</v>
      </c>
      <c r="K49" s="213" t="s">
        <v>6906</v>
      </c>
      <c r="L49" s="213" t="s">
        <v>6905</v>
      </c>
      <c r="M49" s="213" t="s">
        <v>6851</v>
      </c>
      <c r="N49" s="987"/>
      <c r="O49" s="987"/>
      <c r="P49" s="987"/>
      <c r="Q49" s="987"/>
      <c r="R49" s="988" t="s">
        <v>4876</v>
      </c>
      <c r="S49" s="988" t="s">
        <v>4876</v>
      </c>
      <c r="T49" s="988" t="s">
        <v>4876</v>
      </c>
      <c r="U49" s="988" t="s">
        <v>4876</v>
      </c>
      <c r="V49" s="988" t="s">
        <v>4876</v>
      </c>
      <c r="W49" s="988" t="s">
        <v>4876</v>
      </c>
      <c r="X49" s="987"/>
      <c r="Y49" s="987"/>
      <c r="Z49" s="213" t="s">
        <v>6850</v>
      </c>
    </row>
    <row r="50" spans="1:26" ht="21" customHeight="1" x14ac:dyDescent="0.25">
      <c r="A50" s="213" t="s">
        <v>7204</v>
      </c>
      <c r="B50" s="213" t="s">
        <v>7203</v>
      </c>
      <c r="C50" s="240" t="s">
        <v>7203</v>
      </c>
      <c r="D50" s="213" t="s">
        <v>6860</v>
      </c>
      <c r="E50" s="213" t="s">
        <v>6902</v>
      </c>
      <c r="F50" s="239"/>
      <c r="G50" s="213" t="s">
        <v>6857</v>
      </c>
      <c r="H50" s="213" t="s">
        <v>6856</v>
      </c>
      <c r="I50" s="213" t="s">
        <v>7107</v>
      </c>
      <c r="J50" s="213" t="s">
        <v>6854</v>
      </c>
      <c r="K50" s="213" t="s">
        <v>6853</v>
      </c>
      <c r="L50" s="213" t="s">
        <v>6852</v>
      </c>
      <c r="M50" s="213" t="s">
        <v>6851</v>
      </c>
      <c r="N50" s="986" t="s">
        <v>4876</v>
      </c>
      <c r="O50" s="986" t="s">
        <v>4876</v>
      </c>
      <c r="P50" s="987"/>
      <c r="Q50" s="987"/>
      <c r="R50" s="987"/>
      <c r="S50" s="987"/>
      <c r="T50" s="987"/>
      <c r="U50" s="987"/>
      <c r="V50" s="987"/>
      <c r="W50" s="987"/>
      <c r="X50" s="986" t="s">
        <v>4876</v>
      </c>
      <c r="Y50" s="986" t="s">
        <v>4876</v>
      </c>
      <c r="Z50" s="213" t="s">
        <v>6850</v>
      </c>
    </row>
    <row r="51" spans="1:26" ht="21" customHeight="1" x14ac:dyDescent="0.25">
      <c r="A51" s="213" t="s">
        <v>7202</v>
      </c>
      <c r="B51" s="213" t="s">
        <v>7201</v>
      </c>
      <c r="C51" s="1012" t="s">
        <v>7201</v>
      </c>
      <c r="D51" s="213" t="s">
        <v>7104</v>
      </c>
      <c r="E51" s="213" t="s">
        <v>6962</v>
      </c>
      <c r="F51" s="1011" t="s">
        <v>7067</v>
      </c>
      <c r="G51" s="213"/>
      <c r="H51" s="213" t="s">
        <v>6890</v>
      </c>
      <c r="I51" s="213" t="s">
        <v>6889</v>
      </c>
      <c r="J51" s="213" t="s">
        <v>6854</v>
      </c>
      <c r="K51" s="213" t="s">
        <v>6853</v>
      </c>
      <c r="L51" s="213" t="s">
        <v>6852</v>
      </c>
      <c r="M51" s="213" t="s">
        <v>6888</v>
      </c>
      <c r="N51" s="987" t="s">
        <v>4904</v>
      </c>
      <c r="O51" s="987" t="s">
        <v>4904</v>
      </c>
      <c r="P51" s="987" t="s">
        <v>4904</v>
      </c>
      <c r="Q51" s="987" t="s">
        <v>4904</v>
      </c>
      <c r="R51" s="987" t="s">
        <v>4904</v>
      </c>
      <c r="S51" s="987" t="s">
        <v>4904</v>
      </c>
      <c r="T51" s="987" t="s">
        <v>4904</v>
      </c>
      <c r="U51" s="987" t="s">
        <v>4904</v>
      </c>
      <c r="V51" s="987" t="s">
        <v>4904</v>
      </c>
      <c r="W51" s="987" t="s">
        <v>4904</v>
      </c>
      <c r="X51" s="987" t="s">
        <v>4904</v>
      </c>
      <c r="Y51" s="987" t="s">
        <v>4904</v>
      </c>
      <c r="Z51" s="213" t="s">
        <v>6850</v>
      </c>
    </row>
    <row r="52" spans="1:26" ht="21" customHeight="1" x14ac:dyDescent="0.25">
      <c r="A52" s="213" t="s">
        <v>7200</v>
      </c>
      <c r="B52" s="213" t="s">
        <v>7199</v>
      </c>
      <c r="C52" s="240" t="s">
        <v>7199</v>
      </c>
      <c r="D52" s="213" t="s">
        <v>7072</v>
      </c>
      <c r="E52" s="213" t="s">
        <v>6893</v>
      </c>
      <c r="F52" s="239" t="s">
        <v>6858</v>
      </c>
      <c r="G52" s="213" t="s">
        <v>7076</v>
      </c>
      <c r="H52" s="213" t="s">
        <v>6980</v>
      </c>
      <c r="I52" s="213" t="s">
        <v>6864</v>
      </c>
      <c r="J52" s="213" t="s">
        <v>7198</v>
      </c>
      <c r="K52" s="213" t="s">
        <v>6906</v>
      </c>
      <c r="L52" s="213" t="s">
        <v>6905</v>
      </c>
      <c r="M52" s="213" t="s">
        <v>6977</v>
      </c>
      <c r="N52" s="987" t="s">
        <v>4904</v>
      </c>
      <c r="O52" s="987" t="s">
        <v>4904</v>
      </c>
      <c r="P52" s="987" t="s">
        <v>4904</v>
      </c>
      <c r="Q52" s="987" t="s">
        <v>4904</v>
      </c>
      <c r="R52" s="987" t="s">
        <v>4904</v>
      </c>
      <c r="S52" s="986" t="s">
        <v>4876</v>
      </c>
      <c r="T52" s="986" t="s">
        <v>4876</v>
      </c>
      <c r="U52" s="986" t="s">
        <v>4876</v>
      </c>
      <c r="V52" s="986" t="s">
        <v>4876</v>
      </c>
      <c r="W52" s="986" t="s">
        <v>4876</v>
      </c>
      <c r="X52" s="987" t="s">
        <v>4904</v>
      </c>
      <c r="Y52" s="987" t="s">
        <v>4904</v>
      </c>
      <c r="Z52" s="213" t="s">
        <v>6850</v>
      </c>
    </row>
    <row r="53" spans="1:26" ht="21" customHeight="1" x14ac:dyDescent="0.25">
      <c r="A53" s="213" t="s">
        <v>7197</v>
      </c>
      <c r="B53" s="213" t="s">
        <v>7196</v>
      </c>
      <c r="C53" s="240" t="s">
        <v>7196</v>
      </c>
      <c r="D53" s="213" t="s">
        <v>6860</v>
      </c>
      <c r="E53" s="213" t="s">
        <v>6893</v>
      </c>
      <c r="F53" s="239" t="s">
        <v>6858</v>
      </c>
      <c r="G53" s="213" t="s">
        <v>7195</v>
      </c>
      <c r="H53" s="213" t="s">
        <v>6856</v>
      </c>
      <c r="I53" s="213" t="s">
        <v>6943</v>
      </c>
      <c r="J53" s="213" t="s">
        <v>7194</v>
      </c>
      <c r="K53" s="213" t="s">
        <v>6906</v>
      </c>
      <c r="L53" s="213" t="s">
        <v>6905</v>
      </c>
      <c r="M53" s="213" t="s">
        <v>6851</v>
      </c>
      <c r="N53" s="987" t="s">
        <v>4876</v>
      </c>
      <c r="O53" s="987" t="s">
        <v>4876</v>
      </c>
      <c r="P53" s="988" t="s">
        <v>4876</v>
      </c>
      <c r="Q53" s="988" t="s">
        <v>4876</v>
      </c>
      <c r="R53" s="987"/>
      <c r="S53" s="987"/>
      <c r="T53" s="987"/>
      <c r="U53" s="987"/>
      <c r="V53" s="987"/>
      <c r="W53" s="988" t="s">
        <v>4876</v>
      </c>
      <c r="X53" s="988" t="s">
        <v>4876</v>
      </c>
      <c r="Y53" s="988" t="s">
        <v>4876</v>
      </c>
      <c r="Z53" s="213" t="s">
        <v>6850</v>
      </c>
    </row>
    <row r="54" spans="1:26" ht="21" customHeight="1" x14ac:dyDescent="0.25">
      <c r="A54" s="213" t="s">
        <v>7193</v>
      </c>
      <c r="B54" s="213" t="s">
        <v>7192</v>
      </c>
      <c r="C54" s="994" t="s">
        <v>7192</v>
      </c>
      <c r="D54" s="213" t="s">
        <v>6860</v>
      </c>
      <c r="E54" s="213" t="s">
        <v>6902</v>
      </c>
      <c r="F54" s="993" t="s">
        <v>6928</v>
      </c>
      <c r="G54" s="213" t="s">
        <v>6885</v>
      </c>
      <c r="H54" s="213" t="s">
        <v>6856</v>
      </c>
      <c r="I54" s="213" t="s">
        <v>7191</v>
      </c>
      <c r="J54" s="213" t="s">
        <v>6968</v>
      </c>
      <c r="K54" s="213" t="s">
        <v>6906</v>
      </c>
      <c r="L54" s="213" t="s">
        <v>6905</v>
      </c>
      <c r="M54" s="213" t="s">
        <v>6851</v>
      </c>
      <c r="N54" s="987"/>
      <c r="O54" s="987"/>
      <c r="P54" s="986" t="s">
        <v>4876</v>
      </c>
      <c r="Q54" s="986" t="s">
        <v>4876</v>
      </c>
      <c r="R54" s="986" t="s">
        <v>4876</v>
      </c>
      <c r="S54" s="986" t="s">
        <v>4876</v>
      </c>
      <c r="T54" s="987"/>
      <c r="U54" s="987"/>
      <c r="V54" s="986" t="s">
        <v>4876</v>
      </c>
      <c r="W54" s="986" t="s">
        <v>4876</v>
      </c>
      <c r="X54" s="986" t="s">
        <v>4876</v>
      </c>
      <c r="Y54" s="986" t="s">
        <v>4876</v>
      </c>
      <c r="Z54" s="213" t="s">
        <v>6850</v>
      </c>
    </row>
    <row r="55" spans="1:26" ht="21" customHeight="1" x14ac:dyDescent="0.25">
      <c r="A55" s="213" t="s">
        <v>7190</v>
      </c>
      <c r="B55" s="213" t="s">
        <v>7189</v>
      </c>
      <c r="C55" s="1002" t="s">
        <v>7189</v>
      </c>
      <c r="D55" s="213" t="s">
        <v>6860</v>
      </c>
      <c r="E55" s="213" t="s">
        <v>6902</v>
      </c>
      <c r="F55" s="1001" t="s">
        <v>6916</v>
      </c>
      <c r="G55" s="213" t="s">
        <v>7076</v>
      </c>
      <c r="H55" s="213" t="s">
        <v>6856</v>
      </c>
      <c r="I55" s="213" t="s">
        <v>7188</v>
      </c>
      <c r="J55" s="213" t="s">
        <v>6997</v>
      </c>
      <c r="K55" s="213" t="s">
        <v>6906</v>
      </c>
      <c r="L55" s="213" t="s">
        <v>6905</v>
      </c>
      <c r="M55" s="213" t="s">
        <v>6851</v>
      </c>
      <c r="N55" s="987"/>
      <c r="O55" s="987"/>
      <c r="P55" s="987"/>
      <c r="Q55" s="987"/>
      <c r="R55" s="988" t="s">
        <v>4876</v>
      </c>
      <c r="S55" s="988" t="s">
        <v>4876</v>
      </c>
      <c r="T55" s="988" t="s">
        <v>4876</v>
      </c>
      <c r="U55" s="988" t="s">
        <v>4876</v>
      </c>
      <c r="V55" s="988" t="s">
        <v>4876</v>
      </c>
      <c r="W55" s="988" t="s">
        <v>4876</v>
      </c>
      <c r="X55" s="988" t="s">
        <v>4876</v>
      </c>
      <c r="Y55" s="988" t="s">
        <v>4876</v>
      </c>
      <c r="Z55" s="213" t="s">
        <v>6850</v>
      </c>
    </row>
    <row r="56" spans="1:26" ht="21" customHeight="1" x14ac:dyDescent="0.25">
      <c r="A56" s="213" t="s">
        <v>7187</v>
      </c>
      <c r="B56" s="213" t="s">
        <v>7186</v>
      </c>
      <c r="C56" s="1002" t="s">
        <v>7186</v>
      </c>
      <c r="D56" s="213" t="s">
        <v>6860</v>
      </c>
      <c r="E56" s="213" t="s">
        <v>6902</v>
      </c>
      <c r="F56" s="1001"/>
      <c r="G56" s="213" t="s">
        <v>7183</v>
      </c>
      <c r="H56" s="213" t="s">
        <v>6856</v>
      </c>
      <c r="I56" s="213" t="s">
        <v>7043</v>
      </c>
      <c r="J56" s="213" t="s">
        <v>6854</v>
      </c>
      <c r="K56" s="213" t="s">
        <v>6853</v>
      </c>
      <c r="L56" s="213" t="s">
        <v>6852</v>
      </c>
      <c r="M56" s="213" t="s">
        <v>6851</v>
      </c>
      <c r="N56" s="987"/>
      <c r="O56" s="987"/>
      <c r="P56" s="987"/>
      <c r="Q56" s="987"/>
      <c r="R56" s="986" t="s">
        <v>4876</v>
      </c>
      <c r="S56" s="986" t="s">
        <v>4876</v>
      </c>
      <c r="T56" s="986" t="s">
        <v>4876</v>
      </c>
      <c r="U56" s="987"/>
      <c r="V56" s="987"/>
      <c r="W56" s="987"/>
      <c r="X56" s="987"/>
      <c r="Y56" s="987"/>
      <c r="Z56" s="213" t="s">
        <v>6850</v>
      </c>
    </row>
    <row r="57" spans="1:26" ht="21" customHeight="1" x14ac:dyDescent="0.25">
      <c r="A57" s="213" t="s">
        <v>7185</v>
      </c>
      <c r="B57" s="213" t="s">
        <v>7184</v>
      </c>
      <c r="C57" s="1002" t="s">
        <v>7184</v>
      </c>
      <c r="D57" s="213" t="s">
        <v>6860</v>
      </c>
      <c r="E57" s="213" t="s">
        <v>6897</v>
      </c>
      <c r="F57" s="1001" t="s">
        <v>6916</v>
      </c>
      <c r="G57" s="213" t="s">
        <v>7183</v>
      </c>
      <c r="H57" s="213" t="s">
        <v>6856</v>
      </c>
      <c r="I57" s="213" t="s">
        <v>7043</v>
      </c>
      <c r="J57" s="213" t="s">
        <v>6854</v>
      </c>
      <c r="K57" s="213" t="s">
        <v>6853</v>
      </c>
      <c r="L57" s="213" t="s">
        <v>6852</v>
      </c>
      <c r="M57" s="213" t="s">
        <v>6851</v>
      </c>
      <c r="N57" s="987"/>
      <c r="O57" s="987"/>
      <c r="P57" s="987"/>
      <c r="Q57" s="987"/>
      <c r="R57" s="988" t="s">
        <v>4876</v>
      </c>
      <c r="S57" s="988" t="s">
        <v>4876</v>
      </c>
      <c r="T57" s="988" t="s">
        <v>4876</v>
      </c>
      <c r="U57" s="987"/>
      <c r="V57" s="987"/>
      <c r="W57" s="987"/>
      <c r="X57" s="987"/>
      <c r="Y57" s="987"/>
      <c r="Z57" s="213" t="s">
        <v>6850</v>
      </c>
    </row>
    <row r="58" spans="1:26" ht="21" customHeight="1" x14ac:dyDescent="0.25">
      <c r="A58" s="213" t="s">
        <v>7182</v>
      </c>
      <c r="B58" s="213" t="s">
        <v>7181</v>
      </c>
      <c r="C58" s="1004" t="s">
        <v>7181</v>
      </c>
      <c r="D58" s="213" t="s">
        <v>521</v>
      </c>
      <c r="E58" s="213" t="s">
        <v>6962</v>
      </c>
      <c r="F58" s="1003" t="s">
        <v>6961</v>
      </c>
      <c r="G58" s="213"/>
      <c r="H58" s="213" t="s">
        <v>6856</v>
      </c>
      <c r="I58" s="213" t="s">
        <v>6973</v>
      </c>
      <c r="J58" s="213" t="s">
        <v>6854</v>
      </c>
      <c r="K58" s="213" t="s">
        <v>6853</v>
      </c>
      <c r="L58" s="213" t="s">
        <v>6852</v>
      </c>
      <c r="M58" s="213" t="s">
        <v>6851</v>
      </c>
      <c r="N58" s="987"/>
      <c r="O58" s="987"/>
      <c r="P58" s="987"/>
      <c r="Q58" s="987"/>
      <c r="R58" s="987"/>
      <c r="S58" s="987"/>
      <c r="T58" s="986" t="s">
        <v>4876</v>
      </c>
      <c r="U58" s="986" t="s">
        <v>4876</v>
      </c>
      <c r="V58" s="986" t="s">
        <v>4876</v>
      </c>
      <c r="W58" s="986" t="s">
        <v>4876</v>
      </c>
      <c r="X58" s="987"/>
      <c r="Y58" s="987"/>
      <c r="Z58" s="213" t="s">
        <v>6850</v>
      </c>
    </row>
    <row r="59" spans="1:26" ht="21" customHeight="1" x14ac:dyDescent="0.25">
      <c r="A59" s="213" t="s">
        <v>7180</v>
      </c>
      <c r="B59" s="213" t="s">
        <v>7179</v>
      </c>
      <c r="C59" s="1002" t="s">
        <v>7179</v>
      </c>
      <c r="D59" s="213" t="s">
        <v>6860</v>
      </c>
      <c r="E59" s="213" t="s">
        <v>6897</v>
      </c>
      <c r="F59" s="1001" t="s">
        <v>6916</v>
      </c>
      <c r="G59" s="213"/>
      <c r="H59" s="213" t="s">
        <v>6980</v>
      </c>
      <c r="I59" s="213" t="s">
        <v>6960</v>
      </c>
      <c r="J59" s="213" t="s">
        <v>6854</v>
      </c>
      <c r="K59" s="213" t="s">
        <v>6853</v>
      </c>
      <c r="L59" s="213" t="s">
        <v>6852</v>
      </c>
      <c r="M59" s="213" t="s">
        <v>6977</v>
      </c>
      <c r="N59" s="987" t="s">
        <v>4904</v>
      </c>
      <c r="O59" s="987" t="s">
        <v>4904</v>
      </c>
      <c r="P59" s="987" t="s">
        <v>4904</v>
      </c>
      <c r="Q59" s="987" t="s">
        <v>4904</v>
      </c>
      <c r="R59" s="987" t="s">
        <v>4904</v>
      </c>
      <c r="S59" s="987" t="s">
        <v>4904</v>
      </c>
      <c r="T59" s="987" t="s">
        <v>4904</v>
      </c>
      <c r="U59" s="988" t="s">
        <v>4876</v>
      </c>
      <c r="V59" s="988" t="s">
        <v>4876</v>
      </c>
      <c r="W59" s="988" t="s">
        <v>4876</v>
      </c>
      <c r="X59" s="987" t="s">
        <v>4904</v>
      </c>
      <c r="Y59" s="987" t="s">
        <v>4904</v>
      </c>
      <c r="Z59" s="213" t="s">
        <v>6850</v>
      </c>
    </row>
    <row r="60" spans="1:26" ht="21" customHeight="1" x14ac:dyDescent="0.25">
      <c r="A60" s="213" t="s">
        <v>7178</v>
      </c>
      <c r="B60" s="213" t="s">
        <v>7177</v>
      </c>
      <c r="C60" s="996" t="s">
        <v>7177</v>
      </c>
      <c r="D60" s="213" t="s">
        <v>7168</v>
      </c>
      <c r="E60" s="213" t="s">
        <v>7167</v>
      </c>
      <c r="F60" s="995"/>
      <c r="G60" s="213" t="s">
        <v>7166</v>
      </c>
      <c r="H60" s="213" t="s">
        <v>6856</v>
      </c>
      <c r="I60" s="213" t="s">
        <v>7165</v>
      </c>
      <c r="J60" s="213" t="s">
        <v>6854</v>
      </c>
      <c r="K60" s="213" t="s">
        <v>6853</v>
      </c>
      <c r="L60" s="213" t="s">
        <v>6852</v>
      </c>
      <c r="M60" s="213" t="s">
        <v>6851</v>
      </c>
      <c r="N60" s="987"/>
      <c r="O60" s="987"/>
      <c r="P60" s="987"/>
      <c r="Q60" s="987"/>
      <c r="R60" s="986" t="s">
        <v>4876</v>
      </c>
      <c r="S60" s="986" t="s">
        <v>4876</v>
      </c>
      <c r="T60" s="987"/>
      <c r="U60" s="987"/>
      <c r="V60" s="987"/>
      <c r="W60" s="987"/>
      <c r="X60" s="987"/>
      <c r="Y60" s="987"/>
      <c r="Z60" s="213" t="s">
        <v>6850</v>
      </c>
    </row>
    <row r="61" spans="1:26" ht="21" customHeight="1" x14ac:dyDescent="0.25">
      <c r="A61" s="213" t="s">
        <v>7176</v>
      </c>
      <c r="B61" s="213" t="s">
        <v>7175</v>
      </c>
      <c r="C61" s="1012" t="s">
        <v>7175</v>
      </c>
      <c r="D61" s="213" t="s">
        <v>7168</v>
      </c>
      <c r="E61" s="213" t="s">
        <v>7167</v>
      </c>
      <c r="F61" s="1011"/>
      <c r="G61" s="213" t="s">
        <v>7166</v>
      </c>
      <c r="H61" s="213" t="s">
        <v>6856</v>
      </c>
      <c r="I61" s="213" t="s">
        <v>6864</v>
      </c>
      <c r="J61" s="213" t="s">
        <v>6854</v>
      </c>
      <c r="K61" s="213" t="s">
        <v>6853</v>
      </c>
      <c r="L61" s="213" t="s">
        <v>6852</v>
      </c>
      <c r="M61" s="213" t="s">
        <v>6851</v>
      </c>
      <c r="N61" s="987"/>
      <c r="O61" s="987"/>
      <c r="P61" s="987"/>
      <c r="Q61" s="987"/>
      <c r="R61" s="987"/>
      <c r="S61" s="988" t="s">
        <v>4876</v>
      </c>
      <c r="T61" s="988" t="s">
        <v>4876</v>
      </c>
      <c r="U61" s="988" t="s">
        <v>4876</v>
      </c>
      <c r="V61" s="988" t="s">
        <v>4876</v>
      </c>
      <c r="W61" s="988" t="s">
        <v>4876</v>
      </c>
      <c r="X61" s="987"/>
      <c r="Y61" s="987"/>
      <c r="Z61" s="213" t="s">
        <v>6850</v>
      </c>
    </row>
    <row r="62" spans="1:26" ht="21" customHeight="1" x14ac:dyDescent="0.25">
      <c r="A62" s="213" t="s">
        <v>7174</v>
      </c>
      <c r="B62" s="213" t="s">
        <v>7173</v>
      </c>
      <c r="C62" s="990" t="s">
        <v>7173</v>
      </c>
      <c r="D62" s="213" t="s">
        <v>7168</v>
      </c>
      <c r="E62" s="213" t="s">
        <v>6902</v>
      </c>
      <c r="F62" s="989"/>
      <c r="G62" s="213" t="s">
        <v>7166</v>
      </c>
      <c r="H62" s="213" t="s">
        <v>6856</v>
      </c>
      <c r="I62" s="213" t="s">
        <v>7046</v>
      </c>
      <c r="J62" s="213" t="s">
        <v>6854</v>
      </c>
      <c r="K62" s="213" t="s">
        <v>6853</v>
      </c>
      <c r="L62" s="213" t="s">
        <v>6852</v>
      </c>
      <c r="M62" s="213" t="s">
        <v>6851</v>
      </c>
      <c r="N62" s="987"/>
      <c r="O62" s="987"/>
      <c r="P62" s="987"/>
      <c r="Q62" s="987"/>
      <c r="R62" s="987"/>
      <c r="S62" s="986" t="s">
        <v>4876</v>
      </c>
      <c r="T62" s="986" t="s">
        <v>4876</v>
      </c>
      <c r="U62" s="986" t="s">
        <v>4876</v>
      </c>
      <c r="V62" s="986" t="s">
        <v>4876</v>
      </c>
      <c r="W62" s="987"/>
      <c r="X62" s="987"/>
      <c r="Y62" s="987"/>
      <c r="Z62" s="213" t="s">
        <v>6850</v>
      </c>
    </row>
    <row r="63" spans="1:26" ht="21" customHeight="1" x14ac:dyDescent="0.25">
      <c r="A63" s="213" t="s">
        <v>7172</v>
      </c>
      <c r="B63" s="213" t="s">
        <v>7171</v>
      </c>
      <c r="C63" s="990" t="s">
        <v>7171</v>
      </c>
      <c r="D63" s="213" t="s">
        <v>7168</v>
      </c>
      <c r="E63" s="213" t="s">
        <v>6902</v>
      </c>
      <c r="F63" s="989"/>
      <c r="G63" s="213" t="s">
        <v>7166</v>
      </c>
      <c r="H63" s="213" t="s">
        <v>6856</v>
      </c>
      <c r="I63" s="213" t="s">
        <v>7046</v>
      </c>
      <c r="J63" s="213" t="s">
        <v>6854</v>
      </c>
      <c r="K63" s="213" t="s">
        <v>6853</v>
      </c>
      <c r="L63" s="213" t="s">
        <v>6852</v>
      </c>
      <c r="M63" s="213" t="s">
        <v>6851</v>
      </c>
      <c r="N63" s="987"/>
      <c r="O63" s="987"/>
      <c r="P63" s="987"/>
      <c r="Q63" s="987"/>
      <c r="R63" s="987"/>
      <c r="S63" s="988" t="s">
        <v>4876</v>
      </c>
      <c r="T63" s="988" t="s">
        <v>4876</v>
      </c>
      <c r="U63" s="988" t="s">
        <v>4876</v>
      </c>
      <c r="V63" s="988" t="s">
        <v>4876</v>
      </c>
      <c r="W63" s="987"/>
      <c r="X63" s="987"/>
      <c r="Y63" s="987"/>
      <c r="Z63" s="213" t="s">
        <v>6850</v>
      </c>
    </row>
    <row r="64" spans="1:26" ht="21" customHeight="1" x14ac:dyDescent="0.25">
      <c r="A64" s="213" t="s">
        <v>7170</v>
      </c>
      <c r="B64" s="213" t="s">
        <v>7169</v>
      </c>
      <c r="C64" s="996" t="s">
        <v>7169</v>
      </c>
      <c r="D64" s="213" t="s">
        <v>7168</v>
      </c>
      <c r="E64" s="213" t="s">
        <v>7167</v>
      </c>
      <c r="F64" s="995"/>
      <c r="G64" s="213" t="s">
        <v>7166</v>
      </c>
      <c r="H64" s="213" t="s">
        <v>6856</v>
      </c>
      <c r="I64" s="213" t="s">
        <v>7165</v>
      </c>
      <c r="J64" s="213" t="s">
        <v>6854</v>
      </c>
      <c r="K64" s="213" t="s">
        <v>6853</v>
      </c>
      <c r="L64" s="213" t="s">
        <v>6852</v>
      </c>
      <c r="M64" s="213" t="s">
        <v>6851</v>
      </c>
      <c r="N64" s="987"/>
      <c r="O64" s="987"/>
      <c r="P64" s="987"/>
      <c r="Q64" s="987"/>
      <c r="R64" s="986" t="s">
        <v>4876</v>
      </c>
      <c r="S64" s="986" t="s">
        <v>4876</v>
      </c>
      <c r="T64" s="987"/>
      <c r="U64" s="987"/>
      <c r="V64" s="987"/>
      <c r="W64" s="987"/>
      <c r="X64" s="987"/>
      <c r="Y64" s="987"/>
      <c r="Z64" s="213" t="s">
        <v>6850</v>
      </c>
    </row>
    <row r="65" spans="1:26" ht="21" customHeight="1" x14ac:dyDescent="0.25">
      <c r="A65" s="213" t="s">
        <v>7164</v>
      </c>
      <c r="B65" s="213" t="s">
        <v>7163</v>
      </c>
      <c r="C65" s="992" t="s">
        <v>7163</v>
      </c>
      <c r="D65" s="213" t="s">
        <v>521</v>
      </c>
      <c r="E65" s="213" t="s">
        <v>6962</v>
      </c>
      <c r="F65" s="991" t="s">
        <v>6875</v>
      </c>
      <c r="G65" s="213"/>
      <c r="H65" s="213" t="s">
        <v>6856</v>
      </c>
      <c r="I65" s="213" t="s">
        <v>7071</v>
      </c>
      <c r="J65" s="213" t="s">
        <v>7070</v>
      </c>
      <c r="K65" s="213" t="s">
        <v>6853</v>
      </c>
      <c r="L65" s="213" t="s">
        <v>6852</v>
      </c>
      <c r="M65" s="213" t="s">
        <v>6851</v>
      </c>
      <c r="N65" s="987"/>
      <c r="O65" s="987"/>
      <c r="P65" s="987"/>
      <c r="Q65" s="988" t="s">
        <v>4876</v>
      </c>
      <c r="R65" s="988" t="s">
        <v>4876</v>
      </c>
      <c r="S65" s="988" t="s">
        <v>4876</v>
      </c>
      <c r="T65" s="988" t="s">
        <v>4876</v>
      </c>
      <c r="U65" s="987"/>
      <c r="V65" s="987"/>
      <c r="W65" s="987"/>
      <c r="X65" s="987"/>
      <c r="Y65" s="987"/>
      <c r="Z65" s="213" t="s">
        <v>6850</v>
      </c>
    </row>
    <row r="66" spans="1:26" ht="21" customHeight="1" x14ac:dyDescent="0.25">
      <c r="A66" s="213" t="s">
        <v>7162</v>
      </c>
      <c r="B66" s="213" t="s">
        <v>7161</v>
      </c>
      <c r="C66" s="992" t="s">
        <v>7161</v>
      </c>
      <c r="D66" s="213" t="s">
        <v>521</v>
      </c>
      <c r="E66" s="213" t="s">
        <v>6962</v>
      </c>
      <c r="F66" s="991" t="s">
        <v>6875</v>
      </c>
      <c r="G66" s="213"/>
      <c r="H66" s="213" t="s">
        <v>6856</v>
      </c>
      <c r="I66" s="213" t="s">
        <v>6864</v>
      </c>
      <c r="J66" s="213" t="s">
        <v>7007</v>
      </c>
      <c r="K66" s="213" t="s">
        <v>6853</v>
      </c>
      <c r="L66" s="213" t="s">
        <v>6852</v>
      </c>
      <c r="M66" s="213" t="s">
        <v>6851</v>
      </c>
      <c r="N66" s="987"/>
      <c r="O66" s="987"/>
      <c r="P66" s="987"/>
      <c r="Q66" s="987"/>
      <c r="R66" s="987"/>
      <c r="S66" s="986" t="s">
        <v>4876</v>
      </c>
      <c r="T66" s="986" t="s">
        <v>4876</v>
      </c>
      <c r="U66" s="986" t="s">
        <v>4876</v>
      </c>
      <c r="V66" s="986" t="s">
        <v>4876</v>
      </c>
      <c r="W66" s="986" t="s">
        <v>4876</v>
      </c>
      <c r="X66" s="987"/>
      <c r="Y66" s="987"/>
      <c r="Z66" s="213" t="s">
        <v>6850</v>
      </c>
    </row>
    <row r="67" spans="1:26" ht="21" customHeight="1" x14ac:dyDescent="0.25">
      <c r="A67" s="213" t="s">
        <v>7160</v>
      </c>
      <c r="B67" s="213" t="s">
        <v>7159</v>
      </c>
      <c r="C67" s="1002" t="s">
        <v>7159</v>
      </c>
      <c r="D67" s="213" t="s">
        <v>7104</v>
      </c>
      <c r="E67" s="213" t="s">
        <v>6902</v>
      </c>
      <c r="F67" s="1001"/>
      <c r="G67" s="213" t="s">
        <v>6870</v>
      </c>
      <c r="H67" s="213" t="s">
        <v>7103</v>
      </c>
      <c r="I67" s="213" t="s">
        <v>7102</v>
      </c>
      <c r="J67" s="213" t="s">
        <v>6854</v>
      </c>
      <c r="K67" s="213" t="s">
        <v>6853</v>
      </c>
      <c r="L67" s="213" t="s">
        <v>6852</v>
      </c>
      <c r="M67" s="213" t="s">
        <v>7101</v>
      </c>
      <c r="N67" s="987" t="s">
        <v>7100</v>
      </c>
      <c r="O67" s="987" t="s">
        <v>7100</v>
      </c>
      <c r="P67" s="987" t="s">
        <v>7100</v>
      </c>
      <c r="Q67" s="987" t="s">
        <v>7100</v>
      </c>
      <c r="R67" s="987" t="s">
        <v>7100</v>
      </c>
      <c r="S67" s="987" t="s">
        <v>7100</v>
      </c>
      <c r="T67" s="987" t="s">
        <v>7100</v>
      </c>
      <c r="U67" s="987" t="s">
        <v>7100</v>
      </c>
      <c r="V67" s="987" t="s">
        <v>7100</v>
      </c>
      <c r="W67" s="987" t="s">
        <v>7100</v>
      </c>
      <c r="X67" s="987" t="s">
        <v>7100</v>
      </c>
      <c r="Y67" s="987" t="s">
        <v>7100</v>
      </c>
      <c r="Z67" s="213" t="s">
        <v>6850</v>
      </c>
    </row>
    <row r="68" spans="1:26" ht="21" customHeight="1" x14ac:dyDescent="0.25">
      <c r="A68" s="213" t="s">
        <v>7158</v>
      </c>
      <c r="B68" s="213" t="s">
        <v>7157</v>
      </c>
      <c r="C68" s="990" t="s">
        <v>7157</v>
      </c>
      <c r="D68" s="213" t="s">
        <v>7156</v>
      </c>
      <c r="E68" s="213" t="s">
        <v>6902</v>
      </c>
      <c r="F68" s="989"/>
      <c r="G68" s="213" t="s">
        <v>7155</v>
      </c>
      <c r="H68" s="213" t="s">
        <v>6856</v>
      </c>
      <c r="I68" s="213" t="s">
        <v>7154</v>
      </c>
      <c r="J68" s="213" t="s">
        <v>6854</v>
      </c>
      <c r="K68" s="213" t="s">
        <v>6853</v>
      </c>
      <c r="L68" s="213" t="s">
        <v>6852</v>
      </c>
      <c r="M68" s="213" t="s">
        <v>6851</v>
      </c>
      <c r="N68" s="987"/>
      <c r="O68" s="987"/>
      <c r="P68" s="987"/>
      <c r="Q68" s="987"/>
      <c r="R68" s="987"/>
      <c r="S68" s="986" t="s">
        <v>4876</v>
      </c>
      <c r="T68" s="986" t="s">
        <v>4876</v>
      </c>
      <c r="U68" s="986" t="s">
        <v>4876</v>
      </c>
      <c r="V68" s="986" t="s">
        <v>4876</v>
      </c>
      <c r="W68" s="986" t="s">
        <v>4876</v>
      </c>
      <c r="X68" s="986" t="s">
        <v>4876</v>
      </c>
      <c r="Y68" s="987"/>
      <c r="Z68" s="213" t="s">
        <v>6850</v>
      </c>
    </row>
    <row r="69" spans="1:26" ht="21" customHeight="1" x14ac:dyDescent="0.25">
      <c r="A69" s="213" t="s">
        <v>7153</v>
      </c>
      <c r="B69" s="213" t="s">
        <v>7152</v>
      </c>
      <c r="C69" s="994" t="s">
        <v>7152</v>
      </c>
      <c r="D69" s="213" t="s">
        <v>7104</v>
      </c>
      <c r="E69" s="213" t="s">
        <v>6902</v>
      </c>
      <c r="F69" s="993"/>
      <c r="G69" s="213" t="s">
        <v>6870</v>
      </c>
      <c r="H69" s="213" t="s">
        <v>7103</v>
      </c>
      <c r="I69" s="213" t="s">
        <v>7102</v>
      </c>
      <c r="J69" s="213" t="s">
        <v>6854</v>
      </c>
      <c r="K69" s="213" t="s">
        <v>6853</v>
      </c>
      <c r="L69" s="213" t="s">
        <v>6852</v>
      </c>
      <c r="M69" s="213" t="s">
        <v>7101</v>
      </c>
      <c r="N69" s="987" t="s">
        <v>7100</v>
      </c>
      <c r="O69" s="987" t="s">
        <v>7100</v>
      </c>
      <c r="P69" s="987" t="s">
        <v>7100</v>
      </c>
      <c r="Q69" s="987" t="s">
        <v>7100</v>
      </c>
      <c r="R69" s="987" t="s">
        <v>7100</v>
      </c>
      <c r="S69" s="987" t="s">
        <v>7100</v>
      </c>
      <c r="T69" s="987" t="s">
        <v>7100</v>
      </c>
      <c r="U69" s="987" t="s">
        <v>7100</v>
      </c>
      <c r="V69" s="987" t="s">
        <v>7100</v>
      </c>
      <c r="W69" s="987" t="s">
        <v>7100</v>
      </c>
      <c r="X69" s="987" t="s">
        <v>7100</v>
      </c>
      <c r="Y69" s="987" t="s">
        <v>7100</v>
      </c>
      <c r="Z69" s="213" t="s">
        <v>6850</v>
      </c>
    </row>
    <row r="70" spans="1:26" ht="21" customHeight="1" x14ac:dyDescent="0.25">
      <c r="A70" s="213" t="s">
        <v>7151</v>
      </c>
      <c r="B70" s="213" t="s">
        <v>7150</v>
      </c>
      <c r="C70" s="992" t="s">
        <v>7150</v>
      </c>
      <c r="D70" s="213" t="s">
        <v>521</v>
      </c>
      <c r="E70" s="213" t="s">
        <v>6962</v>
      </c>
      <c r="F70" s="991" t="s">
        <v>6875</v>
      </c>
      <c r="G70" s="213"/>
      <c r="H70" s="213" t="s">
        <v>6856</v>
      </c>
      <c r="I70" s="213" t="s">
        <v>7149</v>
      </c>
      <c r="J70" s="213" t="s">
        <v>7026</v>
      </c>
      <c r="K70" s="213" t="s">
        <v>6853</v>
      </c>
      <c r="L70" s="213" t="s">
        <v>6852</v>
      </c>
      <c r="M70" s="213" t="s">
        <v>6851</v>
      </c>
      <c r="N70" s="987"/>
      <c r="O70" s="987"/>
      <c r="P70" s="987"/>
      <c r="Q70" s="987"/>
      <c r="R70" s="987"/>
      <c r="S70" s="986" t="s">
        <v>4876</v>
      </c>
      <c r="T70" s="986" t="s">
        <v>4876</v>
      </c>
      <c r="U70" s="986" t="s">
        <v>4876</v>
      </c>
      <c r="V70" s="987"/>
      <c r="W70" s="987"/>
      <c r="X70" s="987"/>
      <c r="Y70" s="987"/>
      <c r="Z70" s="213" t="s">
        <v>6850</v>
      </c>
    </row>
    <row r="71" spans="1:26" ht="21" customHeight="1" x14ac:dyDescent="0.25">
      <c r="A71" s="213" t="s">
        <v>7148</v>
      </c>
      <c r="B71" s="213" t="s">
        <v>7147</v>
      </c>
      <c r="C71" s="996" t="s">
        <v>7147</v>
      </c>
      <c r="D71" s="213" t="s">
        <v>6860</v>
      </c>
      <c r="E71" s="213" t="s">
        <v>6897</v>
      </c>
      <c r="F71" s="995" t="s">
        <v>6892</v>
      </c>
      <c r="G71" s="213"/>
      <c r="H71" s="213" t="s">
        <v>6856</v>
      </c>
      <c r="I71" s="213" t="s">
        <v>6960</v>
      </c>
      <c r="J71" s="213" t="s">
        <v>7007</v>
      </c>
      <c r="K71" s="213" t="s">
        <v>6853</v>
      </c>
      <c r="L71" s="213" t="s">
        <v>6852</v>
      </c>
      <c r="M71" s="213" t="s">
        <v>6851</v>
      </c>
      <c r="N71" s="987"/>
      <c r="O71" s="987"/>
      <c r="P71" s="987"/>
      <c r="Q71" s="987"/>
      <c r="R71" s="987"/>
      <c r="S71" s="987"/>
      <c r="T71" s="987"/>
      <c r="U71" s="988" t="s">
        <v>4876</v>
      </c>
      <c r="V71" s="988" t="s">
        <v>4876</v>
      </c>
      <c r="W71" s="988" t="s">
        <v>4876</v>
      </c>
      <c r="X71" s="987"/>
      <c r="Y71" s="987"/>
      <c r="Z71" s="213" t="s">
        <v>6850</v>
      </c>
    </row>
    <row r="72" spans="1:26" ht="21" customHeight="1" x14ac:dyDescent="0.25">
      <c r="A72" s="213" t="s">
        <v>7146</v>
      </c>
      <c r="B72" s="213" t="s">
        <v>7145</v>
      </c>
      <c r="C72" s="240" t="s">
        <v>7145</v>
      </c>
      <c r="D72" s="213" t="s">
        <v>6860</v>
      </c>
      <c r="E72" s="213" t="s">
        <v>6902</v>
      </c>
      <c r="F72" s="239" t="s">
        <v>7047</v>
      </c>
      <c r="G72" s="213"/>
      <c r="H72" s="213" t="s">
        <v>6856</v>
      </c>
      <c r="I72" s="213" t="s">
        <v>7046</v>
      </c>
      <c r="J72" s="213" t="s">
        <v>6854</v>
      </c>
      <c r="K72" s="213" t="s">
        <v>6853</v>
      </c>
      <c r="L72" s="213" t="s">
        <v>6852</v>
      </c>
      <c r="M72" s="213" t="s">
        <v>6851</v>
      </c>
      <c r="N72" s="987"/>
      <c r="O72" s="987"/>
      <c r="P72" s="987"/>
      <c r="Q72" s="987"/>
      <c r="R72" s="987"/>
      <c r="S72" s="986" t="s">
        <v>4876</v>
      </c>
      <c r="T72" s="986" t="s">
        <v>4876</v>
      </c>
      <c r="U72" s="986" t="s">
        <v>4876</v>
      </c>
      <c r="V72" s="986" t="s">
        <v>4876</v>
      </c>
      <c r="W72" s="987"/>
      <c r="X72" s="987"/>
      <c r="Y72" s="987"/>
      <c r="Z72" s="213" t="s">
        <v>6850</v>
      </c>
    </row>
    <row r="73" spans="1:26" ht="21" customHeight="1" x14ac:dyDescent="0.25">
      <c r="A73" s="213" t="s">
        <v>7144</v>
      </c>
      <c r="B73" s="213" t="s">
        <v>7143</v>
      </c>
      <c r="C73" s="996" t="s">
        <v>7142</v>
      </c>
      <c r="D73" s="213" t="s">
        <v>6860</v>
      </c>
      <c r="E73" s="213" t="s">
        <v>6897</v>
      </c>
      <c r="F73" s="995" t="s">
        <v>6892</v>
      </c>
      <c r="G73" s="213"/>
      <c r="H73" s="213" t="s">
        <v>6980</v>
      </c>
      <c r="I73" s="213" t="s">
        <v>6960</v>
      </c>
      <c r="J73" s="213" t="s">
        <v>6854</v>
      </c>
      <c r="K73" s="213" t="s">
        <v>6853</v>
      </c>
      <c r="L73" s="213" t="s">
        <v>6852</v>
      </c>
      <c r="M73" s="213" t="s">
        <v>6977</v>
      </c>
      <c r="N73" s="987" t="s">
        <v>4904</v>
      </c>
      <c r="O73" s="987" t="s">
        <v>4904</v>
      </c>
      <c r="P73" s="987" t="s">
        <v>4904</v>
      </c>
      <c r="Q73" s="987" t="s">
        <v>4904</v>
      </c>
      <c r="R73" s="987" t="s">
        <v>4904</v>
      </c>
      <c r="S73" s="987" t="s">
        <v>4904</v>
      </c>
      <c r="T73" s="987" t="s">
        <v>4904</v>
      </c>
      <c r="U73" s="988" t="s">
        <v>4876</v>
      </c>
      <c r="V73" s="988" t="s">
        <v>4876</v>
      </c>
      <c r="W73" s="988" t="s">
        <v>4876</v>
      </c>
      <c r="X73" s="987" t="s">
        <v>4904</v>
      </c>
      <c r="Y73" s="987" t="s">
        <v>4904</v>
      </c>
      <c r="Z73" s="213" t="s">
        <v>6850</v>
      </c>
    </row>
    <row r="74" spans="1:26" ht="21" customHeight="1" x14ac:dyDescent="0.25">
      <c r="A74" s="213" t="s">
        <v>7141</v>
      </c>
      <c r="B74" s="213" t="s">
        <v>7140</v>
      </c>
      <c r="C74" s="1016" t="s">
        <v>7140</v>
      </c>
      <c r="D74" s="213" t="s">
        <v>6894</v>
      </c>
      <c r="E74" s="213" t="s">
        <v>6897</v>
      </c>
      <c r="F74" s="1015" t="s">
        <v>7139</v>
      </c>
      <c r="G74" s="213"/>
      <c r="H74" s="213" t="s">
        <v>6890</v>
      </c>
      <c r="I74" s="213" t="s">
        <v>6889</v>
      </c>
      <c r="J74" s="213" t="s">
        <v>6854</v>
      </c>
      <c r="K74" s="213" t="s">
        <v>6853</v>
      </c>
      <c r="L74" s="213" t="s">
        <v>6852</v>
      </c>
      <c r="M74" s="213" t="s">
        <v>6888</v>
      </c>
      <c r="N74" s="987" t="s">
        <v>4904</v>
      </c>
      <c r="O74" s="987" t="s">
        <v>4904</v>
      </c>
      <c r="P74" s="987" t="s">
        <v>4904</v>
      </c>
      <c r="Q74" s="987" t="s">
        <v>4904</v>
      </c>
      <c r="R74" s="987" t="s">
        <v>4904</v>
      </c>
      <c r="S74" s="987" t="s">
        <v>4904</v>
      </c>
      <c r="T74" s="987" t="s">
        <v>4904</v>
      </c>
      <c r="U74" s="987" t="s">
        <v>4904</v>
      </c>
      <c r="V74" s="987" t="s">
        <v>4904</v>
      </c>
      <c r="W74" s="987" t="s">
        <v>4904</v>
      </c>
      <c r="X74" s="987" t="s">
        <v>4904</v>
      </c>
      <c r="Y74" s="987" t="s">
        <v>4904</v>
      </c>
      <c r="Z74" s="213" t="s">
        <v>6850</v>
      </c>
    </row>
    <row r="75" spans="1:26" ht="21" customHeight="1" x14ac:dyDescent="0.25">
      <c r="A75" s="213" t="s">
        <v>7138</v>
      </c>
      <c r="B75" s="213" t="s">
        <v>7137</v>
      </c>
      <c r="C75" s="1010" t="s">
        <v>7137</v>
      </c>
      <c r="D75" s="213" t="s">
        <v>6860</v>
      </c>
      <c r="E75" s="213" t="s">
        <v>6902</v>
      </c>
      <c r="F75" s="1009" t="s">
        <v>7018</v>
      </c>
      <c r="G75" s="213"/>
      <c r="H75" s="213" t="s">
        <v>6856</v>
      </c>
      <c r="I75" s="213" t="s">
        <v>7046</v>
      </c>
      <c r="J75" s="213" t="s">
        <v>7007</v>
      </c>
      <c r="K75" s="213" t="s">
        <v>6853</v>
      </c>
      <c r="L75" s="213" t="s">
        <v>6852</v>
      </c>
      <c r="M75" s="213" t="s">
        <v>6851</v>
      </c>
      <c r="N75" s="987"/>
      <c r="O75" s="987"/>
      <c r="P75" s="987"/>
      <c r="Q75" s="987"/>
      <c r="R75" s="987"/>
      <c r="S75" s="988" t="s">
        <v>4876</v>
      </c>
      <c r="T75" s="988" t="s">
        <v>4876</v>
      </c>
      <c r="U75" s="988" t="s">
        <v>4876</v>
      </c>
      <c r="V75" s="988" t="s">
        <v>4876</v>
      </c>
      <c r="W75" s="987"/>
      <c r="X75" s="987"/>
      <c r="Y75" s="987"/>
      <c r="Z75" s="213" t="s">
        <v>6850</v>
      </c>
    </row>
    <row r="76" spans="1:26" ht="21" customHeight="1" x14ac:dyDescent="0.25">
      <c r="A76" s="213" t="s">
        <v>7136</v>
      </c>
      <c r="B76" s="213" t="s">
        <v>7135</v>
      </c>
      <c r="C76" s="1006" t="s">
        <v>7135</v>
      </c>
      <c r="D76" s="213" t="s">
        <v>6894</v>
      </c>
      <c r="E76" s="213" t="s">
        <v>6897</v>
      </c>
      <c r="F76" s="1005" t="s">
        <v>6970</v>
      </c>
      <c r="G76" s="213"/>
      <c r="H76" s="213" t="s">
        <v>6890</v>
      </c>
      <c r="I76" s="213" t="s">
        <v>6889</v>
      </c>
      <c r="J76" s="213" t="s">
        <v>6854</v>
      </c>
      <c r="K76" s="213" t="s">
        <v>6853</v>
      </c>
      <c r="L76" s="213" t="s">
        <v>6852</v>
      </c>
      <c r="M76" s="213" t="s">
        <v>6888</v>
      </c>
      <c r="N76" s="987" t="s">
        <v>4904</v>
      </c>
      <c r="O76" s="987" t="s">
        <v>4904</v>
      </c>
      <c r="P76" s="987" t="s">
        <v>4904</v>
      </c>
      <c r="Q76" s="987" t="s">
        <v>4904</v>
      </c>
      <c r="R76" s="987" t="s">
        <v>4904</v>
      </c>
      <c r="S76" s="987" t="s">
        <v>4904</v>
      </c>
      <c r="T76" s="987" t="s">
        <v>4904</v>
      </c>
      <c r="U76" s="987" t="s">
        <v>4904</v>
      </c>
      <c r="V76" s="987" t="s">
        <v>4904</v>
      </c>
      <c r="W76" s="987" t="s">
        <v>4904</v>
      </c>
      <c r="X76" s="987" t="s">
        <v>4904</v>
      </c>
      <c r="Y76" s="987" t="s">
        <v>4904</v>
      </c>
      <c r="Z76" s="213" t="s">
        <v>6850</v>
      </c>
    </row>
    <row r="77" spans="1:26" ht="21" customHeight="1" x14ac:dyDescent="0.25">
      <c r="A77" s="213" t="s">
        <v>7134</v>
      </c>
      <c r="B77" s="213" t="s">
        <v>7133</v>
      </c>
      <c r="C77" s="1012" t="s">
        <v>7133</v>
      </c>
      <c r="D77" s="213" t="s">
        <v>6894</v>
      </c>
      <c r="E77" s="213" t="s">
        <v>6897</v>
      </c>
      <c r="F77" s="1011" t="s">
        <v>7067</v>
      </c>
      <c r="G77" s="213"/>
      <c r="H77" s="213" t="s">
        <v>6890</v>
      </c>
      <c r="I77" s="213" t="s">
        <v>6889</v>
      </c>
      <c r="J77" s="213" t="s">
        <v>6854</v>
      </c>
      <c r="K77" s="213" t="s">
        <v>6853</v>
      </c>
      <c r="L77" s="213" t="s">
        <v>6852</v>
      </c>
      <c r="M77" s="213" t="s">
        <v>6888</v>
      </c>
      <c r="N77" s="987" t="s">
        <v>4904</v>
      </c>
      <c r="O77" s="987" t="s">
        <v>4904</v>
      </c>
      <c r="P77" s="987" t="s">
        <v>4904</v>
      </c>
      <c r="Q77" s="987" t="s">
        <v>4904</v>
      </c>
      <c r="R77" s="987" t="s">
        <v>4904</v>
      </c>
      <c r="S77" s="987" t="s">
        <v>4904</v>
      </c>
      <c r="T77" s="987" t="s">
        <v>4904</v>
      </c>
      <c r="U77" s="987" t="s">
        <v>4904</v>
      </c>
      <c r="V77" s="987" t="s">
        <v>4904</v>
      </c>
      <c r="W77" s="987" t="s">
        <v>4904</v>
      </c>
      <c r="X77" s="987" t="s">
        <v>4904</v>
      </c>
      <c r="Y77" s="987" t="s">
        <v>4904</v>
      </c>
      <c r="Z77" s="213" t="s">
        <v>6850</v>
      </c>
    </row>
    <row r="78" spans="1:26" ht="21" customHeight="1" x14ac:dyDescent="0.25">
      <c r="A78" s="213" t="s">
        <v>7132</v>
      </c>
      <c r="B78" s="213" t="s">
        <v>7131</v>
      </c>
      <c r="C78" s="994" t="s">
        <v>7131</v>
      </c>
      <c r="D78" s="213" t="s">
        <v>6860</v>
      </c>
      <c r="E78" s="213" t="s">
        <v>7037</v>
      </c>
      <c r="F78" s="993" t="s">
        <v>6928</v>
      </c>
      <c r="G78" s="213" t="s">
        <v>6870</v>
      </c>
      <c r="H78" s="213" t="s">
        <v>6856</v>
      </c>
      <c r="I78" s="213" t="s">
        <v>7046</v>
      </c>
      <c r="J78" s="213" t="s">
        <v>7007</v>
      </c>
      <c r="K78" s="213" t="s">
        <v>6906</v>
      </c>
      <c r="L78" s="213" t="s">
        <v>6905</v>
      </c>
      <c r="M78" s="213" t="s">
        <v>6851</v>
      </c>
      <c r="N78" s="987"/>
      <c r="O78" s="987"/>
      <c r="P78" s="987"/>
      <c r="Q78" s="987"/>
      <c r="R78" s="987"/>
      <c r="S78" s="986" t="s">
        <v>4876</v>
      </c>
      <c r="T78" s="986" t="s">
        <v>4876</v>
      </c>
      <c r="U78" s="986" t="s">
        <v>4876</v>
      </c>
      <c r="V78" s="986" t="s">
        <v>4876</v>
      </c>
      <c r="W78" s="987"/>
      <c r="X78" s="987"/>
      <c r="Y78" s="987"/>
      <c r="Z78" s="213" t="s">
        <v>6850</v>
      </c>
    </row>
    <row r="79" spans="1:26" ht="21" customHeight="1" x14ac:dyDescent="0.25">
      <c r="A79" s="213" t="s">
        <v>7130</v>
      </c>
      <c r="B79" s="213" t="s">
        <v>7129</v>
      </c>
      <c r="C79" s="240" t="s">
        <v>7129</v>
      </c>
      <c r="D79" s="213" t="s">
        <v>7104</v>
      </c>
      <c r="E79" s="213" t="s">
        <v>6902</v>
      </c>
      <c r="F79" s="239"/>
      <c r="G79" s="213" t="s">
        <v>6901</v>
      </c>
      <c r="H79" s="213" t="s">
        <v>7103</v>
      </c>
      <c r="I79" s="213" t="s">
        <v>7102</v>
      </c>
      <c r="J79" s="213" t="s">
        <v>6854</v>
      </c>
      <c r="K79" s="213" t="s">
        <v>6853</v>
      </c>
      <c r="L79" s="213" t="s">
        <v>6852</v>
      </c>
      <c r="M79" s="213" t="s">
        <v>7101</v>
      </c>
      <c r="N79" s="987" t="s">
        <v>7100</v>
      </c>
      <c r="O79" s="987" t="s">
        <v>7100</v>
      </c>
      <c r="P79" s="987" t="s">
        <v>7100</v>
      </c>
      <c r="Q79" s="987" t="s">
        <v>7100</v>
      </c>
      <c r="R79" s="987" t="s">
        <v>7100</v>
      </c>
      <c r="S79" s="987" t="s">
        <v>7100</v>
      </c>
      <c r="T79" s="987" t="s">
        <v>7100</v>
      </c>
      <c r="U79" s="987" t="s">
        <v>7100</v>
      </c>
      <c r="V79" s="987" t="s">
        <v>7100</v>
      </c>
      <c r="W79" s="987" t="s">
        <v>7100</v>
      </c>
      <c r="X79" s="987" t="s">
        <v>7100</v>
      </c>
      <c r="Y79" s="987" t="s">
        <v>7100</v>
      </c>
      <c r="Z79" s="213" t="s">
        <v>6850</v>
      </c>
    </row>
    <row r="80" spans="1:26" ht="21" customHeight="1" x14ac:dyDescent="0.25">
      <c r="A80" s="213" t="s">
        <v>7128</v>
      </c>
      <c r="B80" s="213" t="s">
        <v>7127</v>
      </c>
      <c r="C80" s="1008" t="s">
        <v>7127</v>
      </c>
      <c r="D80" s="213" t="s">
        <v>521</v>
      </c>
      <c r="E80" s="213" t="s">
        <v>6962</v>
      </c>
      <c r="F80" s="1007" t="s">
        <v>6981</v>
      </c>
      <c r="G80" s="213"/>
      <c r="H80" s="213" t="s">
        <v>6856</v>
      </c>
      <c r="I80" s="213" t="s">
        <v>7126</v>
      </c>
      <c r="J80" s="213" t="s">
        <v>6854</v>
      </c>
      <c r="K80" s="213" t="s">
        <v>6853</v>
      </c>
      <c r="L80" s="213" t="s">
        <v>6852</v>
      </c>
      <c r="M80" s="213" t="s">
        <v>6851</v>
      </c>
      <c r="N80" s="986" t="s">
        <v>4876</v>
      </c>
      <c r="O80" s="987"/>
      <c r="P80" s="987"/>
      <c r="Q80" s="987"/>
      <c r="R80" s="987"/>
      <c r="S80" s="987"/>
      <c r="T80" s="987"/>
      <c r="U80" s="987"/>
      <c r="V80" s="987"/>
      <c r="W80" s="986" t="s">
        <v>4876</v>
      </c>
      <c r="X80" s="986" t="s">
        <v>4876</v>
      </c>
      <c r="Y80" s="986" t="s">
        <v>4876</v>
      </c>
      <c r="Z80" s="213" t="s">
        <v>6850</v>
      </c>
    </row>
    <row r="81" spans="1:26" ht="21" customHeight="1" x14ac:dyDescent="0.25">
      <c r="A81" s="213" t="s">
        <v>7125</v>
      </c>
      <c r="B81" s="213" t="s">
        <v>7124</v>
      </c>
      <c r="C81" s="1010" t="s">
        <v>7124</v>
      </c>
      <c r="D81" s="213" t="s">
        <v>521</v>
      </c>
      <c r="E81" s="213" t="s">
        <v>6962</v>
      </c>
      <c r="F81" s="1009" t="s">
        <v>7018</v>
      </c>
      <c r="G81" s="213"/>
      <c r="H81" s="213" t="s">
        <v>6856</v>
      </c>
      <c r="I81" s="213" t="s">
        <v>7123</v>
      </c>
      <c r="J81" s="213" t="s">
        <v>7122</v>
      </c>
      <c r="K81" s="213" t="s">
        <v>6853</v>
      </c>
      <c r="L81" s="213" t="s">
        <v>6852</v>
      </c>
      <c r="M81" s="213" t="s">
        <v>6851</v>
      </c>
      <c r="N81" s="988" t="s">
        <v>4876</v>
      </c>
      <c r="O81" s="988" t="s">
        <v>4876</v>
      </c>
      <c r="P81" s="988" t="s">
        <v>4876</v>
      </c>
      <c r="Q81" s="988" t="s">
        <v>4876</v>
      </c>
      <c r="R81" s="987"/>
      <c r="S81" s="987"/>
      <c r="T81" s="987"/>
      <c r="U81" s="987"/>
      <c r="V81" s="987"/>
      <c r="W81" s="987"/>
      <c r="X81" s="988" t="s">
        <v>4876</v>
      </c>
      <c r="Y81" s="988" t="s">
        <v>4876</v>
      </c>
      <c r="Z81" s="213" t="s">
        <v>6850</v>
      </c>
    </row>
    <row r="82" spans="1:26" ht="21" customHeight="1" x14ac:dyDescent="0.25">
      <c r="A82" s="213" t="s">
        <v>7121</v>
      </c>
      <c r="B82" s="213" t="s">
        <v>7120</v>
      </c>
      <c r="C82" s="1014" t="s">
        <v>7120</v>
      </c>
      <c r="D82" s="213" t="s">
        <v>6894</v>
      </c>
      <c r="E82" s="213" t="s">
        <v>6897</v>
      </c>
      <c r="F82" s="1013" t="s">
        <v>7097</v>
      </c>
      <c r="G82" s="213" t="s">
        <v>6891</v>
      </c>
      <c r="H82" s="213" t="s">
        <v>6890</v>
      </c>
      <c r="I82" s="213" t="s">
        <v>6889</v>
      </c>
      <c r="J82" s="213" t="s">
        <v>6854</v>
      </c>
      <c r="K82" s="213" t="s">
        <v>6853</v>
      </c>
      <c r="L82" s="213" t="s">
        <v>6852</v>
      </c>
      <c r="M82" s="213" t="s">
        <v>6888</v>
      </c>
      <c r="N82" s="987" t="s">
        <v>4904</v>
      </c>
      <c r="O82" s="987" t="s">
        <v>4904</v>
      </c>
      <c r="P82" s="987" t="s">
        <v>4904</v>
      </c>
      <c r="Q82" s="987" t="s">
        <v>4904</v>
      </c>
      <c r="R82" s="987" t="s">
        <v>4904</v>
      </c>
      <c r="S82" s="987" t="s">
        <v>4904</v>
      </c>
      <c r="T82" s="987" t="s">
        <v>4904</v>
      </c>
      <c r="U82" s="987" t="s">
        <v>4904</v>
      </c>
      <c r="V82" s="987" t="s">
        <v>4904</v>
      </c>
      <c r="W82" s="987" t="s">
        <v>4904</v>
      </c>
      <c r="X82" s="987" t="s">
        <v>4904</v>
      </c>
      <c r="Y82" s="987" t="s">
        <v>4904</v>
      </c>
      <c r="Z82" s="213" t="s">
        <v>6850</v>
      </c>
    </row>
    <row r="83" spans="1:26" ht="21" customHeight="1" x14ac:dyDescent="0.25">
      <c r="A83" s="213" t="s">
        <v>7119</v>
      </c>
      <c r="B83" s="213" t="s">
        <v>7118</v>
      </c>
      <c r="C83" s="998" t="s">
        <v>7118</v>
      </c>
      <c r="D83" s="213" t="s">
        <v>6894</v>
      </c>
      <c r="E83" s="213" t="s">
        <v>6982</v>
      </c>
      <c r="F83" s="997"/>
      <c r="G83" s="213" t="s">
        <v>6891</v>
      </c>
      <c r="H83" s="213" t="s">
        <v>6890</v>
      </c>
      <c r="I83" s="213" t="s">
        <v>6889</v>
      </c>
      <c r="J83" s="213" t="s">
        <v>6854</v>
      </c>
      <c r="K83" s="213" t="s">
        <v>6853</v>
      </c>
      <c r="L83" s="213" t="s">
        <v>6852</v>
      </c>
      <c r="M83" s="213" t="s">
        <v>6888</v>
      </c>
      <c r="N83" s="987" t="s">
        <v>4904</v>
      </c>
      <c r="O83" s="987" t="s">
        <v>4904</v>
      </c>
      <c r="P83" s="987" t="s">
        <v>4904</v>
      </c>
      <c r="Q83" s="987" t="s">
        <v>4904</v>
      </c>
      <c r="R83" s="987" t="s">
        <v>4904</v>
      </c>
      <c r="S83" s="987" t="s">
        <v>4904</v>
      </c>
      <c r="T83" s="987" t="s">
        <v>4904</v>
      </c>
      <c r="U83" s="987" t="s">
        <v>4904</v>
      </c>
      <c r="V83" s="987" t="s">
        <v>4904</v>
      </c>
      <c r="W83" s="987" t="s">
        <v>4904</v>
      </c>
      <c r="X83" s="987" t="s">
        <v>4904</v>
      </c>
      <c r="Y83" s="987" t="s">
        <v>4904</v>
      </c>
      <c r="Z83" s="213" t="s">
        <v>6850</v>
      </c>
    </row>
    <row r="84" spans="1:26" ht="21" customHeight="1" x14ac:dyDescent="0.25">
      <c r="A84" s="213" t="s">
        <v>7117</v>
      </c>
      <c r="B84" s="213" t="s">
        <v>7116</v>
      </c>
      <c r="C84" s="990" t="s">
        <v>7116</v>
      </c>
      <c r="D84" s="213" t="s">
        <v>6894</v>
      </c>
      <c r="E84" s="213" t="s">
        <v>6982</v>
      </c>
      <c r="F84" s="989"/>
      <c r="G84" s="213" t="s">
        <v>6891</v>
      </c>
      <c r="H84" s="213" t="s">
        <v>6890</v>
      </c>
      <c r="I84" s="213" t="s">
        <v>6889</v>
      </c>
      <c r="J84" s="213" t="s">
        <v>6854</v>
      </c>
      <c r="K84" s="213" t="s">
        <v>6853</v>
      </c>
      <c r="L84" s="213" t="s">
        <v>6852</v>
      </c>
      <c r="M84" s="213" t="s">
        <v>6888</v>
      </c>
      <c r="N84" s="987" t="s">
        <v>4904</v>
      </c>
      <c r="O84" s="987" t="s">
        <v>4904</v>
      </c>
      <c r="P84" s="987" t="s">
        <v>4904</v>
      </c>
      <c r="Q84" s="987" t="s">
        <v>4904</v>
      </c>
      <c r="R84" s="987" t="s">
        <v>4904</v>
      </c>
      <c r="S84" s="987" t="s">
        <v>4904</v>
      </c>
      <c r="T84" s="987" t="s">
        <v>4904</v>
      </c>
      <c r="U84" s="987" t="s">
        <v>4904</v>
      </c>
      <c r="V84" s="987" t="s">
        <v>4904</v>
      </c>
      <c r="W84" s="987" t="s">
        <v>4904</v>
      </c>
      <c r="X84" s="987" t="s">
        <v>4904</v>
      </c>
      <c r="Y84" s="987" t="s">
        <v>4904</v>
      </c>
      <c r="Z84" s="213" t="s">
        <v>6850</v>
      </c>
    </row>
    <row r="85" spans="1:26" ht="21" customHeight="1" x14ac:dyDescent="0.25">
      <c r="A85" s="213" t="s">
        <v>7115</v>
      </c>
      <c r="B85" s="213" t="s">
        <v>7114</v>
      </c>
      <c r="C85" s="1002" t="s">
        <v>7114</v>
      </c>
      <c r="D85" s="213" t="s">
        <v>6894</v>
      </c>
      <c r="E85" s="213" t="s">
        <v>6982</v>
      </c>
      <c r="F85" s="1001"/>
      <c r="G85" s="213" t="s">
        <v>6891</v>
      </c>
      <c r="H85" s="213" t="s">
        <v>6890</v>
      </c>
      <c r="I85" s="213" t="s">
        <v>6889</v>
      </c>
      <c r="J85" s="213" t="s">
        <v>6854</v>
      </c>
      <c r="K85" s="213" t="s">
        <v>6853</v>
      </c>
      <c r="L85" s="213" t="s">
        <v>6852</v>
      </c>
      <c r="M85" s="213" t="s">
        <v>6888</v>
      </c>
      <c r="N85" s="987" t="s">
        <v>4904</v>
      </c>
      <c r="O85" s="987" t="s">
        <v>4904</v>
      </c>
      <c r="P85" s="987" t="s">
        <v>4904</v>
      </c>
      <c r="Q85" s="987" t="s">
        <v>4904</v>
      </c>
      <c r="R85" s="987" t="s">
        <v>4904</v>
      </c>
      <c r="S85" s="987" t="s">
        <v>4904</v>
      </c>
      <c r="T85" s="987" t="s">
        <v>4904</v>
      </c>
      <c r="U85" s="987" t="s">
        <v>4904</v>
      </c>
      <c r="V85" s="987" t="s">
        <v>4904</v>
      </c>
      <c r="W85" s="987" t="s">
        <v>4904</v>
      </c>
      <c r="X85" s="987" t="s">
        <v>4904</v>
      </c>
      <c r="Y85" s="987" t="s">
        <v>4904</v>
      </c>
      <c r="Z85" s="213" t="s">
        <v>6850</v>
      </c>
    </row>
    <row r="86" spans="1:26" ht="21" customHeight="1" x14ac:dyDescent="0.25">
      <c r="A86" s="213" t="s">
        <v>7113</v>
      </c>
      <c r="B86" s="213" t="s">
        <v>7112</v>
      </c>
      <c r="C86" s="996" t="s">
        <v>7112</v>
      </c>
      <c r="D86" s="213" t="s">
        <v>6860</v>
      </c>
      <c r="E86" s="213" t="s">
        <v>6897</v>
      </c>
      <c r="F86" s="995" t="s">
        <v>6892</v>
      </c>
      <c r="G86" s="213"/>
      <c r="H86" s="213" t="s">
        <v>6890</v>
      </c>
      <c r="I86" s="213" t="s">
        <v>6889</v>
      </c>
      <c r="J86" s="213" t="s">
        <v>6854</v>
      </c>
      <c r="K86" s="213" t="s">
        <v>6853</v>
      </c>
      <c r="L86" s="213" t="s">
        <v>6852</v>
      </c>
      <c r="M86" s="213" t="s">
        <v>6888</v>
      </c>
      <c r="N86" s="987" t="s">
        <v>4904</v>
      </c>
      <c r="O86" s="987" t="s">
        <v>4904</v>
      </c>
      <c r="P86" s="987" t="s">
        <v>4904</v>
      </c>
      <c r="Q86" s="987" t="s">
        <v>4904</v>
      </c>
      <c r="R86" s="987" t="s">
        <v>4904</v>
      </c>
      <c r="S86" s="987" t="s">
        <v>4904</v>
      </c>
      <c r="T86" s="987" t="s">
        <v>4904</v>
      </c>
      <c r="U86" s="987" t="s">
        <v>4904</v>
      </c>
      <c r="V86" s="987" t="s">
        <v>4904</v>
      </c>
      <c r="W86" s="987" t="s">
        <v>4904</v>
      </c>
      <c r="X86" s="987" t="s">
        <v>4904</v>
      </c>
      <c r="Y86" s="987" t="s">
        <v>4904</v>
      </c>
      <c r="Z86" s="213" t="s">
        <v>6850</v>
      </c>
    </row>
    <row r="87" spans="1:26" ht="21" customHeight="1" x14ac:dyDescent="0.25">
      <c r="A87" s="213" t="s">
        <v>7111</v>
      </c>
      <c r="B87" s="213" t="s">
        <v>7110</v>
      </c>
      <c r="C87" s="990" t="s">
        <v>7110</v>
      </c>
      <c r="D87" s="213" t="s">
        <v>6860</v>
      </c>
      <c r="E87" s="213" t="s">
        <v>6897</v>
      </c>
      <c r="F87" s="989" t="s">
        <v>6865</v>
      </c>
      <c r="G87" s="213"/>
      <c r="H87" s="213" t="s">
        <v>6856</v>
      </c>
      <c r="I87" s="213" t="s">
        <v>6973</v>
      </c>
      <c r="J87" s="213" t="s">
        <v>6978</v>
      </c>
      <c r="K87" s="213" t="s">
        <v>6853</v>
      </c>
      <c r="L87" s="213" t="s">
        <v>6852</v>
      </c>
      <c r="M87" s="213" t="s">
        <v>6851</v>
      </c>
      <c r="N87" s="987"/>
      <c r="O87" s="987"/>
      <c r="P87" s="987"/>
      <c r="Q87" s="987"/>
      <c r="R87" s="987"/>
      <c r="S87" s="987"/>
      <c r="T87" s="988" t="s">
        <v>4876</v>
      </c>
      <c r="U87" s="988" t="s">
        <v>4876</v>
      </c>
      <c r="V87" s="988" t="s">
        <v>4876</v>
      </c>
      <c r="W87" s="988" t="s">
        <v>4876</v>
      </c>
      <c r="X87" s="987"/>
      <c r="Y87" s="987"/>
      <c r="Z87" s="213" t="s">
        <v>6850</v>
      </c>
    </row>
    <row r="88" spans="1:26" ht="21" customHeight="1" x14ac:dyDescent="0.25">
      <c r="A88" s="213" t="s">
        <v>7109</v>
      </c>
      <c r="B88" s="213" t="s">
        <v>7108</v>
      </c>
      <c r="C88" s="1008" t="s">
        <v>7108</v>
      </c>
      <c r="D88" s="213" t="s">
        <v>521</v>
      </c>
      <c r="E88" s="213" t="s">
        <v>6962</v>
      </c>
      <c r="F88" s="1007" t="s">
        <v>6981</v>
      </c>
      <c r="G88" s="213"/>
      <c r="H88" s="213" t="s">
        <v>6856</v>
      </c>
      <c r="I88" s="213" t="s">
        <v>7107</v>
      </c>
      <c r="J88" s="213" t="s">
        <v>6997</v>
      </c>
      <c r="K88" s="213" t="s">
        <v>6853</v>
      </c>
      <c r="L88" s="213" t="s">
        <v>6852</v>
      </c>
      <c r="M88" s="213" t="s">
        <v>6851</v>
      </c>
      <c r="N88" s="986" t="s">
        <v>4876</v>
      </c>
      <c r="O88" s="986" t="s">
        <v>4876</v>
      </c>
      <c r="P88" s="987"/>
      <c r="Q88" s="987"/>
      <c r="R88" s="987"/>
      <c r="S88" s="987"/>
      <c r="T88" s="987"/>
      <c r="U88" s="987"/>
      <c r="V88" s="987"/>
      <c r="W88" s="987"/>
      <c r="X88" s="986" t="s">
        <v>4876</v>
      </c>
      <c r="Y88" s="986" t="s">
        <v>4876</v>
      </c>
      <c r="Z88" s="213" t="s">
        <v>6850</v>
      </c>
    </row>
    <row r="89" spans="1:26" ht="21" customHeight="1" x14ac:dyDescent="0.25">
      <c r="A89" s="213" t="s">
        <v>7106</v>
      </c>
      <c r="B89" s="213" t="s">
        <v>7105</v>
      </c>
      <c r="C89" s="1008" t="s">
        <v>7105</v>
      </c>
      <c r="D89" s="213" t="s">
        <v>7104</v>
      </c>
      <c r="E89" s="213" t="s">
        <v>6974</v>
      </c>
      <c r="F89" s="1007" t="s">
        <v>6981</v>
      </c>
      <c r="G89" s="213"/>
      <c r="H89" s="213" t="s">
        <v>7103</v>
      </c>
      <c r="I89" s="213" t="s">
        <v>7102</v>
      </c>
      <c r="J89" s="213" t="s">
        <v>6854</v>
      </c>
      <c r="K89" s="213" t="s">
        <v>6853</v>
      </c>
      <c r="L89" s="213" t="s">
        <v>6852</v>
      </c>
      <c r="M89" s="213" t="s">
        <v>7101</v>
      </c>
      <c r="N89" s="987" t="s">
        <v>7100</v>
      </c>
      <c r="O89" s="987" t="s">
        <v>7100</v>
      </c>
      <c r="P89" s="987" t="s">
        <v>7100</v>
      </c>
      <c r="Q89" s="987" t="s">
        <v>7100</v>
      </c>
      <c r="R89" s="987" t="s">
        <v>7100</v>
      </c>
      <c r="S89" s="987" t="s">
        <v>7100</v>
      </c>
      <c r="T89" s="987" t="s">
        <v>7100</v>
      </c>
      <c r="U89" s="987" t="s">
        <v>7100</v>
      </c>
      <c r="V89" s="987" t="s">
        <v>7100</v>
      </c>
      <c r="W89" s="987" t="s">
        <v>7100</v>
      </c>
      <c r="X89" s="987" t="s">
        <v>7100</v>
      </c>
      <c r="Y89" s="987" t="s">
        <v>7100</v>
      </c>
      <c r="Z89" s="213" t="s">
        <v>6850</v>
      </c>
    </row>
    <row r="90" spans="1:26" ht="21" customHeight="1" x14ac:dyDescent="0.25">
      <c r="A90" s="213" t="s">
        <v>7099</v>
      </c>
      <c r="B90" s="213" t="s">
        <v>7098</v>
      </c>
      <c r="C90" s="1014" t="s">
        <v>7098</v>
      </c>
      <c r="D90" s="213" t="s">
        <v>6860</v>
      </c>
      <c r="E90" s="213" t="s">
        <v>6897</v>
      </c>
      <c r="F90" s="1013" t="s">
        <v>7097</v>
      </c>
      <c r="G90" s="213"/>
      <c r="H90" s="213" t="s">
        <v>6980</v>
      </c>
      <c r="I90" s="213" t="s">
        <v>7023</v>
      </c>
      <c r="J90" s="213" t="s">
        <v>6997</v>
      </c>
      <c r="K90" s="213" t="s">
        <v>6853</v>
      </c>
      <c r="L90" s="213" t="s">
        <v>6852</v>
      </c>
      <c r="M90" s="213" t="s">
        <v>6977</v>
      </c>
      <c r="N90" s="987" t="s">
        <v>4904</v>
      </c>
      <c r="O90" s="987" t="s">
        <v>4904</v>
      </c>
      <c r="P90" s="987" t="s">
        <v>4904</v>
      </c>
      <c r="Q90" s="987"/>
      <c r="R90" s="987"/>
      <c r="S90" s="987"/>
      <c r="T90" s="987"/>
      <c r="U90" s="987"/>
      <c r="V90" s="987"/>
      <c r="W90" s="986" t="s">
        <v>4876</v>
      </c>
      <c r="X90" s="986" t="s">
        <v>4876</v>
      </c>
      <c r="Y90" s="986" t="s">
        <v>4876</v>
      </c>
      <c r="Z90" s="213" t="s">
        <v>6850</v>
      </c>
    </row>
    <row r="91" spans="1:26" ht="21" customHeight="1" x14ac:dyDescent="0.25">
      <c r="A91" s="213" t="s">
        <v>7096</v>
      </c>
      <c r="B91" s="213" t="s">
        <v>7095</v>
      </c>
      <c r="C91" s="1008" t="s">
        <v>7095</v>
      </c>
      <c r="D91" s="213" t="s">
        <v>521</v>
      </c>
      <c r="E91" s="213" t="s">
        <v>6962</v>
      </c>
      <c r="F91" s="1007" t="s">
        <v>6981</v>
      </c>
      <c r="G91" s="213"/>
      <c r="H91" s="213" t="s">
        <v>6856</v>
      </c>
      <c r="I91" s="213" t="s">
        <v>7046</v>
      </c>
      <c r="J91" s="213" t="s">
        <v>6874</v>
      </c>
      <c r="K91" s="213" t="s">
        <v>6853</v>
      </c>
      <c r="L91" s="213" t="s">
        <v>6852</v>
      </c>
      <c r="M91" s="213" t="s">
        <v>6851</v>
      </c>
      <c r="N91" s="987"/>
      <c r="O91" s="987"/>
      <c r="P91" s="987"/>
      <c r="Q91" s="987"/>
      <c r="R91" s="987"/>
      <c r="S91" s="988" t="s">
        <v>4876</v>
      </c>
      <c r="T91" s="988" t="s">
        <v>4876</v>
      </c>
      <c r="U91" s="988" t="s">
        <v>4876</v>
      </c>
      <c r="V91" s="988" t="s">
        <v>4876</v>
      </c>
      <c r="W91" s="987"/>
      <c r="X91" s="987"/>
      <c r="Y91" s="987"/>
      <c r="Z91" s="213" t="s">
        <v>6850</v>
      </c>
    </row>
    <row r="92" spans="1:26" ht="21" customHeight="1" x14ac:dyDescent="0.25">
      <c r="A92" s="213" t="s">
        <v>7094</v>
      </c>
      <c r="B92" s="213" t="s">
        <v>7093</v>
      </c>
      <c r="C92" s="240" t="s">
        <v>7093</v>
      </c>
      <c r="D92" s="213" t="s">
        <v>521</v>
      </c>
      <c r="E92" s="213" t="s">
        <v>6974</v>
      </c>
      <c r="F92" s="239" t="s">
        <v>7047</v>
      </c>
      <c r="G92" s="213"/>
      <c r="H92" s="213" t="s">
        <v>6856</v>
      </c>
      <c r="I92" s="213" t="s">
        <v>7089</v>
      </c>
      <c r="J92" s="213" t="s">
        <v>6854</v>
      </c>
      <c r="K92" s="213" t="s">
        <v>6853</v>
      </c>
      <c r="L92" s="213" t="s">
        <v>6852</v>
      </c>
      <c r="M92" s="213" t="s">
        <v>6851</v>
      </c>
      <c r="N92" s="987"/>
      <c r="O92" s="987"/>
      <c r="P92" s="987"/>
      <c r="Q92" s="987"/>
      <c r="R92" s="987"/>
      <c r="S92" s="987"/>
      <c r="T92" s="987"/>
      <c r="U92" s="986" t="s">
        <v>4876</v>
      </c>
      <c r="V92" s="986" t="s">
        <v>4876</v>
      </c>
      <c r="W92" s="987"/>
      <c r="X92" s="987"/>
      <c r="Y92" s="987"/>
      <c r="Z92" s="213" t="s">
        <v>6850</v>
      </c>
    </row>
    <row r="93" spans="1:26" ht="21" customHeight="1" x14ac:dyDescent="0.25">
      <c r="A93" s="213" t="s">
        <v>7092</v>
      </c>
      <c r="B93" s="213" t="s">
        <v>7091</v>
      </c>
      <c r="C93" s="1000" t="s">
        <v>7091</v>
      </c>
      <c r="D93" s="213" t="s">
        <v>521</v>
      </c>
      <c r="E93" s="213" t="s">
        <v>6962</v>
      </c>
      <c r="F93" s="999" t="s">
        <v>7090</v>
      </c>
      <c r="G93" s="213"/>
      <c r="H93" s="213" t="s">
        <v>6856</v>
      </c>
      <c r="I93" s="213" t="s">
        <v>7089</v>
      </c>
      <c r="J93" s="213" t="s">
        <v>6854</v>
      </c>
      <c r="K93" s="213" t="s">
        <v>6853</v>
      </c>
      <c r="L93" s="213" t="s">
        <v>6852</v>
      </c>
      <c r="M93" s="213" t="s">
        <v>6851</v>
      </c>
      <c r="N93" s="987"/>
      <c r="O93" s="987"/>
      <c r="P93" s="987"/>
      <c r="Q93" s="987"/>
      <c r="R93" s="987"/>
      <c r="S93" s="987"/>
      <c r="T93" s="987"/>
      <c r="U93" s="988" t="s">
        <v>4876</v>
      </c>
      <c r="V93" s="988" t="s">
        <v>4876</v>
      </c>
      <c r="W93" s="987"/>
      <c r="X93" s="987"/>
      <c r="Y93" s="987"/>
      <c r="Z93" s="213" t="s">
        <v>6850</v>
      </c>
    </row>
    <row r="94" spans="1:26" ht="21" customHeight="1" x14ac:dyDescent="0.25">
      <c r="A94" s="213" t="s">
        <v>7088</v>
      </c>
      <c r="B94" s="213" t="s">
        <v>7087</v>
      </c>
      <c r="C94" s="996" t="s">
        <v>7087</v>
      </c>
      <c r="D94" s="213" t="s">
        <v>6860</v>
      </c>
      <c r="E94" s="213" t="s">
        <v>6902</v>
      </c>
      <c r="F94" s="995" t="s">
        <v>6892</v>
      </c>
      <c r="G94" s="213" t="s">
        <v>6901</v>
      </c>
      <c r="H94" s="213" t="s">
        <v>6856</v>
      </c>
      <c r="I94" s="213" t="s">
        <v>7086</v>
      </c>
      <c r="J94" s="213" t="s">
        <v>7085</v>
      </c>
      <c r="K94" s="213" t="s">
        <v>6906</v>
      </c>
      <c r="L94" s="213" t="s">
        <v>6905</v>
      </c>
      <c r="M94" s="213" t="s">
        <v>6851</v>
      </c>
      <c r="N94" s="986" t="s">
        <v>4876</v>
      </c>
      <c r="O94" s="986" t="s">
        <v>4876</v>
      </c>
      <c r="P94" s="986" t="s">
        <v>4876</v>
      </c>
      <c r="Q94" s="986" t="s">
        <v>4876</v>
      </c>
      <c r="R94" s="986" t="s">
        <v>4876</v>
      </c>
      <c r="S94" s="987"/>
      <c r="T94" s="987"/>
      <c r="U94" s="987"/>
      <c r="V94" s="987"/>
      <c r="W94" s="986" t="s">
        <v>4876</v>
      </c>
      <c r="X94" s="986" t="s">
        <v>4876</v>
      </c>
      <c r="Y94" s="986" t="s">
        <v>4876</v>
      </c>
      <c r="Z94" s="213" t="s">
        <v>6850</v>
      </c>
    </row>
    <row r="95" spans="1:26" ht="21" customHeight="1" x14ac:dyDescent="0.25">
      <c r="A95" s="213" t="s">
        <v>7084</v>
      </c>
      <c r="B95" s="213" t="s">
        <v>7083</v>
      </c>
      <c r="C95" s="990" t="s">
        <v>7083</v>
      </c>
      <c r="D95" s="213" t="s">
        <v>521</v>
      </c>
      <c r="E95" s="213" t="s">
        <v>6962</v>
      </c>
      <c r="F95" s="989" t="s">
        <v>6865</v>
      </c>
      <c r="G95" s="213"/>
      <c r="H95" s="213" t="s">
        <v>6856</v>
      </c>
      <c r="I95" s="213" t="s">
        <v>7075</v>
      </c>
      <c r="J95" s="213" t="s">
        <v>7042</v>
      </c>
      <c r="K95" s="213" t="s">
        <v>6853</v>
      </c>
      <c r="L95" s="213" t="s">
        <v>6852</v>
      </c>
      <c r="M95" s="213" t="s">
        <v>6851</v>
      </c>
      <c r="N95" s="987"/>
      <c r="O95" s="987"/>
      <c r="P95" s="987"/>
      <c r="Q95" s="987"/>
      <c r="R95" s="987"/>
      <c r="S95" s="987"/>
      <c r="T95" s="988" t="s">
        <v>4876</v>
      </c>
      <c r="U95" s="988" t="s">
        <v>4876</v>
      </c>
      <c r="V95" s="988" t="s">
        <v>4876</v>
      </c>
      <c r="W95" s="987"/>
      <c r="X95" s="987"/>
      <c r="Y95" s="987"/>
      <c r="Z95" s="213" t="s">
        <v>6850</v>
      </c>
    </row>
    <row r="96" spans="1:26" ht="21" customHeight="1" x14ac:dyDescent="0.25">
      <c r="A96" s="213" t="s">
        <v>7082</v>
      </c>
      <c r="B96" s="213" t="s">
        <v>7081</v>
      </c>
      <c r="C96" s="998" t="s">
        <v>7081</v>
      </c>
      <c r="D96" s="213" t="s">
        <v>521</v>
      </c>
      <c r="E96" s="213" t="s">
        <v>6991</v>
      </c>
      <c r="F96" s="997" t="s">
        <v>7015</v>
      </c>
      <c r="G96" s="213"/>
      <c r="H96" s="213" t="s">
        <v>6980</v>
      </c>
      <c r="I96" s="213" t="s">
        <v>7080</v>
      </c>
      <c r="J96" s="213" t="s">
        <v>7079</v>
      </c>
      <c r="K96" s="213" t="s">
        <v>6853</v>
      </c>
      <c r="L96" s="213" t="s">
        <v>6852</v>
      </c>
      <c r="M96" s="213" t="s">
        <v>6977</v>
      </c>
      <c r="N96" s="987" t="s">
        <v>4904</v>
      </c>
      <c r="O96" s="987" t="s">
        <v>4904</v>
      </c>
      <c r="P96" s="987" t="s">
        <v>4904</v>
      </c>
      <c r="Q96" s="987" t="s">
        <v>4904</v>
      </c>
      <c r="R96" s="987" t="s">
        <v>4904</v>
      </c>
      <c r="S96" s="987" t="s">
        <v>4904</v>
      </c>
      <c r="T96" s="987" t="s">
        <v>4904</v>
      </c>
      <c r="U96" s="987"/>
      <c r="V96" s="986" t="s">
        <v>4876</v>
      </c>
      <c r="W96" s="986" t="s">
        <v>4876</v>
      </c>
      <c r="X96" s="987" t="s">
        <v>4904</v>
      </c>
      <c r="Y96" s="987" t="s">
        <v>4904</v>
      </c>
      <c r="Z96" s="213" t="s">
        <v>6850</v>
      </c>
    </row>
    <row r="97" spans="1:26" ht="21" customHeight="1" x14ac:dyDescent="0.25">
      <c r="A97" s="213" t="s">
        <v>7078</v>
      </c>
      <c r="B97" s="213" t="s">
        <v>7077</v>
      </c>
      <c r="C97" s="996" t="s">
        <v>7077</v>
      </c>
      <c r="D97" s="213" t="s">
        <v>7072</v>
      </c>
      <c r="E97" s="213" t="s">
        <v>6893</v>
      </c>
      <c r="F97" s="995" t="s">
        <v>6892</v>
      </c>
      <c r="G97" s="213" t="s">
        <v>7076</v>
      </c>
      <c r="H97" s="213" t="s">
        <v>6980</v>
      </c>
      <c r="I97" s="213" t="s">
        <v>7075</v>
      </c>
      <c r="J97" s="213" t="s">
        <v>7063</v>
      </c>
      <c r="K97" s="213" t="s">
        <v>6906</v>
      </c>
      <c r="L97" s="213" t="s">
        <v>6905</v>
      </c>
      <c r="M97" s="213" t="s">
        <v>6977</v>
      </c>
      <c r="N97" s="987" t="s">
        <v>4904</v>
      </c>
      <c r="O97" s="987" t="s">
        <v>4904</v>
      </c>
      <c r="P97" s="987" t="s">
        <v>4904</v>
      </c>
      <c r="Q97" s="987" t="s">
        <v>4904</v>
      </c>
      <c r="R97" s="987" t="s">
        <v>4904</v>
      </c>
      <c r="S97" s="987" t="s">
        <v>4904</v>
      </c>
      <c r="T97" s="988" t="s">
        <v>4876</v>
      </c>
      <c r="U97" s="988" t="s">
        <v>4876</v>
      </c>
      <c r="V97" s="988" t="s">
        <v>4876</v>
      </c>
      <c r="W97" s="987" t="s">
        <v>4904</v>
      </c>
      <c r="X97" s="987" t="s">
        <v>4904</v>
      </c>
      <c r="Y97" s="987" t="s">
        <v>4904</v>
      </c>
      <c r="Z97" s="213" t="s">
        <v>6850</v>
      </c>
    </row>
    <row r="98" spans="1:26" ht="21" customHeight="1" x14ac:dyDescent="0.25">
      <c r="A98" s="213" t="s">
        <v>7074</v>
      </c>
      <c r="B98" s="213" t="s">
        <v>7073</v>
      </c>
      <c r="C98" s="996" t="s">
        <v>7073</v>
      </c>
      <c r="D98" s="213" t="s">
        <v>7072</v>
      </c>
      <c r="E98" s="213" t="s">
        <v>6866</v>
      </c>
      <c r="F98" s="995" t="s">
        <v>6892</v>
      </c>
      <c r="G98" s="213"/>
      <c r="H98" s="213" t="s">
        <v>6856</v>
      </c>
      <c r="I98" s="213" t="s">
        <v>7071</v>
      </c>
      <c r="J98" s="213" t="s">
        <v>7070</v>
      </c>
      <c r="K98" s="213" t="s">
        <v>6853</v>
      </c>
      <c r="L98" s="213" t="s">
        <v>6852</v>
      </c>
      <c r="M98" s="213" t="s">
        <v>6851</v>
      </c>
      <c r="N98" s="987"/>
      <c r="O98" s="987"/>
      <c r="P98" s="987"/>
      <c r="Q98" s="986" t="s">
        <v>4876</v>
      </c>
      <c r="R98" s="986" t="s">
        <v>4876</v>
      </c>
      <c r="S98" s="986" t="s">
        <v>4876</v>
      </c>
      <c r="T98" s="986" t="s">
        <v>4876</v>
      </c>
      <c r="U98" s="987"/>
      <c r="V98" s="987"/>
      <c r="W98" s="987"/>
      <c r="X98" s="987"/>
      <c r="Y98" s="987"/>
      <c r="Z98" s="213" t="s">
        <v>6850</v>
      </c>
    </row>
    <row r="99" spans="1:26" ht="21" customHeight="1" x14ac:dyDescent="0.25">
      <c r="A99" s="213" t="s">
        <v>7069</v>
      </c>
      <c r="B99" s="213" t="s">
        <v>7068</v>
      </c>
      <c r="C99" s="1012" t="s">
        <v>7068</v>
      </c>
      <c r="D99" s="213" t="s">
        <v>521</v>
      </c>
      <c r="E99" s="213" t="s">
        <v>6962</v>
      </c>
      <c r="F99" s="1011" t="s">
        <v>7067</v>
      </c>
      <c r="G99" s="213"/>
      <c r="H99" s="213" t="s">
        <v>6856</v>
      </c>
      <c r="I99" s="213" t="s">
        <v>7058</v>
      </c>
      <c r="J99" s="213" t="s">
        <v>7066</v>
      </c>
      <c r="K99" s="213" t="s">
        <v>6853</v>
      </c>
      <c r="L99" s="213" t="s">
        <v>6852</v>
      </c>
      <c r="M99" s="213" t="s">
        <v>6851</v>
      </c>
      <c r="N99" s="988" t="s">
        <v>4876</v>
      </c>
      <c r="O99" s="988" t="s">
        <v>4876</v>
      </c>
      <c r="P99" s="988" t="s">
        <v>4876</v>
      </c>
      <c r="Q99" s="988" t="s">
        <v>4876</v>
      </c>
      <c r="R99" s="987"/>
      <c r="S99" s="987"/>
      <c r="T99" s="987"/>
      <c r="U99" s="987"/>
      <c r="V99" s="987"/>
      <c r="W99" s="987"/>
      <c r="X99" s="987"/>
      <c r="Y99" s="988" t="s">
        <v>4876</v>
      </c>
      <c r="Z99" s="213" t="s">
        <v>6850</v>
      </c>
    </row>
    <row r="100" spans="1:26" ht="21" customHeight="1" x14ac:dyDescent="0.25">
      <c r="A100" s="213" t="s">
        <v>7065</v>
      </c>
      <c r="B100" s="213" t="s">
        <v>7064</v>
      </c>
      <c r="C100" s="240" t="s">
        <v>7064</v>
      </c>
      <c r="D100" s="213" t="s">
        <v>521</v>
      </c>
      <c r="E100" s="213" t="s">
        <v>6991</v>
      </c>
      <c r="F100" s="239" t="s">
        <v>7047</v>
      </c>
      <c r="G100" s="213"/>
      <c r="H100" s="213" t="s">
        <v>6856</v>
      </c>
      <c r="I100" s="213" t="s">
        <v>7001</v>
      </c>
      <c r="J100" s="213" t="s">
        <v>7063</v>
      </c>
      <c r="K100" s="213" t="s">
        <v>6853</v>
      </c>
      <c r="L100" s="213" t="s">
        <v>6852</v>
      </c>
      <c r="M100" s="213" t="s">
        <v>6851</v>
      </c>
      <c r="N100" s="986" t="s">
        <v>4876</v>
      </c>
      <c r="O100" s="986" t="s">
        <v>4876</v>
      </c>
      <c r="P100" s="986" t="s">
        <v>4876</v>
      </c>
      <c r="Q100" s="986" t="s">
        <v>4876</v>
      </c>
      <c r="R100" s="986" t="s">
        <v>4876</v>
      </c>
      <c r="S100" s="987"/>
      <c r="T100" s="987"/>
      <c r="U100" s="987"/>
      <c r="V100" s="987"/>
      <c r="W100" s="987"/>
      <c r="X100" s="986" t="s">
        <v>4876</v>
      </c>
      <c r="Y100" s="986" t="s">
        <v>4876</v>
      </c>
      <c r="Z100" s="213" t="s">
        <v>6850</v>
      </c>
    </row>
    <row r="101" spans="1:26" ht="21" customHeight="1" x14ac:dyDescent="0.25">
      <c r="A101" s="213" t="s">
        <v>7062</v>
      </c>
      <c r="B101" s="213" t="s">
        <v>7061</v>
      </c>
      <c r="C101" s="996" t="s">
        <v>7061</v>
      </c>
      <c r="D101" s="213" t="s">
        <v>6860</v>
      </c>
      <c r="E101" s="213" t="s">
        <v>6902</v>
      </c>
      <c r="F101" s="995" t="s">
        <v>6892</v>
      </c>
      <c r="G101" s="213" t="s">
        <v>6901</v>
      </c>
      <c r="H101" s="213" t="s">
        <v>6856</v>
      </c>
      <c r="I101" s="213" t="s">
        <v>6900</v>
      </c>
      <c r="J101" s="213" t="s">
        <v>6854</v>
      </c>
      <c r="K101" s="213" t="s">
        <v>6853</v>
      </c>
      <c r="L101" s="213" t="s">
        <v>6852</v>
      </c>
      <c r="M101" s="213" t="s">
        <v>6851</v>
      </c>
      <c r="N101" s="988" t="s">
        <v>4876</v>
      </c>
      <c r="O101" s="988" t="s">
        <v>4876</v>
      </c>
      <c r="P101" s="988" t="s">
        <v>4876</v>
      </c>
      <c r="Q101" s="987"/>
      <c r="R101" s="987"/>
      <c r="S101" s="987"/>
      <c r="T101" s="987"/>
      <c r="U101" s="987"/>
      <c r="V101" s="987"/>
      <c r="W101" s="988" t="s">
        <v>4876</v>
      </c>
      <c r="X101" s="988" t="s">
        <v>4876</v>
      </c>
      <c r="Y101" s="988" t="s">
        <v>4876</v>
      </c>
      <c r="Z101" s="213" t="s">
        <v>6850</v>
      </c>
    </row>
    <row r="102" spans="1:26" ht="21" customHeight="1" x14ac:dyDescent="0.25">
      <c r="A102" s="213" t="s">
        <v>7060</v>
      </c>
      <c r="B102" s="213" t="s">
        <v>7059</v>
      </c>
      <c r="C102" s="240" t="s">
        <v>7059</v>
      </c>
      <c r="D102" s="213" t="s">
        <v>521</v>
      </c>
      <c r="E102" s="213" t="s">
        <v>6962</v>
      </c>
      <c r="F102" s="239" t="s">
        <v>6858</v>
      </c>
      <c r="G102" s="213"/>
      <c r="H102" s="213" t="s">
        <v>6856</v>
      </c>
      <c r="I102" s="213" t="s">
        <v>7058</v>
      </c>
      <c r="J102" s="213" t="s">
        <v>6907</v>
      </c>
      <c r="K102" s="213" t="s">
        <v>6853</v>
      </c>
      <c r="L102" s="213" t="s">
        <v>6852</v>
      </c>
      <c r="M102" s="213" t="s">
        <v>6851</v>
      </c>
      <c r="N102" s="986" t="s">
        <v>4876</v>
      </c>
      <c r="O102" s="986" t="s">
        <v>4876</v>
      </c>
      <c r="P102" s="986" t="s">
        <v>4876</v>
      </c>
      <c r="Q102" s="986" t="s">
        <v>4876</v>
      </c>
      <c r="R102" s="987"/>
      <c r="S102" s="987"/>
      <c r="T102" s="987"/>
      <c r="U102" s="987"/>
      <c r="V102" s="987"/>
      <c r="W102" s="987"/>
      <c r="X102" s="987"/>
      <c r="Y102" s="986" t="s">
        <v>4876</v>
      </c>
      <c r="Z102" s="213" t="s">
        <v>6850</v>
      </c>
    </row>
    <row r="103" spans="1:26" ht="21" customHeight="1" x14ac:dyDescent="0.25">
      <c r="A103" s="213" t="s">
        <v>7057</v>
      </c>
      <c r="B103" s="213" t="s">
        <v>7056</v>
      </c>
      <c r="C103" s="992" t="s">
        <v>7056</v>
      </c>
      <c r="D103" s="213" t="s">
        <v>521</v>
      </c>
      <c r="E103" s="213" t="s">
        <v>6962</v>
      </c>
      <c r="F103" s="991" t="s">
        <v>6875</v>
      </c>
      <c r="G103" s="213"/>
      <c r="H103" s="213" t="s">
        <v>6856</v>
      </c>
      <c r="I103" s="213" t="s">
        <v>7046</v>
      </c>
      <c r="J103" s="213" t="s">
        <v>6854</v>
      </c>
      <c r="K103" s="213" t="s">
        <v>6853</v>
      </c>
      <c r="L103" s="213" t="s">
        <v>6852</v>
      </c>
      <c r="M103" s="213" t="s">
        <v>6851</v>
      </c>
      <c r="N103" s="987"/>
      <c r="O103" s="987"/>
      <c r="P103" s="987"/>
      <c r="Q103" s="987"/>
      <c r="R103" s="987"/>
      <c r="S103" s="988" t="s">
        <v>4876</v>
      </c>
      <c r="T103" s="988" t="s">
        <v>4876</v>
      </c>
      <c r="U103" s="988" t="s">
        <v>4876</v>
      </c>
      <c r="V103" s="988" t="s">
        <v>4876</v>
      </c>
      <c r="W103" s="987"/>
      <c r="X103" s="987"/>
      <c r="Y103" s="987"/>
      <c r="Z103" s="213" t="s">
        <v>6850</v>
      </c>
    </row>
    <row r="104" spans="1:26" ht="21" customHeight="1" x14ac:dyDescent="0.25">
      <c r="A104" s="213" t="s">
        <v>7055</v>
      </c>
      <c r="B104" s="213" t="s">
        <v>7054</v>
      </c>
      <c r="C104" s="1012" t="s">
        <v>7054</v>
      </c>
      <c r="D104" s="213" t="s">
        <v>6860</v>
      </c>
      <c r="E104" s="213" t="s">
        <v>6902</v>
      </c>
      <c r="F104" s="1011"/>
      <c r="G104" s="213" t="s">
        <v>6857</v>
      </c>
      <c r="H104" s="213" t="s">
        <v>6980</v>
      </c>
      <c r="I104" s="213" t="s">
        <v>6915</v>
      </c>
      <c r="J104" s="213" t="s">
        <v>6854</v>
      </c>
      <c r="K104" s="213" t="s">
        <v>6853</v>
      </c>
      <c r="L104" s="213" t="s">
        <v>6852</v>
      </c>
      <c r="M104" s="213" t="s">
        <v>6977</v>
      </c>
      <c r="N104" s="986" t="s">
        <v>4876</v>
      </c>
      <c r="O104" s="986" t="s">
        <v>4876</v>
      </c>
      <c r="P104" s="987" t="s">
        <v>4876</v>
      </c>
      <c r="Q104" s="987" t="s">
        <v>4904</v>
      </c>
      <c r="R104" s="987" t="s">
        <v>4904</v>
      </c>
      <c r="S104" s="987" t="s">
        <v>4904</v>
      </c>
      <c r="T104" s="987" t="s">
        <v>4904</v>
      </c>
      <c r="U104" s="987" t="s">
        <v>4904</v>
      </c>
      <c r="V104" s="986" t="s">
        <v>4876</v>
      </c>
      <c r="W104" s="986" t="s">
        <v>4876</v>
      </c>
      <c r="X104" s="986" t="s">
        <v>4876</v>
      </c>
      <c r="Y104" s="986" t="s">
        <v>4876</v>
      </c>
      <c r="Z104" s="213" t="s">
        <v>6850</v>
      </c>
    </row>
    <row r="105" spans="1:26" ht="21" customHeight="1" x14ac:dyDescent="0.25">
      <c r="A105" s="213" t="s">
        <v>7053</v>
      </c>
      <c r="B105" s="213" t="s">
        <v>7052</v>
      </c>
      <c r="C105" s="996" t="s">
        <v>7052</v>
      </c>
      <c r="D105" s="213" t="s">
        <v>6894</v>
      </c>
      <c r="E105" s="213" t="s">
        <v>6897</v>
      </c>
      <c r="F105" s="995" t="s">
        <v>6892</v>
      </c>
      <c r="G105" s="213"/>
      <c r="H105" s="213" t="s">
        <v>6890</v>
      </c>
      <c r="I105" s="213" t="s">
        <v>6889</v>
      </c>
      <c r="J105" s="213" t="s">
        <v>6854</v>
      </c>
      <c r="K105" s="213" t="s">
        <v>6853</v>
      </c>
      <c r="L105" s="213" t="s">
        <v>6852</v>
      </c>
      <c r="M105" s="213" t="s">
        <v>6888</v>
      </c>
      <c r="N105" s="987" t="s">
        <v>4904</v>
      </c>
      <c r="O105" s="987" t="s">
        <v>4904</v>
      </c>
      <c r="P105" s="987" t="s">
        <v>4904</v>
      </c>
      <c r="Q105" s="987" t="s">
        <v>4904</v>
      </c>
      <c r="R105" s="987" t="s">
        <v>4904</v>
      </c>
      <c r="S105" s="987" t="s">
        <v>4904</v>
      </c>
      <c r="T105" s="987" t="s">
        <v>4904</v>
      </c>
      <c r="U105" s="987" t="s">
        <v>4904</v>
      </c>
      <c r="V105" s="987" t="s">
        <v>4904</v>
      </c>
      <c r="W105" s="987" t="s">
        <v>4904</v>
      </c>
      <c r="X105" s="987" t="s">
        <v>4904</v>
      </c>
      <c r="Y105" s="987" t="s">
        <v>4904</v>
      </c>
      <c r="Z105" s="213" t="s">
        <v>6850</v>
      </c>
    </row>
    <row r="106" spans="1:26" ht="21" customHeight="1" x14ac:dyDescent="0.25">
      <c r="A106" s="213" t="s">
        <v>7051</v>
      </c>
      <c r="B106" s="213" t="s">
        <v>7050</v>
      </c>
      <c r="C106" s="1002" t="s">
        <v>7050</v>
      </c>
      <c r="D106" s="213" t="s">
        <v>6867</v>
      </c>
      <c r="E106" s="213" t="s">
        <v>6902</v>
      </c>
      <c r="F106" s="1001" t="s">
        <v>6916</v>
      </c>
      <c r="G106" s="213" t="s">
        <v>6870</v>
      </c>
      <c r="H106" s="213" t="s">
        <v>6856</v>
      </c>
      <c r="I106" s="213" t="s">
        <v>6973</v>
      </c>
      <c r="J106" s="213" t="s">
        <v>6854</v>
      </c>
      <c r="K106" s="213" t="s">
        <v>6853</v>
      </c>
      <c r="L106" s="213" t="s">
        <v>6852</v>
      </c>
      <c r="M106" s="213" t="s">
        <v>6851</v>
      </c>
      <c r="N106" s="987"/>
      <c r="O106" s="987"/>
      <c r="P106" s="987"/>
      <c r="Q106" s="987"/>
      <c r="R106" s="987"/>
      <c r="S106" s="987"/>
      <c r="T106" s="986" t="s">
        <v>4876</v>
      </c>
      <c r="U106" s="986" t="s">
        <v>4876</v>
      </c>
      <c r="V106" s="986" t="s">
        <v>4876</v>
      </c>
      <c r="W106" s="986" t="s">
        <v>4876</v>
      </c>
      <c r="X106" s="987"/>
      <c r="Y106" s="987"/>
      <c r="Z106" s="213" t="s">
        <v>6850</v>
      </c>
    </row>
    <row r="107" spans="1:26" ht="21" customHeight="1" x14ac:dyDescent="0.25">
      <c r="A107" s="213" t="s">
        <v>7049</v>
      </c>
      <c r="B107" s="213" t="s">
        <v>7048</v>
      </c>
      <c r="C107" s="240" t="s">
        <v>7048</v>
      </c>
      <c r="D107" s="213" t="s">
        <v>521</v>
      </c>
      <c r="E107" s="213" t="s">
        <v>6974</v>
      </c>
      <c r="F107" s="239" t="s">
        <v>7047</v>
      </c>
      <c r="G107" s="213"/>
      <c r="H107" s="213" t="s">
        <v>6856</v>
      </c>
      <c r="I107" s="213" t="s">
        <v>7046</v>
      </c>
      <c r="J107" s="213" t="s">
        <v>6854</v>
      </c>
      <c r="K107" s="213" t="s">
        <v>6853</v>
      </c>
      <c r="L107" s="213" t="s">
        <v>6852</v>
      </c>
      <c r="M107" s="213" t="s">
        <v>6851</v>
      </c>
      <c r="N107" s="987"/>
      <c r="O107" s="987"/>
      <c r="P107" s="987"/>
      <c r="Q107" s="987"/>
      <c r="R107" s="987"/>
      <c r="S107" s="988" t="s">
        <v>4876</v>
      </c>
      <c r="T107" s="988" t="s">
        <v>4876</v>
      </c>
      <c r="U107" s="988" t="s">
        <v>4876</v>
      </c>
      <c r="V107" s="988" t="s">
        <v>4876</v>
      </c>
      <c r="W107" s="987"/>
      <c r="X107" s="987"/>
      <c r="Y107" s="987"/>
      <c r="Z107" s="213" t="s">
        <v>6850</v>
      </c>
    </row>
    <row r="108" spans="1:26" ht="21" customHeight="1" x14ac:dyDescent="0.25">
      <c r="A108" s="213" t="s">
        <v>7045</v>
      </c>
      <c r="B108" s="213" t="s">
        <v>7044</v>
      </c>
      <c r="C108" s="1010" t="s">
        <v>7044</v>
      </c>
      <c r="D108" s="213" t="s">
        <v>6860</v>
      </c>
      <c r="E108" s="213" t="s">
        <v>6859</v>
      </c>
      <c r="F108" s="1009" t="s">
        <v>7018</v>
      </c>
      <c r="G108" s="213"/>
      <c r="H108" s="213" t="s">
        <v>6856</v>
      </c>
      <c r="I108" s="213" t="s">
        <v>7043</v>
      </c>
      <c r="J108" s="213" t="s">
        <v>7042</v>
      </c>
      <c r="K108" s="213" t="s">
        <v>6853</v>
      </c>
      <c r="L108" s="213" t="s">
        <v>6852</v>
      </c>
      <c r="M108" s="213" t="s">
        <v>6851</v>
      </c>
      <c r="N108" s="987"/>
      <c r="O108" s="987"/>
      <c r="P108" s="987"/>
      <c r="Q108" s="987"/>
      <c r="R108" s="986" t="s">
        <v>4876</v>
      </c>
      <c r="S108" s="986" t="s">
        <v>4876</v>
      </c>
      <c r="T108" s="986" t="s">
        <v>4876</v>
      </c>
      <c r="U108" s="987"/>
      <c r="V108" s="987"/>
      <c r="W108" s="987"/>
      <c r="X108" s="987"/>
      <c r="Y108" s="987"/>
      <c r="Z108" s="213" t="s">
        <v>6850</v>
      </c>
    </row>
    <row r="109" spans="1:26" ht="21" customHeight="1" x14ac:dyDescent="0.25">
      <c r="A109" s="213" t="s">
        <v>7041</v>
      </c>
      <c r="B109" s="213" t="s">
        <v>7040</v>
      </c>
      <c r="C109" s="996" t="s">
        <v>7040</v>
      </c>
      <c r="D109" s="213" t="s">
        <v>6860</v>
      </c>
      <c r="E109" s="213" t="s">
        <v>6982</v>
      </c>
      <c r="F109" s="995" t="s">
        <v>6892</v>
      </c>
      <c r="G109" s="213"/>
      <c r="H109" s="213" t="s">
        <v>6856</v>
      </c>
      <c r="I109" s="213" t="s">
        <v>7036</v>
      </c>
      <c r="J109" s="213" t="s">
        <v>6914</v>
      </c>
      <c r="K109" s="213" t="s">
        <v>6853</v>
      </c>
      <c r="L109" s="213" t="s">
        <v>6852</v>
      </c>
      <c r="M109" s="213" t="s">
        <v>6851</v>
      </c>
      <c r="N109" s="988" t="s">
        <v>4876</v>
      </c>
      <c r="O109" s="988" t="s">
        <v>4876</v>
      </c>
      <c r="P109" s="988" t="s">
        <v>4876</v>
      </c>
      <c r="Q109" s="988" t="s">
        <v>4876</v>
      </c>
      <c r="R109" s="987"/>
      <c r="S109" s="987"/>
      <c r="T109" s="987"/>
      <c r="U109" s="987"/>
      <c r="V109" s="988" t="s">
        <v>4876</v>
      </c>
      <c r="W109" s="988" t="s">
        <v>4876</v>
      </c>
      <c r="X109" s="988" t="s">
        <v>4876</v>
      </c>
      <c r="Y109" s="988" t="s">
        <v>4876</v>
      </c>
      <c r="Z109" s="213" t="s">
        <v>6850</v>
      </c>
    </row>
    <row r="110" spans="1:26" ht="21" customHeight="1" x14ac:dyDescent="0.25">
      <c r="A110" s="213" t="s">
        <v>7039</v>
      </c>
      <c r="B110" s="213" t="s">
        <v>7038</v>
      </c>
      <c r="C110" s="1010" t="s">
        <v>7038</v>
      </c>
      <c r="D110" s="213" t="s">
        <v>6860</v>
      </c>
      <c r="E110" s="213" t="s">
        <v>7037</v>
      </c>
      <c r="F110" s="1009" t="s">
        <v>7018</v>
      </c>
      <c r="G110" s="213"/>
      <c r="H110" s="213" t="s">
        <v>6856</v>
      </c>
      <c r="I110" s="213" t="s">
        <v>7036</v>
      </c>
      <c r="J110" s="213" t="s">
        <v>6914</v>
      </c>
      <c r="K110" s="213" t="s">
        <v>6853</v>
      </c>
      <c r="L110" s="213" t="s">
        <v>6852</v>
      </c>
      <c r="M110" s="213" t="s">
        <v>6851</v>
      </c>
      <c r="N110" s="986" t="s">
        <v>4876</v>
      </c>
      <c r="O110" s="986" t="s">
        <v>4876</v>
      </c>
      <c r="P110" s="986" t="s">
        <v>4876</v>
      </c>
      <c r="Q110" s="986" t="s">
        <v>4876</v>
      </c>
      <c r="R110" s="987"/>
      <c r="S110" s="987"/>
      <c r="T110" s="987"/>
      <c r="U110" s="987"/>
      <c r="V110" s="986" t="s">
        <v>4876</v>
      </c>
      <c r="W110" s="986" t="s">
        <v>4876</v>
      </c>
      <c r="X110" s="986" t="s">
        <v>4876</v>
      </c>
      <c r="Y110" s="986" t="s">
        <v>4876</v>
      </c>
      <c r="Z110" s="213" t="s">
        <v>6850</v>
      </c>
    </row>
    <row r="111" spans="1:26" ht="21" customHeight="1" x14ac:dyDescent="0.25">
      <c r="A111" s="213" t="s">
        <v>7035</v>
      </c>
      <c r="B111" s="213" t="s">
        <v>7034</v>
      </c>
      <c r="C111" s="240" t="s">
        <v>7034</v>
      </c>
      <c r="D111" s="213" t="s">
        <v>521</v>
      </c>
      <c r="E111" s="213" t="s">
        <v>7002</v>
      </c>
      <c r="F111" s="239" t="s">
        <v>6858</v>
      </c>
      <c r="G111" s="213"/>
      <c r="H111" s="213" t="s">
        <v>6980</v>
      </c>
      <c r="I111" s="213" t="s">
        <v>7033</v>
      </c>
      <c r="J111" s="213" t="s">
        <v>6907</v>
      </c>
      <c r="K111" s="213" t="s">
        <v>6853</v>
      </c>
      <c r="L111" s="213" t="s">
        <v>6852</v>
      </c>
      <c r="M111" s="213" t="s">
        <v>6977</v>
      </c>
      <c r="N111" s="987" t="s">
        <v>4904</v>
      </c>
      <c r="O111" s="987" t="s">
        <v>4904</v>
      </c>
      <c r="P111" s="987" t="s">
        <v>4904</v>
      </c>
      <c r="Q111" s="987" t="s">
        <v>4904</v>
      </c>
      <c r="R111" s="987"/>
      <c r="S111" s="987"/>
      <c r="T111" s="987"/>
      <c r="U111" s="988" t="s">
        <v>4876</v>
      </c>
      <c r="V111" s="988" t="s">
        <v>4876</v>
      </c>
      <c r="W111" s="988" t="s">
        <v>4876</v>
      </c>
      <c r="X111" s="988" t="s">
        <v>4876</v>
      </c>
      <c r="Y111" s="988" t="s">
        <v>4876</v>
      </c>
      <c r="Z111" s="213" t="s">
        <v>6850</v>
      </c>
    </row>
    <row r="112" spans="1:26" ht="21" customHeight="1" x14ac:dyDescent="0.25">
      <c r="A112" s="213" t="s">
        <v>7032</v>
      </c>
      <c r="B112" s="213" t="s">
        <v>7031</v>
      </c>
      <c r="C112" s="240" t="s">
        <v>7031</v>
      </c>
      <c r="D112" s="213" t="s">
        <v>521</v>
      </c>
      <c r="E112" s="213" t="s">
        <v>6962</v>
      </c>
      <c r="F112" s="239" t="s">
        <v>6858</v>
      </c>
      <c r="G112" s="213"/>
      <c r="H112" s="213" t="s">
        <v>6856</v>
      </c>
      <c r="I112" s="213" t="s">
        <v>7030</v>
      </c>
      <c r="J112" s="213" t="s">
        <v>6978</v>
      </c>
      <c r="K112" s="213" t="s">
        <v>6853</v>
      </c>
      <c r="L112" s="213" t="s">
        <v>6852</v>
      </c>
      <c r="M112" s="213" t="s">
        <v>6851</v>
      </c>
      <c r="N112" s="987"/>
      <c r="O112" s="987"/>
      <c r="P112" s="987"/>
      <c r="Q112" s="987"/>
      <c r="R112" s="987"/>
      <c r="S112" s="987"/>
      <c r="T112" s="987"/>
      <c r="U112" s="987"/>
      <c r="V112" s="986" t="s">
        <v>4876</v>
      </c>
      <c r="W112" s="986" t="s">
        <v>4876</v>
      </c>
      <c r="X112" s="986" t="s">
        <v>4876</v>
      </c>
      <c r="Y112" s="987"/>
      <c r="Z112" s="213" t="s">
        <v>6850</v>
      </c>
    </row>
    <row r="113" spans="1:26" ht="21" customHeight="1" x14ac:dyDescent="0.25">
      <c r="A113" s="213" t="s">
        <v>7029</v>
      </c>
      <c r="B113" s="213" t="s">
        <v>7028</v>
      </c>
      <c r="C113" s="240" t="s">
        <v>7028</v>
      </c>
      <c r="D113" s="213" t="s">
        <v>521</v>
      </c>
      <c r="E113" s="213" t="s">
        <v>6962</v>
      </c>
      <c r="F113" s="239" t="s">
        <v>6858</v>
      </c>
      <c r="G113" s="213"/>
      <c r="H113" s="213" t="s">
        <v>6856</v>
      </c>
      <c r="I113" s="213" t="s">
        <v>7027</v>
      </c>
      <c r="J113" s="213" t="s">
        <v>7026</v>
      </c>
      <c r="K113" s="213" t="s">
        <v>6853</v>
      </c>
      <c r="L113" s="213" t="s">
        <v>6852</v>
      </c>
      <c r="M113" s="213" t="s">
        <v>6851</v>
      </c>
      <c r="N113" s="987"/>
      <c r="O113" s="987"/>
      <c r="P113" s="987"/>
      <c r="Q113" s="987"/>
      <c r="R113" s="987"/>
      <c r="S113" s="987"/>
      <c r="T113" s="988" t="s">
        <v>4876</v>
      </c>
      <c r="U113" s="988" t="s">
        <v>4876</v>
      </c>
      <c r="V113" s="987"/>
      <c r="W113" s="987"/>
      <c r="X113" s="987"/>
      <c r="Y113" s="987"/>
      <c r="Z113" s="213" t="s">
        <v>6850</v>
      </c>
    </row>
    <row r="114" spans="1:26" ht="21" customHeight="1" x14ac:dyDescent="0.25">
      <c r="A114" s="213" t="s">
        <v>7025</v>
      </c>
      <c r="B114" s="213" t="s">
        <v>7024</v>
      </c>
      <c r="C114" s="240" t="s">
        <v>7024</v>
      </c>
      <c r="D114" s="213" t="s">
        <v>521</v>
      </c>
      <c r="E114" s="213" t="s">
        <v>6962</v>
      </c>
      <c r="F114" s="239" t="s">
        <v>6858</v>
      </c>
      <c r="G114" s="213"/>
      <c r="H114" s="213" t="s">
        <v>6980</v>
      </c>
      <c r="I114" s="213" t="s">
        <v>7023</v>
      </c>
      <c r="J114" s="213" t="s">
        <v>6997</v>
      </c>
      <c r="K114" s="213" t="s">
        <v>6853</v>
      </c>
      <c r="L114" s="213" t="s">
        <v>6852</v>
      </c>
      <c r="M114" s="213" t="s">
        <v>6977</v>
      </c>
      <c r="N114" s="987" t="s">
        <v>4904</v>
      </c>
      <c r="O114" s="987" t="s">
        <v>4904</v>
      </c>
      <c r="P114" s="987" t="s">
        <v>4904</v>
      </c>
      <c r="Q114" s="987" t="s">
        <v>4904</v>
      </c>
      <c r="R114" s="987"/>
      <c r="S114" s="987"/>
      <c r="T114" s="987"/>
      <c r="U114" s="987"/>
      <c r="V114" s="987"/>
      <c r="W114" s="986" t="s">
        <v>4876</v>
      </c>
      <c r="X114" s="986" t="s">
        <v>4876</v>
      </c>
      <c r="Y114" s="986" t="s">
        <v>4876</v>
      </c>
      <c r="Z114" s="213" t="s">
        <v>6850</v>
      </c>
    </row>
    <row r="115" spans="1:26" ht="21" customHeight="1" x14ac:dyDescent="0.25">
      <c r="A115" s="213" t="s">
        <v>7022</v>
      </c>
      <c r="B115" s="213" t="s">
        <v>7021</v>
      </c>
      <c r="C115" s="240" t="s">
        <v>7021</v>
      </c>
      <c r="D115" s="213" t="s">
        <v>521</v>
      </c>
      <c r="E115" s="213" t="s">
        <v>6962</v>
      </c>
      <c r="F115" s="239" t="s">
        <v>6858</v>
      </c>
      <c r="G115" s="213"/>
      <c r="H115" s="213" t="s">
        <v>6856</v>
      </c>
      <c r="I115" s="213" t="s">
        <v>6960</v>
      </c>
      <c r="J115" s="213" t="s">
        <v>7007</v>
      </c>
      <c r="K115" s="213" t="s">
        <v>6853</v>
      </c>
      <c r="L115" s="213" t="s">
        <v>6852</v>
      </c>
      <c r="M115" s="213" t="s">
        <v>6851</v>
      </c>
      <c r="N115" s="987"/>
      <c r="O115" s="987"/>
      <c r="P115" s="987"/>
      <c r="Q115" s="987"/>
      <c r="R115" s="987"/>
      <c r="S115" s="987"/>
      <c r="T115" s="987"/>
      <c r="U115" s="988" t="s">
        <v>4876</v>
      </c>
      <c r="V115" s="988" t="s">
        <v>4876</v>
      </c>
      <c r="W115" s="988" t="s">
        <v>4876</v>
      </c>
      <c r="X115" s="987"/>
      <c r="Y115" s="987"/>
      <c r="Z115" s="213" t="s">
        <v>6850</v>
      </c>
    </row>
    <row r="116" spans="1:26" ht="21" customHeight="1" x14ac:dyDescent="0.25">
      <c r="A116" s="213" t="s">
        <v>7020</v>
      </c>
      <c r="B116" s="213" t="s">
        <v>7019</v>
      </c>
      <c r="C116" s="1010" t="s">
        <v>7019</v>
      </c>
      <c r="D116" s="213" t="s">
        <v>6894</v>
      </c>
      <c r="E116" s="213" t="s">
        <v>6859</v>
      </c>
      <c r="F116" s="1009" t="s">
        <v>7018</v>
      </c>
      <c r="G116" s="213"/>
      <c r="H116" s="213" t="s">
        <v>6890</v>
      </c>
      <c r="I116" s="213" t="s">
        <v>6889</v>
      </c>
      <c r="J116" s="213" t="s">
        <v>6854</v>
      </c>
      <c r="K116" s="213" t="s">
        <v>6853</v>
      </c>
      <c r="L116" s="213" t="s">
        <v>6852</v>
      </c>
      <c r="M116" s="213" t="s">
        <v>6888</v>
      </c>
      <c r="N116" s="987" t="s">
        <v>4904</v>
      </c>
      <c r="O116" s="987" t="s">
        <v>4904</v>
      </c>
      <c r="P116" s="987" t="s">
        <v>4904</v>
      </c>
      <c r="Q116" s="987" t="s">
        <v>4904</v>
      </c>
      <c r="R116" s="987" t="s">
        <v>4904</v>
      </c>
      <c r="S116" s="987" t="s">
        <v>4904</v>
      </c>
      <c r="T116" s="987" t="s">
        <v>4904</v>
      </c>
      <c r="U116" s="987" t="s">
        <v>4904</v>
      </c>
      <c r="V116" s="987" t="s">
        <v>4904</v>
      </c>
      <c r="W116" s="987" t="s">
        <v>4904</v>
      </c>
      <c r="X116" s="987" t="s">
        <v>4904</v>
      </c>
      <c r="Y116" s="987" t="s">
        <v>4904</v>
      </c>
      <c r="Z116" s="213" t="s">
        <v>6850</v>
      </c>
    </row>
    <row r="117" spans="1:26" ht="21" customHeight="1" x14ac:dyDescent="0.25">
      <c r="A117" s="213" t="s">
        <v>7017</v>
      </c>
      <c r="B117" s="213" t="s">
        <v>7016</v>
      </c>
      <c r="C117" s="998" t="s">
        <v>7016</v>
      </c>
      <c r="D117" s="213" t="s">
        <v>6894</v>
      </c>
      <c r="E117" s="213" t="s">
        <v>6897</v>
      </c>
      <c r="F117" s="997" t="s">
        <v>7015</v>
      </c>
      <c r="G117" s="213"/>
      <c r="H117" s="213" t="s">
        <v>6890</v>
      </c>
      <c r="I117" s="213" t="s">
        <v>6889</v>
      </c>
      <c r="J117" s="213" t="s">
        <v>6854</v>
      </c>
      <c r="K117" s="213" t="s">
        <v>6853</v>
      </c>
      <c r="L117" s="213" t="s">
        <v>6852</v>
      </c>
      <c r="M117" s="213" t="s">
        <v>6888</v>
      </c>
      <c r="N117" s="987" t="s">
        <v>4904</v>
      </c>
      <c r="O117" s="987" t="s">
        <v>4904</v>
      </c>
      <c r="P117" s="987" t="s">
        <v>4904</v>
      </c>
      <c r="Q117" s="987" t="s">
        <v>4904</v>
      </c>
      <c r="R117" s="987" t="s">
        <v>4904</v>
      </c>
      <c r="S117" s="987" t="s">
        <v>4904</v>
      </c>
      <c r="T117" s="987" t="s">
        <v>4904</v>
      </c>
      <c r="U117" s="987" t="s">
        <v>4904</v>
      </c>
      <c r="V117" s="987" t="s">
        <v>4904</v>
      </c>
      <c r="W117" s="987" t="s">
        <v>4904</v>
      </c>
      <c r="X117" s="987" t="s">
        <v>4904</v>
      </c>
      <c r="Y117" s="987" t="s">
        <v>4904</v>
      </c>
      <c r="Z117" s="213" t="s">
        <v>6850</v>
      </c>
    </row>
    <row r="118" spans="1:26" ht="21" customHeight="1" x14ac:dyDescent="0.25">
      <c r="A118" s="213" t="s">
        <v>7014</v>
      </c>
      <c r="B118" s="213" t="s">
        <v>7013</v>
      </c>
      <c r="C118" s="990" t="s">
        <v>7013</v>
      </c>
      <c r="D118" s="213" t="s">
        <v>6867</v>
      </c>
      <c r="E118" s="213" t="s">
        <v>6893</v>
      </c>
      <c r="F118" s="989" t="s">
        <v>6865</v>
      </c>
      <c r="G118" s="213" t="s">
        <v>6870</v>
      </c>
      <c r="H118" s="213" t="s">
        <v>6856</v>
      </c>
      <c r="I118" s="213" t="s">
        <v>6864</v>
      </c>
      <c r="J118" s="213" t="s">
        <v>7007</v>
      </c>
      <c r="K118" s="213" t="s">
        <v>6906</v>
      </c>
      <c r="L118" s="213" t="s">
        <v>6905</v>
      </c>
      <c r="M118" s="213" t="s">
        <v>6851</v>
      </c>
      <c r="N118" s="987"/>
      <c r="O118" s="987"/>
      <c r="P118" s="987"/>
      <c r="Q118" s="987"/>
      <c r="R118" s="987"/>
      <c r="S118" s="986" t="s">
        <v>4876</v>
      </c>
      <c r="T118" s="986" t="s">
        <v>4876</v>
      </c>
      <c r="U118" s="986" t="s">
        <v>4876</v>
      </c>
      <c r="V118" s="986" t="s">
        <v>4876</v>
      </c>
      <c r="W118" s="986" t="s">
        <v>4876</v>
      </c>
      <c r="X118" s="987"/>
      <c r="Y118" s="987"/>
      <c r="Z118" s="213" t="s">
        <v>6850</v>
      </c>
    </row>
    <row r="119" spans="1:26" ht="21" customHeight="1" x14ac:dyDescent="0.25">
      <c r="A119" s="213" t="s">
        <v>7012</v>
      </c>
      <c r="B119" s="213" t="s">
        <v>7011</v>
      </c>
      <c r="C119" s="992" t="s">
        <v>7011</v>
      </c>
      <c r="D119" s="213" t="s">
        <v>6867</v>
      </c>
      <c r="E119" s="213" t="s">
        <v>7010</v>
      </c>
      <c r="F119" s="991" t="s">
        <v>6875</v>
      </c>
      <c r="G119" s="213" t="s">
        <v>6870</v>
      </c>
      <c r="H119" s="213" t="s">
        <v>6856</v>
      </c>
      <c r="I119" s="213" t="s">
        <v>6864</v>
      </c>
      <c r="J119" s="213" t="s">
        <v>7007</v>
      </c>
      <c r="K119" s="213" t="s">
        <v>6906</v>
      </c>
      <c r="L119" s="213" t="s">
        <v>6905</v>
      </c>
      <c r="M119" s="213" t="s">
        <v>6851</v>
      </c>
      <c r="N119" s="987"/>
      <c r="O119" s="987"/>
      <c r="P119" s="987"/>
      <c r="Q119" s="987"/>
      <c r="R119" s="987"/>
      <c r="S119" s="988" t="s">
        <v>4876</v>
      </c>
      <c r="T119" s="988" t="s">
        <v>4876</v>
      </c>
      <c r="U119" s="988" t="s">
        <v>4876</v>
      </c>
      <c r="V119" s="988" t="s">
        <v>4876</v>
      </c>
      <c r="W119" s="988" t="s">
        <v>4876</v>
      </c>
      <c r="X119" s="987"/>
      <c r="Y119" s="987"/>
      <c r="Z119" s="213" t="s">
        <v>6850</v>
      </c>
    </row>
    <row r="120" spans="1:26" ht="21" customHeight="1" x14ac:dyDescent="0.25">
      <c r="A120" s="213" t="s">
        <v>7009</v>
      </c>
      <c r="B120" s="213" t="s">
        <v>7008</v>
      </c>
      <c r="C120" s="994" t="s">
        <v>7008</v>
      </c>
      <c r="D120" s="213" t="s">
        <v>6867</v>
      </c>
      <c r="E120" s="213" t="s">
        <v>6876</v>
      </c>
      <c r="F120" s="993" t="s">
        <v>6928</v>
      </c>
      <c r="G120" s="213" t="s">
        <v>6870</v>
      </c>
      <c r="H120" s="213" t="s">
        <v>6856</v>
      </c>
      <c r="I120" s="213" t="s">
        <v>6864</v>
      </c>
      <c r="J120" s="213" t="s">
        <v>7007</v>
      </c>
      <c r="K120" s="213" t="s">
        <v>6906</v>
      </c>
      <c r="L120" s="213" t="s">
        <v>6905</v>
      </c>
      <c r="M120" s="213" t="s">
        <v>6851</v>
      </c>
      <c r="N120" s="987"/>
      <c r="O120" s="987"/>
      <c r="P120" s="987"/>
      <c r="Q120" s="987"/>
      <c r="R120" s="987"/>
      <c r="S120" s="986" t="s">
        <v>4876</v>
      </c>
      <c r="T120" s="986" t="s">
        <v>4876</v>
      </c>
      <c r="U120" s="986" t="s">
        <v>4876</v>
      </c>
      <c r="V120" s="986" t="s">
        <v>4876</v>
      </c>
      <c r="W120" s="986" t="s">
        <v>4876</v>
      </c>
      <c r="X120" s="987"/>
      <c r="Y120" s="987"/>
      <c r="Z120" s="213" t="s">
        <v>6850</v>
      </c>
    </row>
    <row r="121" spans="1:26" ht="21" customHeight="1" x14ac:dyDescent="0.25">
      <c r="A121" s="213" t="s">
        <v>7006</v>
      </c>
      <c r="B121" s="213" t="s">
        <v>7005</v>
      </c>
      <c r="C121" s="240" t="s">
        <v>7005</v>
      </c>
      <c r="D121" s="213" t="s">
        <v>6894</v>
      </c>
      <c r="E121" s="213" t="s">
        <v>6859</v>
      </c>
      <c r="F121" s="239" t="s">
        <v>6858</v>
      </c>
      <c r="G121" s="213"/>
      <c r="H121" s="213" t="s">
        <v>6890</v>
      </c>
      <c r="I121" s="213" t="s">
        <v>6889</v>
      </c>
      <c r="J121" s="213" t="s">
        <v>6854</v>
      </c>
      <c r="K121" s="213" t="s">
        <v>6853</v>
      </c>
      <c r="L121" s="213" t="s">
        <v>6852</v>
      </c>
      <c r="M121" s="213" t="s">
        <v>6888</v>
      </c>
      <c r="N121" s="987" t="s">
        <v>4904</v>
      </c>
      <c r="O121" s="987" t="s">
        <v>4904</v>
      </c>
      <c r="P121" s="987" t="s">
        <v>4904</v>
      </c>
      <c r="Q121" s="987" t="s">
        <v>4904</v>
      </c>
      <c r="R121" s="987" t="s">
        <v>4904</v>
      </c>
      <c r="S121" s="987" t="s">
        <v>4904</v>
      </c>
      <c r="T121" s="987" t="s">
        <v>4904</v>
      </c>
      <c r="U121" s="987" t="s">
        <v>4904</v>
      </c>
      <c r="V121" s="987" t="s">
        <v>4904</v>
      </c>
      <c r="W121" s="987" t="s">
        <v>4904</v>
      </c>
      <c r="X121" s="987" t="s">
        <v>4904</v>
      </c>
      <c r="Y121" s="987" t="s">
        <v>4904</v>
      </c>
      <c r="Z121" s="213" t="s">
        <v>6850</v>
      </c>
    </row>
    <row r="122" spans="1:26" ht="21" customHeight="1" x14ac:dyDescent="0.25">
      <c r="A122" s="213" t="s">
        <v>7004</v>
      </c>
      <c r="B122" s="213" t="s">
        <v>7003</v>
      </c>
      <c r="C122" s="240" t="s">
        <v>7003</v>
      </c>
      <c r="D122" s="213" t="s">
        <v>521</v>
      </c>
      <c r="E122" s="213" t="s">
        <v>7002</v>
      </c>
      <c r="F122" s="239" t="s">
        <v>6858</v>
      </c>
      <c r="G122" s="213"/>
      <c r="H122" s="213" t="s">
        <v>6856</v>
      </c>
      <c r="I122" s="213" t="s">
        <v>7001</v>
      </c>
      <c r="J122" s="213" t="s">
        <v>7000</v>
      </c>
      <c r="K122" s="213" t="s">
        <v>6853</v>
      </c>
      <c r="L122" s="213" t="s">
        <v>6852</v>
      </c>
      <c r="M122" s="213" t="s">
        <v>6851</v>
      </c>
      <c r="N122" s="986" t="s">
        <v>4876</v>
      </c>
      <c r="O122" s="986" t="s">
        <v>4876</v>
      </c>
      <c r="P122" s="986" t="s">
        <v>4876</v>
      </c>
      <c r="Q122" s="986" t="s">
        <v>4876</v>
      </c>
      <c r="R122" s="986" t="s">
        <v>4876</v>
      </c>
      <c r="S122" s="987"/>
      <c r="T122" s="987"/>
      <c r="U122" s="987"/>
      <c r="V122" s="987"/>
      <c r="W122" s="987"/>
      <c r="X122" s="986" t="s">
        <v>4876</v>
      </c>
      <c r="Y122" s="986" t="s">
        <v>4876</v>
      </c>
      <c r="Z122" s="213" t="s">
        <v>6850</v>
      </c>
    </row>
    <row r="123" spans="1:26" ht="21" customHeight="1" x14ac:dyDescent="0.25">
      <c r="A123" s="213" t="s">
        <v>6999</v>
      </c>
      <c r="B123" s="213" t="s">
        <v>6998</v>
      </c>
      <c r="C123" s="240" t="s">
        <v>6998</v>
      </c>
      <c r="D123" s="213" t="s">
        <v>521</v>
      </c>
      <c r="E123" s="213" t="s">
        <v>6962</v>
      </c>
      <c r="F123" s="239" t="s">
        <v>6858</v>
      </c>
      <c r="G123" s="213"/>
      <c r="H123" s="213" t="s">
        <v>6980</v>
      </c>
      <c r="I123" s="213" t="s">
        <v>6979</v>
      </c>
      <c r="J123" s="213" t="s">
        <v>6997</v>
      </c>
      <c r="K123" s="213" t="s">
        <v>6853</v>
      </c>
      <c r="L123" s="213" t="s">
        <v>6852</v>
      </c>
      <c r="M123" s="213" t="s">
        <v>6977</v>
      </c>
      <c r="N123" s="987" t="s">
        <v>4904</v>
      </c>
      <c r="O123" s="987" t="s">
        <v>4904</v>
      </c>
      <c r="P123" s="987" t="s">
        <v>4904</v>
      </c>
      <c r="Q123" s="987" t="s">
        <v>4904</v>
      </c>
      <c r="R123" s="987" t="s">
        <v>4904</v>
      </c>
      <c r="S123" s="987" t="s">
        <v>4904</v>
      </c>
      <c r="T123" s="987" t="s">
        <v>4904</v>
      </c>
      <c r="U123" s="987" t="s">
        <v>4904</v>
      </c>
      <c r="V123" s="988" t="s">
        <v>4876</v>
      </c>
      <c r="W123" s="988" t="s">
        <v>4876</v>
      </c>
      <c r="X123" s="988" t="s">
        <v>4876</v>
      </c>
      <c r="Y123" s="988" t="s">
        <v>4876</v>
      </c>
      <c r="Z123" s="213" t="s">
        <v>6850</v>
      </c>
    </row>
    <row r="124" spans="1:26" ht="21" customHeight="1" x14ac:dyDescent="0.25">
      <c r="A124" s="213" t="s">
        <v>6996</v>
      </c>
      <c r="B124" s="213" t="s">
        <v>6995</v>
      </c>
      <c r="C124" s="240" t="s">
        <v>6995</v>
      </c>
      <c r="D124" s="213" t="s">
        <v>6860</v>
      </c>
      <c r="E124" s="213" t="s">
        <v>6897</v>
      </c>
      <c r="F124" s="239" t="s">
        <v>6858</v>
      </c>
      <c r="G124" s="213" t="s">
        <v>6857</v>
      </c>
      <c r="H124" s="213" t="s">
        <v>6980</v>
      </c>
      <c r="I124" s="213" t="s">
        <v>6919</v>
      </c>
      <c r="J124" s="213" t="s">
        <v>6994</v>
      </c>
      <c r="K124" s="213" t="s">
        <v>6906</v>
      </c>
      <c r="L124" s="213" t="s">
        <v>6905</v>
      </c>
      <c r="M124" s="213" t="s">
        <v>6977</v>
      </c>
      <c r="N124" s="987" t="s">
        <v>4904</v>
      </c>
      <c r="O124" s="987" t="s">
        <v>4904</v>
      </c>
      <c r="P124" s="987" t="s">
        <v>4904</v>
      </c>
      <c r="Q124" s="987" t="s">
        <v>4904</v>
      </c>
      <c r="R124" s="986" t="s">
        <v>4876</v>
      </c>
      <c r="S124" s="986" t="s">
        <v>4876</v>
      </c>
      <c r="T124" s="986" t="s">
        <v>4876</v>
      </c>
      <c r="U124" s="986" t="s">
        <v>4876</v>
      </c>
      <c r="V124" s="986" t="s">
        <v>4876</v>
      </c>
      <c r="W124" s="986" t="s">
        <v>4876</v>
      </c>
      <c r="X124" s="987" t="s">
        <v>4904</v>
      </c>
      <c r="Y124" s="987" t="s">
        <v>4904</v>
      </c>
      <c r="Z124" s="213" t="s">
        <v>6850</v>
      </c>
    </row>
    <row r="125" spans="1:26" ht="21" customHeight="1" x14ac:dyDescent="0.25">
      <c r="A125" s="213" t="s">
        <v>6993</v>
      </c>
      <c r="B125" s="213" t="s">
        <v>6992</v>
      </c>
      <c r="C125" s="240" t="s">
        <v>6992</v>
      </c>
      <c r="D125" s="213" t="s">
        <v>521</v>
      </c>
      <c r="E125" s="213" t="s">
        <v>6991</v>
      </c>
      <c r="F125" s="239" t="s">
        <v>6858</v>
      </c>
      <c r="G125" s="213"/>
      <c r="H125" s="213" t="s">
        <v>6980</v>
      </c>
      <c r="I125" s="213" t="s">
        <v>6979</v>
      </c>
      <c r="J125" s="213" t="s">
        <v>6990</v>
      </c>
      <c r="K125" s="213" t="s">
        <v>6853</v>
      </c>
      <c r="L125" s="213" t="s">
        <v>6852</v>
      </c>
      <c r="M125" s="213" t="s">
        <v>6977</v>
      </c>
      <c r="N125" s="987" t="s">
        <v>4904</v>
      </c>
      <c r="O125" s="987" t="s">
        <v>4904</v>
      </c>
      <c r="P125" s="987" t="s">
        <v>4904</v>
      </c>
      <c r="Q125" s="987" t="s">
        <v>4904</v>
      </c>
      <c r="R125" s="987" t="s">
        <v>4904</v>
      </c>
      <c r="S125" s="987" t="s">
        <v>4904</v>
      </c>
      <c r="T125" s="987" t="s">
        <v>4904</v>
      </c>
      <c r="U125" s="987" t="s">
        <v>4904</v>
      </c>
      <c r="V125" s="988" t="s">
        <v>4876</v>
      </c>
      <c r="W125" s="988" t="s">
        <v>4876</v>
      </c>
      <c r="X125" s="988" t="s">
        <v>4876</v>
      </c>
      <c r="Y125" s="988" t="s">
        <v>4876</v>
      </c>
      <c r="Z125" s="213" t="s">
        <v>6850</v>
      </c>
    </row>
    <row r="126" spans="1:26" ht="21" customHeight="1" x14ac:dyDescent="0.25">
      <c r="A126" s="213" t="s">
        <v>6989</v>
      </c>
      <c r="B126" s="213" t="s">
        <v>6988</v>
      </c>
      <c r="C126" s="1002" t="s">
        <v>6988</v>
      </c>
      <c r="D126" s="213" t="s">
        <v>521</v>
      </c>
      <c r="E126" s="213" t="s">
        <v>6962</v>
      </c>
      <c r="F126" s="1001" t="s">
        <v>6916</v>
      </c>
      <c r="G126" s="213"/>
      <c r="H126" s="213" t="s">
        <v>6980</v>
      </c>
      <c r="I126" s="213" t="s">
        <v>6979</v>
      </c>
      <c r="J126" s="213" t="s">
        <v>6987</v>
      </c>
      <c r="K126" s="213" t="s">
        <v>6853</v>
      </c>
      <c r="L126" s="213" t="s">
        <v>6852</v>
      </c>
      <c r="M126" s="213" t="s">
        <v>6977</v>
      </c>
      <c r="N126" s="987" t="s">
        <v>4904</v>
      </c>
      <c r="O126" s="987" t="s">
        <v>4904</v>
      </c>
      <c r="P126" s="987" t="s">
        <v>4904</v>
      </c>
      <c r="Q126" s="987" t="s">
        <v>4904</v>
      </c>
      <c r="R126" s="987" t="s">
        <v>4904</v>
      </c>
      <c r="S126" s="987" t="s">
        <v>4904</v>
      </c>
      <c r="T126" s="987" t="s">
        <v>4904</v>
      </c>
      <c r="U126" s="987" t="s">
        <v>4904</v>
      </c>
      <c r="V126" s="986" t="s">
        <v>4876</v>
      </c>
      <c r="W126" s="986" t="s">
        <v>4876</v>
      </c>
      <c r="X126" s="986" t="s">
        <v>4876</v>
      </c>
      <c r="Y126" s="986" t="s">
        <v>4876</v>
      </c>
      <c r="Z126" s="213" t="s">
        <v>6850</v>
      </c>
    </row>
    <row r="127" spans="1:26" ht="21" customHeight="1" x14ac:dyDescent="0.25">
      <c r="A127" s="213" t="s">
        <v>6986</v>
      </c>
      <c r="B127" s="213" t="s">
        <v>6985</v>
      </c>
      <c r="C127" s="240" t="s">
        <v>6985</v>
      </c>
      <c r="D127" s="213" t="s">
        <v>521</v>
      </c>
      <c r="E127" s="213" t="s">
        <v>6962</v>
      </c>
      <c r="F127" s="239" t="s">
        <v>6858</v>
      </c>
      <c r="G127" s="213"/>
      <c r="H127" s="213" t="s">
        <v>6856</v>
      </c>
      <c r="I127" s="213" t="s">
        <v>6960</v>
      </c>
      <c r="J127" s="213" t="s">
        <v>6978</v>
      </c>
      <c r="K127" s="213" t="s">
        <v>6853</v>
      </c>
      <c r="L127" s="213" t="s">
        <v>6852</v>
      </c>
      <c r="M127" s="213" t="s">
        <v>6851</v>
      </c>
      <c r="N127" s="987"/>
      <c r="O127" s="987"/>
      <c r="P127" s="987"/>
      <c r="Q127" s="987"/>
      <c r="R127" s="987"/>
      <c r="S127" s="987"/>
      <c r="T127" s="987"/>
      <c r="U127" s="988" t="s">
        <v>4876</v>
      </c>
      <c r="V127" s="988" t="s">
        <v>4876</v>
      </c>
      <c r="W127" s="988" t="s">
        <v>4876</v>
      </c>
      <c r="X127" s="987"/>
      <c r="Y127" s="987"/>
      <c r="Z127" s="213" t="s">
        <v>6850</v>
      </c>
    </row>
    <row r="128" spans="1:26" ht="21" customHeight="1" x14ac:dyDescent="0.25">
      <c r="A128" s="213" t="s">
        <v>6984</v>
      </c>
      <c r="B128" s="213" t="s">
        <v>6983</v>
      </c>
      <c r="C128" s="1008" t="s">
        <v>6983</v>
      </c>
      <c r="D128" s="213" t="s">
        <v>6867</v>
      </c>
      <c r="E128" s="213" t="s">
        <v>6982</v>
      </c>
      <c r="F128" s="1007" t="s">
        <v>6981</v>
      </c>
      <c r="G128" s="213" t="s">
        <v>6870</v>
      </c>
      <c r="H128" s="213" t="s">
        <v>6980</v>
      </c>
      <c r="I128" s="213" t="s">
        <v>6979</v>
      </c>
      <c r="J128" s="213" t="s">
        <v>6978</v>
      </c>
      <c r="K128" s="213" t="s">
        <v>6906</v>
      </c>
      <c r="L128" s="213" t="s">
        <v>6905</v>
      </c>
      <c r="M128" s="213" t="s">
        <v>6977</v>
      </c>
      <c r="N128" s="987" t="s">
        <v>4904</v>
      </c>
      <c r="O128" s="987" t="s">
        <v>4904</v>
      </c>
      <c r="P128" s="987" t="s">
        <v>4904</v>
      </c>
      <c r="Q128" s="987"/>
      <c r="R128" s="987"/>
      <c r="S128" s="987"/>
      <c r="T128" s="987"/>
      <c r="U128" s="987"/>
      <c r="V128" s="986" t="s">
        <v>4876</v>
      </c>
      <c r="W128" s="986" t="s">
        <v>4876</v>
      </c>
      <c r="X128" s="986" t="s">
        <v>4876</v>
      </c>
      <c r="Y128" s="986" t="s">
        <v>4876</v>
      </c>
      <c r="Z128" s="213" t="s">
        <v>6850</v>
      </c>
    </row>
    <row r="129" spans="1:26" ht="21" customHeight="1" x14ac:dyDescent="0.25">
      <c r="A129" s="213" t="s">
        <v>6976</v>
      </c>
      <c r="B129" s="213" t="s">
        <v>6975</v>
      </c>
      <c r="C129" s="1004" t="s">
        <v>6975</v>
      </c>
      <c r="D129" s="213" t="s">
        <v>521</v>
      </c>
      <c r="E129" s="213" t="s">
        <v>6974</v>
      </c>
      <c r="F129" s="1003" t="s">
        <v>6961</v>
      </c>
      <c r="G129" s="213"/>
      <c r="H129" s="213" t="s">
        <v>6856</v>
      </c>
      <c r="I129" s="213" t="s">
        <v>6973</v>
      </c>
      <c r="J129" s="213" t="s">
        <v>6959</v>
      </c>
      <c r="K129" s="213" t="s">
        <v>6853</v>
      </c>
      <c r="L129" s="213" t="s">
        <v>6852</v>
      </c>
      <c r="M129" s="213" t="s">
        <v>6851</v>
      </c>
      <c r="N129" s="987"/>
      <c r="O129" s="987"/>
      <c r="P129" s="987"/>
      <c r="Q129" s="987"/>
      <c r="R129" s="987"/>
      <c r="S129" s="987"/>
      <c r="T129" s="988" t="s">
        <v>4876</v>
      </c>
      <c r="U129" s="988" t="s">
        <v>4876</v>
      </c>
      <c r="V129" s="988" t="s">
        <v>4876</v>
      </c>
      <c r="W129" s="988" t="s">
        <v>4876</v>
      </c>
      <c r="X129" s="987"/>
      <c r="Y129" s="987"/>
      <c r="Z129" s="213" t="s">
        <v>6850</v>
      </c>
    </row>
    <row r="130" spans="1:26" ht="21" customHeight="1" x14ac:dyDescent="0.25">
      <c r="A130" s="213" t="s">
        <v>6972</v>
      </c>
      <c r="B130" s="213" t="s">
        <v>6971</v>
      </c>
      <c r="C130" s="1006" t="s">
        <v>6971</v>
      </c>
      <c r="D130" s="213" t="s">
        <v>6860</v>
      </c>
      <c r="E130" s="213" t="s">
        <v>6866</v>
      </c>
      <c r="F130" s="1005" t="s">
        <v>6970</v>
      </c>
      <c r="G130" s="213" t="s">
        <v>6901</v>
      </c>
      <c r="H130" s="213" t="s">
        <v>6856</v>
      </c>
      <c r="I130" s="213" t="s">
        <v>6969</v>
      </c>
      <c r="J130" s="213" t="s">
        <v>6968</v>
      </c>
      <c r="K130" s="213" t="s">
        <v>6906</v>
      </c>
      <c r="L130" s="213" t="s">
        <v>6905</v>
      </c>
      <c r="M130" s="213" t="s">
        <v>6851</v>
      </c>
      <c r="N130" s="986" t="s">
        <v>4876</v>
      </c>
      <c r="O130" s="986" t="s">
        <v>4876</v>
      </c>
      <c r="P130" s="986" t="s">
        <v>4876</v>
      </c>
      <c r="Q130" s="986" t="s">
        <v>4876</v>
      </c>
      <c r="R130" s="986" t="s">
        <v>4876</v>
      </c>
      <c r="S130" s="986" t="s">
        <v>4876</v>
      </c>
      <c r="T130" s="987"/>
      <c r="U130" s="987"/>
      <c r="V130" s="986" t="s">
        <v>4876</v>
      </c>
      <c r="W130" s="986" t="s">
        <v>4876</v>
      </c>
      <c r="X130" s="986" t="s">
        <v>4876</v>
      </c>
      <c r="Y130" s="986" t="s">
        <v>4876</v>
      </c>
      <c r="Z130" s="213" t="s">
        <v>6850</v>
      </c>
    </row>
    <row r="131" spans="1:26" ht="21" customHeight="1" x14ac:dyDescent="0.25">
      <c r="A131" s="213" t="s">
        <v>6967</v>
      </c>
      <c r="B131" s="213" t="s">
        <v>6966</v>
      </c>
      <c r="C131" s="240" t="s">
        <v>6966</v>
      </c>
      <c r="D131" s="213" t="s">
        <v>521</v>
      </c>
      <c r="E131" s="213" t="s">
        <v>6962</v>
      </c>
      <c r="F131" s="239" t="s">
        <v>6858</v>
      </c>
      <c r="G131" s="213"/>
      <c r="H131" s="213" t="s">
        <v>6856</v>
      </c>
      <c r="I131" s="213" t="s">
        <v>6960</v>
      </c>
      <c r="J131" s="213" t="s">
        <v>6965</v>
      </c>
      <c r="K131" s="213" t="s">
        <v>6853</v>
      </c>
      <c r="L131" s="213" t="s">
        <v>6852</v>
      </c>
      <c r="M131" s="213" t="s">
        <v>6851</v>
      </c>
      <c r="N131" s="987"/>
      <c r="O131" s="987"/>
      <c r="P131" s="987"/>
      <c r="Q131" s="987"/>
      <c r="R131" s="987"/>
      <c r="S131" s="987"/>
      <c r="T131" s="987"/>
      <c r="U131" s="988" t="s">
        <v>4876</v>
      </c>
      <c r="V131" s="988" t="s">
        <v>4876</v>
      </c>
      <c r="W131" s="988" t="s">
        <v>4876</v>
      </c>
      <c r="X131" s="987"/>
      <c r="Y131" s="987"/>
      <c r="Z131" s="213" t="s">
        <v>6850</v>
      </c>
    </row>
    <row r="132" spans="1:26" ht="21" customHeight="1" x14ac:dyDescent="0.25">
      <c r="A132" s="213" t="s">
        <v>6964</v>
      </c>
      <c r="B132" s="213" t="s">
        <v>6963</v>
      </c>
      <c r="C132" s="1004" t="s">
        <v>6963</v>
      </c>
      <c r="D132" s="213" t="s">
        <v>521</v>
      </c>
      <c r="E132" s="213" t="s">
        <v>6962</v>
      </c>
      <c r="F132" s="1003" t="s">
        <v>6961</v>
      </c>
      <c r="G132" s="213"/>
      <c r="H132" s="213" t="s">
        <v>6856</v>
      </c>
      <c r="I132" s="213" t="s">
        <v>6960</v>
      </c>
      <c r="J132" s="213" t="s">
        <v>6959</v>
      </c>
      <c r="K132" s="213" t="s">
        <v>6853</v>
      </c>
      <c r="L132" s="213" t="s">
        <v>6852</v>
      </c>
      <c r="M132" s="213" t="s">
        <v>6851</v>
      </c>
      <c r="N132" s="987"/>
      <c r="O132" s="987"/>
      <c r="P132" s="987"/>
      <c r="Q132" s="987"/>
      <c r="R132" s="987"/>
      <c r="S132" s="987"/>
      <c r="T132" s="987"/>
      <c r="U132" s="986" t="s">
        <v>4876</v>
      </c>
      <c r="V132" s="986" t="s">
        <v>4876</v>
      </c>
      <c r="W132" s="986" t="s">
        <v>4876</v>
      </c>
      <c r="X132" s="987"/>
      <c r="Y132" s="987"/>
      <c r="Z132" s="213" t="s">
        <v>6850</v>
      </c>
    </row>
    <row r="133" spans="1:26" ht="21" customHeight="1" x14ac:dyDescent="0.25">
      <c r="A133" s="213" t="s">
        <v>6958</v>
      </c>
      <c r="B133" s="213" t="s">
        <v>6957</v>
      </c>
      <c r="C133" s="996" t="s">
        <v>6957</v>
      </c>
      <c r="D133" s="213" t="s">
        <v>6894</v>
      </c>
      <c r="E133" s="213" t="s">
        <v>6897</v>
      </c>
      <c r="F133" s="995" t="s">
        <v>6892</v>
      </c>
      <c r="G133" s="213"/>
      <c r="H133" s="213" t="s">
        <v>6890</v>
      </c>
      <c r="I133" s="213" t="s">
        <v>6889</v>
      </c>
      <c r="J133" s="213" t="s">
        <v>6854</v>
      </c>
      <c r="K133" s="213" t="s">
        <v>6853</v>
      </c>
      <c r="L133" s="213" t="s">
        <v>6852</v>
      </c>
      <c r="M133" s="213" t="s">
        <v>6888</v>
      </c>
      <c r="N133" s="987" t="s">
        <v>4904</v>
      </c>
      <c r="O133" s="987" t="s">
        <v>4904</v>
      </c>
      <c r="P133" s="987" t="s">
        <v>4904</v>
      </c>
      <c r="Q133" s="987" t="s">
        <v>4904</v>
      </c>
      <c r="R133" s="987" t="s">
        <v>4904</v>
      </c>
      <c r="S133" s="987" t="s">
        <v>4904</v>
      </c>
      <c r="T133" s="987" t="s">
        <v>4904</v>
      </c>
      <c r="U133" s="987" t="s">
        <v>4904</v>
      </c>
      <c r="V133" s="987" t="s">
        <v>4904</v>
      </c>
      <c r="W133" s="987" t="s">
        <v>4904</v>
      </c>
      <c r="X133" s="987" t="s">
        <v>4904</v>
      </c>
      <c r="Y133" s="987" t="s">
        <v>4904</v>
      </c>
      <c r="Z133" s="213" t="s">
        <v>6850</v>
      </c>
    </row>
    <row r="134" spans="1:26" ht="21" customHeight="1" x14ac:dyDescent="0.25">
      <c r="A134" s="213" t="s">
        <v>6956</v>
      </c>
      <c r="B134" s="213" t="s">
        <v>6955</v>
      </c>
      <c r="C134" s="240" t="s">
        <v>6955</v>
      </c>
      <c r="D134" s="213" t="s">
        <v>6860</v>
      </c>
      <c r="E134" s="213" t="s">
        <v>6902</v>
      </c>
      <c r="F134" s="239"/>
      <c r="G134" s="213" t="s">
        <v>6901</v>
      </c>
      <c r="H134" s="213" t="s">
        <v>6856</v>
      </c>
      <c r="I134" s="213" t="s">
        <v>6900</v>
      </c>
      <c r="J134" s="213" t="s">
        <v>6854</v>
      </c>
      <c r="K134" s="213" t="s">
        <v>6853</v>
      </c>
      <c r="L134" s="213" t="s">
        <v>6852</v>
      </c>
      <c r="M134" s="213" t="s">
        <v>6851</v>
      </c>
      <c r="N134" s="986" t="s">
        <v>4876</v>
      </c>
      <c r="O134" s="986" t="s">
        <v>4876</v>
      </c>
      <c r="P134" s="986" t="s">
        <v>4876</v>
      </c>
      <c r="Q134" s="987"/>
      <c r="R134" s="987"/>
      <c r="S134" s="987"/>
      <c r="T134" s="987"/>
      <c r="U134" s="987"/>
      <c r="V134" s="987"/>
      <c r="W134" s="986" t="s">
        <v>4876</v>
      </c>
      <c r="X134" s="986" t="s">
        <v>4876</v>
      </c>
      <c r="Y134" s="986" t="s">
        <v>4876</v>
      </c>
      <c r="Z134" s="213" t="s">
        <v>6850</v>
      </c>
    </row>
    <row r="135" spans="1:26" ht="21" customHeight="1" x14ac:dyDescent="0.25">
      <c r="A135" s="213" t="s">
        <v>6954</v>
      </c>
      <c r="B135" s="213" t="s">
        <v>6953</v>
      </c>
      <c r="C135" s="1002" t="s">
        <v>6953</v>
      </c>
      <c r="D135" s="213" t="s">
        <v>6911</v>
      </c>
      <c r="E135" s="213" t="s">
        <v>6876</v>
      </c>
      <c r="F135" s="1001"/>
      <c r="G135" s="213" t="s">
        <v>6885</v>
      </c>
      <c r="H135" s="213" t="s">
        <v>6856</v>
      </c>
      <c r="I135" s="213" t="s">
        <v>6925</v>
      </c>
      <c r="J135" s="213" t="s">
        <v>6854</v>
      </c>
      <c r="K135" s="213" t="s">
        <v>6853</v>
      </c>
      <c r="L135" s="213" t="s">
        <v>6852</v>
      </c>
      <c r="M135" s="213" t="s">
        <v>6910</v>
      </c>
      <c r="N135" s="987"/>
      <c r="O135" s="987"/>
      <c r="P135" s="987"/>
      <c r="Q135" s="988" t="s">
        <v>4876</v>
      </c>
      <c r="R135" s="988" t="s">
        <v>4876</v>
      </c>
      <c r="S135" s="988" t="s">
        <v>4876</v>
      </c>
      <c r="T135" s="988" t="s">
        <v>4876</v>
      </c>
      <c r="U135" s="988" t="s">
        <v>4876</v>
      </c>
      <c r="V135" s="988" t="s">
        <v>4876</v>
      </c>
      <c r="W135" s="988" t="s">
        <v>4876</v>
      </c>
      <c r="X135" s="987"/>
      <c r="Y135" s="987"/>
      <c r="Z135" s="213" t="s">
        <v>6850</v>
      </c>
    </row>
    <row r="136" spans="1:26" ht="21" customHeight="1" x14ac:dyDescent="0.25">
      <c r="A136" s="213" t="s">
        <v>6952</v>
      </c>
      <c r="B136" s="213" t="s">
        <v>6951</v>
      </c>
      <c r="C136" s="1002" t="s">
        <v>6951</v>
      </c>
      <c r="D136" s="213" t="s">
        <v>6911</v>
      </c>
      <c r="E136" s="213" t="s">
        <v>6950</v>
      </c>
      <c r="F136" s="1001"/>
      <c r="G136" s="213" t="s">
        <v>6885</v>
      </c>
      <c r="H136" s="213" t="s">
        <v>6856</v>
      </c>
      <c r="I136" s="213" t="s">
        <v>6915</v>
      </c>
      <c r="J136" s="213" t="s">
        <v>6854</v>
      </c>
      <c r="K136" s="213" t="s">
        <v>6853</v>
      </c>
      <c r="L136" s="213" t="s">
        <v>6852</v>
      </c>
      <c r="M136" s="213" t="s">
        <v>6910</v>
      </c>
      <c r="N136" s="986" t="s">
        <v>4876</v>
      </c>
      <c r="O136" s="986" t="s">
        <v>4876</v>
      </c>
      <c r="P136" s="986" t="s">
        <v>4876</v>
      </c>
      <c r="Q136" s="987"/>
      <c r="R136" s="987"/>
      <c r="S136" s="987"/>
      <c r="T136" s="987"/>
      <c r="U136" s="987"/>
      <c r="V136" s="986" t="s">
        <v>4876</v>
      </c>
      <c r="W136" s="986" t="s">
        <v>4876</v>
      </c>
      <c r="X136" s="986" t="s">
        <v>4876</v>
      </c>
      <c r="Y136" s="986" t="s">
        <v>4876</v>
      </c>
      <c r="Z136" s="213" t="s">
        <v>6850</v>
      </c>
    </row>
    <row r="137" spans="1:26" ht="21" customHeight="1" x14ac:dyDescent="0.25">
      <c r="A137" s="213" t="s">
        <v>6949</v>
      </c>
      <c r="B137" s="213" t="s">
        <v>6948</v>
      </c>
      <c r="C137" s="994" t="s">
        <v>6948</v>
      </c>
      <c r="D137" s="213" t="s">
        <v>6911</v>
      </c>
      <c r="E137" s="213" t="s">
        <v>6866</v>
      </c>
      <c r="F137" s="993" t="s">
        <v>6928</v>
      </c>
      <c r="G137" s="213" t="s">
        <v>6885</v>
      </c>
      <c r="H137" s="213" t="s">
        <v>6856</v>
      </c>
      <c r="I137" s="213" t="s">
        <v>6947</v>
      </c>
      <c r="J137" s="213" t="s">
        <v>6946</v>
      </c>
      <c r="K137" s="213" t="s">
        <v>6906</v>
      </c>
      <c r="L137" s="213" t="s">
        <v>6905</v>
      </c>
      <c r="M137" s="213" t="s">
        <v>6910</v>
      </c>
      <c r="N137" s="988" t="s">
        <v>4876</v>
      </c>
      <c r="O137" s="988" t="s">
        <v>4876</v>
      </c>
      <c r="P137" s="988" t="s">
        <v>4876</v>
      </c>
      <c r="Q137" s="988" t="s">
        <v>4876</v>
      </c>
      <c r="R137" s="988" t="s">
        <v>4876</v>
      </c>
      <c r="S137" s="987"/>
      <c r="T137" s="987"/>
      <c r="U137" s="987"/>
      <c r="V137" s="988" t="s">
        <v>4876</v>
      </c>
      <c r="W137" s="988" t="s">
        <v>4876</v>
      </c>
      <c r="X137" s="988" t="s">
        <v>4876</v>
      </c>
      <c r="Y137" s="988" t="s">
        <v>4876</v>
      </c>
      <c r="Z137" s="213" t="s">
        <v>6850</v>
      </c>
    </row>
    <row r="138" spans="1:26" ht="21" customHeight="1" x14ac:dyDescent="0.25">
      <c r="A138" s="213" t="s">
        <v>6945</v>
      </c>
      <c r="B138" s="213" t="s">
        <v>6944</v>
      </c>
      <c r="C138" s="240" t="s">
        <v>6944</v>
      </c>
      <c r="D138" s="213" t="s">
        <v>6911</v>
      </c>
      <c r="E138" s="213" t="s">
        <v>6876</v>
      </c>
      <c r="F138" s="239"/>
      <c r="G138" s="213" t="s">
        <v>6885</v>
      </c>
      <c r="H138" s="213" t="s">
        <v>6856</v>
      </c>
      <c r="I138" s="213" t="s">
        <v>6943</v>
      </c>
      <c r="J138" s="213" t="s">
        <v>6854</v>
      </c>
      <c r="K138" s="213" t="s">
        <v>6853</v>
      </c>
      <c r="L138" s="213" t="s">
        <v>6852</v>
      </c>
      <c r="M138" s="213" t="s">
        <v>6910</v>
      </c>
      <c r="N138" s="986" t="s">
        <v>4876</v>
      </c>
      <c r="O138" s="986" t="s">
        <v>4876</v>
      </c>
      <c r="P138" s="986" t="s">
        <v>4876</v>
      </c>
      <c r="Q138" s="986" t="s">
        <v>4876</v>
      </c>
      <c r="R138" s="987"/>
      <c r="S138" s="987"/>
      <c r="T138" s="987"/>
      <c r="U138" s="987"/>
      <c r="V138" s="987"/>
      <c r="W138" s="986" t="s">
        <v>4876</v>
      </c>
      <c r="X138" s="986" t="s">
        <v>4876</v>
      </c>
      <c r="Y138" s="986" t="s">
        <v>4876</v>
      </c>
      <c r="Z138" s="213" t="s">
        <v>6850</v>
      </c>
    </row>
    <row r="139" spans="1:26" ht="21" customHeight="1" x14ac:dyDescent="0.25">
      <c r="A139" s="213" t="s">
        <v>6942</v>
      </c>
      <c r="B139" s="213" t="s">
        <v>6941</v>
      </c>
      <c r="C139" s="1002" t="s">
        <v>6941</v>
      </c>
      <c r="D139" s="213" t="s">
        <v>6911</v>
      </c>
      <c r="E139" s="213" t="s">
        <v>6866</v>
      </c>
      <c r="F139" s="1001"/>
      <c r="G139" s="213" t="s">
        <v>6885</v>
      </c>
      <c r="H139" s="213" t="s">
        <v>6856</v>
      </c>
      <c r="I139" s="213" t="s">
        <v>6925</v>
      </c>
      <c r="J139" s="213" t="s">
        <v>6854</v>
      </c>
      <c r="K139" s="213" t="s">
        <v>6853</v>
      </c>
      <c r="L139" s="213" t="s">
        <v>6852</v>
      </c>
      <c r="M139" s="213" t="s">
        <v>6910</v>
      </c>
      <c r="N139" s="987"/>
      <c r="O139" s="987"/>
      <c r="P139" s="987"/>
      <c r="Q139" s="988" t="s">
        <v>4876</v>
      </c>
      <c r="R139" s="988" t="s">
        <v>4876</v>
      </c>
      <c r="S139" s="988" t="s">
        <v>4876</v>
      </c>
      <c r="T139" s="988" t="s">
        <v>4876</v>
      </c>
      <c r="U139" s="988" t="s">
        <v>4876</v>
      </c>
      <c r="V139" s="988" t="s">
        <v>4876</v>
      </c>
      <c r="W139" s="988" t="s">
        <v>4876</v>
      </c>
      <c r="X139" s="987"/>
      <c r="Y139" s="987"/>
      <c r="Z139" s="213" t="s">
        <v>6850</v>
      </c>
    </row>
    <row r="140" spans="1:26" ht="21" customHeight="1" x14ac:dyDescent="0.25">
      <c r="A140" s="213" t="s">
        <v>6940</v>
      </c>
      <c r="B140" s="213" t="s">
        <v>6939</v>
      </c>
      <c r="C140" s="1002" t="s">
        <v>6939</v>
      </c>
      <c r="D140" s="213" t="s">
        <v>6911</v>
      </c>
      <c r="E140" s="213" t="s">
        <v>6866</v>
      </c>
      <c r="F140" s="1001" t="s">
        <v>6916</v>
      </c>
      <c r="G140" s="213" t="s">
        <v>6885</v>
      </c>
      <c r="H140" s="213" t="s">
        <v>6856</v>
      </c>
      <c r="I140" s="213" t="s">
        <v>6915</v>
      </c>
      <c r="J140" s="213" t="s">
        <v>6914</v>
      </c>
      <c r="K140" s="213" t="s">
        <v>6906</v>
      </c>
      <c r="L140" s="213" t="s">
        <v>6905</v>
      </c>
      <c r="M140" s="213" t="s">
        <v>6910</v>
      </c>
      <c r="N140" s="986" t="s">
        <v>4876</v>
      </c>
      <c r="O140" s="986" t="s">
        <v>4876</v>
      </c>
      <c r="P140" s="986" t="s">
        <v>4876</v>
      </c>
      <c r="Q140" s="987"/>
      <c r="R140" s="987"/>
      <c r="S140" s="987"/>
      <c r="T140" s="987"/>
      <c r="U140" s="987"/>
      <c r="V140" s="986" t="s">
        <v>4876</v>
      </c>
      <c r="W140" s="986" t="s">
        <v>4876</v>
      </c>
      <c r="X140" s="986" t="s">
        <v>4876</v>
      </c>
      <c r="Y140" s="986" t="s">
        <v>4876</v>
      </c>
      <c r="Z140" s="213" t="s">
        <v>6850</v>
      </c>
    </row>
    <row r="141" spans="1:26" ht="21" customHeight="1" x14ac:dyDescent="0.25">
      <c r="A141" s="213" t="s">
        <v>6938</v>
      </c>
      <c r="B141" s="213" t="s">
        <v>6937</v>
      </c>
      <c r="C141" s="1002" t="s">
        <v>6937</v>
      </c>
      <c r="D141" s="213" t="s">
        <v>6911</v>
      </c>
      <c r="E141" s="213" t="s">
        <v>6866</v>
      </c>
      <c r="F141" s="1001"/>
      <c r="G141" s="213" t="s">
        <v>6885</v>
      </c>
      <c r="H141" s="213" t="s">
        <v>6856</v>
      </c>
      <c r="I141" s="213" t="s">
        <v>6919</v>
      </c>
      <c r="J141" s="213" t="s">
        <v>6854</v>
      </c>
      <c r="K141" s="213" t="s">
        <v>6853</v>
      </c>
      <c r="L141" s="213" t="s">
        <v>6852</v>
      </c>
      <c r="M141" s="213" t="s">
        <v>6910</v>
      </c>
      <c r="N141" s="987"/>
      <c r="O141" s="987"/>
      <c r="P141" s="987"/>
      <c r="Q141" s="987"/>
      <c r="R141" s="988" t="s">
        <v>4876</v>
      </c>
      <c r="S141" s="988" t="s">
        <v>4876</v>
      </c>
      <c r="T141" s="988" t="s">
        <v>4876</v>
      </c>
      <c r="U141" s="988" t="s">
        <v>4876</v>
      </c>
      <c r="V141" s="988" t="s">
        <v>4876</v>
      </c>
      <c r="W141" s="988" t="s">
        <v>4876</v>
      </c>
      <c r="X141" s="987"/>
      <c r="Y141" s="987"/>
      <c r="Z141" s="213" t="s">
        <v>6850</v>
      </c>
    </row>
    <row r="142" spans="1:26" ht="21" customHeight="1" x14ac:dyDescent="0.25">
      <c r="A142" s="213" t="s">
        <v>6936</v>
      </c>
      <c r="B142" s="213" t="s">
        <v>6935</v>
      </c>
      <c r="C142" s="1002" t="s">
        <v>6935</v>
      </c>
      <c r="D142" s="213" t="s">
        <v>6911</v>
      </c>
      <c r="E142" s="213" t="s">
        <v>6866</v>
      </c>
      <c r="F142" s="1001"/>
      <c r="G142" s="213" t="s">
        <v>6885</v>
      </c>
      <c r="H142" s="213" t="s">
        <v>6856</v>
      </c>
      <c r="I142" s="213" t="s">
        <v>6919</v>
      </c>
      <c r="J142" s="213" t="s">
        <v>6854</v>
      </c>
      <c r="K142" s="213" t="s">
        <v>6853</v>
      </c>
      <c r="L142" s="213" t="s">
        <v>6852</v>
      </c>
      <c r="M142" s="213" t="s">
        <v>6910</v>
      </c>
      <c r="N142" s="987"/>
      <c r="O142" s="987"/>
      <c r="P142" s="987"/>
      <c r="Q142" s="987"/>
      <c r="R142" s="986" t="s">
        <v>4876</v>
      </c>
      <c r="S142" s="986" t="s">
        <v>4876</v>
      </c>
      <c r="T142" s="986" t="s">
        <v>4876</v>
      </c>
      <c r="U142" s="986" t="s">
        <v>4876</v>
      </c>
      <c r="V142" s="986" t="s">
        <v>4876</v>
      </c>
      <c r="W142" s="986" t="s">
        <v>4876</v>
      </c>
      <c r="X142" s="987"/>
      <c r="Y142" s="987"/>
      <c r="Z142" s="213" t="s">
        <v>6850</v>
      </c>
    </row>
    <row r="143" spans="1:26" ht="21" customHeight="1" x14ac:dyDescent="0.25">
      <c r="A143" s="213" t="s">
        <v>6934</v>
      </c>
      <c r="B143" s="213" t="s">
        <v>6933</v>
      </c>
      <c r="C143" s="1002" t="s">
        <v>6933</v>
      </c>
      <c r="D143" s="213" t="s">
        <v>6911</v>
      </c>
      <c r="E143" s="213" t="s">
        <v>6876</v>
      </c>
      <c r="F143" s="1001" t="s">
        <v>6916</v>
      </c>
      <c r="G143" s="213" t="s">
        <v>6885</v>
      </c>
      <c r="H143" s="213" t="s">
        <v>6856</v>
      </c>
      <c r="I143" s="213" t="s">
        <v>6925</v>
      </c>
      <c r="J143" s="213" t="s">
        <v>6914</v>
      </c>
      <c r="K143" s="213" t="s">
        <v>6906</v>
      </c>
      <c r="L143" s="213" t="s">
        <v>6905</v>
      </c>
      <c r="M143" s="213" t="s">
        <v>6910</v>
      </c>
      <c r="N143" s="987"/>
      <c r="O143" s="987"/>
      <c r="P143" s="987"/>
      <c r="Q143" s="988" t="s">
        <v>4876</v>
      </c>
      <c r="R143" s="988" t="s">
        <v>4876</v>
      </c>
      <c r="S143" s="988" t="s">
        <v>4876</v>
      </c>
      <c r="T143" s="988" t="s">
        <v>4876</v>
      </c>
      <c r="U143" s="988" t="s">
        <v>4876</v>
      </c>
      <c r="V143" s="988" t="s">
        <v>4876</v>
      </c>
      <c r="W143" s="988" t="s">
        <v>4876</v>
      </c>
      <c r="X143" s="987"/>
      <c r="Y143" s="987"/>
      <c r="Z143" s="213" t="s">
        <v>6850</v>
      </c>
    </row>
    <row r="144" spans="1:26" ht="21" customHeight="1" x14ac:dyDescent="0.25">
      <c r="A144" s="213" t="s">
        <v>6932</v>
      </c>
      <c r="B144" s="213" t="s">
        <v>6931</v>
      </c>
      <c r="C144" s="992" t="s">
        <v>6931</v>
      </c>
      <c r="D144" s="213" t="s">
        <v>6911</v>
      </c>
      <c r="E144" s="213" t="s">
        <v>6866</v>
      </c>
      <c r="F144" s="991"/>
      <c r="G144" s="213" t="s">
        <v>6885</v>
      </c>
      <c r="H144" s="213" t="s">
        <v>6856</v>
      </c>
      <c r="I144" s="213" t="s">
        <v>6919</v>
      </c>
      <c r="J144" s="213" t="s">
        <v>6854</v>
      </c>
      <c r="K144" s="213" t="s">
        <v>6853</v>
      </c>
      <c r="L144" s="213" t="s">
        <v>6852</v>
      </c>
      <c r="M144" s="213" t="s">
        <v>6910</v>
      </c>
      <c r="N144" s="987"/>
      <c r="O144" s="987"/>
      <c r="P144" s="987"/>
      <c r="Q144" s="987"/>
      <c r="R144" s="986" t="s">
        <v>4876</v>
      </c>
      <c r="S144" s="986" t="s">
        <v>4876</v>
      </c>
      <c r="T144" s="986" t="s">
        <v>4876</v>
      </c>
      <c r="U144" s="986" t="s">
        <v>4876</v>
      </c>
      <c r="V144" s="986" t="s">
        <v>4876</v>
      </c>
      <c r="W144" s="986" t="s">
        <v>4876</v>
      </c>
      <c r="X144" s="987"/>
      <c r="Y144" s="987"/>
      <c r="Z144" s="213" t="s">
        <v>6850</v>
      </c>
    </row>
    <row r="145" spans="1:26" ht="21" customHeight="1" x14ac:dyDescent="0.25">
      <c r="A145" s="213" t="s">
        <v>6930</v>
      </c>
      <c r="B145" s="213" t="s">
        <v>6929</v>
      </c>
      <c r="C145" s="994" t="s">
        <v>6929</v>
      </c>
      <c r="D145" s="213" t="s">
        <v>6911</v>
      </c>
      <c r="E145" s="213" t="s">
        <v>6866</v>
      </c>
      <c r="F145" s="993" t="s">
        <v>6928</v>
      </c>
      <c r="G145" s="213" t="s">
        <v>6885</v>
      </c>
      <c r="H145" s="213" t="s">
        <v>6856</v>
      </c>
      <c r="I145" s="213" t="s">
        <v>6900</v>
      </c>
      <c r="J145" s="213" t="s">
        <v>6907</v>
      </c>
      <c r="K145" s="213" t="s">
        <v>6906</v>
      </c>
      <c r="L145" s="213" t="s">
        <v>6905</v>
      </c>
      <c r="M145" s="213" t="s">
        <v>6910</v>
      </c>
      <c r="N145" s="988" t="s">
        <v>4876</v>
      </c>
      <c r="O145" s="988" t="s">
        <v>4876</v>
      </c>
      <c r="P145" s="988" t="s">
        <v>4876</v>
      </c>
      <c r="Q145" s="987"/>
      <c r="R145" s="987"/>
      <c r="S145" s="987"/>
      <c r="T145" s="987"/>
      <c r="U145" s="987"/>
      <c r="V145" s="987"/>
      <c r="W145" s="988" t="s">
        <v>4876</v>
      </c>
      <c r="X145" s="988" t="s">
        <v>4876</v>
      </c>
      <c r="Y145" s="988" t="s">
        <v>4876</v>
      </c>
      <c r="Z145" s="213" t="s">
        <v>6850</v>
      </c>
    </row>
    <row r="146" spans="1:26" ht="21" customHeight="1" x14ac:dyDescent="0.25">
      <c r="A146" s="213" t="s">
        <v>6927</v>
      </c>
      <c r="B146" s="213" t="s">
        <v>6926</v>
      </c>
      <c r="C146" s="1002" t="s">
        <v>6926</v>
      </c>
      <c r="D146" s="213" t="s">
        <v>6911</v>
      </c>
      <c r="E146" s="213" t="s">
        <v>6866</v>
      </c>
      <c r="F146" s="1001"/>
      <c r="G146" s="213" t="s">
        <v>6885</v>
      </c>
      <c r="H146" s="213" t="s">
        <v>6856</v>
      </c>
      <c r="I146" s="213" t="s">
        <v>6925</v>
      </c>
      <c r="J146" s="213" t="s">
        <v>6854</v>
      </c>
      <c r="K146" s="213" t="s">
        <v>6853</v>
      </c>
      <c r="L146" s="213" t="s">
        <v>6852</v>
      </c>
      <c r="M146" s="213" t="s">
        <v>6910</v>
      </c>
      <c r="N146" s="987"/>
      <c r="O146" s="987"/>
      <c r="P146" s="987"/>
      <c r="Q146" s="986" t="s">
        <v>4876</v>
      </c>
      <c r="R146" s="986" t="s">
        <v>4876</v>
      </c>
      <c r="S146" s="986" t="s">
        <v>4876</v>
      </c>
      <c r="T146" s="986" t="s">
        <v>4876</v>
      </c>
      <c r="U146" s="986" t="s">
        <v>4876</v>
      </c>
      <c r="V146" s="986" t="s">
        <v>4876</v>
      </c>
      <c r="W146" s="986" t="s">
        <v>4876</v>
      </c>
      <c r="X146" s="987"/>
      <c r="Y146" s="987"/>
      <c r="Z146" s="213" t="s">
        <v>6850</v>
      </c>
    </row>
    <row r="147" spans="1:26" ht="21" customHeight="1" x14ac:dyDescent="0.25">
      <c r="A147" s="213" t="s">
        <v>6924</v>
      </c>
      <c r="B147" s="213" t="s">
        <v>6923</v>
      </c>
      <c r="C147" s="994" t="s">
        <v>6923</v>
      </c>
      <c r="D147" s="213" t="s">
        <v>6911</v>
      </c>
      <c r="E147" s="213" t="s">
        <v>6866</v>
      </c>
      <c r="F147" s="993"/>
      <c r="G147" s="213" t="s">
        <v>6885</v>
      </c>
      <c r="H147" s="213" t="s">
        <v>6856</v>
      </c>
      <c r="I147" s="213" t="s">
        <v>6922</v>
      </c>
      <c r="J147" s="213" t="s">
        <v>6854</v>
      </c>
      <c r="K147" s="213" t="s">
        <v>6853</v>
      </c>
      <c r="L147" s="213" t="s">
        <v>6852</v>
      </c>
      <c r="M147" s="213" t="s">
        <v>6910</v>
      </c>
      <c r="N147" s="987"/>
      <c r="O147" s="987"/>
      <c r="P147" s="988" t="s">
        <v>4876</v>
      </c>
      <c r="Q147" s="988" t="s">
        <v>4876</v>
      </c>
      <c r="R147" s="987"/>
      <c r="S147" s="987"/>
      <c r="T147" s="987"/>
      <c r="U147" s="987"/>
      <c r="V147" s="987"/>
      <c r="W147" s="987"/>
      <c r="X147" s="987"/>
      <c r="Y147" s="987"/>
      <c r="Z147" s="213" t="s">
        <v>6850</v>
      </c>
    </row>
    <row r="148" spans="1:26" ht="21" customHeight="1" x14ac:dyDescent="0.25">
      <c r="A148" s="213" t="s">
        <v>6921</v>
      </c>
      <c r="B148" s="213" t="s">
        <v>6920</v>
      </c>
      <c r="C148" s="994" t="s">
        <v>6920</v>
      </c>
      <c r="D148" s="213" t="s">
        <v>6911</v>
      </c>
      <c r="E148" s="213" t="s">
        <v>6866</v>
      </c>
      <c r="F148" s="993"/>
      <c r="G148" s="213" t="s">
        <v>6885</v>
      </c>
      <c r="H148" s="213" t="s">
        <v>6856</v>
      </c>
      <c r="I148" s="213" t="s">
        <v>6919</v>
      </c>
      <c r="J148" s="213" t="s">
        <v>6854</v>
      </c>
      <c r="K148" s="213" t="s">
        <v>6853</v>
      </c>
      <c r="L148" s="213" t="s">
        <v>6852</v>
      </c>
      <c r="M148" s="213" t="s">
        <v>6910</v>
      </c>
      <c r="N148" s="987"/>
      <c r="O148" s="987"/>
      <c r="P148" s="987"/>
      <c r="Q148" s="987"/>
      <c r="R148" s="986" t="s">
        <v>4876</v>
      </c>
      <c r="S148" s="986" t="s">
        <v>4876</v>
      </c>
      <c r="T148" s="986" t="s">
        <v>4876</v>
      </c>
      <c r="U148" s="986" t="s">
        <v>4876</v>
      </c>
      <c r="V148" s="986" t="s">
        <v>4876</v>
      </c>
      <c r="W148" s="986" t="s">
        <v>4876</v>
      </c>
      <c r="X148" s="987"/>
      <c r="Y148" s="987"/>
      <c r="Z148" s="213" t="s">
        <v>6850</v>
      </c>
    </row>
    <row r="149" spans="1:26" ht="21" customHeight="1" x14ac:dyDescent="0.25">
      <c r="A149" s="213" t="s">
        <v>6918</v>
      </c>
      <c r="B149" s="213" t="s">
        <v>6917</v>
      </c>
      <c r="C149" s="1002" t="s">
        <v>6917</v>
      </c>
      <c r="D149" s="213" t="s">
        <v>6911</v>
      </c>
      <c r="E149" s="213" t="s">
        <v>6866</v>
      </c>
      <c r="F149" s="1001" t="s">
        <v>6916</v>
      </c>
      <c r="G149" s="213"/>
      <c r="H149" s="213" t="s">
        <v>6856</v>
      </c>
      <c r="I149" s="213" t="s">
        <v>6915</v>
      </c>
      <c r="J149" s="213" t="s">
        <v>6914</v>
      </c>
      <c r="K149" s="213" t="s">
        <v>6853</v>
      </c>
      <c r="L149" s="213" t="s">
        <v>6852</v>
      </c>
      <c r="M149" s="213" t="s">
        <v>6910</v>
      </c>
      <c r="N149" s="988" t="s">
        <v>4876</v>
      </c>
      <c r="O149" s="988" t="s">
        <v>4876</v>
      </c>
      <c r="P149" s="988" t="s">
        <v>4876</v>
      </c>
      <c r="Q149" s="987"/>
      <c r="R149" s="987"/>
      <c r="S149" s="987"/>
      <c r="T149" s="987"/>
      <c r="U149" s="987"/>
      <c r="V149" s="988" t="s">
        <v>4876</v>
      </c>
      <c r="W149" s="988" t="s">
        <v>4876</v>
      </c>
      <c r="X149" s="988" t="s">
        <v>4876</v>
      </c>
      <c r="Y149" s="988" t="s">
        <v>4876</v>
      </c>
      <c r="Z149" s="213" t="s">
        <v>6850</v>
      </c>
    </row>
    <row r="150" spans="1:26" ht="21" customHeight="1" x14ac:dyDescent="0.25">
      <c r="A150" s="213" t="s">
        <v>6913</v>
      </c>
      <c r="B150" s="213" t="s">
        <v>6912</v>
      </c>
      <c r="C150" s="1000" t="s">
        <v>6912</v>
      </c>
      <c r="D150" s="213" t="s">
        <v>6911</v>
      </c>
      <c r="E150" s="213" t="s">
        <v>6866</v>
      </c>
      <c r="F150" s="999"/>
      <c r="G150" s="213" t="s">
        <v>6885</v>
      </c>
      <c r="H150" s="213" t="s">
        <v>6856</v>
      </c>
      <c r="I150" s="213" t="s">
        <v>6900</v>
      </c>
      <c r="J150" s="213" t="s">
        <v>6854</v>
      </c>
      <c r="K150" s="213" t="s">
        <v>6853</v>
      </c>
      <c r="L150" s="213" t="s">
        <v>6852</v>
      </c>
      <c r="M150" s="213" t="s">
        <v>6910</v>
      </c>
      <c r="N150" s="986" t="s">
        <v>4876</v>
      </c>
      <c r="O150" s="986" t="s">
        <v>4876</v>
      </c>
      <c r="P150" s="986" t="s">
        <v>4876</v>
      </c>
      <c r="Q150" s="987"/>
      <c r="R150" s="987"/>
      <c r="S150" s="987"/>
      <c r="T150" s="987"/>
      <c r="U150" s="987"/>
      <c r="V150" s="987"/>
      <c r="W150" s="986" t="s">
        <v>4876</v>
      </c>
      <c r="X150" s="986" t="s">
        <v>4876</v>
      </c>
      <c r="Y150" s="986" t="s">
        <v>4876</v>
      </c>
      <c r="Z150" s="213" t="s">
        <v>6850</v>
      </c>
    </row>
    <row r="151" spans="1:26" ht="21" customHeight="1" x14ac:dyDescent="0.25">
      <c r="A151" s="213" t="s">
        <v>6909</v>
      </c>
      <c r="B151" s="213" t="s">
        <v>6908</v>
      </c>
      <c r="C151" s="240" t="s">
        <v>6908</v>
      </c>
      <c r="D151" s="213" t="s">
        <v>6860</v>
      </c>
      <c r="E151" s="213" t="s">
        <v>6902</v>
      </c>
      <c r="F151" s="239" t="s">
        <v>6858</v>
      </c>
      <c r="G151" s="213" t="s">
        <v>6901</v>
      </c>
      <c r="H151" s="213" t="s">
        <v>6856</v>
      </c>
      <c r="I151" s="213" t="s">
        <v>6900</v>
      </c>
      <c r="J151" s="213" t="s">
        <v>6907</v>
      </c>
      <c r="K151" s="213" t="s">
        <v>6906</v>
      </c>
      <c r="L151" s="213" t="s">
        <v>6905</v>
      </c>
      <c r="M151" s="213" t="s">
        <v>6851</v>
      </c>
      <c r="N151" s="988" t="s">
        <v>4876</v>
      </c>
      <c r="O151" s="988" t="s">
        <v>4876</v>
      </c>
      <c r="P151" s="988" t="s">
        <v>4876</v>
      </c>
      <c r="Q151" s="987"/>
      <c r="R151" s="987"/>
      <c r="S151" s="987"/>
      <c r="T151" s="987"/>
      <c r="U151" s="987"/>
      <c r="V151" s="987"/>
      <c r="W151" s="988" t="s">
        <v>4876</v>
      </c>
      <c r="X151" s="988" t="s">
        <v>4876</v>
      </c>
      <c r="Y151" s="988" t="s">
        <v>4876</v>
      </c>
      <c r="Z151" s="213" t="s">
        <v>6850</v>
      </c>
    </row>
    <row r="152" spans="1:26" ht="21" customHeight="1" x14ac:dyDescent="0.25">
      <c r="A152" s="213" t="s">
        <v>6904</v>
      </c>
      <c r="B152" s="213" t="s">
        <v>6903</v>
      </c>
      <c r="C152" s="998" t="s">
        <v>6903</v>
      </c>
      <c r="D152" s="213" t="s">
        <v>6860</v>
      </c>
      <c r="E152" s="213" t="s">
        <v>6902</v>
      </c>
      <c r="F152" s="997"/>
      <c r="G152" s="213" t="s">
        <v>6901</v>
      </c>
      <c r="H152" s="213" t="s">
        <v>6856</v>
      </c>
      <c r="I152" s="213" t="s">
        <v>6900</v>
      </c>
      <c r="J152" s="213" t="s">
        <v>6854</v>
      </c>
      <c r="K152" s="213" t="s">
        <v>6853</v>
      </c>
      <c r="L152" s="213" t="s">
        <v>6852</v>
      </c>
      <c r="M152" s="213" t="s">
        <v>6851</v>
      </c>
      <c r="N152" s="986" t="s">
        <v>4876</v>
      </c>
      <c r="O152" s="986" t="s">
        <v>4876</v>
      </c>
      <c r="P152" s="986" t="s">
        <v>4876</v>
      </c>
      <c r="Q152" s="987"/>
      <c r="R152" s="987"/>
      <c r="S152" s="987"/>
      <c r="T152" s="987"/>
      <c r="U152" s="987"/>
      <c r="V152" s="987"/>
      <c r="W152" s="986" t="s">
        <v>4876</v>
      </c>
      <c r="X152" s="986" t="s">
        <v>4876</v>
      </c>
      <c r="Y152" s="986" t="s">
        <v>4876</v>
      </c>
      <c r="Z152" s="213" t="s">
        <v>6850</v>
      </c>
    </row>
    <row r="153" spans="1:26" ht="21" customHeight="1" x14ac:dyDescent="0.25">
      <c r="A153" s="213" t="s">
        <v>6899</v>
      </c>
      <c r="B153" s="213" t="s">
        <v>6898</v>
      </c>
      <c r="C153" s="240" t="s">
        <v>6898</v>
      </c>
      <c r="D153" s="213" t="s">
        <v>6894</v>
      </c>
      <c r="E153" s="213" t="s">
        <v>6897</v>
      </c>
      <c r="F153" s="239" t="s">
        <v>6858</v>
      </c>
      <c r="G153" s="213"/>
      <c r="H153" s="213" t="s">
        <v>6890</v>
      </c>
      <c r="I153" s="213" t="s">
        <v>6889</v>
      </c>
      <c r="J153" s="213" t="s">
        <v>6854</v>
      </c>
      <c r="K153" s="213" t="s">
        <v>6853</v>
      </c>
      <c r="L153" s="213" t="s">
        <v>6852</v>
      </c>
      <c r="M153" s="213" t="s">
        <v>6888</v>
      </c>
      <c r="N153" s="987" t="s">
        <v>4904</v>
      </c>
      <c r="O153" s="987" t="s">
        <v>4904</v>
      </c>
      <c r="P153" s="987" t="s">
        <v>4904</v>
      </c>
      <c r="Q153" s="987" t="s">
        <v>4904</v>
      </c>
      <c r="R153" s="987" t="s">
        <v>4904</v>
      </c>
      <c r="S153" s="987" t="s">
        <v>4904</v>
      </c>
      <c r="T153" s="987" t="s">
        <v>4904</v>
      </c>
      <c r="U153" s="987" t="s">
        <v>4904</v>
      </c>
      <c r="V153" s="987" t="s">
        <v>4904</v>
      </c>
      <c r="W153" s="987" t="s">
        <v>4904</v>
      </c>
      <c r="X153" s="987" t="s">
        <v>4904</v>
      </c>
      <c r="Y153" s="987" t="s">
        <v>4904</v>
      </c>
      <c r="Z153" s="213" t="s">
        <v>6850</v>
      </c>
    </row>
    <row r="154" spans="1:26" ht="21" customHeight="1" x14ac:dyDescent="0.25">
      <c r="A154" s="213" t="s">
        <v>6896</v>
      </c>
      <c r="B154" s="213" t="s">
        <v>6895</v>
      </c>
      <c r="C154" s="996" t="s">
        <v>6895</v>
      </c>
      <c r="D154" s="213" t="s">
        <v>6894</v>
      </c>
      <c r="E154" s="213" t="s">
        <v>6893</v>
      </c>
      <c r="F154" s="995" t="s">
        <v>6892</v>
      </c>
      <c r="G154" s="213" t="s">
        <v>6891</v>
      </c>
      <c r="H154" s="213" t="s">
        <v>6890</v>
      </c>
      <c r="I154" s="213" t="s">
        <v>6889</v>
      </c>
      <c r="J154" s="213" t="s">
        <v>6854</v>
      </c>
      <c r="K154" s="213" t="s">
        <v>6853</v>
      </c>
      <c r="L154" s="213" t="s">
        <v>6852</v>
      </c>
      <c r="M154" s="213" t="s">
        <v>6888</v>
      </c>
      <c r="N154" s="987" t="s">
        <v>4904</v>
      </c>
      <c r="O154" s="987" t="s">
        <v>4904</v>
      </c>
      <c r="P154" s="987" t="s">
        <v>4904</v>
      </c>
      <c r="Q154" s="987" t="s">
        <v>4904</v>
      </c>
      <c r="R154" s="987" t="s">
        <v>4904</v>
      </c>
      <c r="S154" s="987" t="s">
        <v>4904</v>
      </c>
      <c r="T154" s="987" t="s">
        <v>4904</v>
      </c>
      <c r="U154" s="987" t="s">
        <v>4904</v>
      </c>
      <c r="V154" s="987" t="s">
        <v>4904</v>
      </c>
      <c r="W154" s="987" t="s">
        <v>4904</v>
      </c>
      <c r="X154" s="987" t="s">
        <v>4904</v>
      </c>
      <c r="Y154" s="987" t="s">
        <v>4904</v>
      </c>
      <c r="Z154" s="213" t="s">
        <v>6850</v>
      </c>
    </row>
    <row r="155" spans="1:26" ht="21" customHeight="1" x14ac:dyDescent="0.25">
      <c r="A155" s="213" t="s">
        <v>6887</v>
      </c>
      <c r="B155" s="213" t="s">
        <v>6886</v>
      </c>
      <c r="C155" s="994" t="s">
        <v>6886</v>
      </c>
      <c r="D155" s="213" t="s">
        <v>6860</v>
      </c>
      <c r="E155" s="213" t="s">
        <v>6866</v>
      </c>
      <c r="F155" s="993"/>
      <c r="G155" s="213" t="s">
        <v>6885</v>
      </c>
      <c r="H155" s="213" t="s">
        <v>6856</v>
      </c>
      <c r="I155" s="213" t="s">
        <v>6864</v>
      </c>
      <c r="J155" s="213" t="s">
        <v>6854</v>
      </c>
      <c r="K155" s="213" t="s">
        <v>6853</v>
      </c>
      <c r="L155" s="213" t="s">
        <v>6852</v>
      </c>
      <c r="M155" s="213" t="s">
        <v>6851</v>
      </c>
      <c r="N155" s="987"/>
      <c r="O155" s="987"/>
      <c r="P155" s="987"/>
      <c r="Q155" s="987"/>
      <c r="R155" s="987"/>
      <c r="S155" s="988" t="s">
        <v>4876</v>
      </c>
      <c r="T155" s="988" t="s">
        <v>4876</v>
      </c>
      <c r="U155" s="988" t="s">
        <v>4876</v>
      </c>
      <c r="V155" s="988" t="s">
        <v>4876</v>
      </c>
      <c r="W155" s="988" t="s">
        <v>4876</v>
      </c>
      <c r="X155" s="987"/>
      <c r="Y155" s="987"/>
      <c r="Z155" s="213" t="s">
        <v>6850</v>
      </c>
    </row>
    <row r="156" spans="1:26" ht="21" customHeight="1" x14ac:dyDescent="0.25">
      <c r="A156" s="213" t="s">
        <v>6884</v>
      </c>
      <c r="B156" s="213" t="s">
        <v>6883</v>
      </c>
      <c r="C156" s="992" t="s">
        <v>6883</v>
      </c>
      <c r="D156" s="213" t="s">
        <v>6867</v>
      </c>
      <c r="E156" s="213" t="s">
        <v>6876</v>
      </c>
      <c r="F156" s="991"/>
      <c r="G156" s="213" t="s">
        <v>6870</v>
      </c>
      <c r="H156" s="213" t="s">
        <v>6856</v>
      </c>
      <c r="I156" s="213" t="s">
        <v>6864</v>
      </c>
      <c r="J156" s="213" t="s">
        <v>6854</v>
      </c>
      <c r="K156" s="213" t="s">
        <v>6853</v>
      </c>
      <c r="L156" s="213" t="s">
        <v>6852</v>
      </c>
      <c r="M156" s="213" t="s">
        <v>6863</v>
      </c>
      <c r="N156" s="987"/>
      <c r="O156" s="987"/>
      <c r="P156" s="987"/>
      <c r="Q156" s="987"/>
      <c r="R156" s="987"/>
      <c r="S156" s="986" t="s">
        <v>4876</v>
      </c>
      <c r="T156" s="986" t="s">
        <v>4876</v>
      </c>
      <c r="U156" s="986" t="s">
        <v>4876</v>
      </c>
      <c r="V156" s="986" t="s">
        <v>4876</v>
      </c>
      <c r="W156" s="986" t="s">
        <v>4876</v>
      </c>
      <c r="X156" s="987"/>
      <c r="Y156" s="987"/>
      <c r="Z156" s="213" t="s">
        <v>6850</v>
      </c>
    </row>
    <row r="157" spans="1:26" ht="21" customHeight="1" x14ac:dyDescent="0.25">
      <c r="A157" s="213" t="s">
        <v>6882</v>
      </c>
      <c r="B157" s="213" t="s">
        <v>6881</v>
      </c>
      <c r="C157" s="992" t="s">
        <v>6881</v>
      </c>
      <c r="D157" s="213" t="s">
        <v>6867</v>
      </c>
      <c r="E157" s="213" t="s">
        <v>6876</v>
      </c>
      <c r="F157" s="991"/>
      <c r="G157" s="213" t="s">
        <v>6870</v>
      </c>
      <c r="H157" s="213" t="s">
        <v>6856</v>
      </c>
      <c r="I157" s="213" t="s">
        <v>6864</v>
      </c>
      <c r="J157" s="213" t="s">
        <v>6854</v>
      </c>
      <c r="K157" s="213" t="s">
        <v>6853</v>
      </c>
      <c r="L157" s="213" t="s">
        <v>6852</v>
      </c>
      <c r="M157" s="213" t="s">
        <v>6863</v>
      </c>
      <c r="N157" s="987"/>
      <c r="O157" s="987"/>
      <c r="P157" s="987"/>
      <c r="Q157" s="987"/>
      <c r="R157" s="987"/>
      <c r="S157" s="988" t="s">
        <v>4876</v>
      </c>
      <c r="T157" s="988" t="s">
        <v>4876</v>
      </c>
      <c r="U157" s="988" t="s">
        <v>4876</v>
      </c>
      <c r="V157" s="988" t="s">
        <v>4876</v>
      </c>
      <c r="W157" s="988" t="s">
        <v>4876</v>
      </c>
      <c r="X157" s="987"/>
      <c r="Y157" s="987"/>
      <c r="Z157" s="213" t="s">
        <v>6850</v>
      </c>
    </row>
    <row r="158" spans="1:26" ht="21" customHeight="1" x14ac:dyDescent="0.25">
      <c r="A158" s="213" t="s">
        <v>6880</v>
      </c>
      <c r="B158" s="213" t="s">
        <v>6879</v>
      </c>
      <c r="C158" s="992" t="s">
        <v>6879</v>
      </c>
      <c r="D158" s="213" t="s">
        <v>6867</v>
      </c>
      <c r="E158" s="213" t="s">
        <v>6876</v>
      </c>
      <c r="F158" s="991"/>
      <c r="G158" s="213" t="s">
        <v>6870</v>
      </c>
      <c r="H158" s="213" t="s">
        <v>6856</v>
      </c>
      <c r="I158" s="213" t="s">
        <v>6864</v>
      </c>
      <c r="J158" s="213" t="s">
        <v>6854</v>
      </c>
      <c r="K158" s="213" t="s">
        <v>6853</v>
      </c>
      <c r="L158" s="213" t="s">
        <v>6852</v>
      </c>
      <c r="M158" s="213" t="s">
        <v>6863</v>
      </c>
      <c r="N158" s="987"/>
      <c r="O158" s="987"/>
      <c r="P158" s="987"/>
      <c r="Q158" s="987"/>
      <c r="R158" s="987"/>
      <c r="S158" s="986" t="s">
        <v>4876</v>
      </c>
      <c r="T158" s="986" t="s">
        <v>4876</v>
      </c>
      <c r="U158" s="986" t="s">
        <v>4876</v>
      </c>
      <c r="V158" s="986" t="s">
        <v>4876</v>
      </c>
      <c r="W158" s="986" t="s">
        <v>4876</v>
      </c>
      <c r="X158" s="987"/>
      <c r="Y158" s="987"/>
      <c r="Z158" s="213" t="s">
        <v>6850</v>
      </c>
    </row>
    <row r="159" spans="1:26" ht="21" customHeight="1" x14ac:dyDescent="0.25">
      <c r="A159" s="213" t="s">
        <v>6878</v>
      </c>
      <c r="B159" s="213" t="s">
        <v>6877</v>
      </c>
      <c r="C159" s="992" t="s">
        <v>6877</v>
      </c>
      <c r="D159" s="213" t="s">
        <v>6867</v>
      </c>
      <c r="E159" s="213" t="s">
        <v>6876</v>
      </c>
      <c r="F159" s="991" t="s">
        <v>6875</v>
      </c>
      <c r="G159" s="213"/>
      <c r="H159" s="213" t="s">
        <v>6856</v>
      </c>
      <c r="I159" s="213" t="s">
        <v>6864</v>
      </c>
      <c r="J159" s="213" t="s">
        <v>6874</v>
      </c>
      <c r="K159" s="213" t="s">
        <v>6853</v>
      </c>
      <c r="L159" s="213" t="s">
        <v>6852</v>
      </c>
      <c r="M159" s="213" t="s">
        <v>6863</v>
      </c>
      <c r="N159" s="987"/>
      <c r="O159" s="987"/>
      <c r="P159" s="987"/>
      <c r="Q159" s="987"/>
      <c r="R159" s="987"/>
      <c r="S159" s="988" t="s">
        <v>4876</v>
      </c>
      <c r="T159" s="988" t="s">
        <v>4876</v>
      </c>
      <c r="U159" s="988" t="s">
        <v>4876</v>
      </c>
      <c r="V159" s="988" t="s">
        <v>4876</v>
      </c>
      <c r="W159" s="988" t="s">
        <v>4876</v>
      </c>
      <c r="X159" s="987"/>
      <c r="Y159" s="987"/>
      <c r="Z159" s="213" t="s">
        <v>6850</v>
      </c>
    </row>
    <row r="160" spans="1:26" ht="21" customHeight="1" x14ac:dyDescent="0.25">
      <c r="A160" s="213" t="s">
        <v>6873</v>
      </c>
      <c r="B160" s="213" t="s">
        <v>6872</v>
      </c>
      <c r="C160" s="992" t="s">
        <v>6872</v>
      </c>
      <c r="D160" s="213" t="s">
        <v>6867</v>
      </c>
      <c r="E160" s="213" t="s">
        <v>6871</v>
      </c>
      <c r="F160" s="991"/>
      <c r="G160" s="213" t="s">
        <v>6870</v>
      </c>
      <c r="H160" s="213" t="s">
        <v>6856</v>
      </c>
      <c r="I160" s="213" t="s">
        <v>6864</v>
      </c>
      <c r="J160" s="213" t="s">
        <v>6854</v>
      </c>
      <c r="K160" s="213" t="s">
        <v>6853</v>
      </c>
      <c r="L160" s="213" t="s">
        <v>6852</v>
      </c>
      <c r="M160" s="213" t="s">
        <v>6863</v>
      </c>
      <c r="N160" s="987"/>
      <c r="O160" s="987"/>
      <c r="P160" s="987"/>
      <c r="Q160" s="987"/>
      <c r="R160" s="987"/>
      <c r="S160" s="986" t="s">
        <v>4876</v>
      </c>
      <c r="T160" s="986" t="s">
        <v>4876</v>
      </c>
      <c r="U160" s="986" t="s">
        <v>4876</v>
      </c>
      <c r="V160" s="986" t="s">
        <v>4876</v>
      </c>
      <c r="W160" s="986" t="s">
        <v>4876</v>
      </c>
      <c r="X160" s="987"/>
      <c r="Y160" s="987"/>
      <c r="Z160" s="213" t="s">
        <v>6850</v>
      </c>
    </row>
    <row r="161" spans="1:26" ht="21" customHeight="1" x14ac:dyDescent="0.25">
      <c r="A161" s="213" t="s">
        <v>6869</v>
      </c>
      <c r="B161" s="213" t="s">
        <v>6868</v>
      </c>
      <c r="C161" s="990" t="s">
        <v>6868</v>
      </c>
      <c r="D161" s="213" t="s">
        <v>6867</v>
      </c>
      <c r="E161" s="213" t="s">
        <v>6866</v>
      </c>
      <c r="F161" s="989" t="s">
        <v>6865</v>
      </c>
      <c r="G161" s="213"/>
      <c r="H161" s="213" t="s">
        <v>6856</v>
      </c>
      <c r="I161" s="213" t="s">
        <v>6864</v>
      </c>
      <c r="J161" s="213" t="s">
        <v>6854</v>
      </c>
      <c r="K161" s="213" t="s">
        <v>6853</v>
      </c>
      <c r="L161" s="213" t="s">
        <v>6852</v>
      </c>
      <c r="M161" s="213" t="s">
        <v>6863</v>
      </c>
      <c r="N161" s="987"/>
      <c r="O161" s="987"/>
      <c r="P161" s="987"/>
      <c r="Q161" s="987"/>
      <c r="R161" s="987"/>
      <c r="S161" s="988" t="s">
        <v>4876</v>
      </c>
      <c r="T161" s="988" t="s">
        <v>4876</v>
      </c>
      <c r="U161" s="988" t="s">
        <v>4876</v>
      </c>
      <c r="V161" s="988" t="s">
        <v>4876</v>
      </c>
      <c r="W161" s="988" t="s">
        <v>4876</v>
      </c>
      <c r="X161" s="987"/>
      <c r="Y161" s="987"/>
      <c r="Z161" s="213" t="s">
        <v>6850</v>
      </c>
    </row>
    <row r="162" spans="1:26" ht="21" customHeight="1" x14ac:dyDescent="0.25">
      <c r="A162" s="213" t="s">
        <v>6862</v>
      </c>
      <c r="B162" s="213" t="s">
        <v>6861</v>
      </c>
      <c r="C162" s="240" t="s">
        <v>6861</v>
      </c>
      <c r="D162" s="213" t="s">
        <v>6860</v>
      </c>
      <c r="E162" s="213" t="s">
        <v>6859</v>
      </c>
      <c r="F162" s="239" t="s">
        <v>6858</v>
      </c>
      <c r="G162" s="213" t="s">
        <v>6857</v>
      </c>
      <c r="H162" s="213" t="s">
        <v>6856</v>
      </c>
      <c r="I162" s="213" t="s">
        <v>6855</v>
      </c>
      <c r="J162" s="213" t="s">
        <v>6854</v>
      </c>
      <c r="K162" s="213" t="s">
        <v>6853</v>
      </c>
      <c r="L162" s="213" t="s">
        <v>6852</v>
      </c>
      <c r="M162" s="213" t="s">
        <v>6851</v>
      </c>
      <c r="N162" s="986" t="s">
        <v>4876</v>
      </c>
      <c r="O162" s="986" t="s">
        <v>4876</v>
      </c>
      <c r="P162" s="986" t="s">
        <v>4876</v>
      </c>
      <c r="Q162" s="987"/>
      <c r="R162" s="987"/>
      <c r="S162" s="987"/>
      <c r="T162" s="987"/>
      <c r="U162" s="987"/>
      <c r="V162" s="987"/>
      <c r="W162" s="987"/>
      <c r="X162" s="986" t="s">
        <v>4876</v>
      </c>
      <c r="Y162" s="986" t="s">
        <v>4876</v>
      </c>
      <c r="Z162" s="213" t="s">
        <v>6850</v>
      </c>
    </row>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A118-40B8-4F31-8F04-DE9D893D0150}">
  <dimension ref="B1:K1145"/>
  <sheetViews>
    <sheetView zoomScaleNormal="100" workbookViewId="0"/>
  </sheetViews>
  <sheetFormatPr baseColWidth="10" defaultColWidth="9" defaultRowHeight="15" x14ac:dyDescent="0.25"/>
  <cols>
    <col min="1" max="1" width="9" style="810"/>
    <col min="2" max="2" width="14" style="810" customWidth="1"/>
    <col min="3" max="3" width="10.5" style="810" customWidth="1"/>
    <col min="4" max="4" width="9" style="810" customWidth="1"/>
    <col min="5" max="5" width="26" style="810" customWidth="1"/>
    <col min="6" max="6" width="22" style="810" customWidth="1"/>
    <col min="7" max="7" width="32" style="810" customWidth="1"/>
    <col min="8" max="8" width="22" style="810" customWidth="1"/>
    <col min="9" max="9" width="56" style="810" customWidth="1"/>
    <col min="10" max="16384" width="9" style="810"/>
  </cols>
  <sheetData>
    <row r="1" spans="2:11" ht="39" customHeight="1" x14ac:dyDescent="0.25">
      <c r="B1" s="1128" t="s">
        <v>7448</v>
      </c>
      <c r="C1" s="1128" t="s">
        <v>7447</v>
      </c>
      <c r="D1" s="1128" t="s">
        <v>7343</v>
      </c>
      <c r="E1" s="1128" t="s">
        <v>7446</v>
      </c>
      <c r="F1" s="1128" t="s">
        <v>7366</v>
      </c>
      <c r="G1" s="1128" t="s">
        <v>7445</v>
      </c>
      <c r="H1" s="1128" t="s">
        <v>7336</v>
      </c>
      <c r="I1" s="1128" t="s">
        <v>5343</v>
      </c>
    </row>
    <row r="2" spans="2:11" ht="31.5" x14ac:dyDescent="0.25">
      <c r="B2" s="170" t="s">
        <v>7325</v>
      </c>
      <c r="C2" s="986" t="s">
        <v>4876</v>
      </c>
      <c r="D2" s="197" t="s">
        <v>7317</v>
      </c>
      <c r="E2" s="170" t="s">
        <v>7316</v>
      </c>
      <c r="F2" s="197" t="s">
        <v>521</v>
      </c>
      <c r="G2" s="197" t="s">
        <v>6974</v>
      </c>
      <c r="H2" s="197" t="s">
        <v>6856</v>
      </c>
      <c r="I2" s="197" t="s">
        <v>6851</v>
      </c>
      <c r="K2" s="1127" t="s">
        <v>7423</v>
      </c>
    </row>
    <row r="3" spans="2:11" ht="31.5" x14ac:dyDescent="0.25">
      <c r="B3" s="170" t="s">
        <v>7387</v>
      </c>
      <c r="C3" s="988" t="s">
        <v>4876</v>
      </c>
      <c r="D3" s="197" t="s">
        <v>7317</v>
      </c>
      <c r="E3" s="170" t="s">
        <v>7316</v>
      </c>
      <c r="F3" s="197" t="s">
        <v>521</v>
      </c>
      <c r="G3" s="197" t="s">
        <v>6974</v>
      </c>
      <c r="H3" s="197" t="s">
        <v>6856</v>
      </c>
      <c r="I3" s="197" t="s">
        <v>6851</v>
      </c>
      <c r="K3" s="1126" t="s">
        <v>7422</v>
      </c>
    </row>
    <row r="4" spans="2:11" ht="31.5" x14ac:dyDescent="0.25">
      <c r="B4" s="170" t="s">
        <v>7323</v>
      </c>
      <c r="C4" s="986" t="s">
        <v>4876</v>
      </c>
      <c r="D4" s="197" t="s">
        <v>7317</v>
      </c>
      <c r="E4" s="170" t="s">
        <v>7316</v>
      </c>
      <c r="F4" s="197" t="s">
        <v>521</v>
      </c>
      <c r="G4" s="197" t="s">
        <v>6974</v>
      </c>
      <c r="H4" s="197" t="s">
        <v>6856</v>
      </c>
      <c r="I4" s="197" t="s">
        <v>6851</v>
      </c>
    </row>
    <row r="5" spans="2:11" ht="31.5" x14ac:dyDescent="0.25">
      <c r="B5" s="170" t="s">
        <v>7394</v>
      </c>
      <c r="C5" s="170" t="s">
        <v>4904</v>
      </c>
      <c r="D5" s="197" t="s">
        <v>7315</v>
      </c>
      <c r="E5" s="170" t="s">
        <v>7314</v>
      </c>
      <c r="F5" s="197" t="s">
        <v>7072</v>
      </c>
      <c r="G5" s="197" t="s">
        <v>6893</v>
      </c>
      <c r="H5" s="197" t="s">
        <v>6980</v>
      </c>
      <c r="I5" s="197" t="s">
        <v>6977</v>
      </c>
    </row>
    <row r="6" spans="2:11" ht="31.5" x14ac:dyDescent="0.25">
      <c r="B6" s="170" t="s">
        <v>7393</v>
      </c>
      <c r="C6" s="170" t="s">
        <v>4904</v>
      </c>
      <c r="D6" s="197" t="s">
        <v>7315</v>
      </c>
      <c r="E6" s="170" t="s">
        <v>7314</v>
      </c>
      <c r="F6" s="197" t="s">
        <v>7072</v>
      </c>
      <c r="G6" s="197" t="s">
        <v>6893</v>
      </c>
      <c r="H6" s="197" t="s">
        <v>6980</v>
      </c>
      <c r="I6" s="197" t="s">
        <v>6977</v>
      </c>
    </row>
    <row r="7" spans="2:11" ht="31.5" x14ac:dyDescent="0.25">
      <c r="B7" s="170" t="s">
        <v>7328</v>
      </c>
      <c r="C7" s="170" t="s">
        <v>4904</v>
      </c>
      <c r="D7" s="197" t="s">
        <v>7315</v>
      </c>
      <c r="E7" s="170" t="s">
        <v>7314</v>
      </c>
      <c r="F7" s="197" t="s">
        <v>7072</v>
      </c>
      <c r="G7" s="197" t="s">
        <v>6893</v>
      </c>
      <c r="H7" s="197" t="s">
        <v>6980</v>
      </c>
      <c r="I7" s="197" t="s">
        <v>6977</v>
      </c>
    </row>
    <row r="8" spans="2:11" ht="31.5" x14ac:dyDescent="0.25">
      <c r="B8" s="170" t="s">
        <v>7390</v>
      </c>
      <c r="C8" s="170" t="s">
        <v>4904</v>
      </c>
      <c r="D8" s="197" t="s">
        <v>7315</v>
      </c>
      <c r="E8" s="170" t="s">
        <v>7314</v>
      </c>
      <c r="F8" s="197" t="s">
        <v>7072</v>
      </c>
      <c r="G8" s="197" t="s">
        <v>6893</v>
      </c>
      <c r="H8" s="197" t="s">
        <v>6980</v>
      </c>
      <c r="I8" s="197" t="s">
        <v>6977</v>
      </c>
    </row>
    <row r="9" spans="2:11" ht="31.5" x14ac:dyDescent="0.25">
      <c r="B9" s="170" t="s">
        <v>7326</v>
      </c>
      <c r="C9" s="988" t="s">
        <v>4876</v>
      </c>
      <c r="D9" s="197" t="s">
        <v>7315</v>
      </c>
      <c r="E9" s="170" t="s">
        <v>7314</v>
      </c>
      <c r="F9" s="197" t="s">
        <v>7072</v>
      </c>
      <c r="G9" s="197" t="s">
        <v>6893</v>
      </c>
      <c r="H9" s="197" t="s">
        <v>6980</v>
      </c>
      <c r="I9" s="197" t="s">
        <v>6977</v>
      </c>
    </row>
    <row r="10" spans="2:11" ht="31.5" x14ac:dyDescent="0.25">
      <c r="B10" s="170" t="s">
        <v>7325</v>
      </c>
      <c r="C10" s="986" t="s">
        <v>4876</v>
      </c>
      <c r="D10" s="197" t="s">
        <v>7315</v>
      </c>
      <c r="E10" s="170" t="s">
        <v>7314</v>
      </c>
      <c r="F10" s="197" t="s">
        <v>7072</v>
      </c>
      <c r="G10" s="197" t="s">
        <v>6893</v>
      </c>
      <c r="H10" s="197" t="s">
        <v>6980</v>
      </c>
      <c r="I10" s="197" t="s">
        <v>6977</v>
      </c>
    </row>
    <row r="11" spans="2:11" ht="31.5" x14ac:dyDescent="0.25">
      <c r="B11" s="170" t="s">
        <v>7387</v>
      </c>
      <c r="C11" s="988" t="s">
        <v>4876</v>
      </c>
      <c r="D11" s="197" t="s">
        <v>7315</v>
      </c>
      <c r="E11" s="170" t="s">
        <v>7314</v>
      </c>
      <c r="F11" s="197" t="s">
        <v>7072</v>
      </c>
      <c r="G11" s="197" t="s">
        <v>6893</v>
      </c>
      <c r="H11" s="197" t="s">
        <v>6980</v>
      </c>
      <c r="I11" s="197" t="s">
        <v>6977</v>
      </c>
    </row>
    <row r="12" spans="2:11" ht="31.5" x14ac:dyDescent="0.25">
      <c r="B12" s="170" t="s">
        <v>7323</v>
      </c>
      <c r="C12" s="986" t="s">
        <v>4876</v>
      </c>
      <c r="D12" s="197" t="s">
        <v>7315</v>
      </c>
      <c r="E12" s="170" t="s">
        <v>7314</v>
      </c>
      <c r="F12" s="197" t="s">
        <v>7072</v>
      </c>
      <c r="G12" s="197" t="s">
        <v>6893</v>
      </c>
      <c r="H12" s="197" t="s">
        <v>6980</v>
      </c>
      <c r="I12" s="197" t="s">
        <v>6977</v>
      </c>
    </row>
    <row r="13" spans="2:11" ht="31.5" x14ac:dyDescent="0.25">
      <c r="B13" s="170" t="s">
        <v>7385</v>
      </c>
      <c r="C13" s="170" t="s">
        <v>4904</v>
      </c>
      <c r="D13" s="197" t="s">
        <v>7315</v>
      </c>
      <c r="E13" s="170" t="s">
        <v>7314</v>
      </c>
      <c r="F13" s="197" t="s">
        <v>7072</v>
      </c>
      <c r="G13" s="197" t="s">
        <v>6893</v>
      </c>
      <c r="H13" s="197" t="s">
        <v>6980</v>
      </c>
      <c r="I13" s="197" t="s">
        <v>6977</v>
      </c>
    </row>
    <row r="14" spans="2:11" ht="31.5" x14ac:dyDescent="0.25">
      <c r="B14" s="170" t="s">
        <v>7382</v>
      </c>
      <c r="C14" s="170" t="s">
        <v>4904</v>
      </c>
      <c r="D14" s="197" t="s">
        <v>7315</v>
      </c>
      <c r="E14" s="170" t="s">
        <v>7314</v>
      </c>
      <c r="F14" s="197" t="s">
        <v>7072</v>
      </c>
      <c r="G14" s="197" t="s">
        <v>6893</v>
      </c>
      <c r="H14" s="197" t="s">
        <v>6980</v>
      </c>
      <c r="I14" s="197" t="s">
        <v>6977</v>
      </c>
    </row>
    <row r="15" spans="2:11" ht="31.5" x14ac:dyDescent="0.25">
      <c r="B15" s="170" t="s">
        <v>7381</v>
      </c>
      <c r="C15" s="170" t="s">
        <v>4904</v>
      </c>
      <c r="D15" s="197" t="s">
        <v>7315</v>
      </c>
      <c r="E15" s="170" t="s">
        <v>7314</v>
      </c>
      <c r="F15" s="197" t="s">
        <v>7072</v>
      </c>
      <c r="G15" s="197" t="s">
        <v>6893</v>
      </c>
      <c r="H15" s="197" t="s">
        <v>6980</v>
      </c>
      <c r="I15" s="197" t="s">
        <v>6977</v>
      </c>
    </row>
    <row r="16" spans="2:11" ht="31.5" x14ac:dyDescent="0.25">
      <c r="B16" s="170" t="s">
        <v>7380</v>
      </c>
      <c r="C16" s="170" t="s">
        <v>4904</v>
      </c>
      <c r="D16" s="197" t="s">
        <v>7315</v>
      </c>
      <c r="E16" s="170" t="s">
        <v>7314</v>
      </c>
      <c r="F16" s="197" t="s">
        <v>7072</v>
      </c>
      <c r="G16" s="197" t="s">
        <v>6893</v>
      </c>
      <c r="H16" s="197" t="s">
        <v>6980</v>
      </c>
      <c r="I16" s="197" t="s">
        <v>6977</v>
      </c>
    </row>
    <row r="17" spans="2:9" ht="31.5" x14ac:dyDescent="0.25">
      <c r="B17" s="170" t="s">
        <v>7394</v>
      </c>
      <c r="C17" s="170" t="s">
        <v>7100</v>
      </c>
      <c r="D17" s="197" t="s">
        <v>7312</v>
      </c>
      <c r="E17" s="170" t="s">
        <v>7311</v>
      </c>
      <c r="F17" s="197" t="s">
        <v>7104</v>
      </c>
      <c r="G17" s="197" t="s">
        <v>7002</v>
      </c>
      <c r="H17" s="197" t="s">
        <v>7103</v>
      </c>
      <c r="I17" s="197" t="s">
        <v>7101</v>
      </c>
    </row>
    <row r="18" spans="2:9" ht="31.5" x14ac:dyDescent="0.25">
      <c r="B18" s="170" t="s">
        <v>7393</v>
      </c>
      <c r="C18" s="170" t="s">
        <v>7100</v>
      </c>
      <c r="D18" s="197" t="s">
        <v>7312</v>
      </c>
      <c r="E18" s="170" t="s">
        <v>7311</v>
      </c>
      <c r="F18" s="197" t="s">
        <v>7104</v>
      </c>
      <c r="G18" s="197" t="s">
        <v>7002</v>
      </c>
      <c r="H18" s="197" t="s">
        <v>7103</v>
      </c>
      <c r="I18" s="197" t="s">
        <v>7101</v>
      </c>
    </row>
    <row r="19" spans="2:9" ht="31.5" x14ac:dyDescent="0.25">
      <c r="B19" s="170" t="s">
        <v>7328</v>
      </c>
      <c r="C19" s="170" t="s">
        <v>7100</v>
      </c>
      <c r="D19" s="197" t="s">
        <v>7312</v>
      </c>
      <c r="E19" s="170" t="s">
        <v>7311</v>
      </c>
      <c r="F19" s="197" t="s">
        <v>7104</v>
      </c>
      <c r="G19" s="197" t="s">
        <v>7002</v>
      </c>
      <c r="H19" s="197" t="s">
        <v>7103</v>
      </c>
      <c r="I19" s="197" t="s">
        <v>7101</v>
      </c>
    </row>
    <row r="20" spans="2:9" ht="31.5" x14ac:dyDescent="0.25">
      <c r="B20" s="170" t="s">
        <v>7390</v>
      </c>
      <c r="C20" s="170" t="s">
        <v>7100</v>
      </c>
      <c r="D20" s="197" t="s">
        <v>7312</v>
      </c>
      <c r="E20" s="170" t="s">
        <v>7311</v>
      </c>
      <c r="F20" s="197" t="s">
        <v>7104</v>
      </c>
      <c r="G20" s="197" t="s">
        <v>7002</v>
      </c>
      <c r="H20" s="197" t="s">
        <v>7103</v>
      </c>
      <c r="I20" s="197" t="s">
        <v>7101</v>
      </c>
    </row>
    <row r="21" spans="2:9" ht="31.5" x14ac:dyDescent="0.25">
      <c r="B21" s="170" t="s">
        <v>7326</v>
      </c>
      <c r="C21" s="170" t="s">
        <v>7100</v>
      </c>
      <c r="D21" s="197" t="s">
        <v>7312</v>
      </c>
      <c r="E21" s="170" t="s">
        <v>7311</v>
      </c>
      <c r="F21" s="197" t="s">
        <v>7104</v>
      </c>
      <c r="G21" s="197" t="s">
        <v>7002</v>
      </c>
      <c r="H21" s="197" t="s">
        <v>7103</v>
      </c>
      <c r="I21" s="197" t="s">
        <v>7101</v>
      </c>
    </row>
    <row r="22" spans="2:9" ht="31.5" x14ac:dyDescent="0.25">
      <c r="B22" s="170" t="s">
        <v>7325</v>
      </c>
      <c r="C22" s="170" t="s">
        <v>7100</v>
      </c>
      <c r="D22" s="197" t="s">
        <v>7312</v>
      </c>
      <c r="E22" s="170" t="s">
        <v>7311</v>
      </c>
      <c r="F22" s="197" t="s">
        <v>7104</v>
      </c>
      <c r="G22" s="197" t="s">
        <v>7002</v>
      </c>
      <c r="H22" s="197" t="s">
        <v>7103</v>
      </c>
      <c r="I22" s="197" t="s">
        <v>7101</v>
      </c>
    </row>
    <row r="23" spans="2:9" ht="31.5" x14ac:dyDescent="0.25">
      <c r="B23" s="170" t="s">
        <v>7387</v>
      </c>
      <c r="C23" s="170" t="s">
        <v>7100</v>
      </c>
      <c r="D23" s="197" t="s">
        <v>7312</v>
      </c>
      <c r="E23" s="170" t="s">
        <v>7311</v>
      </c>
      <c r="F23" s="197" t="s">
        <v>7104</v>
      </c>
      <c r="G23" s="197" t="s">
        <v>7002</v>
      </c>
      <c r="H23" s="197" t="s">
        <v>7103</v>
      </c>
      <c r="I23" s="197" t="s">
        <v>7101</v>
      </c>
    </row>
    <row r="24" spans="2:9" ht="31.5" x14ac:dyDescent="0.25">
      <c r="B24" s="170" t="s">
        <v>7323</v>
      </c>
      <c r="C24" s="170" t="s">
        <v>7100</v>
      </c>
      <c r="D24" s="197" t="s">
        <v>7312</v>
      </c>
      <c r="E24" s="170" t="s">
        <v>7311</v>
      </c>
      <c r="F24" s="197" t="s">
        <v>7104</v>
      </c>
      <c r="G24" s="197" t="s">
        <v>7002</v>
      </c>
      <c r="H24" s="197" t="s">
        <v>7103</v>
      </c>
      <c r="I24" s="197" t="s">
        <v>7101</v>
      </c>
    </row>
    <row r="25" spans="2:9" ht="31.5" x14ac:dyDescent="0.25">
      <c r="B25" s="170" t="s">
        <v>7385</v>
      </c>
      <c r="C25" s="170" t="s">
        <v>7100</v>
      </c>
      <c r="D25" s="197" t="s">
        <v>7312</v>
      </c>
      <c r="E25" s="170" t="s">
        <v>7311</v>
      </c>
      <c r="F25" s="197" t="s">
        <v>7104</v>
      </c>
      <c r="G25" s="197" t="s">
        <v>7002</v>
      </c>
      <c r="H25" s="197" t="s">
        <v>7103</v>
      </c>
      <c r="I25" s="197" t="s">
        <v>7101</v>
      </c>
    </row>
    <row r="26" spans="2:9" ht="31.5" x14ac:dyDescent="0.25">
      <c r="B26" s="170" t="s">
        <v>7382</v>
      </c>
      <c r="C26" s="170" t="s">
        <v>7100</v>
      </c>
      <c r="D26" s="197" t="s">
        <v>7312</v>
      </c>
      <c r="E26" s="170" t="s">
        <v>7311</v>
      </c>
      <c r="F26" s="197" t="s">
        <v>7104</v>
      </c>
      <c r="G26" s="197" t="s">
        <v>7002</v>
      </c>
      <c r="H26" s="197" t="s">
        <v>7103</v>
      </c>
      <c r="I26" s="197" t="s">
        <v>7101</v>
      </c>
    </row>
    <row r="27" spans="2:9" ht="31.5" x14ac:dyDescent="0.25">
      <c r="B27" s="170" t="s">
        <v>7381</v>
      </c>
      <c r="C27" s="170" t="s">
        <v>7100</v>
      </c>
      <c r="D27" s="197" t="s">
        <v>7312</v>
      </c>
      <c r="E27" s="170" t="s">
        <v>7311</v>
      </c>
      <c r="F27" s="197" t="s">
        <v>7104</v>
      </c>
      <c r="G27" s="197" t="s">
        <v>7002</v>
      </c>
      <c r="H27" s="197" t="s">
        <v>7103</v>
      </c>
      <c r="I27" s="197" t="s">
        <v>7101</v>
      </c>
    </row>
    <row r="28" spans="2:9" ht="31.5" x14ac:dyDescent="0.25">
      <c r="B28" s="170" t="s">
        <v>7380</v>
      </c>
      <c r="C28" s="170" t="s">
        <v>7100</v>
      </c>
      <c r="D28" s="197" t="s">
        <v>7312</v>
      </c>
      <c r="E28" s="170" t="s">
        <v>7311</v>
      </c>
      <c r="F28" s="197" t="s">
        <v>7104</v>
      </c>
      <c r="G28" s="197" t="s">
        <v>7002</v>
      </c>
      <c r="H28" s="197" t="s">
        <v>7103</v>
      </c>
      <c r="I28" s="197" t="s">
        <v>7101</v>
      </c>
    </row>
    <row r="29" spans="2:9" ht="31.5" x14ac:dyDescent="0.25">
      <c r="B29" s="170" t="s">
        <v>7385</v>
      </c>
      <c r="C29" s="988" t="s">
        <v>4876</v>
      </c>
      <c r="D29" s="197" t="s">
        <v>7310</v>
      </c>
      <c r="E29" s="170" t="s">
        <v>7309</v>
      </c>
      <c r="F29" s="197" t="s">
        <v>521</v>
      </c>
      <c r="G29" s="197" t="s">
        <v>6974</v>
      </c>
      <c r="H29" s="197" t="s">
        <v>6856</v>
      </c>
      <c r="I29" s="197" t="s">
        <v>6851</v>
      </c>
    </row>
    <row r="30" spans="2:9" ht="31.5" x14ac:dyDescent="0.25">
      <c r="B30" s="170" t="s">
        <v>7382</v>
      </c>
      <c r="C30" s="986" t="s">
        <v>4876</v>
      </c>
      <c r="D30" s="197" t="s">
        <v>7310</v>
      </c>
      <c r="E30" s="170" t="s">
        <v>7309</v>
      </c>
      <c r="F30" s="197" t="s">
        <v>521</v>
      </c>
      <c r="G30" s="197" t="s">
        <v>6974</v>
      </c>
      <c r="H30" s="197" t="s">
        <v>6856</v>
      </c>
      <c r="I30" s="197" t="s">
        <v>6851</v>
      </c>
    </row>
    <row r="31" spans="2:9" ht="31.5" x14ac:dyDescent="0.25">
      <c r="B31" s="170" t="s">
        <v>7381</v>
      </c>
      <c r="C31" s="988" t="s">
        <v>4876</v>
      </c>
      <c r="D31" s="197" t="s">
        <v>7310</v>
      </c>
      <c r="E31" s="170" t="s">
        <v>7309</v>
      </c>
      <c r="F31" s="197" t="s">
        <v>521</v>
      </c>
      <c r="G31" s="197" t="s">
        <v>6974</v>
      </c>
      <c r="H31" s="197" t="s">
        <v>6856</v>
      </c>
      <c r="I31" s="197" t="s">
        <v>6851</v>
      </c>
    </row>
    <row r="32" spans="2:9" ht="31.5" x14ac:dyDescent="0.25">
      <c r="B32" s="170" t="s">
        <v>7326</v>
      </c>
      <c r="C32" s="986" t="s">
        <v>4876</v>
      </c>
      <c r="D32" s="197" t="s">
        <v>7308</v>
      </c>
      <c r="E32" s="170" t="s">
        <v>7307</v>
      </c>
      <c r="F32" s="197" t="s">
        <v>6860</v>
      </c>
      <c r="G32" s="197" t="s">
        <v>6982</v>
      </c>
      <c r="H32" s="197" t="s">
        <v>6856</v>
      </c>
      <c r="I32" s="197" t="s">
        <v>6851</v>
      </c>
    </row>
    <row r="33" spans="2:9" ht="31.5" x14ac:dyDescent="0.25">
      <c r="B33" s="170" t="s">
        <v>7325</v>
      </c>
      <c r="C33" s="988" t="s">
        <v>4876</v>
      </c>
      <c r="D33" s="197" t="s">
        <v>7308</v>
      </c>
      <c r="E33" s="170" t="s">
        <v>7307</v>
      </c>
      <c r="F33" s="197" t="s">
        <v>6860</v>
      </c>
      <c r="G33" s="197" t="s">
        <v>6982</v>
      </c>
      <c r="H33" s="197" t="s">
        <v>6856</v>
      </c>
      <c r="I33" s="197" t="s">
        <v>6851</v>
      </c>
    </row>
    <row r="34" spans="2:9" ht="31.5" x14ac:dyDescent="0.25">
      <c r="B34" s="170" t="s">
        <v>7387</v>
      </c>
      <c r="C34" s="986" t="s">
        <v>4876</v>
      </c>
      <c r="D34" s="197" t="s">
        <v>7308</v>
      </c>
      <c r="E34" s="170" t="s">
        <v>7307</v>
      </c>
      <c r="F34" s="197" t="s">
        <v>6860</v>
      </c>
      <c r="G34" s="197" t="s">
        <v>6982</v>
      </c>
      <c r="H34" s="197" t="s">
        <v>6856</v>
      </c>
      <c r="I34" s="197" t="s">
        <v>6851</v>
      </c>
    </row>
    <row r="35" spans="2:9" ht="31.5" x14ac:dyDescent="0.25">
      <c r="B35" s="170" t="s">
        <v>7323</v>
      </c>
      <c r="C35" s="988" t="s">
        <v>4876</v>
      </c>
      <c r="D35" s="197" t="s">
        <v>7308</v>
      </c>
      <c r="E35" s="170" t="s">
        <v>7307</v>
      </c>
      <c r="F35" s="197" t="s">
        <v>6860</v>
      </c>
      <c r="G35" s="197" t="s">
        <v>6982</v>
      </c>
      <c r="H35" s="197" t="s">
        <v>6856</v>
      </c>
      <c r="I35" s="197" t="s">
        <v>6851</v>
      </c>
    </row>
    <row r="36" spans="2:9" ht="31.5" x14ac:dyDescent="0.25">
      <c r="B36" s="170" t="s">
        <v>7385</v>
      </c>
      <c r="C36" s="986" t="s">
        <v>4876</v>
      </c>
      <c r="D36" s="197" t="s">
        <v>7308</v>
      </c>
      <c r="E36" s="170" t="s">
        <v>7307</v>
      </c>
      <c r="F36" s="197" t="s">
        <v>6860</v>
      </c>
      <c r="G36" s="197" t="s">
        <v>6982</v>
      </c>
      <c r="H36" s="197" t="s">
        <v>6856</v>
      </c>
      <c r="I36" s="197" t="s">
        <v>6851</v>
      </c>
    </row>
    <row r="37" spans="2:9" ht="31.5" x14ac:dyDescent="0.25">
      <c r="B37" s="170" t="s">
        <v>7382</v>
      </c>
      <c r="C37" s="988" t="s">
        <v>4876</v>
      </c>
      <c r="D37" s="197" t="s">
        <v>7308</v>
      </c>
      <c r="E37" s="170" t="s">
        <v>7307</v>
      </c>
      <c r="F37" s="197" t="s">
        <v>6860</v>
      </c>
      <c r="G37" s="197" t="s">
        <v>6982</v>
      </c>
      <c r="H37" s="197" t="s">
        <v>6856</v>
      </c>
      <c r="I37" s="197" t="s">
        <v>6851</v>
      </c>
    </row>
    <row r="38" spans="2:9" ht="31.5" x14ac:dyDescent="0.25">
      <c r="B38" s="170" t="s">
        <v>7381</v>
      </c>
      <c r="C38" s="986" t="s">
        <v>4876</v>
      </c>
      <c r="D38" s="197" t="s">
        <v>7308</v>
      </c>
      <c r="E38" s="170" t="s">
        <v>7307</v>
      </c>
      <c r="F38" s="197" t="s">
        <v>6860</v>
      </c>
      <c r="G38" s="197" t="s">
        <v>6982</v>
      </c>
      <c r="H38" s="197" t="s">
        <v>6856</v>
      </c>
      <c r="I38" s="197" t="s">
        <v>6851</v>
      </c>
    </row>
    <row r="39" spans="2:9" ht="31.5" x14ac:dyDescent="0.25">
      <c r="B39" s="170" t="s">
        <v>7390</v>
      </c>
      <c r="C39" s="988" t="s">
        <v>4876</v>
      </c>
      <c r="D39" s="197" t="s">
        <v>7305</v>
      </c>
      <c r="E39" s="170" t="s">
        <v>7304</v>
      </c>
      <c r="F39" s="197" t="s">
        <v>6860</v>
      </c>
      <c r="G39" s="197" t="s">
        <v>7037</v>
      </c>
      <c r="H39" s="197" t="s">
        <v>6856</v>
      </c>
      <c r="I39" s="197" t="s">
        <v>6851</v>
      </c>
    </row>
    <row r="40" spans="2:9" ht="31.5" x14ac:dyDescent="0.25">
      <c r="B40" s="170" t="s">
        <v>7326</v>
      </c>
      <c r="C40" s="986" t="s">
        <v>4876</v>
      </c>
      <c r="D40" s="197" t="s">
        <v>7305</v>
      </c>
      <c r="E40" s="170" t="s">
        <v>7304</v>
      </c>
      <c r="F40" s="197" t="s">
        <v>6860</v>
      </c>
      <c r="G40" s="197" t="s">
        <v>7037</v>
      </c>
      <c r="H40" s="197" t="s">
        <v>6856</v>
      </c>
      <c r="I40" s="197" t="s">
        <v>6851</v>
      </c>
    </row>
    <row r="41" spans="2:9" ht="31.5" x14ac:dyDescent="0.25">
      <c r="B41" s="170" t="s">
        <v>7325</v>
      </c>
      <c r="C41" s="988" t="s">
        <v>4876</v>
      </c>
      <c r="D41" s="197" t="s">
        <v>7305</v>
      </c>
      <c r="E41" s="170" t="s">
        <v>7304</v>
      </c>
      <c r="F41" s="197" t="s">
        <v>6860</v>
      </c>
      <c r="G41" s="197" t="s">
        <v>7037</v>
      </c>
      <c r="H41" s="197" t="s">
        <v>6856</v>
      </c>
      <c r="I41" s="197" t="s">
        <v>6851</v>
      </c>
    </row>
    <row r="42" spans="2:9" ht="31.5" x14ac:dyDescent="0.25">
      <c r="B42" s="170" t="s">
        <v>7390</v>
      </c>
      <c r="C42" s="986" t="s">
        <v>4876</v>
      </c>
      <c r="D42" s="197" t="s">
        <v>7303</v>
      </c>
      <c r="E42" s="170" t="s">
        <v>7302</v>
      </c>
      <c r="F42" s="197" t="s">
        <v>6860</v>
      </c>
      <c r="G42" s="197" t="s">
        <v>7037</v>
      </c>
      <c r="H42" s="197" t="s">
        <v>6856</v>
      </c>
      <c r="I42" s="197" t="s">
        <v>6851</v>
      </c>
    </row>
    <row r="43" spans="2:9" ht="31.5" x14ac:dyDescent="0.25">
      <c r="B43" s="170" t="s">
        <v>7326</v>
      </c>
      <c r="C43" s="988" t="s">
        <v>4876</v>
      </c>
      <c r="D43" s="197" t="s">
        <v>7303</v>
      </c>
      <c r="E43" s="170" t="s">
        <v>7302</v>
      </c>
      <c r="F43" s="197" t="s">
        <v>6860</v>
      </c>
      <c r="G43" s="197" t="s">
        <v>7037</v>
      </c>
      <c r="H43" s="197" t="s">
        <v>6856</v>
      </c>
      <c r="I43" s="197" t="s">
        <v>6851</v>
      </c>
    </row>
    <row r="44" spans="2:9" ht="31.5" x14ac:dyDescent="0.25">
      <c r="B44" s="170" t="s">
        <v>7325</v>
      </c>
      <c r="C44" s="986" t="s">
        <v>4876</v>
      </c>
      <c r="D44" s="197" t="s">
        <v>7303</v>
      </c>
      <c r="E44" s="170" t="s">
        <v>7302</v>
      </c>
      <c r="F44" s="197" t="s">
        <v>6860</v>
      </c>
      <c r="G44" s="197" t="s">
        <v>7037</v>
      </c>
      <c r="H44" s="197" t="s">
        <v>6856</v>
      </c>
      <c r="I44" s="197" t="s">
        <v>6851</v>
      </c>
    </row>
    <row r="45" spans="2:9" ht="31.5" x14ac:dyDescent="0.25">
      <c r="B45" s="170" t="s">
        <v>7325</v>
      </c>
      <c r="C45" s="988" t="s">
        <v>4876</v>
      </c>
      <c r="D45" s="197" t="s">
        <v>7300</v>
      </c>
      <c r="E45" s="170" t="s">
        <v>7299</v>
      </c>
      <c r="F45" s="197" t="s">
        <v>6867</v>
      </c>
      <c r="G45" s="197" t="s">
        <v>6902</v>
      </c>
      <c r="H45" s="197" t="s">
        <v>6856</v>
      </c>
      <c r="I45" s="197" t="s">
        <v>6851</v>
      </c>
    </row>
    <row r="46" spans="2:9" ht="31.5" x14ac:dyDescent="0.25">
      <c r="B46" s="170" t="s">
        <v>7387</v>
      </c>
      <c r="C46" s="986" t="s">
        <v>4876</v>
      </c>
      <c r="D46" s="197" t="s">
        <v>7300</v>
      </c>
      <c r="E46" s="170" t="s">
        <v>7299</v>
      </c>
      <c r="F46" s="197" t="s">
        <v>6867</v>
      </c>
      <c r="G46" s="197" t="s">
        <v>6902</v>
      </c>
      <c r="H46" s="197" t="s">
        <v>6856</v>
      </c>
      <c r="I46" s="197" t="s">
        <v>6851</v>
      </c>
    </row>
    <row r="47" spans="2:9" ht="31.5" x14ac:dyDescent="0.25">
      <c r="B47" s="170" t="s">
        <v>7323</v>
      </c>
      <c r="C47" s="988" t="s">
        <v>4876</v>
      </c>
      <c r="D47" s="197" t="s">
        <v>7300</v>
      </c>
      <c r="E47" s="170" t="s">
        <v>7299</v>
      </c>
      <c r="F47" s="197" t="s">
        <v>6867</v>
      </c>
      <c r="G47" s="197" t="s">
        <v>6902</v>
      </c>
      <c r="H47" s="197" t="s">
        <v>6856</v>
      </c>
      <c r="I47" s="197" t="s">
        <v>6851</v>
      </c>
    </row>
    <row r="48" spans="2:9" ht="31.5" x14ac:dyDescent="0.25">
      <c r="B48" s="170" t="s">
        <v>7385</v>
      </c>
      <c r="C48" s="986" t="s">
        <v>4876</v>
      </c>
      <c r="D48" s="197" t="s">
        <v>7300</v>
      </c>
      <c r="E48" s="170" t="s">
        <v>7299</v>
      </c>
      <c r="F48" s="197" t="s">
        <v>6867</v>
      </c>
      <c r="G48" s="197" t="s">
        <v>6902</v>
      </c>
      <c r="H48" s="197" t="s">
        <v>6856</v>
      </c>
      <c r="I48" s="197" t="s">
        <v>6851</v>
      </c>
    </row>
    <row r="49" spans="2:9" ht="31.5" x14ac:dyDescent="0.25">
      <c r="B49" s="170" t="s">
        <v>7382</v>
      </c>
      <c r="C49" s="988" t="s">
        <v>4876</v>
      </c>
      <c r="D49" s="197" t="s">
        <v>7300</v>
      </c>
      <c r="E49" s="170" t="s">
        <v>7299</v>
      </c>
      <c r="F49" s="197" t="s">
        <v>6867</v>
      </c>
      <c r="G49" s="197" t="s">
        <v>6902</v>
      </c>
      <c r="H49" s="197" t="s">
        <v>6856</v>
      </c>
      <c r="I49" s="197" t="s">
        <v>6851</v>
      </c>
    </row>
    <row r="50" spans="2:9" ht="31.5" x14ac:dyDescent="0.25">
      <c r="B50" s="170" t="s">
        <v>7394</v>
      </c>
      <c r="C50" s="170" t="s">
        <v>7100</v>
      </c>
      <c r="D50" s="197" t="s">
        <v>7298</v>
      </c>
      <c r="E50" s="170" t="s">
        <v>7297</v>
      </c>
      <c r="F50" s="197" t="s">
        <v>7104</v>
      </c>
      <c r="G50" s="197" t="s">
        <v>6866</v>
      </c>
      <c r="H50" s="197" t="s">
        <v>7103</v>
      </c>
      <c r="I50" s="197" t="s">
        <v>7101</v>
      </c>
    </row>
    <row r="51" spans="2:9" ht="31.5" x14ac:dyDescent="0.25">
      <c r="B51" s="170" t="s">
        <v>7393</v>
      </c>
      <c r="C51" s="170" t="s">
        <v>7100</v>
      </c>
      <c r="D51" s="197" t="s">
        <v>7298</v>
      </c>
      <c r="E51" s="170" t="s">
        <v>7297</v>
      </c>
      <c r="F51" s="197" t="s">
        <v>7104</v>
      </c>
      <c r="G51" s="197" t="s">
        <v>6866</v>
      </c>
      <c r="H51" s="197" t="s">
        <v>7103</v>
      </c>
      <c r="I51" s="197" t="s">
        <v>7101</v>
      </c>
    </row>
    <row r="52" spans="2:9" ht="31.5" x14ac:dyDescent="0.25">
      <c r="B52" s="170" t="s">
        <v>7328</v>
      </c>
      <c r="C52" s="170" t="s">
        <v>7100</v>
      </c>
      <c r="D52" s="197" t="s">
        <v>7298</v>
      </c>
      <c r="E52" s="170" t="s">
        <v>7297</v>
      </c>
      <c r="F52" s="197" t="s">
        <v>7104</v>
      </c>
      <c r="G52" s="197" t="s">
        <v>6866</v>
      </c>
      <c r="H52" s="197" t="s">
        <v>7103</v>
      </c>
      <c r="I52" s="197" t="s">
        <v>7101</v>
      </c>
    </row>
    <row r="53" spans="2:9" ht="31.5" x14ac:dyDescent="0.25">
      <c r="B53" s="170" t="s">
        <v>7390</v>
      </c>
      <c r="C53" s="170" t="s">
        <v>7100</v>
      </c>
      <c r="D53" s="197" t="s">
        <v>7298</v>
      </c>
      <c r="E53" s="170" t="s">
        <v>7297</v>
      </c>
      <c r="F53" s="197" t="s">
        <v>7104</v>
      </c>
      <c r="G53" s="197" t="s">
        <v>6866</v>
      </c>
      <c r="H53" s="197" t="s">
        <v>7103</v>
      </c>
      <c r="I53" s="197" t="s">
        <v>7101</v>
      </c>
    </row>
    <row r="54" spans="2:9" ht="31.5" x14ac:dyDescent="0.25">
      <c r="B54" s="170" t="s">
        <v>7326</v>
      </c>
      <c r="C54" s="170" t="s">
        <v>7100</v>
      </c>
      <c r="D54" s="197" t="s">
        <v>7298</v>
      </c>
      <c r="E54" s="170" t="s">
        <v>7297</v>
      </c>
      <c r="F54" s="197" t="s">
        <v>7104</v>
      </c>
      <c r="G54" s="197" t="s">
        <v>6866</v>
      </c>
      <c r="H54" s="197" t="s">
        <v>7103</v>
      </c>
      <c r="I54" s="197" t="s">
        <v>7101</v>
      </c>
    </row>
    <row r="55" spans="2:9" ht="31.5" x14ac:dyDescent="0.25">
      <c r="B55" s="170" t="s">
        <v>7325</v>
      </c>
      <c r="C55" s="170" t="s">
        <v>7100</v>
      </c>
      <c r="D55" s="197" t="s">
        <v>7298</v>
      </c>
      <c r="E55" s="170" t="s">
        <v>7297</v>
      </c>
      <c r="F55" s="197" t="s">
        <v>7104</v>
      </c>
      <c r="G55" s="197" t="s">
        <v>6866</v>
      </c>
      <c r="H55" s="197" t="s">
        <v>7103</v>
      </c>
      <c r="I55" s="197" t="s">
        <v>7101</v>
      </c>
    </row>
    <row r="56" spans="2:9" ht="31.5" x14ac:dyDescent="0.25">
      <c r="B56" s="170" t="s">
        <v>7387</v>
      </c>
      <c r="C56" s="170" t="s">
        <v>7100</v>
      </c>
      <c r="D56" s="197" t="s">
        <v>7298</v>
      </c>
      <c r="E56" s="170" t="s">
        <v>7297</v>
      </c>
      <c r="F56" s="197" t="s">
        <v>7104</v>
      </c>
      <c r="G56" s="197" t="s">
        <v>6866</v>
      </c>
      <c r="H56" s="197" t="s">
        <v>7103</v>
      </c>
      <c r="I56" s="197" t="s">
        <v>7101</v>
      </c>
    </row>
    <row r="57" spans="2:9" ht="31.5" x14ac:dyDescent="0.25">
      <c r="B57" s="170" t="s">
        <v>7323</v>
      </c>
      <c r="C57" s="170" t="s">
        <v>7100</v>
      </c>
      <c r="D57" s="197" t="s">
        <v>7298</v>
      </c>
      <c r="E57" s="170" t="s">
        <v>7297</v>
      </c>
      <c r="F57" s="197" t="s">
        <v>7104</v>
      </c>
      <c r="G57" s="197" t="s">
        <v>6866</v>
      </c>
      <c r="H57" s="197" t="s">
        <v>7103</v>
      </c>
      <c r="I57" s="197" t="s">
        <v>7101</v>
      </c>
    </row>
    <row r="58" spans="2:9" ht="31.5" x14ac:dyDescent="0.25">
      <c r="B58" s="170" t="s">
        <v>7385</v>
      </c>
      <c r="C58" s="170" t="s">
        <v>7100</v>
      </c>
      <c r="D58" s="197" t="s">
        <v>7298</v>
      </c>
      <c r="E58" s="170" t="s">
        <v>7297</v>
      </c>
      <c r="F58" s="197" t="s">
        <v>7104</v>
      </c>
      <c r="G58" s="197" t="s">
        <v>6866</v>
      </c>
      <c r="H58" s="197" t="s">
        <v>7103</v>
      </c>
      <c r="I58" s="197" t="s">
        <v>7101</v>
      </c>
    </row>
    <row r="59" spans="2:9" ht="31.5" x14ac:dyDescent="0.25">
      <c r="B59" s="170" t="s">
        <v>7382</v>
      </c>
      <c r="C59" s="170" t="s">
        <v>7100</v>
      </c>
      <c r="D59" s="197" t="s">
        <v>7298</v>
      </c>
      <c r="E59" s="170" t="s">
        <v>7297</v>
      </c>
      <c r="F59" s="197" t="s">
        <v>7104</v>
      </c>
      <c r="G59" s="197" t="s">
        <v>6866</v>
      </c>
      <c r="H59" s="197" t="s">
        <v>7103</v>
      </c>
      <c r="I59" s="197" t="s">
        <v>7101</v>
      </c>
    </row>
    <row r="60" spans="2:9" ht="31.5" x14ac:dyDescent="0.25">
      <c r="B60" s="170" t="s">
        <v>7381</v>
      </c>
      <c r="C60" s="170" t="s">
        <v>7100</v>
      </c>
      <c r="D60" s="197" t="s">
        <v>7298</v>
      </c>
      <c r="E60" s="170" t="s">
        <v>7297</v>
      </c>
      <c r="F60" s="197" t="s">
        <v>7104</v>
      </c>
      <c r="G60" s="197" t="s">
        <v>6866</v>
      </c>
      <c r="H60" s="197" t="s">
        <v>7103</v>
      </c>
      <c r="I60" s="197" t="s">
        <v>7101</v>
      </c>
    </row>
    <row r="61" spans="2:9" ht="31.5" x14ac:dyDescent="0.25">
      <c r="B61" s="170" t="s">
        <v>7380</v>
      </c>
      <c r="C61" s="170" t="s">
        <v>7100</v>
      </c>
      <c r="D61" s="197" t="s">
        <v>7298</v>
      </c>
      <c r="E61" s="170" t="s">
        <v>7297</v>
      </c>
      <c r="F61" s="197" t="s">
        <v>7104</v>
      </c>
      <c r="G61" s="197" t="s">
        <v>6866</v>
      </c>
      <c r="H61" s="197" t="s">
        <v>7103</v>
      </c>
      <c r="I61" s="197" t="s">
        <v>7101</v>
      </c>
    </row>
    <row r="62" spans="2:9" ht="31.5" x14ac:dyDescent="0.25">
      <c r="B62" s="170" t="s">
        <v>7394</v>
      </c>
      <c r="C62" s="170" t="s">
        <v>7100</v>
      </c>
      <c r="D62" s="197" t="s">
        <v>7296</v>
      </c>
      <c r="E62" s="170" t="s">
        <v>7295</v>
      </c>
      <c r="F62" s="197" t="s">
        <v>7104</v>
      </c>
      <c r="G62" s="197" t="s">
        <v>7037</v>
      </c>
      <c r="H62" s="197" t="s">
        <v>7103</v>
      </c>
      <c r="I62" s="197" t="s">
        <v>7101</v>
      </c>
    </row>
    <row r="63" spans="2:9" ht="31.5" x14ac:dyDescent="0.25">
      <c r="B63" s="170" t="s">
        <v>7393</v>
      </c>
      <c r="C63" s="170" t="s">
        <v>7100</v>
      </c>
      <c r="D63" s="197" t="s">
        <v>7296</v>
      </c>
      <c r="E63" s="170" t="s">
        <v>7295</v>
      </c>
      <c r="F63" s="197" t="s">
        <v>7104</v>
      </c>
      <c r="G63" s="197" t="s">
        <v>7037</v>
      </c>
      <c r="H63" s="197" t="s">
        <v>7103</v>
      </c>
      <c r="I63" s="197" t="s">
        <v>7101</v>
      </c>
    </row>
    <row r="64" spans="2:9" ht="31.5" x14ac:dyDescent="0.25">
      <c r="B64" s="170" t="s">
        <v>7328</v>
      </c>
      <c r="C64" s="170" t="s">
        <v>7100</v>
      </c>
      <c r="D64" s="197" t="s">
        <v>7296</v>
      </c>
      <c r="E64" s="170" t="s">
        <v>7295</v>
      </c>
      <c r="F64" s="197" t="s">
        <v>7104</v>
      </c>
      <c r="G64" s="197" t="s">
        <v>7037</v>
      </c>
      <c r="H64" s="197" t="s">
        <v>7103</v>
      </c>
      <c r="I64" s="197" t="s">
        <v>7101</v>
      </c>
    </row>
    <row r="65" spans="2:9" ht="31.5" x14ac:dyDescent="0.25">
      <c r="B65" s="170" t="s">
        <v>7390</v>
      </c>
      <c r="C65" s="170" t="s">
        <v>7100</v>
      </c>
      <c r="D65" s="197" t="s">
        <v>7296</v>
      </c>
      <c r="E65" s="170" t="s">
        <v>7295</v>
      </c>
      <c r="F65" s="197" t="s">
        <v>7104</v>
      </c>
      <c r="G65" s="197" t="s">
        <v>7037</v>
      </c>
      <c r="H65" s="197" t="s">
        <v>7103</v>
      </c>
      <c r="I65" s="197" t="s">
        <v>7101</v>
      </c>
    </row>
    <row r="66" spans="2:9" ht="31.5" x14ac:dyDescent="0.25">
      <c r="B66" s="170" t="s">
        <v>7326</v>
      </c>
      <c r="C66" s="170" t="s">
        <v>7100</v>
      </c>
      <c r="D66" s="197" t="s">
        <v>7296</v>
      </c>
      <c r="E66" s="170" t="s">
        <v>7295</v>
      </c>
      <c r="F66" s="197" t="s">
        <v>7104</v>
      </c>
      <c r="G66" s="197" t="s">
        <v>7037</v>
      </c>
      <c r="H66" s="197" t="s">
        <v>7103</v>
      </c>
      <c r="I66" s="197" t="s">
        <v>7101</v>
      </c>
    </row>
    <row r="67" spans="2:9" ht="31.5" x14ac:dyDescent="0.25">
      <c r="B67" s="170" t="s">
        <v>7325</v>
      </c>
      <c r="C67" s="170" t="s">
        <v>7100</v>
      </c>
      <c r="D67" s="197" t="s">
        <v>7296</v>
      </c>
      <c r="E67" s="170" t="s">
        <v>7295</v>
      </c>
      <c r="F67" s="197" t="s">
        <v>7104</v>
      </c>
      <c r="G67" s="197" t="s">
        <v>7037</v>
      </c>
      <c r="H67" s="197" t="s">
        <v>7103</v>
      </c>
      <c r="I67" s="197" t="s">
        <v>7101</v>
      </c>
    </row>
    <row r="68" spans="2:9" ht="31.5" x14ac:dyDescent="0.25">
      <c r="B68" s="170" t="s">
        <v>7387</v>
      </c>
      <c r="C68" s="170" t="s">
        <v>7100</v>
      </c>
      <c r="D68" s="197" t="s">
        <v>7296</v>
      </c>
      <c r="E68" s="170" t="s">
        <v>7295</v>
      </c>
      <c r="F68" s="197" t="s">
        <v>7104</v>
      </c>
      <c r="G68" s="197" t="s">
        <v>7037</v>
      </c>
      <c r="H68" s="197" t="s">
        <v>7103</v>
      </c>
      <c r="I68" s="197" t="s">
        <v>7101</v>
      </c>
    </row>
    <row r="69" spans="2:9" ht="31.5" x14ac:dyDescent="0.25">
      <c r="B69" s="170" t="s">
        <v>7323</v>
      </c>
      <c r="C69" s="170" t="s">
        <v>7100</v>
      </c>
      <c r="D69" s="197" t="s">
        <v>7296</v>
      </c>
      <c r="E69" s="170" t="s">
        <v>7295</v>
      </c>
      <c r="F69" s="197" t="s">
        <v>7104</v>
      </c>
      <c r="G69" s="197" t="s">
        <v>7037</v>
      </c>
      <c r="H69" s="197" t="s">
        <v>7103</v>
      </c>
      <c r="I69" s="197" t="s">
        <v>7101</v>
      </c>
    </row>
    <row r="70" spans="2:9" ht="31.5" x14ac:dyDescent="0.25">
      <c r="B70" s="170" t="s">
        <v>7385</v>
      </c>
      <c r="C70" s="170" t="s">
        <v>7100</v>
      </c>
      <c r="D70" s="197" t="s">
        <v>7296</v>
      </c>
      <c r="E70" s="170" t="s">
        <v>7295</v>
      </c>
      <c r="F70" s="197" t="s">
        <v>7104</v>
      </c>
      <c r="G70" s="197" t="s">
        <v>7037</v>
      </c>
      <c r="H70" s="197" t="s">
        <v>7103</v>
      </c>
      <c r="I70" s="197" t="s">
        <v>7101</v>
      </c>
    </row>
    <row r="71" spans="2:9" ht="31.5" x14ac:dyDescent="0.25">
      <c r="B71" s="170" t="s">
        <v>7382</v>
      </c>
      <c r="C71" s="170" t="s">
        <v>7100</v>
      </c>
      <c r="D71" s="197" t="s">
        <v>7296</v>
      </c>
      <c r="E71" s="170" t="s">
        <v>7295</v>
      </c>
      <c r="F71" s="197" t="s">
        <v>7104</v>
      </c>
      <c r="G71" s="197" t="s">
        <v>7037</v>
      </c>
      <c r="H71" s="197" t="s">
        <v>7103</v>
      </c>
      <c r="I71" s="197" t="s">
        <v>7101</v>
      </c>
    </row>
    <row r="72" spans="2:9" ht="31.5" x14ac:dyDescent="0.25">
      <c r="B72" s="170" t="s">
        <v>7381</v>
      </c>
      <c r="C72" s="170" t="s">
        <v>7100</v>
      </c>
      <c r="D72" s="197" t="s">
        <v>7296</v>
      </c>
      <c r="E72" s="170" t="s">
        <v>7295</v>
      </c>
      <c r="F72" s="197" t="s">
        <v>7104</v>
      </c>
      <c r="G72" s="197" t="s">
        <v>7037</v>
      </c>
      <c r="H72" s="197" t="s">
        <v>7103</v>
      </c>
      <c r="I72" s="197" t="s">
        <v>7101</v>
      </c>
    </row>
    <row r="73" spans="2:9" ht="31.5" x14ac:dyDescent="0.25">
      <c r="B73" s="170" t="s">
        <v>7380</v>
      </c>
      <c r="C73" s="170" t="s">
        <v>7100</v>
      </c>
      <c r="D73" s="197" t="s">
        <v>7296</v>
      </c>
      <c r="E73" s="170" t="s">
        <v>7295</v>
      </c>
      <c r="F73" s="197" t="s">
        <v>7104</v>
      </c>
      <c r="G73" s="197" t="s">
        <v>7037</v>
      </c>
      <c r="H73" s="197" t="s">
        <v>7103</v>
      </c>
      <c r="I73" s="197" t="s">
        <v>7101</v>
      </c>
    </row>
    <row r="74" spans="2:9" ht="31.5" x14ac:dyDescent="0.25">
      <c r="B74" s="170" t="s">
        <v>7394</v>
      </c>
      <c r="C74" s="170" t="s">
        <v>7100</v>
      </c>
      <c r="D74" s="197" t="s">
        <v>7294</v>
      </c>
      <c r="E74" s="170" t="s">
        <v>7293</v>
      </c>
      <c r="F74" s="197" t="s">
        <v>7104</v>
      </c>
      <c r="G74" s="197" t="s">
        <v>7292</v>
      </c>
      <c r="H74" s="197" t="s">
        <v>7103</v>
      </c>
      <c r="I74" s="197" t="s">
        <v>7101</v>
      </c>
    </row>
    <row r="75" spans="2:9" ht="31.5" x14ac:dyDescent="0.25">
      <c r="B75" s="170" t="s">
        <v>7393</v>
      </c>
      <c r="C75" s="170" t="s">
        <v>7100</v>
      </c>
      <c r="D75" s="197" t="s">
        <v>7294</v>
      </c>
      <c r="E75" s="170" t="s">
        <v>7293</v>
      </c>
      <c r="F75" s="197" t="s">
        <v>7104</v>
      </c>
      <c r="G75" s="197" t="s">
        <v>7292</v>
      </c>
      <c r="H75" s="197" t="s">
        <v>7103</v>
      </c>
      <c r="I75" s="197" t="s">
        <v>7101</v>
      </c>
    </row>
    <row r="76" spans="2:9" ht="31.5" x14ac:dyDescent="0.25">
      <c r="B76" s="170" t="s">
        <v>7328</v>
      </c>
      <c r="C76" s="170" t="s">
        <v>7100</v>
      </c>
      <c r="D76" s="197" t="s">
        <v>7294</v>
      </c>
      <c r="E76" s="170" t="s">
        <v>7293</v>
      </c>
      <c r="F76" s="197" t="s">
        <v>7104</v>
      </c>
      <c r="G76" s="197" t="s">
        <v>7292</v>
      </c>
      <c r="H76" s="197" t="s">
        <v>7103</v>
      </c>
      <c r="I76" s="197" t="s">
        <v>7101</v>
      </c>
    </row>
    <row r="77" spans="2:9" ht="31.5" x14ac:dyDescent="0.25">
      <c r="B77" s="170" t="s">
        <v>7390</v>
      </c>
      <c r="C77" s="170" t="s">
        <v>7100</v>
      </c>
      <c r="D77" s="197" t="s">
        <v>7294</v>
      </c>
      <c r="E77" s="170" t="s">
        <v>7293</v>
      </c>
      <c r="F77" s="197" t="s">
        <v>7104</v>
      </c>
      <c r="G77" s="197" t="s">
        <v>7292</v>
      </c>
      <c r="H77" s="197" t="s">
        <v>7103</v>
      </c>
      <c r="I77" s="197" t="s">
        <v>7101</v>
      </c>
    </row>
    <row r="78" spans="2:9" ht="31.5" x14ac:dyDescent="0.25">
      <c r="B78" s="170" t="s">
        <v>7326</v>
      </c>
      <c r="C78" s="170" t="s">
        <v>7100</v>
      </c>
      <c r="D78" s="197" t="s">
        <v>7294</v>
      </c>
      <c r="E78" s="170" t="s">
        <v>7293</v>
      </c>
      <c r="F78" s="197" t="s">
        <v>7104</v>
      </c>
      <c r="G78" s="197" t="s">
        <v>7292</v>
      </c>
      <c r="H78" s="197" t="s">
        <v>7103</v>
      </c>
      <c r="I78" s="197" t="s">
        <v>7101</v>
      </c>
    </row>
    <row r="79" spans="2:9" ht="31.5" x14ac:dyDescent="0.25">
      <c r="B79" s="170" t="s">
        <v>7325</v>
      </c>
      <c r="C79" s="170" t="s">
        <v>7100</v>
      </c>
      <c r="D79" s="197" t="s">
        <v>7294</v>
      </c>
      <c r="E79" s="170" t="s">
        <v>7293</v>
      </c>
      <c r="F79" s="197" t="s">
        <v>7104</v>
      </c>
      <c r="G79" s="197" t="s">
        <v>7292</v>
      </c>
      <c r="H79" s="197" t="s">
        <v>7103</v>
      </c>
      <c r="I79" s="197" t="s">
        <v>7101</v>
      </c>
    </row>
    <row r="80" spans="2:9" ht="31.5" x14ac:dyDescent="0.25">
      <c r="B80" s="170" t="s">
        <v>7387</v>
      </c>
      <c r="C80" s="170" t="s">
        <v>7100</v>
      </c>
      <c r="D80" s="197" t="s">
        <v>7294</v>
      </c>
      <c r="E80" s="170" t="s">
        <v>7293</v>
      </c>
      <c r="F80" s="197" t="s">
        <v>7104</v>
      </c>
      <c r="G80" s="197" t="s">
        <v>7292</v>
      </c>
      <c r="H80" s="197" t="s">
        <v>7103</v>
      </c>
      <c r="I80" s="197" t="s">
        <v>7101</v>
      </c>
    </row>
    <row r="81" spans="2:9" ht="31.5" x14ac:dyDescent="0.25">
      <c r="B81" s="170" t="s">
        <v>7323</v>
      </c>
      <c r="C81" s="170" t="s">
        <v>7100</v>
      </c>
      <c r="D81" s="197" t="s">
        <v>7294</v>
      </c>
      <c r="E81" s="170" t="s">
        <v>7293</v>
      </c>
      <c r="F81" s="197" t="s">
        <v>7104</v>
      </c>
      <c r="G81" s="197" t="s">
        <v>7292</v>
      </c>
      <c r="H81" s="197" t="s">
        <v>7103</v>
      </c>
      <c r="I81" s="197" t="s">
        <v>7101</v>
      </c>
    </row>
    <row r="82" spans="2:9" ht="31.5" x14ac:dyDescent="0.25">
      <c r="B82" s="170" t="s">
        <v>7385</v>
      </c>
      <c r="C82" s="170" t="s">
        <v>7100</v>
      </c>
      <c r="D82" s="197" t="s">
        <v>7294</v>
      </c>
      <c r="E82" s="170" t="s">
        <v>7293</v>
      </c>
      <c r="F82" s="197" t="s">
        <v>7104</v>
      </c>
      <c r="G82" s="197" t="s">
        <v>7292</v>
      </c>
      <c r="H82" s="197" t="s">
        <v>7103</v>
      </c>
      <c r="I82" s="197" t="s">
        <v>7101</v>
      </c>
    </row>
    <row r="83" spans="2:9" ht="31.5" x14ac:dyDescent="0.25">
      <c r="B83" s="170" t="s">
        <v>7382</v>
      </c>
      <c r="C83" s="170" t="s">
        <v>7100</v>
      </c>
      <c r="D83" s="197" t="s">
        <v>7294</v>
      </c>
      <c r="E83" s="170" t="s">
        <v>7293</v>
      </c>
      <c r="F83" s="197" t="s">
        <v>7104</v>
      </c>
      <c r="G83" s="197" t="s">
        <v>7292</v>
      </c>
      <c r="H83" s="197" t="s">
        <v>7103</v>
      </c>
      <c r="I83" s="197" t="s">
        <v>7101</v>
      </c>
    </row>
    <row r="84" spans="2:9" ht="31.5" x14ac:dyDescent="0.25">
      <c r="B84" s="170" t="s">
        <v>7381</v>
      </c>
      <c r="C84" s="170" t="s">
        <v>7100</v>
      </c>
      <c r="D84" s="197" t="s">
        <v>7294</v>
      </c>
      <c r="E84" s="170" t="s">
        <v>7293</v>
      </c>
      <c r="F84" s="197" t="s">
        <v>7104</v>
      </c>
      <c r="G84" s="197" t="s">
        <v>7292</v>
      </c>
      <c r="H84" s="197" t="s">
        <v>7103</v>
      </c>
      <c r="I84" s="197" t="s">
        <v>7101</v>
      </c>
    </row>
    <row r="85" spans="2:9" ht="31.5" x14ac:dyDescent="0.25">
      <c r="B85" s="170" t="s">
        <v>7380</v>
      </c>
      <c r="C85" s="170" t="s">
        <v>7100</v>
      </c>
      <c r="D85" s="197" t="s">
        <v>7294</v>
      </c>
      <c r="E85" s="170" t="s">
        <v>7293</v>
      </c>
      <c r="F85" s="197" t="s">
        <v>7104</v>
      </c>
      <c r="G85" s="197" t="s">
        <v>7292</v>
      </c>
      <c r="H85" s="197" t="s">
        <v>7103</v>
      </c>
      <c r="I85" s="197" t="s">
        <v>7101</v>
      </c>
    </row>
    <row r="86" spans="2:9" ht="31.5" x14ac:dyDescent="0.25">
      <c r="B86" s="170" t="s">
        <v>7394</v>
      </c>
      <c r="C86" s="170" t="s">
        <v>7100</v>
      </c>
      <c r="D86" s="197" t="s">
        <v>7291</v>
      </c>
      <c r="E86" s="170" t="s">
        <v>7290</v>
      </c>
      <c r="F86" s="197" t="s">
        <v>7104</v>
      </c>
      <c r="G86" s="197" t="s">
        <v>6902</v>
      </c>
      <c r="H86" s="197" t="s">
        <v>7103</v>
      </c>
      <c r="I86" s="197" t="s">
        <v>7101</v>
      </c>
    </row>
    <row r="87" spans="2:9" ht="31.5" x14ac:dyDescent="0.25">
      <c r="B87" s="170" t="s">
        <v>7393</v>
      </c>
      <c r="C87" s="170" t="s">
        <v>7100</v>
      </c>
      <c r="D87" s="197" t="s">
        <v>7291</v>
      </c>
      <c r="E87" s="170" t="s">
        <v>7290</v>
      </c>
      <c r="F87" s="197" t="s">
        <v>7104</v>
      </c>
      <c r="G87" s="197" t="s">
        <v>6902</v>
      </c>
      <c r="H87" s="197" t="s">
        <v>7103</v>
      </c>
      <c r="I87" s="197" t="s">
        <v>7101</v>
      </c>
    </row>
    <row r="88" spans="2:9" ht="31.5" x14ac:dyDescent="0.25">
      <c r="B88" s="170" t="s">
        <v>7328</v>
      </c>
      <c r="C88" s="170" t="s">
        <v>7100</v>
      </c>
      <c r="D88" s="197" t="s">
        <v>7291</v>
      </c>
      <c r="E88" s="170" t="s">
        <v>7290</v>
      </c>
      <c r="F88" s="197" t="s">
        <v>7104</v>
      </c>
      <c r="G88" s="197" t="s">
        <v>6902</v>
      </c>
      <c r="H88" s="197" t="s">
        <v>7103</v>
      </c>
      <c r="I88" s="197" t="s">
        <v>7101</v>
      </c>
    </row>
    <row r="89" spans="2:9" ht="31.5" x14ac:dyDescent="0.25">
      <c r="B89" s="170" t="s">
        <v>7390</v>
      </c>
      <c r="C89" s="170" t="s">
        <v>7100</v>
      </c>
      <c r="D89" s="197" t="s">
        <v>7291</v>
      </c>
      <c r="E89" s="170" t="s">
        <v>7290</v>
      </c>
      <c r="F89" s="197" t="s">
        <v>7104</v>
      </c>
      <c r="G89" s="197" t="s">
        <v>6902</v>
      </c>
      <c r="H89" s="197" t="s">
        <v>7103</v>
      </c>
      <c r="I89" s="197" t="s">
        <v>7101</v>
      </c>
    </row>
    <row r="90" spans="2:9" ht="31.5" x14ac:dyDescent="0.25">
      <c r="B90" s="170" t="s">
        <v>7326</v>
      </c>
      <c r="C90" s="170" t="s">
        <v>7100</v>
      </c>
      <c r="D90" s="197" t="s">
        <v>7291</v>
      </c>
      <c r="E90" s="170" t="s">
        <v>7290</v>
      </c>
      <c r="F90" s="197" t="s">
        <v>7104</v>
      </c>
      <c r="G90" s="197" t="s">
        <v>6902</v>
      </c>
      <c r="H90" s="197" t="s">
        <v>7103</v>
      </c>
      <c r="I90" s="197" t="s">
        <v>7101</v>
      </c>
    </row>
    <row r="91" spans="2:9" ht="31.5" x14ac:dyDescent="0.25">
      <c r="B91" s="170" t="s">
        <v>7325</v>
      </c>
      <c r="C91" s="170" t="s">
        <v>7100</v>
      </c>
      <c r="D91" s="197" t="s">
        <v>7291</v>
      </c>
      <c r="E91" s="170" t="s">
        <v>7290</v>
      </c>
      <c r="F91" s="197" t="s">
        <v>7104</v>
      </c>
      <c r="G91" s="197" t="s">
        <v>6902</v>
      </c>
      <c r="H91" s="197" t="s">
        <v>7103</v>
      </c>
      <c r="I91" s="197" t="s">
        <v>7101</v>
      </c>
    </row>
    <row r="92" spans="2:9" ht="31.5" x14ac:dyDescent="0.25">
      <c r="B92" s="170" t="s">
        <v>7387</v>
      </c>
      <c r="C92" s="170" t="s">
        <v>7100</v>
      </c>
      <c r="D92" s="197" t="s">
        <v>7291</v>
      </c>
      <c r="E92" s="170" t="s">
        <v>7290</v>
      </c>
      <c r="F92" s="197" t="s">
        <v>7104</v>
      </c>
      <c r="G92" s="197" t="s">
        <v>6902</v>
      </c>
      <c r="H92" s="197" t="s">
        <v>7103</v>
      </c>
      <c r="I92" s="197" t="s">
        <v>7101</v>
      </c>
    </row>
    <row r="93" spans="2:9" ht="31.5" x14ac:dyDescent="0.25">
      <c r="B93" s="170" t="s">
        <v>7323</v>
      </c>
      <c r="C93" s="170" t="s">
        <v>7100</v>
      </c>
      <c r="D93" s="197" t="s">
        <v>7291</v>
      </c>
      <c r="E93" s="170" t="s">
        <v>7290</v>
      </c>
      <c r="F93" s="197" t="s">
        <v>7104</v>
      </c>
      <c r="G93" s="197" t="s">
        <v>6902</v>
      </c>
      <c r="H93" s="197" t="s">
        <v>7103</v>
      </c>
      <c r="I93" s="197" t="s">
        <v>7101</v>
      </c>
    </row>
    <row r="94" spans="2:9" ht="31.5" x14ac:dyDescent="0.25">
      <c r="B94" s="170" t="s">
        <v>7385</v>
      </c>
      <c r="C94" s="170" t="s">
        <v>7100</v>
      </c>
      <c r="D94" s="197" t="s">
        <v>7291</v>
      </c>
      <c r="E94" s="170" t="s">
        <v>7290</v>
      </c>
      <c r="F94" s="197" t="s">
        <v>7104</v>
      </c>
      <c r="G94" s="197" t="s">
        <v>6902</v>
      </c>
      <c r="H94" s="197" t="s">
        <v>7103</v>
      </c>
      <c r="I94" s="197" t="s">
        <v>7101</v>
      </c>
    </row>
    <row r="95" spans="2:9" ht="31.5" x14ac:dyDescent="0.25">
      <c r="B95" s="170" t="s">
        <v>7382</v>
      </c>
      <c r="C95" s="170" t="s">
        <v>7100</v>
      </c>
      <c r="D95" s="197" t="s">
        <v>7291</v>
      </c>
      <c r="E95" s="170" t="s">
        <v>7290</v>
      </c>
      <c r="F95" s="197" t="s">
        <v>7104</v>
      </c>
      <c r="G95" s="197" t="s">
        <v>6902</v>
      </c>
      <c r="H95" s="197" t="s">
        <v>7103</v>
      </c>
      <c r="I95" s="197" t="s">
        <v>7101</v>
      </c>
    </row>
    <row r="96" spans="2:9" ht="31.5" x14ac:dyDescent="0.25">
      <c r="B96" s="170" t="s">
        <v>7381</v>
      </c>
      <c r="C96" s="170" t="s">
        <v>7100</v>
      </c>
      <c r="D96" s="197" t="s">
        <v>7291</v>
      </c>
      <c r="E96" s="170" t="s">
        <v>7290</v>
      </c>
      <c r="F96" s="197" t="s">
        <v>7104</v>
      </c>
      <c r="G96" s="197" t="s">
        <v>6902</v>
      </c>
      <c r="H96" s="197" t="s">
        <v>7103</v>
      </c>
      <c r="I96" s="197" t="s">
        <v>7101</v>
      </c>
    </row>
    <row r="97" spans="2:9" ht="31.5" x14ac:dyDescent="0.25">
      <c r="B97" s="170" t="s">
        <v>7380</v>
      </c>
      <c r="C97" s="170" t="s">
        <v>7100</v>
      </c>
      <c r="D97" s="197" t="s">
        <v>7291</v>
      </c>
      <c r="E97" s="170" t="s">
        <v>7290</v>
      </c>
      <c r="F97" s="197" t="s">
        <v>7104</v>
      </c>
      <c r="G97" s="197" t="s">
        <v>6902</v>
      </c>
      <c r="H97" s="197" t="s">
        <v>7103</v>
      </c>
      <c r="I97" s="197" t="s">
        <v>7101</v>
      </c>
    </row>
    <row r="98" spans="2:9" ht="31.5" x14ac:dyDescent="0.25">
      <c r="B98" s="170" t="s">
        <v>7394</v>
      </c>
      <c r="C98" s="170" t="s">
        <v>4904</v>
      </c>
      <c r="D98" s="197" t="s">
        <v>7289</v>
      </c>
      <c r="E98" s="170" t="s">
        <v>7288</v>
      </c>
      <c r="F98" s="197" t="s">
        <v>6860</v>
      </c>
      <c r="G98" s="197" t="s">
        <v>6871</v>
      </c>
      <c r="H98" s="197" t="s">
        <v>6980</v>
      </c>
      <c r="I98" s="197" t="s">
        <v>6977</v>
      </c>
    </row>
    <row r="99" spans="2:9" ht="31.5" x14ac:dyDescent="0.25">
      <c r="B99" s="170" t="s">
        <v>7393</v>
      </c>
      <c r="C99" s="170" t="s">
        <v>4904</v>
      </c>
      <c r="D99" s="197" t="s">
        <v>7289</v>
      </c>
      <c r="E99" s="170" t="s">
        <v>7288</v>
      </c>
      <c r="F99" s="197" t="s">
        <v>6860</v>
      </c>
      <c r="G99" s="197" t="s">
        <v>6871</v>
      </c>
      <c r="H99" s="197" t="s">
        <v>6980</v>
      </c>
      <c r="I99" s="197" t="s">
        <v>6977</v>
      </c>
    </row>
    <row r="100" spans="2:9" ht="31.5" x14ac:dyDescent="0.25">
      <c r="B100" s="170" t="s">
        <v>7328</v>
      </c>
      <c r="C100" s="170" t="s">
        <v>4904</v>
      </c>
      <c r="D100" s="197" t="s">
        <v>7289</v>
      </c>
      <c r="E100" s="170" t="s">
        <v>7288</v>
      </c>
      <c r="F100" s="197" t="s">
        <v>6860</v>
      </c>
      <c r="G100" s="197" t="s">
        <v>6871</v>
      </c>
      <c r="H100" s="197" t="s">
        <v>6980</v>
      </c>
      <c r="I100" s="197" t="s">
        <v>6977</v>
      </c>
    </row>
    <row r="101" spans="2:9" ht="31.5" x14ac:dyDescent="0.25">
      <c r="B101" s="170" t="s">
        <v>7390</v>
      </c>
      <c r="C101" s="986" t="s">
        <v>4876</v>
      </c>
      <c r="D101" s="197" t="s">
        <v>7289</v>
      </c>
      <c r="E101" s="170" t="s">
        <v>7288</v>
      </c>
      <c r="F101" s="197" t="s">
        <v>6860</v>
      </c>
      <c r="G101" s="197" t="s">
        <v>6871</v>
      </c>
      <c r="H101" s="197" t="s">
        <v>6980</v>
      </c>
      <c r="I101" s="197" t="s">
        <v>6977</v>
      </c>
    </row>
    <row r="102" spans="2:9" ht="31.5" x14ac:dyDescent="0.25">
      <c r="B102" s="170" t="s">
        <v>7326</v>
      </c>
      <c r="C102" s="988" t="s">
        <v>4876</v>
      </c>
      <c r="D102" s="197" t="s">
        <v>7289</v>
      </c>
      <c r="E102" s="170" t="s">
        <v>7288</v>
      </c>
      <c r="F102" s="197" t="s">
        <v>6860</v>
      </c>
      <c r="G102" s="197" t="s">
        <v>6871</v>
      </c>
      <c r="H102" s="197" t="s">
        <v>6980</v>
      </c>
      <c r="I102" s="197" t="s">
        <v>6977</v>
      </c>
    </row>
    <row r="103" spans="2:9" ht="31.5" x14ac:dyDescent="0.25">
      <c r="B103" s="170" t="s">
        <v>7325</v>
      </c>
      <c r="C103" s="986" t="s">
        <v>4876</v>
      </c>
      <c r="D103" s="197" t="s">
        <v>7289</v>
      </c>
      <c r="E103" s="170" t="s">
        <v>7288</v>
      </c>
      <c r="F103" s="197" t="s">
        <v>6860</v>
      </c>
      <c r="G103" s="197" t="s">
        <v>6871</v>
      </c>
      <c r="H103" s="197" t="s">
        <v>6980</v>
      </c>
      <c r="I103" s="197" t="s">
        <v>6977</v>
      </c>
    </row>
    <row r="104" spans="2:9" ht="31.5" x14ac:dyDescent="0.25">
      <c r="B104" s="170" t="s">
        <v>7387</v>
      </c>
      <c r="C104" s="988" t="s">
        <v>4876</v>
      </c>
      <c r="D104" s="197" t="s">
        <v>7289</v>
      </c>
      <c r="E104" s="170" t="s">
        <v>7288</v>
      </c>
      <c r="F104" s="197" t="s">
        <v>6860</v>
      </c>
      <c r="G104" s="197" t="s">
        <v>6871</v>
      </c>
      <c r="H104" s="197" t="s">
        <v>6980</v>
      </c>
      <c r="I104" s="197" t="s">
        <v>6977</v>
      </c>
    </row>
    <row r="105" spans="2:9" ht="31.5" x14ac:dyDescent="0.25">
      <c r="B105" s="170" t="s">
        <v>7323</v>
      </c>
      <c r="C105" s="986" t="s">
        <v>4876</v>
      </c>
      <c r="D105" s="197" t="s">
        <v>7289</v>
      </c>
      <c r="E105" s="170" t="s">
        <v>7288</v>
      </c>
      <c r="F105" s="197" t="s">
        <v>6860</v>
      </c>
      <c r="G105" s="197" t="s">
        <v>6871</v>
      </c>
      <c r="H105" s="197" t="s">
        <v>6980</v>
      </c>
      <c r="I105" s="197" t="s">
        <v>6977</v>
      </c>
    </row>
    <row r="106" spans="2:9" ht="31.5" x14ac:dyDescent="0.25">
      <c r="B106" s="170" t="s">
        <v>7385</v>
      </c>
      <c r="C106" s="988" t="s">
        <v>4876</v>
      </c>
      <c r="D106" s="197" t="s">
        <v>7289</v>
      </c>
      <c r="E106" s="170" t="s">
        <v>7288</v>
      </c>
      <c r="F106" s="197" t="s">
        <v>6860</v>
      </c>
      <c r="G106" s="197" t="s">
        <v>6871</v>
      </c>
      <c r="H106" s="197" t="s">
        <v>6980</v>
      </c>
      <c r="I106" s="197" t="s">
        <v>6977</v>
      </c>
    </row>
    <row r="107" spans="2:9" ht="31.5" x14ac:dyDescent="0.25">
      <c r="B107" s="170" t="s">
        <v>7382</v>
      </c>
      <c r="C107" s="986" t="s">
        <v>4876</v>
      </c>
      <c r="D107" s="197" t="s">
        <v>7289</v>
      </c>
      <c r="E107" s="170" t="s">
        <v>7288</v>
      </c>
      <c r="F107" s="197" t="s">
        <v>6860</v>
      </c>
      <c r="G107" s="197" t="s">
        <v>6871</v>
      </c>
      <c r="H107" s="197" t="s">
        <v>6980</v>
      </c>
      <c r="I107" s="197" t="s">
        <v>6977</v>
      </c>
    </row>
    <row r="108" spans="2:9" ht="31.5" x14ac:dyDescent="0.25">
      <c r="B108" s="170" t="s">
        <v>7381</v>
      </c>
      <c r="C108" s="988" t="s">
        <v>4876</v>
      </c>
      <c r="D108" s="197" t="s">
        <v>7289</v>
      </c>
      <c r="E108" s="170" t="s">
        <v>7288</v>
      </c>
      <c r="F108" s="197" t="s">
        <v>6860</v>
      </c>
      <c r="G108" s="197" t="s">
        <v>6871</v>
      </c>
      <c r="H108" s="197" t="s">
        <v>6980</v>
      </c>
      <c r="I108" s="197" t="s">
        <v>6977</v>
      </c>
    </row>
    <row r="109" spans="2:9" ht="31.5" x14ac:dyDescent="0.25">
      <c r="B109" s="170" t="s">
        <v>7380</v>
      </c>
      <c r="C109" s="986" t="s">
        <v>4876</v>
      </c>
      <c r="D109" s="197" t="s">
        <v>7289</v>
      </c>
      <c r="E109" s="170" t="s">
        <v>7288</v>
      </c>
      <c r="F109" s="197" t="s">
        <v>6860</v>
      </c>
      <c r="G109" s="197" t="s">
        <v>6871</v>
      </c>
      <c r="H109" s="197" t="s">
        <v>6980</v>
      </c>
      <c r="I109" s="197" t="s">
        <v>6977</v>
      </c>
    </row>
    <row r="110" spans="2:9" ht="31.5" x14ac:dyDescent="0.25">
      <c r="B110" s="170" t="s">
        <v>7390</v>
      </c>
      <c r="C110" s="988" t="s">
        <v>4876</v>
      </c>
      <c r="D110" s="197" t="s">
        <v>7286</v>
      </c>
      <c r="E110" s="170" t="s">
        <v>7285</v>
      </c>
      <c r="F110" s="197" t="s">
        <v>6894</v>
      </c>
      <c r="G110" s="197" t="s">
        <v>6902</v>
      </c>
      <c r="H110" s="197" t="s">
        <v>6856</v>
      </c>
      <c r="I110" s="197" t="s">
        <v>6851</v>
      </c>
    </row>
    <row r="111" spans="2:9" ht="31.5" x14ac:dyDescent="0.25">
      <c r="B111" s="170" t="s">
        <v>7326</v>
      </c>
      <c r="C111" s="986" t="s">
        <v>4876</v>
      </c>
      <c r="D111" s="197" t="s">
        <v>7286</v>
      </c>
      <c r="E111" s="170" t="s">
        <v>7285</v>
      </c>
      <c r="F111" s="197" t="s">
        <v>6894</v>
      </c>
      <c r="G111" s="197" t="s">
        <v>6902</v>
      </c>
      <c r="H111" s="197" t="s">
        <v>6856</v>
      </c>
      <c r="I111" s="197" t="s">
        <v>6851</v>
      </c>
    </row>
    <row r="112" spans="2:9" ht="31.5" x14ac:dyDescent="0.25">
      <c r="B112" s="170" t="s">
        <v>7325</v>
      </c>
      <c r="C112" s="988" t="s">
        <v>4876</v>
      </c>
      <c r="D112" s="197" t="s">
        <v>7286</v>
      </c>
      <c r="E112" s="170" t="s">
        <v>7285</v>
      </c>
      <c r="F112" s="197" t="s">
        <v>6894</v>
      </c>
      <c r="G112" s="197" t="s">
        <v>6902</v>
      </c>
      <c r="H112" s="197" t="s">
        <v>6856</v>
      </c>
      <c r="I112" s="197" t="s">
        <v>6851</v>
      </c>
    </row>
    <row r="113" spans="2:9" ht="31.5" x14ac:dyDescent="0.25">
      <c r="B113" s="170" t="s">
        <v>7387</v>
      </c>
      <c r="C113" s="986" t="s">
        <v>4876</v>
      </c>
      <c r="D113" s="197" t="s">
        <v>7286</v>
      </c>
      <c r="E113" s="170" t="s">
        <v>7285</v>
      </c>
      <c r="F113" s="197" t="s">
        <v>6894</v>
      </c>
      <c r="G113" s="197" t="s">
        <v>6902</v>
      </c>
      <c r="H113" s="197" t="s">
        <v>6856</v>
      </c>
      <c r="I113" s="197" t="s">
        <v>6851</v>
      </c>
    </row>
    <row r="114" spans="2:9" ht="31.5" x14ac:dyDescent="0.25">
      <c r="B114" s="170" t="s">
        <v>7323</v>
      </c>
      <c r="C114" s="988" t="s">
        <v>4876</v>
      </c>
      <c r="D114" s="197" t="s">
        <v>7286</v>
      </c>
      <c r="E114" s="170" t="s">
        <v>7285</v>
      </c>
      <c r="F114" s="197" t="s">
        <v>6894</v>
      </c>
      <c r="G114" s="197" t="s">
        <v>6902</v>
      </c>
      <c r="H114" s="197" t="s">
        <v>6856</v>
      </c>
      <c r="I114" s="197" t="s">
        <v>6851</v>
      </c>
    </row>
    <row r="115" spans="2:9" ht="31.5" x14ac:dyDescent="0.25">
      <c r="B115" s="170" t="s">
        <v>7385</v>
      </c>
      <c r="C115" s="986" t="s">
        <v>4876</v>
      </c>
      <c r="D115" s="197" t="s">
        <v>7286</v>
      </c>
      <c r="E115" s="170" t="s">
        <v>7285</v>
      </c>
      <c r="F115" s="197" t="s">
        <v>6894</v>
      </c>
      <c r="G115" s="197" t="s">
        <v>6902</v>
      </c>
      <c r="H115" s="197" t="s">
        <v>6856</v>
      </c>
      <c r="I115" s="197" t="s">
        <v>6851</v>
      </c>
    </row>
    <row r="116" spans="2:9" ht="31.5" x14ac:dyDescent="0.25">
      <c r="B116" s="170" t="s">
        <v>7382</v>
      </c>
      <c r="C116" s="988" t="s">
        <v>4876</v>
      </c>
      <c r="D116" s="197" t="s">
        <v>7286</v>
      </c>
      <c r="E116" s="170" t="s">
        <v>7285</v>
      </c>
      <c r="F116" s="197" t="s">
        <v>6894</v>
      </c>
      <c r="G116" s="197" t="s">
        <v>6902</v>
      </c>
      <c r="H116" s="197" t="s">
        <v>6856</v>
      </c>
      <c r="I116" s="197" t="s">
        <v>6851</v>
      </c>
    </row>
    <row r="117" spans="2:9" ht="31.5" x14ac:dyDescent="0.25">
      <c r="B117" s="170" t="s">
        <v>7381</v>
      </c>
      <c r="C117" s="986" t="s">
        <v>4876</v>
      </c>
      <c r="D117" s="197" t="s">
        <v>7286</v>
      </c>
      <c r="E117" s="170" t="s">
        <v>7285</v>
      </c>
      <c r="F117" s="197" t="s">
        <v>6894</v>
      </c>
      <c r="G117" s="197" t="s">
        <v>6902</v>
      </c>
      <c r="H117" s="197" t="s">
        <v>6856</v>
      </c>
      <c r="I117" s="197" t="s">
        <v>6851</v>
      </c>
    </row>
    <row r="118" spans="2:9" ht="31.5" x14ac:dyDescent="0.25">
      <c r="B118" s="170" t="s">
        <v>7328</v>
      </c>
      <c r="C118" s="988" t="s">
        <v>4876</v>
      </c>
      <c r="D118" s="197" t="s">
        <v>7282</v>
      </c>
      <c r="E118" s="170" t="s">
        <v>7281</v>
      </c>
      <c r="F118" s="197" t="s">
        <v>6894</v>
      </c>
      <c r="G118" s="197" t="s">
        <v>6902</v>
      </c>
      <c r="H118" s="197" t="s">
        <v>6856</v>
      </c>
      <c r="I118" s="197" t="s">
        <v>6851</v>
      </c>
    </row>
    <row r="119" spans="2:9" ht="31.5" x14ac:dyDescent="0.25">
      <c r="B119" s="170" t="s">
        <v>7390</v>
      </c>
      <c r="C119" s="986" t="s">
        <v>4876</v>
      </c>
      <c r="D119" s="197" t="s">
        <v>7282</v>
      </c>
      <c r="E119" s="170" t="s">
        <v>7281</v>
      </c>
      <c r="F119" s="197" t="s">
        <v>6894</v>
      </c>
      <c r="G119" s="197" t="s">
        <v>6902</v>
      </c>
      <c r="H119" s="197" t="s">
        <v>6856</v>
      </c>
      <c r="I119" s="197" t="s">
        <v>6851</v>
      </c>
    </row>
    <row r="120" spans="2:9" ht="31.5" x14ac:dyDescent="0.25">
      <c r="B120" s="170" t="s">
        <v>7326</v>
      </c>
      <c r="C120" s="988" t="s">
        <v>4876</v>
      </c>
      <c r="D120" s="197" t="s">
        <v>7282</v>
      </c>
      <c r="E120" s="170" t="s">
        <v>7281</v>
      </c>
      <c r="F120" s="197" t="s">
        <v>6894</v>
      </c>
      <c r="G120" s="197" t="s">
        <v>6902</v>
      </c>
      <c r="H120" s="197" t="s">
        <v>6856</v>
      </c>
      <c r="I120" s="197" t="s">
        <v>6851</v>
      </c>
    </row>
    <row r="121" spans="2:9" ht="31.5" x14ac:dyDescent="0.25">
      <c r="B121" s="170" t="s">
        <v>7325</v>
      </c>
      <c r="C121" s="986" t="s">
        <v>4876</v>
      </c>
      <c r="D121" s="197" t="s">
        <v>7282</v>
      </c>
      <c r="E121" s="170" t="s">
        <v>7281</v>
      </c>
      <c r="F121" s="197" t="s">
        <v>6894</v>
      </c>
      <c r="G121" s="197" t="s">
        <v>6902</v>
      </c>
      <c r="H121" s="197" t="s">
        <v>6856</v>
      </c>
      <c r="I121" s="197" t="s">
        <v>6851</v>
      </c>
    </row>
    <row r="122" spans="2:9" ht="31.5" x14ac:dyDescent="0.25">
      <c r="B122" s="170" t="s">
        <v>7385</v>
      </c>
      <c r="C122" s="988" t="s">
        <v>4876</v>
      </c>
      <c r="D122" s="197" t="s">
        <v>7282</v>
      </c>
      <c r="E122" s="170" t="s">
        <v>7281</v>
      </c>
      <c r="F122" s="197" t="s">
        <v>6894</v>
      </c>
      <c r="G122" s="197" t="s">
        <v>6902</v>
      </c>
      <c r="H122" s="197" t="s">
        <v>6856</v>
      </c>
      <c r="I122" s="197" t="s">
        <v>6851</v>
      </c>
    </row>
    <row r="123" spans="2:9" ht="31.5" x14ac:dyDescent="0.25">
      <c r="B123" s="170" t="s">
        <v>7382</v>
      </c>
      <c r="C123" s="986" t="s">
        <v>4876</v>
      </c>
      <c r="D123" s="197" t="s">
        <v>7282</v>
      </c>
      <c r="E123" s="170" t="s">
        <v>7281</v>
      </c>
      <c r="F123" s="197" t="s">
        <v>6894</v>
      </c>
      <c r="G123" s="197" t="s">
        <v>6902</v>
      </c>
      <c r="H123" s="197" t="s">
        <v>6856</v>
      </c>
      <c r="I123" s="197" t="s">
        <v>6851</v>
      </c>
    </row>
    <row r="124" spans="2:9" ht="31.5" x14ac:dyDescent="0.25">
      <c r="B124" s="170" t="s">
        <v>7381</v>
      </c>
      <c r="C124" s="988" t="s">
        <v>4876</v>
      </c>
      <c r="D124" s="197" t="s">
        <v>7282</v>
      </c>
      <c r="E124" s="170" t="s">
        <v>7281</v>
      </c>
      <c r="F124" s="197" t="s">
        <v>6894</v>
      </c>
      <c r="G124" s="197" t="s">
        <v>6902</v>
      </c>
      <c r="H124" s="197" t="s">
        <v>6856</v>
      </c>
      <c r="I124" s="197" t="s">
        <v>6851</v>
      </c>
    </row>
    <row r="125" spans="2:9" ht="31.5" x14ac:dyDescent="0.25">
      <c r="B125" s="170" t="s">
        <v>7380</v>
      </c>
      <c r="C125" s="986" t="s">
        <v>4876</v>
      </c>
      <c r="D125" s="197" t="s">
        <v>7282</v>
      </c>
      <c r="E125" s="170" t="s">
        <v>7281</v>
      </c>
      <c r="F125" s="197" t="s">
        <v>6894</v>
      </c>
      <c r="G125" s="197" t="s">
        <v>6902</v>
      </c>
      <c r="H125" s="197" t="s">
        <v>6856</v>
      </c>
      <c r="I125" s="197" t="s">
        <v>6851</v>
      </c>
    </row>
    <row r="126" spans="2:9" ht="31.5" x14ac:dyDescent="0.25">
      <c r="B126" s="170" t="s">
        <v>7326</v>
      </c>
      <c r="C126" s="988" t="s">
        <v>4876</v>
      </c>
      <c r="D126" s="197" t="s">
        <v>7280</v>
      </c>
      <c r="E126" s="170" t="s">
        <v>7279</v>
      </c>
      <c r="F126" s="197" t="s">
        <v>521</v>
      </c>
      <c r="G126" s="197" t="s">
        <v>6974</v>
      </c>
      <c r="H126" s="197" t="s">
        <v>6856</v>
      </c>
      <c r="I126" s="197" t="s">
        <v>6851</v>
      </c>
    </row>
    <row r="127" spans="2:9" ht="31.5" x14ac:dyDescent="0.25">
      <c r="B127" s="170" t="s">
        <v>7325</v>
      </c>
      <c r="C127" s="986" t="s">
        <v>4876</v>
      </c>
      <c r="D127" s="197" t="s">
        <v>7280</v>
      </c>
      <c r="E127" s="170" t="s">
        <v>7279</v>
      </c>
      <c r="F127" s="197" t="s">
        <v>521</v>
      </c>
      <c r="G127" s="197" t="s">
        <v>6974</v>
      </c>
      <c r="H127" s="197" t="s">
        <v>6856</v>
      </c>
      <c r="I127" s="197" t="s">
        <v>6851</v>
      </c>
    </row>
    <row r="128" spans="2:9" ht="31.5" x14ac:dyDescent="0.25">
      <c r="B128" s="170" t="s">
        <v>7387</v>
      </c>
      <c r="C128" s="988" t="s">
        <v>4876</v>
      </c>
      <c r="D128" s="197" t="s">
        <v>7280</v>
      </c>
      <c r="E128" s="170" t="s">
        <v>7279</v>
      </c>
      <c r="F128" s="197" t="s">
        <v>521</v>
      </c>
      <c r="G128" s="197" t="s">
        <v>6974</v>
      </c>
      <c r="H128" s="197" t="s">
        <v>6856</v>
      </c>
      <c r="I128" s="197" t="s">
        <v>6851</v>
      </c>
    </row>
    <row r="129" spans="2:9" ht="31.5" x14ac:dyDescent="0.25">
      <c r="B129" s="170" t="s">
        <v>7394</v>
      </c>
      <c r="C129" s="170" t="s">
        <v>4904</v>
      </c>
      <c r="D129" s="197" t="s">
        <v>7278</v>
      </c>
      <c r="E129" s="170" t="s">
        <v>7277</v>
      </c>
      <c r="F129" s="197" t="s">
        <v>6894</v>
      </c>
      <c r="G129" s="197" t="s">
        <v>6897</v>
      </c>
      <c r="H129" s="197" t="s">
        <v>6890</v>
      </c>
      <c r="I129" s="197" t="s">
        <v>6888</v>
      </c>
    </row>
    <row r="130" spans="2:9" ht="31.5" x14ac:dyDescent="0.25">
      <c r="B130" s="170" t="s">
        <v>7393</v>
      </c>
      <c r="C130" s="170" t="s">
        <v>4904</v>
      </c>
      <c r="D130" s="197" t="s">
        <v>7278</v>
      </c>
      <c r="E130" s="170" t="s">
        <v>7277</v>
      </c>
      <c r="F130" s="197" t="s">
        <v>6894</v>
      </c>
      <c r="G130" s="197" t="s">
        <v>6897</v>
      </c>
      <c r="H130" s="197" t="s">
        <v>6890</v>
      </c>
      <c r="I130" s="197" t="s">
        <v>6888</v>
      </c>
    </row>
    <row r="131" spans="2:9" ht="31.5" x14ac:dyDescent="0.25">
      <c r="B131" s="170" t="s">
        <v>7328</v>
      </c>
      <c r="C131" s="170" t="s">
        <v>4904</v>
      </c>
      <c r="D131" s="197" t="s">
        <v>7278</v>
      </c>
      <c r="E131" s="170" t="s">
        <v>7277</v>
      </c>
      <c r="F131" s="197" t="s">
        <v>6894</v>
      </c>
      <c r="G131" s="197" t="s">
        <v>6897</v>
      </c>
      <c r="H131" s="197" t="s">
        <v>6890</v>
      </c>
      <c r="I131" s="197" t="s">
        <v>6888</v>
      </c>
    </row>
    <row r="132" spans="2:9" ht="31.5" x14ac:dyDescent="0.25">
      <c r="B132" s="170" t="s">
        <v>7390</v>
      </c>
      <c r="C132" s="170" t="s">
        <v>4904</v>
      </c>
      <c r="D132" s="197" t="s">
        <v>7278</v>
      </c>
      <c r="E132" s="170" t="s">
        <v>7277</v>
      </c>
      <c r="F132" s="197" t="s">
        <v>6894</v>
      </c>
      <c r="G132" s="197" t="s">
        <v>6897</v>
      </c>
      <c r="H132" s="197" t="s">
        <v>6890</v>
      </c>
      <c r="I132" s="197" t="s">
        <v>6888</v>
      </c>
    </row>
    <row r="133" spans="2:9" ht="31.5" x14ac:dyDescent="0.25">
      <c r="B133" s="170" t="s">
        <v>7326</v>
      </c>
      <c r="C133" s="170" t="s">
        <v>4904</v>
      </c>
      <c r="D133" s="197" t="s">
        <v>7278</v>
      </c>
      <c r="E133" s="170" t="s">
        <v>7277</v>
      </c>
      <c r="F133" s="197" t="s">
        <v>6894</v>
      </c>
      <c r="G133" s="197" t="s">
        <v>6897</v>
      </c>
      <c r="H133" s="197" t="s">
        <v>6890</v>
      </c>
      <c r="I133" s="197" t="s">
        <v>6888</v>
      </c>
    </row>
    <row r="134" spans="2:9" ht="31.5" x14ac:dyDescent="0.25">
      <c r="B134" s="170" t="s">
        <v>7325</v>
      </c>
      <c r="C134" s="170" t="s">
        <v>4904</v>
      </c>
      <c r="D134" s="197" t="s">
        <v>7278</v>
      </c>
      <c r="E134" s="170" t="s">
        <v>7277</v>
      </c>
      <c r="F134" s="197" t="s">
        <v>6894</v>
      </c>
      <c r="G134" s="197" t="s">
        <v>6897</v>
      </c>
      <c r="H134" s="197" t="s">
        <v>6890</v>
      </c>
      <c r="I134" s="197" t="s">
        <v>6888</v>
      </c>
    </row>
    <row r="135" spans="2:9" ht="31.5" x14ac:dyDescent="0.25">
      <c r="B135" s="170" t="s">
        <v>7387</v>
      </c>
      <c r="C135" s="170" t="s">
        <v>4904</v>
      </c>
      <c r="D135" s="197" t="s">
        <v>7278</v>
      </c>
      <c r="E135" s="170" t="s">
        <v>7277</v>
      </c>
      <c r="F135" s="197" t="s">
        <v>6894</v>
      </c>
      <c r="G135" s="197" t="s">
        <v>6897</v>
      </c>
      <c r="H135" s="197" t="s">
        <v>6890</v>
      </c>
      <c r="I135" s="197" t="s">
        <v>6888</v>
      </c>
    </row>
    <row r="136" spans="2:9" ht="31.5" x14ac:dyDescent="0.25">
      <c r="B136" s="170" t="s">
        <v>7323</v>
      </c>
      <c r="C136" s="170" t="s">
        <v>4904</v>
      </c>
      <c r="D136" s="197" t="s">
        <v>7278</v>
      </c>
      <c r="E136" s="170" t="s">
        <v>7277</v>
      </c>
      <c r="F136" s="197" t="s">
        <v>6894</v>
      </c>
      <c r="G136" s="197" t="s">
        <v>6897</v>
      </c>
      <c r="H136" s="197" t="s">
        <v>6890</v>
      </c>
      <c r="I136" s="197" t="s">
        <v>6888</v>
      </c>
    </row>
    <row r="137" spans="2:9" ht="31.5" x14ac:dyDescent="0.25">
      <c r="B137" s="170" t="s">
        <v>7385</v>
      </c>
      <c r="C137" s="170" t="s">
        <v>4904</v>
      </c>
      <c r="D137" s="197" t="s">
        <v>7278</v>
      </c>
      <c r="E137" s="170" t="s">
        <v>7277</v>
      </c>
      <c r="F137" s="197" t="s">
        <v>6894</v>
      </c>
      <c r="G137" s="197" t="s">
        <v>6897</v>
      </c>
      <c r="H137" s="197" t="s">
        <v>6890</v>
      </c>
      <c r="I137" s="197" t="s">
        <v>6888</v>
      </c>
    </row>
    <row r="138" spans="2:9" ht="31.5" x14ac:dyDescent="0.25">
      <c r="B138" s="170" t="s">
        <v>7382</v>
      </c>
      <c r="C138" s="170" t="s">
        <v>4904</v>
      </c>
      <c r="D138" s="197" t="s">
        <v>7278</v>
      </c>
      <c r="E138" s="170" t="s">
        <v>7277</v>
      </c>
      <c r="F138" s="197" t="s">
        <v>6894</v>
      </c>
      <c r="G138" s="197" t="s">
        <v>6897</v>
      </c>
      <c r="H138" s="197" t="s">
        <v>6890</v>
      </c>
      <c r="I138" s="197" t="s">
        <v>6888</v>
      </c>
    </row>
    <row r="139" spans="2:9" ht="31.5" x14ac:dyDescent="0.25">
      <c r="B139" s="170" t="s">
        <v>7381</v>
      </c>
      <c r="C139" s="170" t="s">
        <v>4904</v>
      </c>
      <c r="D139" s="197" t="s">
        <v>7278</v>
      </c>
      <c r="E139" s="170" t="s">
        <v>7277</v>
      </c>
      <c r="F139" s="197" t="s">
        <v>6894</v>
      </c>
      <c r="G139" s="197" t="s">
        <v>6897</v>
      </c>
      <c r="H139" s="197" t="s">
        <v>6890</v>
      </c>
      <c r="I139" s="197" t="s">
        <v>6888</v>
      </c>
    </row>
    <row r="140" spans="2:9" ht="31.5" x14ac:dyDescent="0.25">
      <c r="B140" s="170" t="s">
        <v>7380</v>
      </c>
      <c r="C140" s="170" t="s">
        <v>4904</v>
      </c>
      <c r="D140" s="197" t="s">
        <v>7278</v>
      </c>
      <c r="E140" s="170" t="s">
        <v>7277</v>
      </c>
      <c r="F140" s="197" t="s">
        <v>6894</v>
      </c>
      <c r="G140" s="197" t="s">
        <v>6897</v>
      </c>
      <c r="H140" s="197" t="s">
        <v>6890</v>
      </c>
      <c r="I140" s="197" t="s">
        <v>6888</v>
      </c>
    </row>
    <row r="141" spans="2:9" ht="31.5" x14ac:dyDescent="0.25">
      <c r="B141" s="170" t="s">
        <v>7394</v>
      </c>
      <c r="C141" s="170" t="s">
        <v>4904</v>
      </c>
      <c r="D141" s="197" t="s">
        <v>7276</v>
      </c>
      <c r="E141" s="170" t="s">
        <v>7275</v>
      </c>
      <c r="F141" s="197" t="s">
        <v>6894</v>
      </c>
      <c r="G141" s="197" t="s">
        <v>6897</v>
      </c>
      <c r="H141" s="197" t="s">
        <v>6890</v>
      </c>
      <c r="I141" s="197" t="s">
        <v>6888</v>
      </c>
    </row>
    <row r="142" spans="2:9" ht="31.5" x14ac:dyDescent="0.25">
      <c r="B142" s="170" t="s">
        <v>7393</v>
      </c>
      <c r="C142" s="170" t="s">
        <v>4904</v>
      </c>
      <c r="D142" s="197" t="s">
        <v>7276</v>
      </c>
      <c r="E142" s="170" t="s">
        <v>7275</v>
      </c>
      <c r="F142" s="197" t="s">
        <v>6894</v>
      </c>
      <c r="G142" s="197" t="s">
        <v>6897</v>
      </c>
      <c r="H142" s="197" t="s">
        <v>6890</v>
      </c>
      <c r="I142" s="197" t="s">
        <v>6888</v>
      </c>
    </row>
    <row r="143" spans="2:9" ht="31.5" x14ac:dyDescent="0.25">
      <c r="B143" s="170" t="s">
        <v>7328</v>
      </c>
      <c r="C143" s="170" t="s">
        <v>4904</v>
      </c>
      <c r="D143" s="197" t="s">
        <v>7276</v>
      </c>
      <c r="E143" s="170" t="s">
        <v>7275</v>
      </c>
      <c r="F143" s="197" t="s">
        <v>6894</v>
      </c>
      <c r="G143" s="197" t="s">
        <v>6897</v>
      </c>
      <c r="H143" s="197" t="s">
        <v>6890</v>
      </c>
      <c r="I143" s="197" t="s">
        <v>6888</v>
      </c>
    </row>
    <row r="144" spans="2:9" ht="31.5" x14ac:dyDescent="0.25">
      <c r="B144" s="170" t="s">
        <v>7390</v>
      </c>
      <c r="C144" s="170" t="s">
        <v>4904</v>
      </c>
      <c r="D144" s="197" t="s">
        <v>7276</v>
      </c>
      <c r="E144" s="170" t="s">
        <v>7275</v>
      </c>
      <c r="F144" s="197" t="s">
        <v>6894</v>
      </c>
      <c r="G144" s="197" t="s">
        <v>6897</v>
      </c>
      <c r="H144" s="197" t="s">
        <v>6890</v>
      </c>
      <c r="I144" s="197" t="s">
        <v>6888</v>
      </c>
    </row>
    <row r="145" spans="2:9" ht="31.5" x14ac:dyDescent="0.25">
      <c r="B145" s="170" t="s">
        <v>7326</v>
      </c>
      <c r="C145" s="170" t="s">
        <v>4904</v>
      </c>
      <c r="D145" s="197" t="s">
        <v>7276</v>
      </c>
      <c r="E145" s="170" t="s">
        <v>7275</v>
      </c>
      <c r="F145" s="197" t="s">
        <v>6894</v>
      </c>
      <c r="G145" s="197" t="s">
        <v>6897</v>
      </c>
      <c r="H145" s="197" t="s">
        <v>6890</v>
      </c>
      <c r="I145" s="197" t="s">
        <v>6888</v>
      </c>
    </row>
    <row r="146" spans="2:9" ht="31.5" x14ac:dyDescent="0.25">
      <c r="B146" s="170" t="s">
        <v>7325</v>
      </c>
      <c r="C146" s="170" t="s">
        <v>4904</v>
      </c>
      <c r="D146" s="197" t="s">
        <v>7276</v>
      </c>
      <c r="E146" s="170" t="s">
        <v>7275</v>
      </c>
      <c r="F146" s="197" t="s">
        <v>6894</v>
      </c>
      <c r="G146" s="197" t="s">
        <v>6897</v>
      </c>
      <c r="H146" s="197" t="s">
        <v>6890</v>
      </c>
      <c r="I146" s="197" t="s">
        <v>6888</v>
      </c>
    </row>
    <row r="147" spans="2:9" ht="31.5" x14ac:dyDescent="0.25">
      <c r="B147" s="170" t="s">
        <v>7387</v>
      </c>
      <c r="C147" s="170" t="s">
        <v>4904</v>
      </c>
      <c r="D147" s="197" t="s">
        <v>7276</v>
      </c>
      <c r="E147" s="170" t="s">
        <v>7275</v>
      </c>
      <c r="F147" s="197" t="s">
        <v>6894</v>
      </c>
      <c r="G147" s="197" t="s">
        <v>6897</v>
      </c>
      <c r="H147" s="197" t="s">
        <v>6890</v>
      </c>
      <c r="I147" s="197" t="s">
        <v>6888</v>
      </c>
    </row>
    <row r="148" spans="2:9" ht="31.5" x14ac:dyDescent="0.25">
      <c r="B148" s="170" t="s">
        <v>7323</v>
      </c>
      <c r="C148" s="170" t="s">
        <v>4904</v>
      </c>
      <c r="D148" s="197" t="s">
        <v>7276</v>
      </c>
      <c r="E148" s="170" t="s">
        <v>7275</v>
      </c>
      <c r="F148" s="197" t="s">
        <v>6894</v>
      </c>
      <c r="G148" s="197" t="s">
        <v>6897</v>
      </c>
      <c r="H148" s="197" t="s">
        <v>6890</v>
      </c>
      <c r="I148" s="197" t="s">
        <v>6888</v>
      </c>
    </row>
    <row r="149" spans="2:9" ht="31.5" x14ac:dyDescent="0.25">
      <c r="B149" s="170" t="s">
        <v>7385</v>
      </c>
      <c r="C149" s="170" t="s">
        <v>4904</v>
      </c>
      <c r="D149" s="197" t="s">
        <v>7276</v>
      </c>
      <c r="E149" s="170" t="s">
        <v>7275</v>
      </c>
      <c r="F149" s="197" t="s">
        <v>6894</v>
      </c>
      <c r="G149" s="197" t="s">
        <v>6897</v>
      </c>
      <c r="H149" s="197" t="s">
        <v>6890</v>
      </c>
      <c r="I149" s="197" t="s">
        <v>6888</v>
      </c>
    </row>
    <row r="150" spans="2:9" ht="31.5" x14ac:dyDescent="0.25">
      <c r="B150" s="170" t="s">
        <v>7382</v>
      </c>
      <c r="C150" s="170" t="s">
        <v>4904</v>
      </c>
      <c r="D150" s="197" t="s">
        <v>7276</v>
      </c>
      <c r="E150" s="170" t="s">
        <v>7275</v>
      </c>
      <c r="F150" s="197" t="s">
        <v>6894</v>
      </c>
      <c r="G150" s="197" t="s">
        <v>6897</v>
      </c>
      <c r="H150" s="197" t="s">
        <v>6890</v>
      </c>
      <c r="I150" s="197" t="s">
        <v>6888</v>
      </c>
    </row>
    <row r="151" spans="2:9" ht="31.5" x14ac:dyDescent="0.25">
      <c r="B151" s="170" t="s">
        <v>7381</v>
      </c>
      <c r="C151" s="170" t="s">
        <v>4904</v>
      </c>
      <c r="D151" s="197" t="s">
        <v>7276</v>
      </c>
      <c r="E151" s="170" t="s">
        <v>7275</v>
      </c>
      <c r="F151" s="197" t="s">
        <v>6894</v>
      </c>
      <c r="G151" s="197" t="s">
        <v>6897</v>
      </c>
      <c r="H151" s="197" t="s">
        <v>6890</v>
      </c>
      <c r="I151" s="197" t="s">
        <v>6888</v>
      </c>
    </row>
    <row r="152" spans="2:9" ht="31.5" x14ac:dyDescent="0.25">
      <c r="B152" s="170" t="s">
        <v>7380</v>
      </c>
      <c r="C152" s="170" t="s">
        <v>4904</v>
      </c>
      <c r="D152" s="197" t="s">
        <v>7276</v>
      </c>
      <c r="E152" s="170" t="s">
        <v>7275</v>
      </c>
      <c r="F152" s="197" t="s">
        <v>6894</v>
      </c>
      <c r="G152" s="197" t="s">
        <v>6897</v>
      </c>
      <c r="H152" s="197" t="s">
        <v>6890</v>
      </c>
      <c r="I152" s="197" t="s">
        <v>6888</v>
      </c>
    </row>
    <row r="153" spans="2:9" ht="31.5" x14ac:dyDescent="0.25">
      <c r="B153" s="170" t="s">
        <v>7325</v>
      </c>
      <c r="C153" s="986" t="s">
        <v>4876</v>
      </c>
      <c r="D153" s="197" t="s">
        <v>7274</v>
      </c>
      <c r="E153" s="170" t="s">
        <v>7273</v>
      </c>
      <c r="F153" s="197" t="s">
        <v>6860</v>
      </c>
      <c r="G153" s="197" t="s">
        <v>6902</v>
      </c>
      <c r="H153" s="197" t="s">
        <v>6856</v>
      </c>
      <c r="I153" s="197" t="s">
        <v>6851</v>
      </c>
    </row>
    <row r="154" spans="2:9" ht="31.5" x14ac:dyDescent="0.25">
      <c r="B154" s="170" t="s">
        <v>7387</v>
      </c>
      <c r="C154" s="988" t="s">
        <v>4876</v>
      </c>
      <c r="D154" s="197" t="s">
        <v>7274</v>
      </c>
      <c r="E154" s="170" t="s">
        <v>7273</v>
      </c>
      <c r="F154" s="197" t="s">
        <v>6860</v>
      </c>
      <c r="G154" s="197" t="s">
        <v>6902</v>
      </c>
      <c r="H154" s="197" t="s">
        <v>6856</v>
      </c>
      <c r="I154" s="197" t="s">
        <v>6851</v>
      </c>
    </row>
    <row r="155" spans="2:9" ht="31.5" x14ac:dyDescent="0.25">
      <c r="B155" s="170" t="s">
        <v>7323</v>
      </c>
      <c r="C155" s="986" t="s">
        <v>4876</v>
      </c>
      <c r="D155" s="197" t="s">
        <v>7274</v>
      </c>
      <c r="E155" s="170" t="s">
        <v>7273</v>
      </c>
      <c r="F155" s="197" t="s">
        <v>6860</v>
      </c>
      <c r="G155" s="197" t="s">
        <v>6902</v>
      </c>
      <c r="H155" s="197" t="s">
        <v>6856</v>
      </c>
      <c r="I155" s="197" t="s">
        <v>6851</v>
      </c>
    </row>
    <row r="156" spans="2:9" ht="31.5" x14ac:dyDescent="0.25">
      <c r="B156" s="170" t="s">
        <v>7385</v>
      </c>
      <c r="C156" s="988" t="s">
        <v>4876</v>
      </c>
      <c r="D156" s="197" t="s">
        <v>7274</v>
      </c>
      <c r="E156" s="170" t="s">
        <v>7273</v>
      </c>
      <c r="F156" s="197" t="s">
        <v>6860</v>
      </c>
      <c r="G156" s="197" t="s">
        <v>6902</v>
      </c>
      <c r="H156" s="197" t="s">
        <v>6856</v>
      </c>
      <c r="I156" s="197" t="s">
        <v>6851</v>
      </c>
    </row>
    <row r="157" spans="2:9" ht="31.5" x14ac:dyDescent="0.25">
      <c r="B157" s="170" t="s">
        <v>7382</v>
      </c>
      <c r="C157" s="986" t="s">
        <v>4876</v>
      </c>
      <c r="D157" s="197" t="s">
        <v>7274</v>
      </c>
      <c r="E157" s="170" t="s">
        <v>7273</v>
      </c>
      <c r="F157" s="197" t="s">
        <v>6860</v>
      </c>
      <c r="G157" s="197" t="s">
        <v>6902</v>
      </c>
      <c r="H157" s="197" t="s">
        <v>6856</v>
      </c>
      <c r="I157" s="197" t="s">
        <v>6851</v>
      </c>
    </row>
    <row r="158" spans="2:9" ht="31.5" x14ac:dyDescent="0.25">
      <c r="B158" s="170" t="s">
        <v>7381</v>
      </c>
      <c r="C158" s="988" t="s">
        <v>4876</v>
      </c>
      <c r="D158" s="197" t="s">
        <v>7274</v>
      </c>
      <c r="E158" s="170" t="s">
        <v>7273</v>
      </c>
      <c r="F158" s="197" t="s">
        <v>6860</v>
      </c>
      <c r="G158" s="197" t="s">
        <v>6902</v>
      </c>
      <c r="H158" s="197" t="s">
        <v>6856</v>
      </c>
      <c r="I158" s="197" t="s">
        <v>6851</v>
      </c>
    </row>
    <row r="159" spans="2:9" ht="31.5" x14ac:dyDescent="0.25">
      <c r="B159" s="170" t="s">
        <v>7387</v>
      </c>
      <c r="C159" s="986" t="s">
        <v>4876</v>
      </c>
      <c r="D159" s="197" t="s">
        <v>7272</v>
      </c>
      <c r="E159" s="170" t="s">
        <v>7271</v>
      </c>
      <c r="F159" s="197" t="s">
        <v>521</v>
      </c>
      <c r="G159" s="197" t="s">
        <v>6974</v>
      </c>
      <c r="H159" s="197" t="s">
        <v>6856</v>
      </c>
      <c r="I159" s="197" t="s">
        <v>6851</v>
      </c>
    </row>
    <row r="160" spans="2:9" ht="31.5" x14ac:dyDescent="0.25">
      <c r="B160" s="170" t="s">
        <v>7323</v>
      </c>
      <c r="C160" s="988" t="s">
        <v>4876</v>
      </c>
      <c r="D160" s="197" t="s">
        <v>7272</v>
      </c>
      <c r="E160" s="170" t="s">
        <v>7271</v>
      </c>
      <c r="F160" s="197" t="s">
        <v>521</v>
      </c>
      <c r="G160" s="197" t="s">
        <v>6974</v>
      </c>
      <c r="H160" s="197" t="s">
        <v>6856</v>
      </c>
      <c r="I160" s="197" t="s">
        <v>6851</v>
      </c>
    </row>
    <row r="161" spans="2:9" ht="31.5" x14ac:dyDescent="0.25">
      <c r="B161" s="170" t="s">
        <v>7385</v>
      </c>
      <c r="C161" s="986" t="s">
        <v>4876</v>
      </c>
      <c r="D161" s="197" t="s">
        <v>7272</v>
      </c>
      <c r="E161" s="170" t="s">
        <v>7271</v>
      </c>
      <c r="F161" s="197" t="s">
        <v>521</v>
      </c>
      <c r="G161" s="197" t="s">
        <v>6974</v>
      </c>
      <c r="H161" s="197" t="s">
        <v>6856</v>
      </c>
      <c r="I161" s="197" t="s">
        <v>6851</v>
      </c>
    </row>
    <row r="162" spans="2:9" ht="31.5" x14ac:dyDescent="0.25">
      <c r="B162" s="170" t="s">
        <v>7394</v>
      </c>
      <c r="C162" s="988" t="s">
        <v>4876</v>
      </c>
      <c r="D162" s="197" t="s">
        <v>7270</v>
      </c>
      <c r="E162" s="170" t="s">
        <v>7269</v>
      </c>
      <c r="F162" s="197" t="s">
        <v>6860</v>
      </c>
      <c r="G162" s="197" t="s">
        <v>6902</v>
      </c>
      <c r="H162" s="197" t="s">
        <v>6856</v>
      </c>
      <c r="I162" s="197" t="s">
        <v>6851</v>
      </c>
    </row>
    <row r="163" spans="2:9" ht="31.5" x14ac:dyDescent="0.25">
      <c r="B163" s="170" t="s">
        <v>7393</v>
      </c>
      <c r="C163" s="986" t="s">
        <v>4876</v>
      </c>
      <c r="D163" s="197" t="s">
        <v>7270</v>
      </c>
      <c r="E163" s="170" t="s">
        <v>7269</v>
      </c>
      <c r="F163" s="197" t="s">
        <v>6860</v>
      </c>
      <c r="G163" s="197" t="s">
        <v>6902</v>
      </c>
      <c r="H163" s="197" t="s">
        <v>6856</v>
      </c>
      <c r="I163" s="197" t="s">
        <v>6851</v>
      </c>
    </row>
    <row r="164" spans="2:9" ht="31.5" x14ac:dyDescent="0.25">
      <c r="B164" s="170" t="s">
        <v>7381</v>
      </c>
      <c r="C164" s="988" t="s">
        <v>4876</v>
      </c>
      <c r="D164" s="197" t="s">
        <v>7270</v>
      </c>
      <c r="E164" s="170" t="s">
        <v>7269</v>
      </c>
      <c r="F164" s="197" t="s">
        <v>6860</v>
      </c>
      <c r="G164" s="197" t="s">
        <v>6902</v>
      </c>
      <c r="H164" s="197" t="s">
        <v>6856</v>
      </c>
      <c r="I164" s="197" t="s">
        <v>6851</v>
      </c>
    </row>
    <row r="165" spans="2:9" ht="31.5" x14ac:dyDescent="0.25">
      <c r="B165" s="170" t="s">
        <v>7380</v>
      </c>
      <c r="C165" s="986" t="s">
        <v>4876</v>
      </c>
      <c r="D165" s="197" t="s">
        <v>7270</v>
      </c>
      <c r="E165" s="170" t="s">
        <v>7269</v>
      </c>
      <c r="F165" s="197" t="s">
        <v>6860</v>
      </c>
      <c r="G165" s="197" t="s">
        <v>6902</v>
      </c>
      <c r="H165" s="197" t="s">
        <v>6856</v>
      </c>
      <c r="I165" s="197" t="s">
        <v>6851</v>
      </c>
    </row>
    <row r="166" spans="2:9" ht="31.5" x14ac:dyDescent="0.25">
      <c r="B166" s="170" t="s">
        <v>7394</v>
      </c>
      <c r="C166" s="988" t="s">
        <v>4876</v>
      </c>
      <c r="D166" s="197" t="s">
        <v>7268</v>
      </c>
      <c r="E166" s="170" t="s">
        <v>7267</v>
      </c>
      <c r="F166" s="197" t="s">
        <v>6860</v>
      </c>
      <c r="G166" s="197" t="s">
        <v>6876</v>
      </c>
      <c r="H166" s="197" t="s">
        <v>6856</v>
      </c>
      <c r="I166" s="197" t="s">
        <v>6851</v>
      </c>
    </row>
    <row r="167" spans="2:9" ht="31.5" x14ac:dyDescent="0.25">
      <c r="B167" s="170" t="s">
        <v>7393</v>
      </c>
      <c r="C167" s="986" t="s">
        <v>4876</v>
      </c>
      <c r="D167" s="197" t="s">
        <v>7268</v>
      </c>
      <c r="E167" s="170" t="s">
        <v>7267</v>
      </c>
      <c r="F167" s="197" t="s">
        <v>6860</v>
      </c>
      <c r="G167" s="197" t="s">
        <v>6876</v>
      </c>
      <c r="H167" s="197" t="s">
        <v>6856</v>
      </c>
      <c r="I167" s="197" t="s">
        <v>6851</v>
      </c>
    </row>
    <row r="168" spans="2:9" ht="31.5" x14ac:dyDescent="0.25">
      <c r="B168" s="170" t="s">
        <v>7328</v>
      </c>
      <c r="C168" s="988" t="s">
        <v>4876</v>
      </c>
      <c r="D168" s="197" t="s">
        <v>7268</v>
      </c>
      <c r="E168" s="170" t="s">
        <v>7267</v>
      </c>
      <c r="F168" s="197" t="s">
        <v>6860</v>
      </c>
      <c r="G168" s="197" t="s">
        <v>6876</v>
      </c>
      <c r="H168" s="197" t="s">
        <v>6856</v>
      </c>
      <c r="I168" s="197" t="s">
        <v>6851</v>
      </c>
    </row>
    <row r="169" spans="2:9" ht="31.5" x14ac:dyDescent="0.25">
      <c r="B169" s="170" t="s">
        <v>7390</v>
      </c>
      <c r="C169" s="986" t="s">
        <v>4876</v>
      </c>
      <c r="D169" s="197" t="s">
        <v>7268</v>
      </c>
      <c r="E169" s="170" t="s">
        <v>7267</v>
      </c>
      <c r="F169" s="197" t="s">
        <v>6860</v>
      </c>
      <c r="G169" s="197" t="s">
        <v>6876</v>
      </c>
      <c r="H169" s="197" t="s">
        <v>6856</v>
      </c>
      <c r="I169" s="197" t="s">
        <v>6851</v>
      </c>
    </row>
    <row r="170" spans="2:9" ht="31.5" x14ac:dyDescent="0.25">
      <c r="B170" s="170" t="s">
        <v>7326</v>
      </c>
      <c r="C170" s="988" t="s">
        <v>4876</v>
      </c>
      <c r="D170" s="197" t="s">
        <v>7268</v>
      </c>
      <c r="E170" s="170" t="s">
        <v>7267</v>
      </c>
      <c r="F170" s="197" t="s">
        <v>6860</v>
      </c>
      <c r="G170" s="197" t="s">
        <v>6876</v>
      </c>
      <c r="H170" s="197" t="s">
        <v>6856</v>
      </c>
      <c r="I170" s="197" t="s">
        <v>6851</v>
      </c>
    </row>
    <row r="171" spans="2:9" ht="31.5" x14ac:dyDescent="0.25">
      <c r="B171" s="170" t="s">
        <v>7325</v>
      </c>
      <c r="C171" s="986" t="s">
        <v>4876</v>
      </c>
      <c r="D171" s="197" t="s">
        <v>7268</v>
      </c>
      <c r="E171" s="170" t="s">
        <v>7267</v>
      </c>
      <c r="F171" s="197" t="s">
        <v>6860</v>
      </c>
      <c r="G171" s="197" t="s">
        <v>6876</v>
      </c>
      <c r="H171" s="197" t="s">
        <v>6856</v>
      </c>
      <c r="I171" s="197" t="s">
        <v>6851</v>
      </c>
    </row>
    <row r="172" spans="2:9" ht="31.5" x14ac:dyDescent="0.25">
      <c r="B172" s="170" t="s">
        <v>7387</v>
      </c>
      <c r="C172" s="988" t="s">
        <v>4876</v>
      </c>
      <c r="D172" s="197" t="s">
        <v>7268</v>
      </c>
      <c r="E172" s="170" t="s">
        <v>7267</v>
      </c>
      <c r="F172" s="197" t="s">
        <v>6860</v>
      </c>
      <c r="G172" s="197" t="s">
        <v>6876</v>
      </c>
      <c r="H172" s="197" t="s">
        <v>6856</v>
      </c>
      <c r="I172" s="197" t="s">
        <v>6851</v>
      </c>
    </row>
    <row r="173" spans="2:9" ht="31.5" x14ac:dyDescent="0.25">
      <c r="B173" s="170" t="s">
        <v>7323</v>
      </c>
      <c r="C173" s="986" t="s">
        <v>4876</v>
      </c>
      <c r="D173" s="197" t="s">
        <v>7268</v>
      </c>
      <c r="E173" s="170" t="s">
        <v>7267</v>
      </c>
      <c r="F173" s="197" t="s">
        <v>6860</v>
      </c>
      <c r="G173" s="197" t="s">
        <v>6876</v>
      </c>
      <c r="H173" s="197" t="s">
        <v>6856</v>
      </c>
      <c r="I173" s="197" t="s">
        <v>6851</v>
      </c>
    </row>
    <row r="174" spans="2:9" ht="31.5" x14ac:dyDescent="0.25">
      <c r="B174" s="170" t="s">
        <v>7385</v>
      </c>
      <c r="C174" s="988" t="s">
        <v>4876</v>
      </c>
      <c r="D174" s="197" t="s">
        <v>7268</v>
      </c>
      <c r="E174" s="170" t="s">
        <v>7267</v>
      </c>
      <c r="F174" s="197" t="s">
        <v>6860</v>
      </c>
      <c r="G174" s="197" t="s">
        <v>6876</v>
      </c>
      <c r="H174" s="197" t="s">
        <v>6856</v>
      </c>
      <c r="I174" s="197" t="s">
        <v>6851</v>
      </c>
    </row>
    <row r="175" spans="2:9" ht="31.5" x14ac:dyDescent="0.25">
      <c r="B175" s="170" t="s">
        <v>7382</v>
      </c>
      <c r="C175" s="986" t="s">
        <v>4876</v>
      </c>
      <c r="D175" s="197" t="s">
        <v>7268</v>
      </c>
      <c r="E175" s="170" t="s">
        <v>7267</v>
      </c>
      <c r="F175" s="197" t="s">
        <v>6860</v>
      </c>
      <c r="G175" s="197" t="s">
        <v>6876</v>
      </c>
      <c r="H175" s="197" t="s">
        <v>6856</v>
      </c>
      <c r="I175" s="197" t="s">
        <v>6851</v>
      </c>
    </row>
    <row r="176" spans="2:9" ht="31.5" x14ac:dyDescent="0.25">
      <c r="B176" s="170" t="s">
        <v>7381</v>
      </c>
      <c r="C176" s="988" t="s">
        <v>4876</v>
      </c>
      <c r="D176" s="197" t="s">
        <v>7268</v>
      </c>
      <c r="E176" s="170" t="s">
        <v>7267</v>
      </c>
      <c r="F176" s="197" t="s">
        <v>6860</v>
      </c>
      <c r="G176" s="197" t="s">
        <v>6876</v>
      </c>
      <c r="H176" s="197" t="s">
        <v>6856</v>
      </c>
      <c r="I176" s="197" t="s">
        <v>6851</v>
      </c>
    </row>
    <row r="177" spans="2:9" ht="31.5" x14ac:dyDescent="0.25">
      <c r="B177" s="170" t="s">
        <v>7380</v>
      </c>
      <c r="C177" s="986" t="s">
        <v>4876</v>
      </c>
      <c r="D177" s="197" t="s">
        <v>7268</v>
      </c>
      <c r="E177" s="170" t="s">
        <v>7267</v>
      </c>
      <c r="F177" s="197" t="s">
        <v>6860</v>
      </c>
      <c r="G177" s="197" t="s">
        <v>6876</v>
      </c>
      <c r="H177" s="197" t="s">
        <v>6856</v>
      </c>
      <c r="I177" s="197" t="s">
        <v>6851</v>
      </c>
    </row>
    <row r="178" spans="2:9" ht="31.5" x14ac:dyDescent="0.25">
      <c r="B178" s="170" t="s">
        <v>7325</v>
      </c>
      <c r="C178" s="988" t="s">
        <v>4876</v>
      </c>
      <c r="D178" s="197" t="s">
        <v>7265</v>
      </c>
      <c r="E178" s="170" t="s">
        <v>7264</v>
      </c>
      <c r="F178" s="197" t="s">
        <v>521</v>
      </c>
      <c r="G178" s="197" t="s">
        <v>6974</v>
      </c>
      <c r="H178" s="197" t="s">
        <v>6856</v>
      </c>
      <c r="I178" s="197" t="s">
        <v>6851</v>
      </c>
    </row>
    <row r="179" spans="2:9" ht="31.5" x14ac:dyDescent="0.25">
      <c r="B179" s="170" t="s">
        <v>7387</v>
      </c>
      <c r="C179" s="986" t="s">
        <v>4876</v>
      </c>
      <c r="D179" s="197" t="s">
        <v>7265</v>
      </c>
      <c r="E179" s="170" t="s">
        <v>7264</v>
      </c>
      <c r="F179" s="197" t="s">
        <v>521</v>
      </c>
      <c r="G179" s="197" t="s">
        <v>6974</v>
      </c>
      <c r="H179" s="197" t="s">
        <v>6856</v>
      </c>
      <c r="I179" s="197" t="s">
        <v>6851</v>
      </c>
    </row>
    <row r="180" spans="2:9" ht="31.5" x14ac:dyDescent="0.25">
      <c r="B180" s="170" t="s">
        <v>7323</v>
      </c>
      <c r="C180" s="988" t="s">
        <v>4876</v>
      </c>
      <c r="D180" s="197" t="s">
        <v>7265</v>
      </c>
      <c r="E180" s="170" t="s">
        <v>7264</v>
      </c>
      <c r="F180" s="197" t="s">
        <v>521</v>
      </c>
      <c r="G180" s="197" t="s">
        <v>6974</v>
      </c>
      <c r="H180" s="197" t="s">
        <v>6856</v>
      </c>
      <c r="I180" s="197" t="s">
        <v>6851</v>
      </c>
    </row>
    <row r="181" spans="2:9" ht="31.5" x14ac:dyDescent="0.25">
      <c r="B181" s="170" t="s">
        <v>7394</v>
      </c>
      <c r="C181" s="170" t="s">
        <v>4904</v>
      </c>
      <c r="D181" s="197" t="s">
        <v>7263</v>
      </c>
      <c r="E181" s="170" t="s">
        <v>7262</v>
      </c>
      <c r="F181" s="197" t="s">
        <v>6860</v>
      </c>
      <c r="G181" s="197" t="s">
        <v>6876</v>
      </c>
      <c r="H181" s="197" t="s">
        <v>6980</v>
      </c>
      <c r="I181" s="197" t="s">
        <v>6977</v>
      </c>
    </row>
    <row r="182" spans="2:9" ht="31.5" x14ac:dyDescent="0.25">
      <c r="B182" s="170" t="s">
        <v>7325</v>
      </c>
      <c r="C182" s="986" t="s">
        <v>4876</v>
      </c>
      <c r="D182" s="197" t="s">
        <v>7263</v>
      </c>
      <c r="E182" s="170" t="s">
        <v>7262</v>
      </c>
      <c r="F182" s="197" t="s">
        <v>6860</v>
      </c>
      <c r="G182" s="197" t="s">
        <v>6876</v>
      </c>
      <c r="H182" s="197" t="s">
        <v>6980</v>
      </c>
      <c r="I182" s="197" t="s">
        <v>6977</v>
      </c>
    </row>
    <row r="183" spans="2:9" ht="31.5" x14ac:dyDescent="0.25">
      <c r="B183" s="170" t="s">
        <v>7387</v>
      </c>
      <c r="C183" s="988" t="s">
        <v>4876</v>
      </c>
      <c r="D183" s="197" t="s">
        <v>7263</v>
      </c>
      <c r="E183" s="170" t="s">
        <v>7262</v>
      </c>
      <c r="F183" s="197" t="s">
        <v>6860</v>
      </c>
      <c r="G183" s="197" t="s">
        <v>6876</v>
      </c>
      <c r="H183" s="197" t="s">
        <v>6980</v>
      </c>
      <c r="I183" s="197" t="s">
        <v>6977</v>
      </c>
    </row>
    <row r="184" spans="2:9" ht="31.5" x14ac:dyDescent="0.25">
      <c r="B184" s="170" t="s">
        <v>7323</v>
      </c>
      <c r="C184" s="986" t="s">
        <v>4876</v>
      </c>
      <c r="D184" s="197" t="s">
        <v>7263</v>
      </c>
      <c r="E184" s="170" t="s">
        <v>7262</v>
      </c>
      <c r="F184" s="197" t="s">
        <v>6860</v>
      </c>
      <c r="G184" s="197" t="s">
        <v>6876</v>
      </c>
      <c r="H184" s="197" t="s">
        <v>6980</v>
      </c>
      <c r="I184" s="197" t="s">
        <v>6977</v>
      </c>
    </row>
    <row r="185" spans="2:9" ht="31.5" x14ac:dyDescent="0.25">
      <c r="B185" s="170" t="s">
        <v>7385</v>
      </c>
      <c r="C185" s="988" t="s">
        <v>4876</v>
      </c>
      <c r="D185" s="197" t="s">
        <v>7263</v>
      </c>
      <c r="E185" s="170" t="s">
        <v>7262</v>
      </c>
      <c r="F185" s="197" t="s">
        <v>6860</v>
      </c>
      <c r="G185" s="197" t="s">
        <v>6876</v>
      </c>
      <c r="H185" s="197" t="s">
        <v>6980</v>
      </c>
      <c r="I185" s="197" t="s">
        <v>6977</v>
      </c>
    </row>
    <row r="186" spans="2:9" ht="31.5" x14ac:dyDescent="0.25">
      <c r="B186" s="170" t="s">
        <v>7382</v>
      </c>
      <c r="C186" s="986" t="s">
        <v>4876</v>
      </c>
      <c r="D186" s="197" t="s">
        <v>7263</v>
      </c>
      <c r="E186" s="170" t="s">
        <v>7262</v>
      </c>
      <c r="F186" s="197" t="s">
        <v>6860</v>
      </c>
      <c r="G186" s="197" t="s">
        <v>6876</v>
      </c>
      <c r="H186" s="197" t="s">
        <v>6980</v>
      </c>
      <c r="I186" s="197" t="s">
        <v>6977</v>
      </c>
    </row>
    <row r="187" spans="2:9" ht="31.5" x14ac:dyDescent="0.25">
      <c r="B187" s="170" t="s">
        <v>7381</v>
      </c>
      <c r="C187" s="988" t="s">
        <v>4876</v>
      </c>
      <c r="D187" s="197" t="s">
        <v>7263</v>
      </c>
      <c r="E187" s="170" t="s">
        <v>7262</v>
      </c>
      <c r="F187" s="197" t="s">
        <v>6860</v>
      </c>
      <c r="G187" s="197" t="s">
        <v>6876</v>
      </c>
      <c r="H187" s="197" t="s">
        <v>6980</v>
      </c>
      <c r="I187" s="197" t="s">
        <v>6977</v>
      </c>
    </row>
    <row r="188" spans="2:9" ht="31.5" x14ac:dyDescent="0.25">
      <c r="B188" s="170" t="s">
        <v>7380</v>
      </c>
      <c r="C188" s="986" t="s">
        <v>4876</v>
      </c>
      <c r="D188" s="197" t="s">
        <v>7263</v>
      </c>
      <c r="E188" s="170" t="s">
        <v>7262</v>
      </c>
      <c r="F188" s="197" t="s">
        <v>6860</v>
      </c>
      <c r="G188" s="197" t="s">
        <v>6876</v>
      </c>
      <c r="H188" s="197" t="s">
        <v>6980</v>
      </c>
      <c r="I188" s="197" t="s">
        <v>6977</v>
      </c>
    </row>
    <row r="189" spans="2:9" ht="31.5" x14ac:dyDescent="0.25">
      <c r="B189" s="170" t="s">
        <v>7394</v>
      </c>
      <c r="C189" s="988" t="s">
        <v>4876</v>
      </c>
      <c r="D189" s="197" t="s">
        <v>7258</v>
      </c>
      <c r="E189" s="170" t="s">
        <v>7257</v>
      </c>
      <c r="F189" s="197" t="s">
        <v>6860</v>
      </c>
      <c r="G189" s="197" t="s">
        <v>6893</v>
      </c>
      <c r="H189" s="197" t="s">
        <v>6856</v>
      </c>
      <c r="I189" s="197" t="s">
        <v>6851</v>
      </c>
    </row>
    <row r="190" spans="2:9" ht="31.5" x14ac:dyDescent="0.25">
      <c r="B190" s="170" t="s">
        <v>7393</v>
      </c>
      <c r="C190" s="986" t="s">
        <v>4876</v>
      </c>
      <c r="D190" s="197" t="s">
        <v>7258</v>
      </c>
      <c r="E190" s="170" t="s">
        <v>7257</v>
      </c>
      <c r="F190" s="197" t="s">
        <v>6860</v>
      </c>
      <c r="G190" s="197" t="s">
        <v>6893</v>
      </c>
      <c r="H190" s="197" t="s">
        <v>6856</v>
      </c>
      <c r="I190" s="197" t="s">
        <v>6851</v>
      </c>
    </row>
    <row r="191" spans="2:9" ht="31.5" x14ac:dyDescent="0.25">
      <c r="B191" s="170" t="s">
        <v>7328</v>
      </c>
      <c r="C191" s="988" t="s">
        <v>4876</v>
      </c>
      <c r="D191" s="197" t="s">
        <v>7258</v>
      </c>
      <c r="E191" s="170" t="s">
        <v>7257</v>
      </c>
      <c r="F191" s="197" t="s">
        <v>6860</v>
      </c>
      <c r="G191" s="197" t="s">
        <v>6893</v>
      </c>
      <c r="H191" s="197" t="s">
        <v>6856</v>
      </c>
      <c r="I191" s="197" t="s">
        <v>6851</v>
      </c>
    </row>
    <row r="192" spans="2:9" ht="31.5" x14ac:dyDescent="0.25">
      <c r="B192" s="170" t="s">
        <v>7385</v>
      </c>
      <c r="C192" s="986" t="s">
        <v>4876</v>
      </c>
      <c r="D192" s="197" t="s">
        <v>7258</v>
      </c>
      <c r="E192" s="170" t="s">
        <v>7257</v>
      </c>
      <c r="F192" s="197" t="s">
        <v>6860</v>
      </c>
      <c r="G192" s="197" t="s">
        <v>6893</v>
      </c>
      <c r="H192" s="197" t="s">
        <v>6856</v>
      </c>
      <c r="I192" s="197" t="s">
        <v>6851</v>
      </c>
    </row>
    <row r="193" spans="2:9" ht="31.5" x14ac:dyDescent="0.25">
      <c r="B193" s="170" t="s">
        <v>7382</v>
      </c>
      <c r="C193" s="988" t="s">
        <v>4876</v>
      </c>
      <c r="D193" s="197" t="s">
        <v>7258</v>
      </c>
      <c r="E193" s="170" t="s">
        <v>7257</v>
      </c>
      <c r="F193" s="197" t="s">
        <v>6860</v>
      </c>
      <c r="G193" s="197" t="s">
        <v>6893</v>
      </c>
      <c r="H193" s="197" t="s">
        <v>6856</v>
      </c>
      <c r="I193" s="197" t="s">
        <v>6851</v>
      </c>
    </row>
    <row r="194" spans="2:9" ht="31.5" x14ac:dyDescent="0.25">
      <c r="B194" s="170" t="s">
        <v>7381</v>
      </c>
      <c r="C194" s="986" t="s">
        <v>4876</v>
      </c>
      <c r="D194" s="197" t="s">
        <v>7258</v>
      </c>
      <c r="E194" s="170" t="s">
        <v>7257</v>
      </c>
      <c r="F194" s="197" t="s">
        <v>6860</v>
      </c>
      <c r="G194" s="197" t="s">
        <v>6893</v>
      </c>
      <c r="H194" s="197" t="s">
        <v>6856</v>
      </c>
      <c r="I194" s="197" t="s">
        <v>6851</v>
      </c>
    </row>
    <row r="195" spans="2:9" ht="31.5" x14ac:dyDescent="0.25">
      <c r="B195" s="170" t="s">
        <v>7380</v>
      </c>
      <c r="C195" s="988" t="s">
        <v>4876</v>
      </c>
      <c r="D195" s="197" t="s">
        <v>7258</v>
      </c>
      <c r="E195" s="170" t="s">
        <v>7257</v>
      </c>
      <c r="F195" s="197" t="s">
        <v>6860</v>
      </c>
      <c r="G195" s="197" t="s">
        <v>6893</v>
      </c>
      <c r="H195" s="197" t="s">
        <v>6856</v>
      </c>
      <c r="I195" s="197" t="s">
        <v>6851</v>
      </c>
    </row>
    <row r="196" spans="2:9" ht="31.5" x14ac:dyDescent="0.25">
      <c r="B196" s="170" t="s">
        <v>7326</v>
      </c>
      <c r="C196" s="986" t="s">
        <v>4876</v>
      </c>
      <c r="D196" s="197" t="s">
        <v>7256</v>
      </c>
      <c r="E196" s="170" t="s">
        <v>7255</v>
      </c>
      <c r="F196" s="197" t="s">
        <v>521</v>
      </c>
      <c r="G196" s="197" t="s">
        <v>6974</v>
      </c>
      <c r="H196" s="197" t="s">
        <v>6856</v>
      </c>
      <c r="I196" s="197" t="s">
        <v>6851</v>
      </c>
    </row>
    <row r="197" spans="2:9" ht="31.5" x14ac:dyDescent="0.25">
      <c r="B197" s="170" t="s">
        <v>7325</v>
      </c>
      <c r="C197" s="988" t="s">
        <v>4876</v>
      </c>
      <c r="D197" s="197" t="s">
        <v>7256</v>
      </c>
      <c r="E197" s="170" t="s">
        <v>7255</v>
      </c>
      <c r="F197" s="197" t="s">
        <v>521</v>
      </c>
      <c r="G197" s="197" t="s">
        <v>6974</v>
      </c>
      <c r="H197" s="197" t="s">
        <v>6856</v>
      </c>
      <c r="I197" s="197" t="s">
        <v>6851</v>
      </c>
    </row>
    <row r="198" spans="2:9" ht="31.5" x14ac:dyDescent="0.25">
      <c r="B198" s="170" t="s">
        <v>7387</v>
      </c>
      <c r="C198" s="986" t="s">
        <v>4876</v>
      </c>
      <c r="D198" s="197" t="s">
        <v>7256</v>
      </c>
      <c r="E198" s="170" t="s">
        <v>7255</v>
      </c>
      <c r="F198" s="197" t="s">
        <v>521</v>
      </c>
      <c r="G198" s="197" t="s">
        <v>6974</v>
      </c>
      <c r="H198" s="197" t="s">
        <v>6856</v>
      </c>
      <c r="I198" s="197" t="s">
        <v>6851</v>
      </c>
    </row>
    <row r="199" spans="2:9" ht="31.5" x14ac:dyDescent="0.25">
      <c r="B199" s="170" t="s">
        <v>7394</v>
      </c>
      <c r="C199" s="988" t="s">
        <v>4876</v>
      </c>
      <c r="D199" s="197" t="s">
        <v>7254</v>
      </c>
      <c r="E199" s="170" t="s">
        <v>7253</v>
      </c>
      <c r="F199" s="197" t="s">
        <v>7156</v>
      </c>
      <c r="G199" s="197" t="s">
        <v>6876</v>
      </c>
      <c r="H199" s="197" t="s">
        <v>6856</v>
      </c>
      <c r="I199" s="197" t="s">
        <v>6851</v>
      </c>
    </row>
    <row r="200" spans="2:9" ht="31.5" x14ac:dyDescent="0.25">
      <c r="B200" s="170" t="s">
        <v>7393</v>
      </c>
      <c r="C200" s="986" t="s">
        <v>4876</v>
      </c>
      <c r="D200" s="197" t="s">
        <v>7254</v>
      </c>
      <c r="E200" s="170" t="s">
        <v>7253</v>
      </c>
      <c r="F200" s="197" t="s">
        <v>7156</v>
      </c>
      <c r="G200" s="197" t="s">
        <v>6876</v>
      </c>
      <c r="H200" s="197" t="s">
        <v>6856</v>
      </c>
      <c r="I200" s="197" t="s">
        <v>6851</v>
      </c>
    </row>
    <row r="201" spans="2:9" ht="31.5" x14ac:dyDescent="0.25">
      <c r="B201" s="170" t="s">
        <v>7328</v>
      </c>
      <c r="C201" s="988" t="s">
        <v>4876</v>
      </c>
      <c r="D201" s="197" t="s">
        <v>7254</v>
      </c>
      <c r="E201" s="170" t="s">
        <v>7253</v>
      </c>
      <c r="F201" s="197" t="s">
        <v>7156</v>
      </c>
      <c r="G201" s="197" t="s">
        <v>6876</v>
      </c>
      <c r="H201" s="197" t="s">
        <v>6856</v>
      </c>
      <c r="I201" s="197" t="s">
        <v>6851</v>
      </c>
    </row>
    <row r="202" spans="2:9" ht="31.5" x14ac:dyDescent="0.25">
      <c r="B202" s="170" t="s">
        <v>7390</v>
      </c>
      <c r="C202" s="986" t="s">
        <v>4876</v>
      </c>
      <c r="D202" s="197" t="s">
        <v>7254</v>
      </c>
      <c r="E202" s="170" t="s">
        <v>7253</v>
      </c>
      <c r="F202" s="197" t="s">
        <v>7156</v>
      </c>
      <c r="G202" s="197" t="s">
        <v>6876</v>
      </c>
      <c r="H202" s="197" t="s">
        <v>6856</v>
      </c>
      <c r="I202" s="197" t="s">
        <v>6851</v>
      </c>
    </row>
    <row r="203" spans="2:9" ht="31.5" x14ac:dyDescent="0.25">
      <c r="B203" s="170" t="s">
        <v>7326</v>
      </c>
      <c r="C203" s="988" t="s">
        <v>4876</v>
      </c>
      <c r="D203" s="197" t="s">
        <v>7254</v>
      </c>
      <c r="E203" s="170" t="s">
        <v>7253</v>
      </c>
      <c r="F203" s="197" t="s">
        <v>7156</v>
      </c>
      <c r="G203" s="197" t="s">
        <v>6876</v>
      </c>
      <c r="H203" s="197" t="s">
        <v>6856</v>
      </c>
      <c r="I203" s="197" t="s">
        <v>6851</v>
      </c>
    </row>
    <row r="204" spans="2:9" ht="31.5" x14ac:dyDescent="0.25">
      <c r="B204" s="170" t="s">
        <v>7325</v>
      </c>
      <c r="C204" s="986" t="s">
        <v>4876</v>
      </c>
      <c r="D204" s="197" t="s">
        <v>7254</v>
      </c>
      <c r="E204" s="170" t="s">
        <v>7253</v>
      </c>
      <c r="F204" s="197" t="s">
        <v>7156</v>
      </c>
      <c r="G204" s="197" t="s">
        <v>6876</v>
      </c>
      <c r="H204" s="197" t="s">
        <v>6856</v>
      </c>
      <c r="I204" s="197" t="s">
        <v>6851</v>
      </c>
    </row>
    <row r="205" spans="2:9" ht="31.5" x14ac:dyDescent="0.25">
      <c r="B205" s="170" t="s">
        <v>7387</v>
      </c>
      <c r="C205" s="988" t="s">
        <v>4876</v>
      </c>
      <c r="D205" s="197" t="s">
        <v>7254</v>
      </c>
      <c r="E205" s="170" t="s">
        <v>7253</v>
      </c>
      <c r="F205" s="197" t="s">
        <v>7156</v>
      </c>
      <c r="G205" s="197" t="s">
        <v>6876</v>
      </c>
      <c r="H205" s="197" t="s">
        <v>6856</v>
      </c>
      <c r="I205" s="197" t="s">
        <v>6851</v>
      </c>
    </row>
    <row r="206" spans="2:9" ht="31.5" x14ac:dyDescent="0.25">
      <c r="B206" s="170" t="s">
        <v>7323</v>
      </c>
      <c r="C206" s="986" t="s">
        <v>4876</v>
      </c>
      <c r="D206" s="197" t="s">
        <v>7254</v>
      </c>
      <c r="E206" s="170" t="s">
        <v>7253</v>
      </c>
      <c r="F206" s="197" t="s">
        <v>7156</v>
      </c>
      <c r="G206" s="197" t="s">
        <v>6876</v>
      </c>
      <c r="H206" s="197" t="s">
        <v>6856</v>
      </c>
      <c r="I206" s="197" t="s">
        <v>6851</v>
      </c>
    </row>
    <row r="207" spans="2:9" ht="31.5" x14ac:dyDescent="0.25">
      <c r="B207" s="170" t="s">
        <v>7385</v>
      </c>
      <c r="C207" s="988" t="s">
        <v>4876</v>
      </c>
      <c r="D207" s="197" t="s">
        <v>7254</v>
      </c>
      <c r="E207" s="170" t="s">
        <v>7253</v>
      </c>
      <c r="F207" s="197" t="s">
        <v>7156</v>
      </c>
      <c r="G207" s="197" t="s">
        <v>6876</v>
      </c>
      <c r="H207" s="197" t="s">
        <v>6856</v>
      </c>
      <c r="I207" s="197" t="s">
        <v>6851</v>
      </c>
    </row>
    <row r="208" spans="2:9" ht="31.5" x14ac:dyDescent="0.25">
      <c r="B208" s="170" t="s">
        <v>7382</v>
      </c>
      <c r="C208" s="986" t="s">
        <v>4876</v>
      </c>
      <c r="D208" s="197" t="s">
        <v>7254</v>
      </c>
      <c r="E208" s="170" t="s">
        <v>7253</v>
      </c>
      <c r="F208" s="197" t="s">
        <v>7156</v>
      </c>
      <c r="G208" s="197" t="s">
        <v>6876</v>
      </c>
      <c r="H208" s="197" t="s">
        <v>6856</v>
      </c>
      <c r="I208" s="197" t="s">
        <v>6851</v>
      </c>
    </row>
    <row r="209" spans="2:9" ht="31.5" x14ac:dyDescent="0.25">
      <c r="B209" s="170" t="s">
        <v>7381</v>
      </c>
      <c r="C209" s="988" t="s">
        <v>4876</v>
      </c>
      <c r="D209" s="197" t="s">
        <v>7254</v>
      </c>
      <c r="E209" s="170" t="s">
        <v>7253</v>
      </c>
      <c r="F209" s="197" t="s">
        <v>7156</v>
      </c>
      <c r="G209" s="197" t="s">
        <v>6876</v>
      </c>
      <c r="H209" s="197" t="s">
        <v>6856</v>
      </c>
      <c r="I209" s="197" t="s">
        <v>6851</v>
      </c>
    </row>
    <row r="210" spans="2:9" ht="31.5" x14ac:dyDescent="0.25">
      <c r="B210" s="170" t="s">
        <v>7380</v>
      </c>
      <c r="C210" s="986" t="s">
        <v>4876</v>
      </c>
      <c r="D210" s="197" t="s">
        <v>7254</v>
      </c>
      <c r="E210" s="170" t="s">
        <v>7253</v>
      </c>
      <c r="F210" s="197" t="s">
        <v>7156</v>
      </c>
      <c r="G210" s="197" t="s">
        <v>6876</v>
      </c>
      <c r="H210" s="197" t="s">
        <v>6856</v>
      </c>
      <c r="I210" s="197" t="s">
        <v>6851</v>
      </c>
    </row>
    <row r="211" spans="2:9" ht="31.5" x14ac:dyDescent="0.25">
      <c r="B211" s="170" t="s">
        <v>7385</v>
      </c>
      <c r="C211" s="170" t="s">
        <v>7213</v>
      </c>
      <c r="D211" s="197" t="s">
        <v>7251</v>
      </c>
      <c r="E211" s="170" t="s">
        <v>7250</v>
      </c>
      <c r="F211" s="197" t="s">
        <v>7156</v>
      </c>
      <c r="G211" s="197" t="s">
        <v>6897</v>
      </c>
      <c r="H211" s="197" t="s">
        <v>4970</v>
      </c>
      <c r="I211" s="197" t="s">
        <v>7214</v>
      </c>
    </row>
    <row r="212" spans="2:9" ht="31.5" x14ac:dyDescent="0.25">
      <c r="B212" s="170" t="s">
        <v>7382</v>
      </c>
      <c r="C212" s="170" t="s">
        <v>7213</v>
      </c>
      <c r="D212" s="197" t="s">
        <v>7251</v>
      </c>
      <c r="E212" s="170" t="s">
        <v>7250</v>
      </c>
      <c r="F212" s="197" t="s">
        <v>7156</v>
      </c>
      <c r="G212" s="197" t="s">
        <v>6897</v>
      </c>
      <c r="H212" s="197" t="s">
        <v>4970</v>
      </c>
      <c r="I212" s="197" t="s">
        <v>7214</v>
      </c>
    </row>
    <row r="213" spans="2:9" ht="31.5" x14ac:dyDescent="0.25">
      <c r="B213" s="170" t="s">
        <v>7381</v>
      </c>
      <c r="C213" s="170" t="s">
        <v>7213</v>
      </c>
      <c r="D213" s="197" t="s">
        <v>7251</v>
      </c>
      <c r="E213" s="170" t="s">
        <v>7250</v>
      </c>
      <c r="F213" s="197" t="s">
        <v>7156</v>
      </c>
      <c r="G213" s="197" t="s">
        <v>6897</v>
      </c>
      <c r="H213" s="197" t="s">
        <v>4970</v>
      </c>
      <c r="I213" s="197" t="s">
        <v>7214</v>
      </c>
    </row>
    <row r="214" spans="2:9" ht="31.5" x14ac:dyDescent="0.25">
      <c r="B214" s="170" t="s">
        <v>7394</v>
      </c>
      <c r="C214" s="170" t="s">
        <v>4904</v>
      </c>
      <c r="D214" s="197" t="s">
        <v>7248</v>
      </c>
      <c r="E214" s="170" t="s">
        <v>7247</v>
      </c>
      <c r="F214" s="197" t="s">
        <v>6860</v>
      </c>
      <c r="G214" s="197" t="s">
        <v>6902</v>
      </c>
      <c r="H214" s="197" t="s">
        <v>6890</v>
      </c>
      <c r="I214" s="197" t="s">
        <v>6888</v>
      </c>
    </row>
    <row r="215" spans="2:9" ht="31.5" x14ac:dyDescent="0.25">
      <c r="B215" s="170" t="s">
        <v>7393</v>
      </c>
      <c r="C215" s="170" t="s">
        <v>4904</v>
      </c>
      <c r="D215" s="197" t="s">
        <v>7248</v>
      </c>
      <c r="E215" s="170" t="s">
        <v>7247</v>
      </c>
      <c r="F215" s="197" t="s">
        <v>6860</v>
      </c>
      <c r="G215" s="197" t="s">
        <v>6902</v>
      </c>
      <c r="H215" s="197" t="s">
        <v>6890</v>
      </c>
      <c r="I215" s="197" t="s">
        <v>6888</v>
      </c>
    </row>
    <row r="216" spans="2:9" ht="31.5" x14ac:dyDescent="0.25">
      <c r="B216" s="170" t="s">
        <v>7328</v>
      </c>
      <c r="C216" s="170" t="s">
        <v>4904</v>
      </c>
      <c r="D216" s="197" t="s">
        <v>7248</v>
      </c>
      <c r="E216" s="170" t="s">
        <v>7247</v>
      </c>
      <c r="F216" s="197" t="s">
        <v>6860</v>
      </c>
      <c r="G216" s="197" t="s">
        <v>6902</v>
      </c>
      <c r="H216" s="197" t="s">
        <v>6890</v>
      </c>
      <c r="I216" s="197" t="s">
        <v>6888</v>
      </c>
    </row>
    <row r="217" spans="2:9" ht="31.5" x14ac:dyDescent="0.25">
      <c r="B217" s="170" t="s">
        <v>7390</v>
      </c>
      <c r="C217" s="170" t="s">
        <v>4904</v>
      </c>
      <c r="D217" s="197" t="s">
        <v>7248</v>
      </c>
      <c r="E217" s="170" t="s">
        <v>7247</v>
      </c>
      <c r="F217" s="197" t="s">
        <v>6860</v>
      </c>
      <c r="G217" s="197" t="s">
        <v>6902</v>
      </c>
      <c r="H217" s="197" t="s">
        <v>6890</v>
      </c>
      <c r="I217" s="197" t="s">
        <v>6888</v>
      </c>
    </row>
    <row r="218" spans="2:9" ht="31.5" x14ac:dyDescent="0.25">
      <c r="B218" s="170" t="s">
        <v>7326</v>
      </c>
      <c r="C218" s="170" t="s">
        <v>4904</v>
      </c>
      <c r="D218" s="197" t="s">
        <v>7248</v>
      </c>
      <c r="E218" s="170" t="s">
        <v>7247</v>
      </c>
      <c r="F218" s="197" t="s">
        <v>6860</v>
      </c>
      <c r="G218" s="197" t="s">
        <v>6902</v>
      </c>
      <c r="H218" s="197" t="s">
        <v>6890</v>
      </c>
      <c r="I218" s="197" t="s">
        <v>6888</v>
      </c>
    </row>
    <row r="219" spans="2:9" ht="31.5" x14ac:dyDescent="0.25">
      <c r="B219" s="170" t="s">
        <v>7325</v>
      </c>
      <c r="C219" s="170" t="s">
        <v>4904</v>
      </c>
      <c r="D219" s="197" t="s">
        <v>7248</v>
      </c>
      <c r="E219" s="170" t="s">
        <v>7247</v>
      </c>
      <c r="F219" s="197" t="s">
        <v>6860</v>
      </c>
      <c r="G219" s="197" t="s">
        <v>6902</v>
      </c>
      <c r="H219" s="197" t="s">
        <v>6890</v>
      </c>
      <c r="I219" s="197" t="s">
        <v>6888</v>
      </c>
    </row>
    <row r="220" spans="2:9" ht="31.5" x14ac:dyDescent="0.25">
      <c r="B220" s="170" t="s">
        <v>7387</v>
      </c>
      <c r="C220" s="170" t="s">
        <v>4904</v>
      </c>
      <c r="D220" s="197" t="s">
        <v>7248</v>
      </c>
      <c r="E220" s="170" t="s">
        <v>7247</v>
      </c>
      <c r="F220" s="197" t="s">
        <v>6860</v>
      </c>
      <c r="G220" s="197" t="s">
        <v>6902</v>
      </c>
      <c r="H220" s="197" t="s">
        <v>6890</v>
      </c>
      <c r="I220" s="197" t="s">
        <v>6888</v>
      </c>
    </row>
    <row r="221" spans="2:9" ht="31.5" x14ac:dyDescent="0.25">
      <c r="B221" s="170" t="s">
        <v>7323</v>
      </c>
      <c r="C221" s="170" t="s">
        <v>4904</v>
      </c>
      <c r="D221" s="197" t="s">
        <v>7248</v>
      </c>
      <c r="E221" s="170" t="s">
        <v>7247</v>
      </c>
      <c r="F221" s="197" t="s">
        <v>6860</v>
      </c>
      <c r="G221" s="197" t="s">
        <v>6902</v>
      </c>
      <c r="H221" s="197" t="s">
        <v>6890</v>
      </c>
      <c r="I221" s="197" t="s">
        <v>6888</v>
      </c>
    </row>
    <row r="222" spans="2:9" ht="31.5" x14ac:dyDescent="0.25">
      <c r="B222" s="170" t="s">
        <v>7385</v>
      </c>
      <c r="C222" s="170" t="s">
        <v>4904</v>
      </c>
      <c r="D222" s="197" t="s">
        <v>7248</v>
      </c>
      <c r="E222" s="170" t="s">
        <v>7247</v>
      </c>
      <c r="F222" s="197" t="s">
        <v>6860</v>
      </c>
      <c r="G222" s="197" t="s">
        <v>6902</v>
      </c>
      <c r="H222" s="197" t="s">
        <v>6890</v>
      </c>
      <c r="I222" s="197" t="s">
        <v>6888</v>
      </c>
    </row>
    <row r="223" spans="2:9" ht="31.5" x14ac:dyDescent="0.25">
      <c r="B223" s="170" t="s">
        <v>7382</v>
      </c>
      <c r="C223" s="170" t="s">
        <v>4904</v>
      </c>
      <c r="D223" s="197" t="s">
        <v>7248</v>
      </c>
      <c r="E223" s="170" t="s">
        <v>7247</v>
      </c>
      <c r="F223" s="197" t="s">
        <v>6860</v>
      </c>
      <c r="G223" s="197" t="s">
        <v>6902</v>
      </c>
      <c r="H223" s="197" t="s">
        <v>6890</v>
      </c>
      <c r="I223" s="197" t="s">
        <v>6888</v>
      </c>
    </row>
    <row r="224" spans="2:9" ht="31.5" x14ac:dyDescent="0.25">
      <c r="B224" s="170" t="s">
        <v>7381</v>
      </c>
      <c r="C224" s="170" t="s">
        <v>4904</v>
      </c>
      <c r="D224" s="197" t="s">
        <v>7248</v>
      </c>
      <c r="E224" s="170" t="s">
        <v>7247</v>
      </c>
      <c r="F224" s="197" t="s">
        <v>6860</v>
      </c>
      <c r="G224" s="197" t="s">
        <v>6902</v>
      </c>
      <c r="H224" s="197" t="s">
        <v>6890</v>
      </c>
      <c r="I224" s="197" t="s">
        <v>6888</v>
      </c>
    </row>
    <row r="225" spans="2:9" ht="31.5" x14ac:dyDescent="0.25">
      <c r="B225" s="170" t="s">
        <v>7380</v>
      </c>
      <c r="C225" s="170" t="s">
        <v>4904</v>
      </c>
      <c r="D225" s="197" t="s">
        <v>7248</v>
      </c>
      <c r="E225" s="170" t="s">
        <v>7247</v>
      </c>
      <c r="F225" s="197" t="s">
        <v>6860</v>
      </c>
      <c r="G225" s="197" t="s">
        <v>6902</v>
      </c>
      <c r="H225" s="197" t="s">
        <v>6890</v>
      </c>
      <c r="I225" s="197" t="s">
        <v>6888</v>
      </c>
    </row>
    <row r="226" spans="2:9" ht="31.5" x14ac:dyDescent="0.25">
      <c r="B226" s="170" t="s">
        <v>7394</v>
      </c>
      <c r="C226" s="988" t="s">
        <v>4876</v>
      </c>
      <c r="D226" s="197" t="s">
        <v>7246</v>
      </c>
      <c r="E226" s="170" t="s">
        <v>7245</v>
      </c>
      <c r="F226" s="197" t="s">
        <v>6860</v>
      </c>
      <c r="G226" s="197" t="s">
        <v>6876</v>
      </c>
      <c r="H226" s="197" t="s">
        <v>6856</v>
      </c>
      <c r="I226" s="197" t="s">
        <v>6851</v>
      </c>
    </row>
    <row r="227" spans="2:9" ht="31.5" x14ac:dyDescent="0.25">
      <c r="B227" s="170" t="s">
        <v>7393</v>
      </c>
      <c r="C227" s="986" t="s">
        <v>4876</v>
      </c>
      <c r="D227" s="197" t="s">
        <v>7246</v>
      </c>
      <c r="E227" s="170" t="s">
        <v>7245</v>
      </c>
      <c r="F227" s="197" t="s">
        <v>6860</v>
      </c>
      <c r="G227" s="197" t="s">
        <v>6876</v>
      </c>
      <c r="H227" s="197" t="s">
        <v>6856</v>
      </c>
      <c r="I227" s="197" t="s">
        <v>6851</v>
      </c>
    </row>
    <row r="228" spans="2:9" ht="31.5" x14ac:dyDescent="0.25">
      <c r="B228" s="170" t="s">
        <v>7328</v>
      </c>
      <c r="C228" s="988" t="s">
        <v>4876</v>
      </c>
      <c r="D228" s="197" t="s">
        <v>7246</v>
      </c>
      <c r="E228" s="170" t="s">
        <v>7245</v>
      </c>
      <c r="F228" s="197" t="s">
        <v>6860</v>
      </c>
      <c r="G228" s="197" t="s">
        <v>6876</v>
      </c>
      <c r="H228" s="197" t="s">
        <v>6856</v>
      </c>
      <c r="I228" s="197" t="s">
        <v>6851</v>
      </c>
    </row>
    <row r="229" spans="2:9" ht="31.5" x14ac:dyDescent="0.25">
      <c r="B229" s="170" t="s">
        <v>7390</v>
      </c>
      <c r="C229" s="986" t="s">
        <v>4876</v>
      </c>
      <c r="D229" s="197" t="s">
        <v>7246</v>
      </c>
      <c r="E229" s="170" t="s">
        <v>7245</v>
      </c>
      <c r="F229" s="197" t="s">
        <v>6860</v>
      </c>
      <c r="G229" s="197" t="s">
        <v>6876</v>
      </c>
      <c r="H229" s="197" t="s">
        <v>6856</v>
      </c>
      <c r="I229" s="197" t="s">
        <v>6851</v>
      </c>
    </row>
    <row r="230" spans="2:9" ht="31.5" x14ac:dyDescent="0.25">
      <c r="B230" s="170" t="s">
        <v>7385</v>
      </c>
      <c r="C230" s="988" t="s">
        <v>4876</v>
      </c>
      <c r="D230" s="197" t="s">
        <v>7246</v>
      </c>
      <c r="E230" s="170" t="s">
        <v>7245</v>
      </c>
      <c r="F230" s="197" t="s">
        <v>6860</v>
      </c>
      <c r="G230" s="197" t="s">
        <v>6876</v>
      </c>
      <c r="H230" s="197" t="s">
        <v>6856</v>
      </c>
      <c r="I230" s="197" t="s">
        <v>6851</v>
      </c>
    </row>
    <row r="231" spans="2:9" ht="31.5" x14ac:dyDescent="0.25">
      <c r="B231" s="170" t="s">
        <v>7382</v>
      </c>
      <c r="C231" s="986" t="s">
        <v>4876</v>
      </c>
      <c r="D231" s="197" t="s">
        <v>7246</v>
      </c>
      <c r="E231" s="170" t="s">
        <v>7245</v>
      </c>
      <c r="F231" s="197" t="s">
        <v>6860</v>
      </c>
      <c r="G231" s="197" t="s">
        <v>6876</v>
      </c>
      <c r="H231" s="197" t="s">
        <v>6856</v>
      </c>
      <c r="I231" s="197" t="s">
        <v>6851</v>
      </c>
    </row>
    <row r="232" spans="2:9" ht="31.5" x14ac:dyDescent="0.25">
      <c r="B232" s="170" t="s">
        <v>7381</v>
      </c>
      <c r="C232" s="988" t="s">
        <v>4876</v>
      </c>
      <c r="D232" s="197" t="s">
        <v>7246</v>
      </c>
      <c r="E232" s="170" t="s">
        <v>7245</v>
      </c>
      <c r="F232" s="197" t="s">
        <v>6860</v>
      </c>
      <c r="G232" s="197" t="s">
        <v>6876</v>
      </c>
      <c r="H232" s="197" t="s">
        <v>6856</v>
      </c>
      <c r="I232" s="197" t="s">
        <v>6851</v>
      </c>
    </row>
    <row r="233" spans="2:9" ht="31.5" x14ac:dyDescent="0.25">
      <c r="B233" s="170" t="s">
        <v>7380</v>
      </c>
      <c r="C233" s="986" t="s">
        <v>4876</v>
      </c>
      <c r="D233" s="197" t="s">
        <v>7246</v>
      </c>
      <c r="E233" s="170" t="s">
        <v>7245</v>
      </c>
      <c r="F233" s="197" t="s">
        <v>6860</v>
      </c>
      <c r="G233" s="197" t="s">
        <v>6876</v>
      </c>
      <c r="H233" s="197" t="s">
        <v>6856</v>
      </c>
      <c r="I233" s="197" t="s">
        <v>6851</v>
      </c>
    </row>
    <row r="234" spans="2:9" ht="31.5" x14ac:dyDescent="0.25">
      <c r="B234" s="170" t="s">
        <v>7325</v>
      </c>
      <c r="C234" s="988" t="s">
        <v>4876</v>
      </c>
      <c r="D234" s="197" t="s">
        <v>7244</v>
      </c>
      <c r="E234" s="170" t="s">
        <v>7243</v>
      </c>
      <c r="F234" s="197" t="s">
        <v>6860</v>
      </c>
      <c r="G234" s="197" t="s">
        <v>6982</v>
      </c>
      <c r="H234" s="197" t="s">
        <v>6856</v>
      </c>
      <c r="I234" s="197" t="s">
        <v>6851</v>
      </c>
    </row>
    <row r="235" spans="2:9" ht="31.5" x14ac:dyDescent="0.25">
      <c r="B235" s="170" t="s">
        <v>7387</v>
      </c>
      <c r="C235" s="986" t="s">
        <v>4876</v>
      </c>
      <c r="D235" s="197" t="s">
        <v>7244</v>
      </c>
      <c r="E235" s="170" t="s">
        <v>7243</v>
      </c>
      <c r="F235" s="197" t="s">
        <v>6860</v>
      </c>
      <c r="G235" s="197" t="s">
        <v>6982</v>
      </c>
      <c r="H235" s="197" t="s">
        <v>6856</v>
      </c>
      <c r="I235" s="197" t="s">
        <v>6851</v>
      </c>
    </row>
    <row r="236" spans="2:9" ht="31.5" x14ac:dyDescent="0.25">
      <c r="B236" s="170" t="s">
        <v>7323</v>
      </c>
      <c r="C236" s="988" t="s">
        <v>4876</v>
      </c>
      <c r="D236" s="197" t="s">
        <v>7244</v>
      </c>
      <c r="E236" s="170" t="s">
        <v>7243</v>
      </c>
      <c r="F236" s="197" t="s">
        <v>6860</v>
      </c>
      <c r="G236" s="197" t="s">
        <v>6982</v>
      </c>
      <c r="H236" s="197" t="s">
        <v>6856</v>
      </c>
      <c r="I236" s="197" t="s">
        <v>6851</v>
      </c>
    </row>
    <row r="237" spans="2:9" ht="31.5" x14ac:dyDescent="0.25">
      <c r="B237" s="170" t="s">
        <v>7385</v>
      </c>
      <c r="C237" s="986" t="s">
        <v>4876</v>
      </c>
      <c r="D237" s="197" t="s">
        <v>7244</v>
      </c>
      <c r="E237" s="170" t="s">
        <v>7243</v>
      </c>
      <c r="F237" s="197" t="s">
        <v>6860</v>
      </c>
      <c r="G237" s="197" t="s">
        <v>6982</v>
      </c>
      <c r="H237" s="197" t="s">
        <v>6856</v>
      </c>
      <c r="I237" s="197" t="s">
        <v>6851</v>
      </c>
    </row>
    <row r="238" spans="2:9" ht="31.5" x14ac:dyDescent="0.25">
      <c r="B238" s="170" t="s">
        <v>7382</v>
      </c>
      <c r="C238" s="988" t="s">
        <v>4876</v>
      </c>
      <c r="D238" s="197" t="s">
        <v>7244</v>
      </c>
      <c r="E238" s="170" t="s">
        <v>7243</v>
      </c>
      <c r="F238" s="197" t="s">
        <v>6860</v>
      </c>
      <c r="G238" s="197" t="s">
        <v>6982</v>
      </c>
      <c r="H238" s="197" t="s">
        <v>6856</v>
      </c>
      <c r="I238" s="197" t="s">
        <v>6851</v>
      </c>
    </row>
    <row r="239" spans="2:9" ht="31.5" x14ac:dyDescent="0.25">
      <c r="B239" s="170" t="s">
        <v>7381</v>
      </c>
      <c r="C239" s="986" t="s">
        <v>4876</v>
      </c>
      <c r="D239" s="197" t="s">
        <v>7244</v>
      </c>
      <c r="E239" s="170" t="s">
        <v>7243</v>
      </c>
      <c r="F239" s="197" t="s">
        <v>6860</v>
      </c>
      <c r="G239" s="197" t="s">
        <v>6982</v>
      </c>
      <c r="H239" s="197" t="s">
        <v>6856</v>
      </c>
      <c r="I239" s="197" t="s">
        <v>6851</v>
      </c>
    </row>
    <row r="240" spans="2:9" ht="31.5" x14ac:dyDescent="0.25">
      <c r="B240" s="170" t="s">
        <v>7394</v>
      </c>
      <c r="C240" s="988" t="s">
        <v>4876</v>
      </c>
      <c r="D240" s="197" t="s">
        <v>7242</v>
      </c>
      <c r="E240" s="170" t="s">
        <v>7241</v>
      </c>
      <c r="F240" s="197" t="s">
        <v>6860</v>
      </c>
      <c r="G240" s="197" t="s">
        <v>6902</v>
      </c>
      <c r="H240" s="197" t="s">
        <v>6856</v>
      </c>
      <c r="I240" s="197" t="s">
        <v>6851</v>
      </c>
    </row>
    <row r="241" spans="2:9" ht="31.5" x14ac:dyDescent="0.25">
      <c r="B241" s="170" t="s">
        <v>7393</v>
      </c>
      <c r="C241" s="986" t="s">
        <v>4876</v>
      </c>
      <c r="D241" s="197" t="s">
        <v>7242</v>
      </c>
      <c r="E241" s="170" t="s">
        <v>7241</v>
      </c>
      <c r="F241" s="197" t="s">
        <v>6860</v>
      </c>
      <c r="G241" s="197" t="s">
        <v>6902</v>
      </c>
      <c r="H241" s="197" t="s">
        <v>6856</v>
      </c>
      <c r="I241" s="197" t="s">
        <v>6851</v>
      </c>
    </row>
    <row r="242" spans="2:9" ht="31.5" x14ac:dyDescent="0.25">
      <c r="B242" s="170" t="s">
        <v>7328</v>
      </c>
      <c r="C242" s="988" t="s">
        <v>4876</v>
      </c>
      <c r="D242" s="197" t="s">
        <v>7242</v>
      </c>
      <c r="E242" s="170" t="s">
        <v>7241</v>
      </c>
      <c r="F242" s="197" t="s">
        <v>6860</v>
      </c>
      <c r="G242" s="197" t="s">
        <v>6902</v>
      </c>
      <c r="H242" s="197" t="s">
        <v>6856</v>
      </c>
      <c r="I242" s="197" t="s">
        <v>6851</v>
      </c>
    </row>
    <row r="243" spans="2:9" ht="31.5" x14ac:dyDescent="0.25">
      <c r="B243" s="170" t="s">
        <v>7382</v>
      </c>
      <c r="C243" s="986" t="s">
        <v>4876</v>
      </c>
      <c r="D243" s="197" t="s">
        <v>7242</v>
      </c>
      <c r="E243" s="170" t="s">
        <v>7241</v>
      </c>
      <c r="F243" s="197" t="s">
        <v>6860</v>
      </c>
      <c r="G243" s="197" t="s">
        <v>6902</v>
      </c>
      <c r="H243" s="197" t="s">
        <v>6856</v>
      </c>
      <c r="I243" s="197" t="s">
        <v>6851</v>
      </c>
    </row>
    <row r="244" spans="2:9" ht="31.5" x14ac:dyDescent="0.25">
      <c r="B244" s="170" t="s">
        <v>7381</v>
      </c>
      <c r="C244" s="988" t="s">
        <v>4876</v>
      </c>
      <c r="D244" s="197" t="s">
        <v>7242</v>
      </c>
      <c r="E244" s="170" t="s">
        <v>7241</v>
      </c>
      <c r="F244" s="197" t="s">
        <v>6860</v>
      </c>
      <c r="G244" s="197" t="s">
        <v>6902</v>
      </c>
      <c r="H244" s="197" t="s">
        <v>6856</v>
      </c>
      <c r="I244" s="197" t="s">
        <v>6851</v>
      </c>
    </row>
    <row r="245" spans="2:9" ht="31.5" x14ac:dyDescent="0.25">
      <c r="B245" s="170" t="s">
        <v>7380</v>
      </c>
      <c r="C245" s="986" t="s">
        <v>4876</v>
      </c>
      <c r="D245" s="197" t="s">
        <v>7242</v>
      </c>
      <c r="E245" s="170" t="s">
        <v>7241</v>
      </c>
      <c r="F245" s="197" t="s">
        <v>6860</v>
      </c>
      <c r="G245" s="197" t="s">
        <v>6902</v>
      </c>
      <c r="H245" s="197" t="s">
        <v>6856</v>
      </c>
      <c r="I245" s="197" t="s">
        <v>6851</v>
      </c>
    </row>
    <row r="246" spans="2:9" ht="31.5" x14ac:dyDescent="0.25">
      <c r="B246" s="170" t="s">
        <v>7394</v>
      </c>
      <c r="C246" s="988" t="s">
        <v>4876</v>
      </c>
      <c r="D246" s="197" t="s">
        <v>7240</v>
      </c>
      <c r="E246" s="170" t="s">
        <v>7239</v>
      </c>
      <c r="F246" s="197" t="s">
        <v>6860</v>
      </c>
      <c r="G246" s="197" t="s">
        <v>6876</v>
      </c>
      <c r="H246" s="197" t="s">
        <v>6856</v>
      </c>
      <c r="I246" s="197" t="s">
        <v>6851</v>
      </c>
    </row>
    <row r="247" spans="2:9" ht="31.5" x14ac:dyDescent="0.25">
      <c r="B247" s="170" t="s">
        <v>7393</v>
      </c>
      <c r="C247" s="986" t="s">
        <v>4876</v>
      </c>
      <c r="D247" s="197" t="s">
        <v>7240</v>
      </c>
      <c r="E247" s="170" t="s">
        <v>7239</v>
      </c>
      <c r="F247" s="197" t="s">
        <v>6860</v>
      </c>
      <c r="G247" s="197" t="s">
        <v>6876</v>
      </c>
      <c r="H247" s="197" t="s">
        <v>6856</v>
      </c>
      <c r="I247" s="197" t="s">
        <v>6851</v>
      </c>
    </row>
    <row r="248" spans="2:9" ht="31.5" x14ac:dyDescent="0.25">
      <c r="B248" s="170" t="s">
        <v>7328</v>
      </c>
      <c r="C248" s="988" t="s">
        <v>4876</v>
      </c>
      <c r="D248" s="197" t="s">
        <v>7240</v>
      </c>
      <c r="E248" s="170" t="s">
        <v>7239</v>
      </c>
      <c r="F248" s="197" t="s">
        <v>6860</v>
      </c>
      <c r="G248" s="197" t="s">
        <v>6876</v>
      </c>
      <c r="H248" s="197" t="s">
        <v>6856</v>
      </c>
      <c r="I248" s="197" t="s">
        <v>6851</v>
      </c>
    </row>
    <row r="249" spans="2:9" ht="31.5" x14ac:dyDescent="0.25">
      <c r="B249" s="170" t="s">
        <v>7385</v>
      </c>
      <c r="C249" s="986" t="s">
        <v>4876</v>
      </c>
      <c r="D249" s="197" t="s">
        <v>7240</v>
      </c>
      <c r="E249" s="170" t="s">
        <v>7239</v>
      </c>
      <c r="F249" s="197" t="s">
        <v>6860</v>
      </c>
      <c r="G249" s="197" t="s">
        <v>6876</v>
      </c>
      <c r="H249" s="197" t="s">
        <v>6856</v>
      </c>
      <c r="I249" s="197" t="s">
        <v>6851</v>
      </c>
    </row>
    <row r="250" spans="2:9" ht="31.5" x14ac:dyDescent="0.25">
      <c r="B250" s="170" t="s">
        <v>7382</v>
      </c>
      <c r="C250" s="988" t="s">
        <v>4876</v>
      </c>
      <c r="D250" s="197" t="s">
        <v>7240</v>
      </c>
      <c r="E250" s="170" t="s">
        <v>7239</v>
      </c>
      <c r="F250" s="197" t="s">
        <v>6860</v>
      </c>
      <c r="G250" s="197" t="s">
        <v>6876</v>
      </c>
      <c r="H250" s="197" t="s">
        <v>6856</v>
      </c>
      <c r="I250" s="197" t="s">
        <v>6851</v>
      </c>
    </row>
    <row r="251" spans="2:9" ht="31.5" x14ac:dyDescent="0.25">
      <c r="B251" s="170" t="s">
        <v>7381</v>
      </c>
      <c r="C251" s="986" t="s">
        <v>4876</v>
      </c>
      <c r="D251" s="197" t="s">
        <v>7240</v>
      </c>
      <c r="E251" s="170" t="s">
        <v>7239</v>
      </c>
      <c r="F251" s="197" t="s">
        <v>6860</v>
      </c>
      <c r="G251" s="197" t="s">
        <v>6876</v>
      </c>
      <c r="H251" s="197" t="s">
        <v>6856</v>
      </c>
      <c r="I251" s="197" t="s">
        <v>6851</v>
      </c>
    </row>
    <row r="252" spans="2:9" ht="31.5" x14ac:dyDescent="0.25">
      <c r="B252" s="170" t="s">
        <v>7380</v>
      </c>
      <c r="C252" s="988" t="s">
        <v>4876</v>
      </c>
      <c r="D252" s="197" t="s">
        <v>7240</v>
      </c>
      <c r="E252" s="170" t="s">
        <v>7239</v>
      </c>
      <c r="F252" s="197" t="s">
        <v>6860</v>
      </c>
      <c r="G252" s="197" t="s">
        <v>6876</v>
      </c>
      <c r="H252" s="197" t="s">
        <v>6856</v>
      </c>
      <c r="I252" s="197" t="s">
        <v>6851</v>
      </c>
    </row>
    <row r="253" spans="2:9" ht="31.5" x14ac:dyDescent="0.25">
      <c r="B253" s="170" t="s">
        <v>7394</v>
      </c>
      <c r="C253" s="986" t="s">
        <v>4876</v>
      </c>
      <c r="D253" s="197" t="s">
        <v>7238</v>
      </c>
      <c r="E253" s="170" t="s">
        <v>7237</v>
      </c>
      <c r="F253" s="197" t="s">
        <v>7168</v>
      </c>
      <c r="G253" s="197" t="s">
        <v>6982</v>
      </c>
      <c r="H253" s="197" t="s">
        <v>6856</v>
      </c>
      <c r="I253" s="197" t="s">
        <v>6851</v>
      </c>
    </row>
    <row r="254" spans="2:9" ht="31.5" x14ac:dyDescent="0.25">
      <c r="B254" s="170" t="s">
        <v>7393</v>
      </c>
      <c r="C254" s="988" t="s">
        <v>4876</v>
      </c>
      <c r="D254" s="197" t="s">
        <v>7238</v>
      </c>
      <c r="E254" s="170" t="s">
        <v>7237</v>
      </c>
      <c r="F254" s="197" t="s">
        <v>7168</v>
      </c>
      <c r="G254" s="197" t="s">
        <v>6982</v>
      </c>
      <c r="H254" s="197" t="s">
        <v>6856</v>
      </c>
      <c r="I254" s="197" t="s">
        <v>6851</v>
      </c>
    </row>
    <row r="255" spans="2:9" ht="31.5" x14ac:dyDescent="0.25">
      <c r="B255" s="170" t="s">
        <v>7328</v>
      </c>
      <c r="C255" s="986" t="s">
        <v>4876</v>
      </c>
      <c r="D255" s="197" t="s">
        <v>7238</v>
      </c>
      <c r="E255" s="170" t="s">
        <v>7237</v>
      </c>
      <c r="F255" s="197" t="s">
        <v>7168</v>
      </c>
      <c r="G255" s="197" t="s">
        <v>6982</v>
      </c>
      <c r="H255" s="197" t="s">
        <v>6856</v>
      </c>
      <c r="I255" s="197" t="s">
        <v>6851</v>
      </c>
    </row>
    <row r="256" spans="2:9" ht="31.5" x14ac:dyDescent="0.25">
      <c r="B256" s="170" t="s">
        <v>7390</v>
      </c>
      <c r="C256" s="988" t="s">
        <v>4876</v>
      </c>
      <c r="D256" s="197" t="s">
        <v>7238</v>
      </c>
      <c r="E256" s="170" t="s">
        <v>7237</v>
      </c>
      <c r="F256" s="197" t="s">
        <v>7168</v>
      </c>
      <c r="G256" s="197" t="s">
        <v>6982</v>
      </c>
      <c r="H256" s="197" t="s">
        <v>6856</v>
      </c>
      <c r="I256" s="197" t="s">
        <v>6851</v>
      </c>
    </row>
    <row r="257" spans="2:9" ht="31.5" x14ac:dyDescent="0.25">
      <c r="B257" s="170" t="s">
        <v>7385</v>
      </c>
      <c r="C257" s="986" t="s">
        <v>4876</v>
      </c>
      <c r="D257" s="197" t="s">
        <v>7238</v>
      </c>
      <c r="E257" s="170" t="s">
        <v>7237</v>
      </c>
      <c r="F257" s="197" t="s">
        <v>7168</v>
      </c>
      <c r="G257" s="197" t="s">
        <v>6982</v>
      </c>
      <c r="H257" s="197" t="s">
        <v>6856</v>
      </c>
      <c r="I257" s="197" t="s">
        <v>6851</v>
      </c>
    </row>
    <row r="258" spans="2:9" ht="31.5" x14ac:dyDescent="0.25">
      <c r="B258" s="170" t="s">
        <v>7382</v>
      </c>
      <c r="C258" s="988" t="s">
        <v>4876</v>
      </c>
      <c r="D258" s="197" t="s">
        <v>7238</v>
      </c>
      <c r="E258" s="170" t="s">
        <v>7237</v>
      </c>
      <c r="F258" s="197" t="s">
        <v>7168</v>
      </c>
      <c r="G258" s="197" t="s">
        <v>6982</v>
      </c>
      <c r="H258" s="197" t="s">
        <v>6856</v>
      </c>
      <c r="I258" s="197" t="s">
        <v>6851</v>
      </c>
    </row>
    <row r="259" spans="2:9" ht="31.5" x14ac:dyDescent="0.25">
      <c r="B259" s="170" t="s">
        <v>7381</v>
      </c>
      <c r="C259" s="986" t="s">
        <v>4876</v>
      </c>
      <c r="D259" s="197" t="s">
        <v>7238</v>
      </c>
      <c r="E259" s="170" t="s">
        <v>7237</v>
      </c>
      <c r="F259" s="197" t="s">
        <v>7168</v>
      </c>
      <c r="G259" s="197" t="s">
        <v>6982</v>
      </c>
      <c r="H259" s="197" t="s">
        <v>6856</v>
      </c>
      <c r="I259" s="197" t="s">
        <v>6851</v>
      </c>
    </row>
    <row r="260" spans="2:9" ht="31.5" x14ac:dyDescent="0.25">
      <c r="B260" s="170" t="s">
        <v>7380</v>
      </c>
      <c r="C260" s="988" t="s">
        <v>4876</v>
      </c>
      <c r="D260" s="197" t="s">
        <v>7238</v>
      </c>
      <c r="E260" s="170" t="s">
        <v>7237</v>
      </c>
      <c r="F260" s="197" t="s">
        <v>7168</v>
      </c>
      <c r="G260" s="197" t="s">
        <v>6982</v>
      </c>
      <c r="H260" s="197" t="s">
        <v>6856</v>
      </c>
      <c r="I260" s="197" t="s">
        <v>6851</v>
      </c>
    </row>
    <row r="261" spans="2:9" ht="31.5" x14ac:dyDescent="0.25">
      <c r="B261" s="170" t="s">
        <v>7394</v>
      </c>
      <c r="C261" s="986" t="s">
        <v>4876</v>
      </c>
      <c r="D261" s="197" t="s">
        <v>7236</v>
      </c>
      <c r="E261" s="170" t="s">
        <v>7235</v>
      </c>
      <c r="F261" s="197" t="s">
        <v>6860</v>
      </c>
      <c r="G261" s="197" t="s">
        <v>6893</v>
      </c>
      <c r="H261" s="197" t="s">
        <v>6856</v>
      </c>
      <c r="I261" s="197" t="s">
        <v>6851</v>
      </c>
    </row>
    <row r="262" spans="2:9" ht="31.5" x14ac:dyDescent="0.25">
      <c r="B262" s="170" t="s">
        <v>7393</v>
      </c>
      <c r="C262" s="988" t="s">
        <v>4876</v>
      </c>
      <c r="D262" s="197" t="s">
        <v>7236</v>
      </c>
      <c r="E262" s="170" t="s">
        <v>7235</v>
      </c>
      <c r="F262" s="197" t="s">
        <v>6860</v>
      </c>
      <c r="G262" s="197" t="s">
        <v>6893</v>
      </c>
      <c r="H262" s="197" t="s">
        <v>6856</v>
      </c>
      <c r="I262" s="197" t="s">
        <v>6851</v>
      </c>
    </row>
    <row r="263" spans="2:9" ht="31.5" x14ac:dyDescent="0.25">
      <c r="B263" s="170" t="s">
        <v>7328</v>
      </c>
      <c r="C263" s="986" t="s">
        <v>4876</v>
      </c>
      <c r="D263" s="197" t="s">
        <v>7236</v>
      </c>
      <c r="E263" s="170" t="s">
        <v>7235</v>
      </c>
      <c r="F263" s="197" t="s">
        <v>6860</v>
      </c>
      <c r="G263" s="197" t="s">
        <v>6893</v>
      </c>
      <c r="H263" s="197" t="s">
        <v>6856</v>
      </c>
      <c r="I263" s="197" t="s">
        <v>6851</v>
      </c>
    </row>
    <row r="264" spans="2:9" ht="31.5" x14ac:dyDescent="0.25">
      <c r="B264" s="170" t="s">
        <v>7385</v>
      </c>
      <c r="C264" s="988" t="s">
        <v>4876</v>
      </c>
      <c r="D264" s="197" t="s">
        <v>7236</v>
      </c>
      <c r="E264" s="170" t="s">
        <v>7235</v>
      </c>
      <c r="F264" s="197" t="s">
        <v>6860</v>
      </c>
      <c r="G264" s="197" t="s">
        <v>6893</v>
      </c>
      <c r="H264" s="197" t="s">
        <v>6856</v>
      </c>
      <c r="I264" s="197" t="s">
        <v>6851</v>
      </c>
    </row>
    <row r="265" spans="2:9" ht="31.5" x14ac:dyDescent="0.25">
      <c r="B265" s="170" t="s">
        <v>7382</v>
      </c>
      <c r="C265" s="986" t="s">
        <v>4876</v>
      </c>
      <c r="D265" s="197" t="s">
        <v>7236</v>
      </c>
      <c r="E265" s="170" t="s">
        <v>7235</v>
      </c>
      <c r="F265" s="197" t="s">
        <v>6860</v>
      </c>
      <c r="G265" s="197" t="s">
        <v>6893</v>
      </c>
      <c r="H265" s="197" t="s">
        <v>6856</v>
      </c>
      <c r="I265" s="197" t="s">
        <v>6851</v>
      </c>
    </row>
    <row r="266" spans="2:9" ht="31.5" x14ac:dyDescent="0.25">
      <c r="B266" s="170" t="s">
        <v>7381</v>
      </c>
      <c r="C266" s="988" t="s">
        <v>4876</v>
      </c>
      <c r="D266" s="197" t="s">
        <v>7236</v>
      </c>
      <c r="E266" s="170" t="s">
        <v>7235</v>
      </c>
      <c r="F266" s="197" t="s">
        <v>6860</v>
      </c>
      <c r="G266" s="197" t="s">
        <v>6893</v>
      </c>
      <c r="H266" s="197" t="s">
        <v>6856</v>
      </c>
      <c r="I266" s="197" t="s">
        <v>6851</v>
      </c>
    </row>
    <row r="267" spans="2:9" ht="31.5" x14ac:dyDescent="0.25">
      <c r="B267" s="170" t="s">
        <v>7380</v>
      </c>
      <c r="C267" s="986" t="s">
        <v>4876</v>
      </c>
      <c r="D267" s="197" t="s">
        <v>7236</v>
      </c>
      <c r="E267" s="170" t="s">
        <v>7235</v>
      </c>
      <c r="F267" s="197" t="s">
        <v>6860</v>
      </c>
      <c r="G267" s="197" t="s">
        <v>6893</v>
      </c>
      <c r="H267" s="197" t="s">
        <v>6856</v>
      </c>
      <c r="I267" s="197" t="s">
        <v>6851</v>
      </c>
    </row>
    <row r="268" spans="2:9" ht="31.5" x14ac:dyDescent="0.25">
      <c r="B268" s="170" t="s">
        <v>7385</v>
      </c>
      <c r="C268" s="988" t="s">
        <v>4876</v>
      </c>
      <c r="D268" s="197" t="s">
        <v>7234</v>
      </c>
      <c r="E268" s="170" t="s">
        <v>7233</v>
      </c>
      <c r="F268" s="197" t="s">
        <v>6860</v>
      </c>
      <c r="G268" s="197" t="s">
        <v>6902</v>
      </c>
      <c r="H268" s="197" t="s">
        <v>6856</v>
      </c>
      <c r="I268" s="197" t="s">
        <v>6851</v>
      </c>
    </row>
    <row r="269" spans="2:9" ht="31.5" x14ac:dyDescent="0.25">
      <c r="B269" s="170" t="s">
        <v>7382</v>
      </c>
      <c r="C269" s="986" t="s">
        <v>4876</v>
      </c>
      <c r="D269" s="197" t="s">
        <v>7234</v>
      </c>
      <c r="E269" s="170" t="s">
        <v>7233</v>
      </c>
      <c r="F269" s="197" t="s">
        <v>6860</v>
      </c>
      <c r="G269" s="197" t="s">
        <v>6902</v>
      </c>
      <c r="H269" s="197" t="s">
        <v>6856</v>
      </c>
      <c r="I269" s="197" t="s">
        <v>6851</v>
      </c>
    </row>
    <row r="270" spans="2:9" ht="31.5" x14ac:dyDescent="0.25">
      <c r="B270" s="170" t="s">
        <v>7381</v>
      </c>
      <c r="C270" s="988" t="s">
        <v>4876</v>
      </c>
      <c r="D270" s="197" t="s">
        <v>7234</v>
      </c>
      <c r="E270" s="170" t="s">
        <v>7233</v>
      </c>
      <c r="F270" s="197" t="s">
        <v>6860</v>
      </c>
      <c r="G270" s="197" t="s">
        <v>6902</v>
      </c>
      <c r="H270" s="197" t="s">
        <v>6856</v>
      </c>
      <c r="I270" s="197" t="s">
        <v>6851</v>
      </c>
    </row>
    <row r="271" spans="2:9" ht="31.5" x14ac:dyDescent="0.25">
      <c r="B271" s="170" t="s">
        <v>7380</v>
      </c>
      <c r="C271" s="986" t="s">
        <v>4876</v>
      </c>
      <c r="D271" s="197" t="s">
        <v>7234</v>
      </c>
      <c r="E271" s="170" t="s">
        <v>7233</v>
      </c>
      <c r="F271" s="197" t="s">
        <v>6860</v>
      </c>
      <c r="G271" s="197" t="s">
        <v>6902</v>
      </c>
      <c r="H271" s="197" t="s">
        <v>6856</v>
      </c>
      <c r="I271" s="197" t="s">
        <v>6851</v>
      </c>
    </row>
    <row r="272" spans="2:9" ht="31.5" x14ac:dyDescent="0.25">
      <c r="B272" s="170" t="s">
        <v>7394</v>
      </c>
      <c r="C272" s="988" t="s">
        <v>4876</v>
      </c>
      <c r="D272" s="197" t="s">
        <v>7232</v>
      </c>
      <c r="E272" s="170" t="s">
        <v>7231</v>
      </c>
      <c r="F272" s="197" t="s">
        <v>6860</v>
      </c>
      <c r="G272" s="197" t="s">
        <v>6876</v>
      </c>
      <c r="H272" s="197" t="s">
        <v>6856</v>
      </c>
      <c r="I272" s="197" t="s">
        <v>6851</v>
      </c>
    </row>
    <row r="273" spans="2:9" ht="31.5" x14ac:dyDescent="0.25">
      <c r="B273" s="170" t="s">
        <v>7393</v>
      </c>
      <c r="C273" s="986" t="s">
        <v>4876</v>
      </c>
      <c r="D273" s="197" t="s">
        <v>7232</v>
      </c>
      <c r="E273" s="170" t="s">
        <v>7231</v>
      </c>
      <c r="F273" s="197" t="s">
        <v>6860</v>
      </c>
      <c r="G273" s="197" t="s">
        <v>6876</v>
      </c>
      <c r="H273" s="197" t="s">
        <v>6856</v>
      </c>
      <c r="I273" s="197" t="s">
        <v>6851</v>
      </c>
    </row>
    <row r="274" spans="2:9" ht="31.5" x14ac:dyDescent="0.25">
      <c r="B274" s="170" t="s">
        <v>7328</v>
      </c>
      <c r="C274" s="988" t="s">
        <v>4876</v>
      </c>
      <c r="D274" s="197" t="s">
        <v>7232</v>
      </c>
      <c r="E274" s="170" t="s">
        <v>7231</v>
      </c>
      <c r="F274" s="197" t="s">
        <v>6860</v>
      </c>
      <c r="G274" s="197" t="s">
        <v>6876</v>
      </c>
      <c r="H274" s="197" t="s">
        <v>6856</v>
      </c>
      <c r="I274" s="197" t="s">
        <v>6851</v>
      </c>
    </row>
    <row r="275" spans="2:9" ht="31.5" x14ac:dyDescent="0.25">
      <c r="B275" s="170" t="s">
        <v>7390</v>
      </c>
      <c r="C275" s="986" t="s">
        <v>4876</v>
      </c>
      <c r="D275" s="197" t="s">
        <v>7232</v>
      </c>
      <c r="E275" s="170" t="s">
        <v>7231</v>
      </c>
      <c r="F275" s="197" t="s">
        <v>6860</v>
      </c>
      <c r="G275" s="197" t="s">
        <v>6876</v>
      </c>
      <c r="H275" s="197" t="s">
        <v>6856</v>
      </c>
      <c r="I275" s="197" t="s">
        <v>6851</v>
      </c>
    </row>
    <row r="276" spans="2:9" ht="31.5" x14ac:dyDescent="0.25">
      <c r="B276" s="170" t="s">
        <v>7385</v>
      </c>
      <c r="C276" s="988" t="s">
        <v>4876</v>
      </c>
      <c r="D276" s="197" t="s">
        <v>7232</v>
      </c>
      <c r="E276" s="170" t="s">
        <v>7231</v>
      </c>
      <c r="F276" s="197" t="s">
        <v>6860</v>
      </c>
      <c r="G276" s="197" t="s">
        <v>6876</v>
      </c>
      <c r="H276" s="197" t="s">
        <v>6856</v>
      </c>
      <c r="I276" s="197" t="s">
        <v>6851</v>
      </c>
    </row>
    <row r="277" spans="2:9" ht="31.5" x14ac:dyDescent="0.25">
      <c r="B277" s="170" t="s">
        <v>7382</v>
      </c>
      <c r="C277" s="986" t="s">
        <v>4876</v>
      </c>
      <c r="D277" s="197" t="s">
        <v>7232</v>
      </c>
      <c r="E277" s="170" t="s">
        <v>7231</v>
      </c>
      <c r="F277" s="197" t="s">
        <v>6860</v>
      </c>
      <c r="G277" s="197" t="s">
        <v>6876</v>
      </c>
      <c r="H277" s="197" t="s">
        <v>6856</v>
      </c>
      <c r="I277" s="197" t="s">
        <v>6851</v>
      </c>
    </row>
    <row r="278" spans="2:9" ht="31.5" x14ac:dyDescent="0.25">
      <c r="B278" s="170" t="s">
        <v>7381</v>
      </c>
      <c r="C278" s="988" t="s">
        <v>4876</v>
      </c>
      <c r="D278" s="197" t="s">
        <v>7232</v>
      </c>
      <c r="E278" s="170" t="s">
        <v>7231</v>
      </c>
      <c r="F278" s="197" t="s">
        <v>6860</v>
      </c>
      <c r="G278" s="197" t="s">
        <v>6876</v>
      </c>
      <c r="H278" s="197" t="s">
        <v>6856</v>
      </c>
      <c r="I278" s="197" t="s">
        <v>6851</v>
      </c>
    </row>
    <row r="279" spans="2:9" ht="31.5" x14ac:dyDescent="0.25">
      <c r="B279" s="170" t="s">
        <v>7380</v>
      </c>
      <c r="C279" s="986" t="s">
        <v>4876</v>
      </c>
      <c r="D279" s="197" t="s">
        <v>7232</v>
      </c>
      <c r="E279" s="170" t="s">
        <v>7231</v>
      </c>
      <c r="F279" s="197" t="s">
        <v>6860</v>
      </c>
      <c r="G279" s="197" t="s">
        <v>6876</v>
      </c>
      <c r="H279" s="197" t="s">
        <v>6856</v>
      </c>
      <c r="I279" s="197" t="s">
        <v>6851</v>
      </c>
    </row>
    <row r="280" spans="2:9" ht="31.5" x14ac:dyDescent="0.25">
      <c r="B280" s="170" t="s">
        <v>7394</v>
      </c>
      <c r="C280" s="988" t="s">
        <v>4876</v>
      </c>
      <c r="D280" s="197" t="s">
        <v>7230</v>
      </c>
      <c r="E280" s="170" t="s">
        <v>7229</v>
      </c>
      <c r="F280" s="197" t="s">
        <v>6860</v>
      </c>
      <c r="G280" s="197" t="s">
        <v>6876</v>
      </c>
      <c r="H280" s="197" t="s">
        <v>6856</v>
      </c>
      <c r="I280" s="197" t="s">
        <v>6851</v>
      </c>
    </row>
    <row r="281" spans="2:9" ht="31.5" x14ac:dyDescent="0.25">
      <c r="B281" s="170" t="s">
        <v>7393</v>
      </c>
      <c r="C281" s="986" t="s">
        <v>4876</v>
      </c>
      <c r="D281" s="197" t="s">
        <v>7230</v>
      </c>
      <c r="E281" s="170" t="s">
        <v>7229</v>
      </c>
      <c r="F281" s="197" t="s">
        <v>6860</v>
      </c>
      <c r="G281" s="197" t="s">
        <v>6876</v>
      </c>
      <c r="H281" s="197" t="s">
        <v>6856</v>
      </c>
      <c r="I281" s="197" t="s">
        <v>6851</v>
      </c>
    </row>
    <row r="282" spans="2:9" ht="31.5" x14ac:dyDescent="0.25">
      <c r="B282" s="170" t="s">
        <v>7328</v>
      </c>
      <c r="C282" s="988" t="s">
        <v>4876</v>
      </c>
      <c r="D282" s="197" t="s">
        <v>7230</v>
      </c>
      <c r="E282" s="170" t="s">
        <v>7229</v>
      </c>
      <c r="F282" s="197" t="s">
        <v>6860</v>
      </c>
      <c r="G282" s="197" t="s">
        <v>6876</v>
      </c>
      <c r="H282" s="197" t="s">
        <v>6856</v>
      </c>
      <c r="I282" s="197" t="s">
        <v>6851</v>
      </c>
    </row>
    <row r="283" spans="2:9" ht="31.5" x14ac:dyDescent="0.25">
      <c r="B283" s="170" t="s">
        <v>7382</v>
      </c>
      <c r="C283" s="986" t="s">
        <v>4876</v>
      </c>
      <c r="D283" s="197" t="s">
        <v>7230</v>
      </c>
      <c r="E283" s="170" t="s">
        <v>7229</v>
      </c>
      <c r="F283" s="197" t="s">
        <v>6860</v>
      </c>
      <c r="G283" s="197" t="s">
        <v>6876</v>
      </c>
      <c r="H283" s="197" t="s">
        <v>6856</v>
      </c>
      <c r="I283" s="197" t="s">
        <v>6851</v>
      </c>
    </row>
    <row r="284" spans="2:9" ht="31.5" x14ac:dyDescent="0.25">
      <c r="B284" s="170" t="s">
        <v>7381</v>
      </c>
      <c r="C284" s="988" t="s">
        <v>4876</v>
      </c>
      <c r="D284" s="197" t="s">
        <v>7230</v>
      </c>
      <c r="E284" s="170" t="s">
        <v>7229</v>
      </c>
      <c r="F284" s="197" t="s">
        <v>6860</v>
      </c>
      <c r="G284" s="197" t="s">
        <v>6876</v>
      </c>
      <c r="H284" s="197" t="s">
        <v>6856</v>
      </c>
      <c r="I284" s="197" t="s">
        <v>6851</v>
      </c>
    </row>
    <row r="285" spans="2:9" ht="31.5" x14ac:dyDescent="0.25">
      <c r="B285" s="170" t="s">
        <v>7380</v>
      </c>
      <c r="C285" s="986" t="s">
        <v>4876</v>
      </c>
      <c r="D285" s="197" t="s">
        <v>7230</v>
      </c>
      <c r="E285" s="170" t="s">
        <v>7229</v>
      </c>
      <c r="F285" s="197" t="s">
        <v>6860</v>
      </c>
      <c r="G285" s="197" t="s">
        <v>6876</v>
      </c>
      <c r="H285" s="197" t="s">
        <v>6856</v>
      </c>
      <c r="I285" s="197" t="s">
        <v>6851</v>
      </c>
    </row>
    <row r="286" spans="2:9" ht="31.5" x14ac:dyDescent="0.25">
      <c r="B286" s="170" t="s">
        <v>7394</v>
      </c>
      <c r="C286" s="170" t="s">
        <v>7100</v>
      </c>
      <c r="D286" s="197" t="s">
        <v>7228</v>
      </c>
      <c r="E286" s="170" t="s">
        <v>7227</v>
      </c>
      <c r="F286" s="197" t="s">
        <v>7104</v>
      </c>
      <c r="G286" s="197" t="s">
        <v>6902</v>
      </c>
      <c r="H286" s="197" t="s">
        <v>7103</v>
      </c>
      <c r="I286" s="197" t="s">
        <v>7101</v>
      </c>
    </row>
    <row r="287" spans="2:9" ht="31.5" x14ac:dyDescent="0.25">
      <c r="B287" s="170" t="s">
        <v>7393</v>
      </c>
      <c r="C287" s="170" t="s">
        <v>7100</v>
      </c>
      <c r="D287" s="197" t="s">
        <v>7228</v>
      </c>
      <c r="E287" s="170" t="s">
        <v>7227</v>
      </c>
      <c r="F287" s="197" t="s">
        <v>7104</v>
      </c>
      <c r="G287" s="197" t="s">
        <v>6902</v>
      </c>
      <c r="H287" s="197" t="s">
        <v>7103</v>
      </c>
      <c r="I287" s="197" t="s">
        <v>7101</v>
      </c>
    </row>
    <row r="288" spans="2:9" ht="31.5" x14ac:dyDescent="0.25">
      <c r="B288" s="170" t="s">
        <v>7328</v>
      </c>
      <c r="C288" s="170" t="s">
        <v>7100</v>
      </c>
      <c r="D288" s="197" t="s">
        <v>7228</v>
      </c>
      <c r="E288" s="170" t="s">
        <v>7227</v>
      </c>
      <c r="F288" s="197" t="s">
        <v>7104</v>
      </c>
      <c r="G288" s="197" t="s">
        <v>6902</v>
      </c>
      <c r="H288" s="197" t="s">
        <v>7103</v>
      </c>
      <c r="I288" s="197" t="s">
        <v>7101</v>
      </c>
    </row>
    <row r="289" spans="2:9" ht="31.5" x14ac:dyDescent="0.25">
      <c r="B289" s="170" t="s">
        <v>7390</v>
      </c>
      <c r="C289" s="170" t="s">
        <v>7100</v>
      </c>
      <c r="D289" s="197" t="s">
        <v>7228</v>
      </c>
      <c r="E289" s="170" t="s">
        <v>7227</v>
      </c>
      <c r="F289" s="197" t="s">
        <v>7104</v>
      </c>
      <c r="G289" s="197" t="s">
        <v>6902</v>
      </c>
      <c r="H289" s="197" t="s">
        <v>7103</v>
      </c>
      <c r="I289" s="197" t="s">
        <v>7101</v>
      </c>
    </row>
    <row r="290" spans="2:9" ht="31.5" x14ac:dyDescent="0.25">
      <c r="B290" s="170" t="s">
        <v>7326</v>
      </c>
      <c r="C290" s="170" t="s">
        <v>7100</v>
      </c>
      <c r="D290" s="197" t="s">
        <v>7228</v>
      </c>
      <c r="E290" s="170" t="s">
        <v>7227</v>
      </c>
      <c r="F290" s="197" t="s">
        <v>7104</v>
      </c>
      <c r="G290" s="197" t="s">
        <v>6902</v>
      </c>
      <c r="H290" s="197" t="s">
        <v>7103</v>
      </c>
      <c r="I290" s="197" t="s">
        <v>7101</v>
      </c>
    </row>
    <row r="291" spans="2:9" ht="31.5" x14ac:dyDescent="0.25">
      <c r="B291" s="170" t="s">
        <v>7325</v>
      </c>
      <c r="C291" s="170" t="s">
        <v>7100</v>
      </c>
      <c r="D291" s="197" t="s">
        <v>7228</v>
      </c>
      <c r="E291" s="170" t="s">
        <v>7227</v>
      </c>
      <c r="F291" s="197" t="s">
        <v>7104</v>
      </c>
      <c r="G291" s="197" t="s">
        <v>6902</v>
      </c>
      <c r="H291" s="197" t="s">
        <v>7103</v>
      </c>
      <c r="I291" s="197" t="s">
        <v>7101</v>
      </c>
    </row>
    <row r="292" spans="2:9" ht="31.5" x14ac:dyDescent="0.25">
      <c r="B292" s="170" t="s">
        <v>7387</v>
      </c>
      <c r="C292" s="170" t="s">
        <v>7100</v>
      </c>
      <c r="D292" s="197" t="s">
        <v>7228</v>
      </c>
      <c r="E292" s="170" t="s">
        <v>7227</v>
      </c>
      <c r="F292" s="197" t="s">
        <v>7104</v>
      </c>
      <c r="G292" s="197" t="s">
        <v>6902</v>
      </c>
      <c r="H292" s="197" t="s">
        <v>7103</v>
      </c>
      <c r="I292" s="197" t="s">
        <v>7101</v>
      </c>
    </row>
    <row r="293" spans="2:9" ht="31.5" x14ac:dyDescent="0.25">
      <c r="B293" s="170" t="s">
        <v>7323</v>
      </c>
      <c r="C293" s="170" t="s">
        <v>7100</v>
      </c>
      <c r="D293" s="197" t="s">
        <v>7228</v>
      </c>
      <c r="E293" s="170" t="s">
        <v>7227</v>
      </c>
      <c r="F293" s="197" t="s">
        <v>7104</v>
      </c>
      <c r="G293" s="197" t="s">
        <v>6902</v>
      </c>
      <c r="H293" s="197" t="s">
        <v>7103</v>
      </c>
      <c r="I293" s="197" t="s">
        <v>7101</v>
      </c>
    </row>
    <row r="294" spans="2:9" ht="31.5" x14ac:dyDescent="0.25">
      <c r="B294" s="170" t="s">
        <v>7385</v>
      </c>
      <c r="C294" s="170" t="s">
        <v>7100</v>
      </c>
      <c r="D294" s="197" t="s">
        <v>7228</v>
      </c>
      <c r="E294" s="170" t="s">
        <v>7227</v>
      </c>
      <c r="F294" s="197" t="s">
        <v>7104</v>
      </c>
      <c r="G294" s="197" t="s">
        <v>6902</v>
      </c>
      <c r="H294" s="197" t="s">
        <v>7103</v>
      </c>
      <c r="I294" s="197" t="s">
        <v>7101</v>
      </c>
    </row>
    <row r="295" spans="2:9" ht="31.5" x14ac:dyDescent="0.25">
      <c r="B295" s="170" t="s">
        <v>7382</v>
      </c>
      <c r="C295" s="170" t="s">
        <v>7100</v>
      </c>
      <c r="D295" s="197" t="s">
        <v>7228</v>
      </c>
      <c r="E295" s="170" t="s">
        <v>7227</v>
      </c>
      <c r="F295" s="197" t="s">
        <v>7104</v>
      </c>
      <c r="G295" s="197" t="s">
        <v>6902</v>
      </c>
      <c r="H295" s="197" t="s">
        <v>7103</v>
      </c>
      <c r="I295" s="197" t="s">
        <v>7101</v>
      </c>
    </row>
    <row r="296" spans="2:9" ht="31.5" x14ac:dyDescent="0.25">
      <c r="B296" s="170" t="s">
        <v>7381</v>
      </c>
      <c r="C296" s="170" t="s">
        <v>7100</v>
      </c>
      <c r="D296" s="197" t="s">
        <v>7228</v>
      </c>
      <c r="E296" s="170" t="s">
        <v>7227</v>
      </c>
      <c r="F296" s="197" t="s">
        <v>7104</v>
      </c>
      <c r="G296" s="197" t="s">
        <v>6902</v>
      </c>
      <c r="H296" s="197" t="s">
        <v>7103</v>
      </c>
      <c r="I296" s="197" t="s">
        <v>7101</v>
      </c>
    </row>
    <row r="297" spans="2:9" ht="31.5" x14ac:dyDescent="0.25">
      <c r="B297" s="170" t="s">
        <v>7380</v>
      </c>
      <c r="C297" s="170" t="s">
        <v>7100</v>
      </c>
      <c r="D297" s="197" t="s">
        <v>7228</v>
      </c>
      <c r="E297" s="170" t="s">
        <v>7227</v>
      </c>
      <c r="F297" s="197" t="s">
        <v>7104</v>
      </c>
      <c r="G297" s="197" t="s">
        <v>6902</v>
      </c>
      <c r="H297" s="197" t="s">
        <v>7103</v>
      </c>
      <c r="I297" s="197" t="s">
        <v>7101</v>
      </c>
    </row>
    <row r="298" spans="2:9" ht="31.5" x14ac:dyDescent="0.25">
      <c r="B298" s="170" t="s">
        <v>7394</v>
      </c>
      <c r="C298" s="988" t="s">
        <v>4876</v>
      </c>
      <c r="D298" s="197" t="s">
        <v>7226</v>
      </c>
      <c r="E298" s="170" t="s">
        <v>7225</v>
      </c>
      <c r="F298" s="197" t="s">
        <v>521</v>
      </c>
      <c r="G298" s="197" t="s">
        <v>6991</v>
      </c>
      <c r="H298" s="197" t="s">
        <v>6856</v>
      </c>
      <c r="I298" s="197" t="s">
        <v>6851</v>
      </c>
    </row>
    <row r="299" spans="2:9" ht="31.5" x14ac:dyDescent="0.25">
      <c r="B299" s="170" t="s">
        <v>7393</v>
      </c>
      <c r="C299" s="986" t="s">
        <v>4876</v>
      </c>
      <c r="D299" s="197" t="s">
        <v>7226</v>
      </c>
      <c r="E299" s="170" t="s">
        <v>7225</v>
      </c>
      <c r="F299" s="197" t="s">
        <v>521</v>
      </c>
      <c r="G299" s="197" t="s">
        <v>6991</v>
      </c>
      <c r="H299" s="197" t="s">
        <v>6856</v>
      </c>
      <c r="I299" s="197" t="s">
        <v>6851</v>
      </c>
    </row>
    <row r="300" spans="2:9" ht="31.5" x14ac:dyDescent="0.25">
      <c r="B300" s="170" t="s">
        <v>7328</v>
      </c>
      <c r="C300" s="988" t="s">
        <v>4876</v>
      </c>
      <c r="D300" s="197" t="s">
        <v>7226</v>
      </c>
      <c r="E300" s="170" t="s">
        <v>7225</v>
      </c>
      <c r="F300" s="197" t="s">
        <v>521</v>
      </c>
      <c r="G300" s="197" t="s">
        <v>6991</v>
      </c>
      <c r="H300" s="197" t="s">
        <v>6856</v>
      </c>
      <c r="I300" s="197" t="s">
        <v>6851</v>
      </c>
    </row>
    <row r="301" spans="2:9" ht="31.5" x14ac:dyDescent="0.25">
      <c r="B301" s="170" t="s">
        <v>7390</v>
      </c>
      <c r="C301" s="986" t="s">
        <v>4876</v>
      </c>
      <c r="D301" s="197" t="s">
        <v>7226</v>
      </c>
      <c r="E301" s="170" t="s">
        <v>7225</v>
      </c>
      <c r="F301" s="197" t="s">
        <v>521</v>
      </c>
      <c r="G301" s="197" t="s">
        <v>6991</v>
      </c>
      <c r="H301" s="197" t="s">
        <v>6856</v>
      </c>
      <c r="I301" s="197" t="s">
        <v>6851</v>
      </c>
    </row>
    <row r="302" spans="2:9" ht="31.5" x14ac:dyDescent="0.25">
      <c r="B302" s="170" t="s">
        <v>7381</v>
      </c>
      <c r="C302" s="988" t="s">
        <v>4876</v>
      </c>
      <c r="D302" s="197" t="s">
        <v>7226</v>
      </c>
      <c r="E302" s="170" t="s">
        <v>7225</v>
      </c>
      <c r="F302" s="197" t="s">
        <v>521</v>
      </c>
      <c r="G302" s="197" t="s">
        <v>6991</v>
      </c>
      <c r="H302" s="197" t="s">
        <v>6856</v>
      </c>
      <c r="I302" s="197" t="s">
        <v>6851</v>
      </c>
    </row>
    <row r="303" spans="2:9" ht="31.5" x14ac:dyDescent="0.25">
      <c r="B303" s="170" t="s">
        <v>7380</v>
      </c>
      <c r="C303" s="986" t="s">
        <v>4876</v>
      </c>
      <c r="D303" s="197" t="s">
        <v>7226</v>
      </c>
      <c r="E303" s="170" t="s">
        <v>7225</v>
      </c>
      <c r="F303" s="197" t="s">
        <v>521</v>
      </c>
      <c r="G303" s="197" t="s">
        <v>6991</v>
      </c>
      <c r="H303" s="197" t="s">
        <v>6856</v>
      </c>
      <c r="I303" s="197" t="s">
        <v>6851</v>
      </c>
    </row>
    <row r="304" spans="2:9" ht="31.5" x14ac:dyDescent="0.25">
      <c r="B304" s="170" t="s">
        <v>7394</v>
      </c>
      <c r="C304" s="170" t="s">
        <v>4904</v>
      </c>
      <c r="D304" s="197" t="s">
        <v>7223</v>
      </c>
      <c r="E304" s="170" t="s">
        <v>7222</v>
      </c>
      <c r="F304" s="197" t="s">
        <v>6867</v>
      </c>
      <c r="G304" s="197" t="s">
        <v>6902</v>
      </c>
      <c r="H304" s="197" t="s">
        <v>6980</v>
      </c>
      <c r="I304" s="197" t="s">
        <v>6977</v>
      </c>
    </row>
    <row r="305" spans="2:9" ht="31.5" x14ac:dyDescent="0.25">
      <c r="B305" s="170" t="s">
        <v>7393</v>
      </c>
      <c r="C305" s="170" t="s">
        <v>4904</v>
      </c>
      <c r="D305" s="197" t="s">
        <v>7223</v>
      </c>
      <c r="E305" s="170" t="s">
        <v>7222</v>
      </c>
      <c r="F305" s="197" t="s">
        <v>6867</v>
      </c>
      <c r="G305" s="197" t="s">
        <v>6902</v>
      </c>
      <c r="H305" s="197" t="s">
        <v>6980</v>
      </c>
      <c r="I305" s="197" t="s">
        <v>6977</v>
      </c>
    </row>
    <row r="306" spans="2:9" ht="31.5" x14ac:dyDescent="0.25">
      <c r="B306" s="170" t="s">
        <v>7328</v>
      </c>
      <c r="C306" s="170" t="s">
        <v>4904</v>
      </c>
      <c r="D306" s="197" t="s">
        <v>7223</v>
      </c>
      <c r="E306" s="170" t="s">
        <v>7222</v>
      </c>
      <c r="F306" s="197" t="s">
        <v>6867</v>
      </c>
      <c r="G306" s="197" t="s">
        <v>6902</v>
      </c>
      <c r="H306" s="197" t="s">
        <v>6980</v>
      </c>
      <c r="I306" s="197" t="s">
        <v>6977</v>
      </c>
    </row>
    <row r="307" spans="2:9" ht="31.5" x14ac:dyDescent="0.25">
      <c r="B307" s="170" t="s">
        <v>7385</v>
      </c>
      <c r="C307" s="988" t="s">
        <v>4876</v>
      </c>
      <c r="D307" s="197" t="s">
        <v>7223</v>
      </c>
      <c r="E307" s="170" t="s">
        <v>7222</v>
      </c>
      <c r="F307" s="197" t="s">
        <v>6867</v>
      </c>
      <c r="G307" s="197" t="s">
        <v>6902</v>
      </c>
      <c r="H307" s="197" t="s">
        <v>6980</v>
      </c>
      <c r="I307" s="197" t="s">
        <v>6977</v>
      </c>
    </row>
    <row r="308" spans="2:9" ht="31.5" x14ac:dyDescent="0.25">
      <c r="B308" s="170" t="s">
        <v>7382</v>
      </c>
      <c r="C308" s="986" t="s">
        <v>4876</v>
      </c>
      <c r="D308" s="197" t="s">
        <v>7223</v>
      </c>
      <c r="E308" s="170" t="s">
        <v>7222</v>
      </c>
      <c r="F308" s="197" t="s">
        <v>6867</v>
      </c>
      <c r="G308" s="197" t="s">
        <v>6902</v>
      </c>
      <c r="H308" s="197" t="s">
        <v>6980</v>
      </c>
      <c r="I308" s="197" t="s">
        <v>6977</v>
      </c>
    </row>
    <row r="309" spans="2:9" ht="31.5" x14ac:dyDescent="0.25">
      <c r="B309" s="170" t="s">
        <v>7381</v>
      </c>
      <c r="C309" s="988" t="s">
        <v>4876</v>
      </c>
      <c r="D309" s="197" t="s">
        <v>7223</v>
      </c>
      <c r="E309" s="170" t="s">
        <v>7222</v>
      </c>
      <c r="F309" s="197" t="s">
        <v>6867</v>
      </c>
      <c r="G309" s="197" t="s">
        <v>6902</v>
      </c>
      <c r="H309" s="197" t="s">
        <v>6980</v>
      </c>
      <c r="I309" s="197" t="s">
        <v>6977</v>
      </c>
    </row>
    <row r="310" spans="2:9" ht="31.5" x14ac:dyDescent="0.25">
      <c r="B310" s="170" t="s">
        <v>7380</v>
      </c>
      <c r="C310" s="986" t="s">
        <v>4876</v>
      </c>
      <c r="D310" s="197" t="s">
        <v>7223</v>
      </c>
      <c r="E310" s="170" t="s">
        <v>7222</v>
      </c>
      <c r="F310" s="197" t="s">
        <v>6867</v>
      </c>
      <c r="G310" s="197" t="s">
        <v>6902</v>
      </c>
      <c r="H310" s="197" t="s">
        <v>6980</v>
      </c>
      <c r="I310" s="197" t="s">
        <v>6977</v>
      </c>
    </row>
    <row r="311" spans="2:9" ht="31.5" x14ac:dyDescent="0.25">
      <c r="B311" s="170" t="s">
        <v>7394</v>
      </c>
      <c r="C311" s="988" t="s">
        <v>4876</v>
      </c>
      <c r="D311" s="197" t="s">
        <v>7221</v>
      </c>
      <c r="E311" s="170" t="s">
        <v>7220</v>
      </c>
      <c r="F311" s="197" t="s">
        <v>521</v>
      </c>
      <c r="G311" s="197" t="s">
        <v>6974</v>
      </c>
      <c r="H311" s="197" t="s">
        <v>6856</v>
      </c>
      <c r="I311" s="197" t="s">
        <v>6851</v>
      </c>
    </row>
    <row r="312" spans="2:9" ht="31.5" x14ac:dyDescent="0.25">
      <c r="B312" s="170" t="s">
        <v>7393</v>
      </c>
      <c r="C312" s="986" t="s">
        <v>4876</v>
      </c>
      <c r="D312" s="197" t="s">
        <v>7221</v>
      </c>
      <c r="E312" s="170" t="s">
        <v>7220</v>
      </c>
      <c r="F312" s="197" t="s">
        <v>521</v>
      </c>
      <c r="G312" s="197" t="s">
        <v>6974</v>
      </c>
      <c r="H312" s="197" t="s">
        <v>6856</v>
      </c>
      <c r="I312" s="197" t="s">
        <v>6851</v>
      </c>
    </row>
    <row r="313" spans="2:9" ht="31.5" x14ac:dyDescent="0.25">
      <c r="B313" s="170" t="s">
        <v>7381</v>
      </c>
      <c r="C313" s="988" t="s">
        <v>4876</v>
      </c>
      <c r="D313" s="197" t="s">
        <v>7221</v>
      </c>
      <c r="E313" s="170" t="s">
        <v>7220</v>
      </c>
      <c r="F313" s="197" t="s">
        <v>521</v>
      </c>
      <c r="G313" s="197" t="s">
        <v>6974</v>
      </c>
      <c r="H313" s="197" t="s">
        <v>6856</v>
      </c>
      <c r="I313" s="197" t="s">
        <v>6851</v>
      </c>
    </row>
    <row r="314" spans="2:9" ht="31.5" x14ac:dyDescent="0.25">
      <c r="B314" s="170" t="s">
        <v>7380</v>
      </c>
      <c r="C314" s="986" t="s">
        <v>4876</v>
      </c>
      <c r="D314" s="197" t="s">
        <v>7221</v>
      </c>
      <c r="E314" s="170" t="s">
        <v>7220</v>
      </c>
      <c r="F314" s="197" t="s">
        <v>521</v>
      </c>
      <c r="G314" s="197" t="s">
        <v>6974</v>
      </c>
      <c r="H314" s="197" t="s">
        <v>6856</v>
      </c>
      <c r="I314" s="197" t="s">
        <v>6851</v>
      </c>
    </row>
    <row r="315" spans="2:9" ht="31.5" x14ac:dyDescent="0.25">
      <c r="B315" s="170" t="s">
        <v>7394</v>
      </c>
      <c r="C315" s="170" t="s">
        <v>4904</v>
      </c>
      <c r="D315" s="197" t="s">
        <v>7219</v>
      </c>
      <c r="E315" s="170" t="s">
        <v>7218</v>
      </c>
      <c r="F315" s="197" t="s">
        <v>6860</v>
      </c>
      <c r="G315" s="197" t="s">
        <v>6897</v>
      </c>
      <c r="H315" s="197" t="s">
        <v>6980</v>
      </c>
      <c r="I315" s="197" t="s">
        <v>6977</v>
      </c>
    </row>
    <row r="316" spans="2:9" ht="31.5" x14ac:dyDescent="0.25">
      <c r="B316" s="170" t="s">
        <v>7393</v>
      </c>
      <c r="C316" s="170" t="s">
        <v>4904</v>
      </c>
      <c r="D316" s="197" t="s">
        <v>7219</v>
      </c>
      <c r="E316" s="170" t="s">
        <v>7218</v>
      </c>
      <c r="F316" s="197" t="s">
        <v>6860</v>
      </c>
      <c r="G316" s="197" t="s">
        <v>6897</v>
      </c>
      <c r="H316" s="197" t="s">
        <v>6980</v>
      </c>
      <c r="I316" s="197" t="s">
        <v>6977</v>
      </c>
    </row>
    <row r="317" spans="2:9" ht="31.5" x14ac:dyDescent="0.25">
      <c r="B317" s="170" t="s">
        <v>7328</v>
      </c>
      <c r="C317" s="170" t="s">
        <v>4904</v>
      </c>
      <c r="D317" s="197" t="s">
        <v>7219</v>
      </c>
      <c r="E317" s="170" t="s">
        <v>7218</v>
      </c>
      <c r="F317" s="197" t="s">
        <v>6860</v>
      </c>
      <c r="G317" s="197" t="s">
        <v>6897</v>
      </c>
      <c r="H317" s="197" t="s">
        <v>6980</v>
      </c>
      <c r="I317" s="197" t="s">
        <v>6977</v>
      </c>
    </row>
    <row r="318" spans="2:9" ht="31.5" x14ac:dyDescent="0.25">
      <c r="B318" s="170" t="s">
        <v>7390</v>
      </c>
      <c r="C318" s="170" t="s">
        <v>4904</v>
      </c>
      <c r="D318" s="197" t="s">
        <v>7219</v>
      </c>
      <c r="E318" s="170" t="s">
        <v>7218</v>
      </c>
      <c r="F318" s="197" t="s">
        <v>6860</v>
      </c>
      <c r="G318" s="197" t="s">
        <v>6897</v>
      </c>
      <c r="H318" s="197" t="s">
        <v>6980</v>
      </c>
      <c r="I318" s="197" t="s">
        <v>6977</v>
      </c>
    </row>
    <row r="319" spans="2:9" ht="31.5" x14ac:dyDescent="0.25">
      <c r="B319" s="170" t="s">
        <v>7326</v>
      </c>
      <c r="C319" s="170" t="s">
        <v>4904</v>
      </c>
      <c r="D319" s="197" t="s">
        <v>7219</v>
      </c>
      <c r="E319" s="170" t="s">
        <v>7218</v>
      </c>
      <c r="F319" s="197" t="s">
        <v>6860</v>
      </c>
      <c r="G319" s="197" t="s">
        <v>6897</v>
      </c>
      <c r="H319" s="197" t="s">
        <v>6980</v>
      </c>
      <c r="I319" s="197" t="s">
        <v>6977</v>
      </c>
    </row>
    <row r="320" spans="2:9" ht="31.5" x14ac:dyDescent="0.25">
      <c r="B320" s="170" t="s">
        <v>7325</v>
      </c>
      <c r="C320" s="170" t="s">
        <v>4904</v>
      </c>
      <c r="D320" s="197" t="s">
        <v>7219</v>
      </c>
      <c r="E320" s="170" t="s">
        <v>7218</v>
      </c>
      <c r="F320" s="197" t="s">
        <v>6860</v>
      </c>
      <c r="G320" s="197" t="s">
        <v>6897</v>
      </c>
      <c r="H320" s="197" t="s">
        <v>6980</v>
      </c>
      <c r="I320" s="197" t="s">
        <v>6977</v>
      </c>
    </row>
    <row r="321" spans="2:9" ht="31.5" x14ac:dyDescent="0.25">
      <c r="B321" s="170" t="s">
        <v>7387</v>
      </c>
      <c r="C321" s="170" t="s">
        <v>4904</v>
      </c>
      <c r="D321" s="197" t="s">
        <v>7219</v>
      </c>
      <c r="E321" s="170" t="s">
        <v>7218</v>
      </c>
      <c r="F321" s="197" t="s">
        <v>6860</v>
      </c>
      <c r="G321" s="197" t="s">
        <v>6897</v>
      </c>
      <c r="H321" s="197" t="s">
        <v>6980</v>
      </c>
      <c r="I321" s="197" t="s">
        <v>6977</v>
      </c>
    </row>
    <row r="322" spans="2:9" ht="31.5" x14ac:dyDescent="0.25">
      <c r="B322" s="170" t="s">
        <v>7323</v>
      </c>
      <c r="C322" s="988" t="s">
        <v>4876</v>
      </c>
      <c r="D322" s="197" t="s">
        <v>7219</v>
      </c>
      <c r="E322" s="170" t="s">
        <v>7218</v>
      </c>
      <c r="F322" s="197" t="s">
        <v>6860</v>
      </c>
      <c r="G322" s="197" t="s">
        <v>6897</v>
      </c>
      <c r="H322" s="197" t="s">
        <v>6980</v>
      </c>
      <c r="I322" s="197" t="s">
        <v>6977</v>
      </c>
    </row>
    <row r="323" spans="2:9" ht="31.5" x14ac:dyDescent="0.25">
      <c r="B323" s="170" t="s">
        <v>7385</v>
      </c>
      <c r="C323" s="986" t="s">
        <v>4876</v>
      </c>
      <c r="D323" s="197" t="s">
        <v>7219</v>
      </c>
      <c r="E323" s="170" t="s">
        <v>7218</v>
      </c>
      <c r="F323" s="197" t="s">
        <v>6860</v>
      </c>
      <c r="G323" s="197" t="s">
        <v>6897</v>
      </c>
      <c r="H323" s="197" t="s">
        <v>6980</v>
      </c>
      <c r="I323" s="197" t="s">
        <v>6977</v>
      </c>
    </row>
    <row r="324" spans="2:9" ht="31.5" x14ac:dyDescent="0.25">
      <c r="B324" s="170" t="s">
        <v>7382</v>
      </c>
      <c r="C324" s="988" t="s">
        <v>4876</v>
      </c>
      <c r="D324" s="197" t="s">
        <v>7219</v>
      </c>
      <c r="E324" s="170" t="s">
        <v>7218</v>
      </c>
      <c r="F324" s="197" t="s">
        <v>6860</v>
      </c>
      <c r="G324" s="197" t="s">
        <v>6897</v>
      </c>
      <c r="H324" s="197" t="s">
        <v>6980</v>
      </c>
      <c r="I324" s="197" t="s">
        <v>6977</v>
      </c>
    </row>
    <row r="325" spans="2:9" ht="31.5" x14ac:dyDescent="0.25">
      <c r="B325" s="170" t="s">
        <v>7381</v>
      </c>
      <c r="C325" s="170" t="s">
        <v>4904</v>
      </c>
      <c r="D325" s="197" t="s">
        <v>7219</v>
      </c>
      <c r="E325" s="170" t="s">
        <v>7218</v>
      </c>
      <c r="F325" s="197" t="s">
        <v>6860</v>
      </c>
      <c r="G325" s="197" t="s">
        <v>6897</v>
      </c>
      <c r="H325" s="197" t="s">
        <v>6980</v>
      </c>
      <c r="I325" s="197" t="s">
        <v>6977</v>
      </c>
    </row>
    <row r="326" spans="2:9" ht="31.5" x14ac:dyDescent="0.25">
      <c r="B326" s="170" t="s">
        <v>7380</v>
      </c>
      <c r="C326" s="170" t="s">
        <v>4904</v>
      </c>
      <c r="D326" s="197" t="s">
        <v>7219</v>
      </c>
      <c r="E326" s="170" t="s">
        <v>7218</v>
      </c>
      <c r="F326" s="197" t="s">
        <v>6860</v>
      </c>
      <c r="G326" s="197" t="s">
        <v>6897</v>
      </c>
      <c r="H326" s="197" t="s">
        <v>6980</v>
      </c>
      <c r="I326" s="197" t="s">
        <v>6977</v>
      </c>
    </row>
    <row r="327" spans="2:9" ht="31.5" x14ac:dyDescent="0.25">
      <c r="B327" s="170" t="s">
        <v>7394</v>
      </c>
      <c r="C327" s="170" t="s">
        <v>7213</v>
      </c>
      <c r="D327" s="197" t="s">
        <v>7217</v>
      </c>
      <c r="E327" s="170" t="s">
        <v>7216</v>
      </c>
      <c r="F327" s="197" t="s">
        <v>7104</v>
      </c>
      <c r="G327" s="197" t="s">
        <v>7037</v>
      </c>
      <c r="H327" s="197" t="s">
        <v>4970</v>
      </c>
      <c r="I327" s="197" t="s">
        <v>7214</v>
      </c>
    </row>
    <row r="328" spans="2:9" ht="31.5" x14ac:dyDescent="0.25">
      <c r="B328" s="170" t="s">
        <v>7393</v>
      </c>
      <c r="C328" s="170" t="s">
        <v>7213</v>
      </c>
      <c r="D328" s="197" t="s">
        <v>7217</v>
      </c>
      <c r="E328" s="170" t="s">
        <v>7216</v>
      </c>
      <c r="F328" s="197" t="s">
        <v>7104</v>
      </c>
      <c r="G328" s="197" t="s">
        <v>7037</v>
      </c>
      <c r="H328" s="197" t="s">
        <v>4970</v>
      </c>
      <c r="I328" s="197" t="s">
        <v>7214</v>
      </c>
    </row>
    <row r="329" spans="2:9" ht="31.5" x14ac:dyDescent="0.25">
      <c r="B329" s="170" t="s">
        <v>7328</v>
      </c>
      <c r="C329" s="170" t="s">
        <v>7213</v>
      </c>
      <c r="D329" s="197" t="s">
        <v>7217</v>
      </c>
      <c r="E329" s="170" t="s">
        <v>7216</v>
      </c>
      <c r="F329" s="197" t="s">
        <v>7104</v>
      </c>
      <c r="G329" s="197" t="s">
        <v>7037</v>
      </c>
      <c r="H329" s="197" t="s">
        <v>4970</v>
      </c>
      <c r="I329" s="197" t="s">
        <v>7214</v>
      </c>
    </row>
    <row r="330" spans="2:9" ht="31.5" x14ac:dyDescent="0.25">
      <c r="B330" s="170" t="s">
        <v>7390</v>
      </c>
      <c r="C330" s="170" t="s">
        <v>7213</v>
      </c>
      <c r="D330" s="197" t="s">
        <v>7217</v>
      </c>
      <c r="E330" s="170" t="s">
        <v>7216</v>
      </c>
      <c r="F330" s="197" t="s">
        <v>7104</v>
      </c>
      <c r="G330" s="197" t="s">
        <v>7037</v>
      </c>
      <c r="H330" s="197" t="s">
        <v>4970</v>
      </c>
      <c r="I330" s="197" t="s">
        <v>7214</v>
      </c>
    </row>
    <row r="331" spans="2:9" ht="31.5" x14ac:dyDescent="0.25">
      <c r="B331" s="170" t="s">
        <v>7326</v>
      </c>
      <c r="C331" s="170" t="s">
        <v>7213</v>
      </c>
      <c r="D331" s="197" t="s">
        <v>7217</v>
      </c>
      <c r="E331" s="170" t="s">
        <v>7216</v>
      </c>
      <c r="F331" s="197" t="s">
        <v>7104</v>
      </c>
      <c r="G331" s="197" t="s">
        <v>7037</v>
      </c>
      <c r="H331" s="197" t="s">
        <v>4970</v>
      </c>
      <c r="I331" s="197" t="s">
        <v>7214</v>
      </c>
    </row>
    <row r="332" spans="2:9" ht="31.5" x14ac:dyDescent="0.25">
      <c r="B332" s="170" t="s">
        <v>7325</v>
      </c>
      <c r="C332" s="170" t="s">
        <v>7213</v>
      </c>
      <c r="D332" s="197" t="s">
        <v>7217</v>
      </c>
      <c r="E332" s="170" t="s">
        <v>7216</v>
      </c>
      <c r="F332" s="197" t="s">
        <v>7104</v>
      </c>
      <c r="G332" s="197" t="s">
        <v>7037</v>
      </c>
      <c r="H332" s="197" t="s">
        <v>4970</v>
      </c>
      <c r="I332" s="197" t="s">
        <v>7214</v>
      </c>
    </row>
    <row r="333" spans="2:9" ht="31.5" x14ac:dyDescent="0.25">
      <c r="B333" s="170" t="s">
        <v>7387</v>
      </c>
      <c r="C333" s="170" t="s">
        <v>7213</v>
      </c>
      <c r="D333" s="197" t="s">
        <v>7217</v>
      </c>
      <c r="E333" s="170" t="s">
        <v>7216</v>
      </c>
      <c r="F333" s="197" t="s">
        <v>7104</v>
      </c>
      <c r="G333" s="197" t="s">
        <v>7037</v>
      </c>
      <c r="H333" s="197" t="s">
        <v>4970</v>
      </c>
      <c r="I333" s="197" t="s">
        <v>7214</v>
      </c>
    </row>
    <row r="334" spans="2:9" ht="31.5" x14ac:dyDescent="0.25">
      <c r="B334" s="170" t="s">
        <v>7323</v>
      </c>
      <c r="C334" s="170" t="s">
        <v>7213</v>
      </c>
      <c r="D334" s="197" t="s">
        <v>7217</v>
      </c>
      <c r="E334" s="170" t="s">
        <v>7216</v>
      </c>
      <c r="F334" s="197" t="s">
        <v>7104</v>
      </c>
      <c r="G334" s="197" t="s">
        <v>7037</v>
      </c>
      <c r="H334" s="197" t="s">
        <v>4970</v>
      </c>
      <c r="I334" s="197" t="s">
        <v>7214</v>
      </c>
    </row>
    <row r="335" spans="2:9" ht="31.5" x14ac:dyDescent="0.25">
      <c r="B335" s="170" t="s">
        <v>7385</v>
      </c>
      <c r="C335" s="170" t="s">
        <v>7213</v>
      </c>
      <c r="D335" s="197" t="s">
        <v>7217</v>
      </c>
      <c r="E335" s="170" t="s">
        <v>7216</v>
      </c>
      <c r="F335" s="197" t="s">
        <v>7104</v>
      </c>
      <c r="G335" s="197" t="s">
        <v>7037</v>
      </c>
      <c r="H335" s="197" t="s">
        <v>4970</v>
      </c>
      <c r="I335" s="197" t="s">
        <v>7214</v>
      </c>
    </row>
    <row r="336" spans="2:9" ht="31.5" x14ac:dyDescent="0.25">
      <c r="B336" s="170" t="s">
        <v>7382</v>
      </c>
      <c r="C336" s="170" t="s">
        <v>7213</v>
      </c>
      <c r="D336" s="197" t="s">
        <v>7217</v>
      </c>
      <c r="E336" s="170" t="s">
        <v>7216</v>
      </c>
      <c r="F336" s="197" t="s">
        <v>7104</v>
      </c>
      <c r="G336" s="197" t="s">
        <v>7037</v>
      </c>
      <c r="H336" s="197" t="s">
        <v>4970</v>
      </c>
      <c r="I336" s="197" t="s">
        <v>7214</v>
      </c>
    </row>
    <row r="337" spans="2:9" ht="31.5" x14ac:dyDescent="0.25">
      <c r="B337" s="170" t="s">
        <v>7381</v>
      </c>
      <c r="C337" s="170" t="s">
        <v>7213</v>
      </c>
      <c r="D337" s="197" t="s">
        <v>7217</v>
      </c>
      <c r="E337" s="170" t="s">
        <v>7216</v>
      </c>
      <c r="F337" s="197" t="s">
        <v>7104</v>
      </c>
      <c r="G337" s="197" t="s">
        <v>7037</v>
      </c>
      <c r="H337" s="197" t="s">
        <v>4970</v>
      </c>
      <c r="I337" s="197" t="s">
        <v>7214</v>
      </c>
    </row>
    <row r="338" spans="2:9" ht="31.5" x14ac:dyDescent="0.25">
      <c r="B338" s="170" t="s">
        <v>7380</v>
      </c>
      <c r="C338" s="170" t="s">
        <v>7213</v>
      </c>
      <c r="D338" s="197" t="s">
        <v>7217</v>
      </c>
      <c r="E338" s="170" t="s">
        <v>7216</v>
      </c>
      <c r="F338" s="197" t="s">
        <v>7104</v>
      </c>
      <c r="G338" s="197" t="s">
        <v>7037</v>
      </c>
      <c r="H338" s="197" t="s">
        <v>4970</v>
      </c>
      <c r="I338" s="197" t="s">
        <v>7214</v>
      </c>
    </row>
    <row r="339" spans="2:9" ht="31.5" x14ac:dyDescent="0.25">
      <c r="B339" s="170" t="s">
        <v>7326</v>
      </c>
      <c r="C339" s="986" t="s">
        <v>4876</v>
      </c>
      <c r="D339" s="197" t="s">
        <v>7212</v>
      </c>
      <c r="E339" s="170" t="s">
        <v>7211</v>
      </c>
      <c r="F339" s="197" t="s">
        <v>6867</v>
      </c>
      <c r="G339" s="197" t="s">
        <v>6876</v>
      </c>
      <c r="H339" s="197" t="s">
        <v>6856</v>
      </c>
      <c r="I339" s="197" t="s">
        <v>6851</v>
      </c>
    </row>
    <row r="340" spans="2:9" ht="31.5" x14ac:dyDescent="0.25">
      <c r="B340" s="170" t="s">
        <v>7325</v>
      </c>
      <c r="C340" s="988" t="s">
        <v>4876</v>
      </c>
      <c r="D340" s="197" t="s">
        <v>7212</v>
      </c>
      <c r="E340" s="170" t="s">
        <v>7211</v>
      </c>
      <c r="F340" s="197" t="s">
        <v>6867</v>
      </c>
      <c r="G340" s="197" t="s">
        <v>6876</v>
      </c>
      <c r="H340" s="197" t="s">
        <v>6856</v>
      </c>
      <c r="I340" s="197" t="s">
        <v>6851</v>
      </c>
    </row>
    <row r="341" spans="2:9" ht="31.5" x14ac:dyDescent="0.25">
      <c r="B341" s="170" t="s">
        <v>7387</v>
      </c>
      <c r="C341" s="986" t="s">
        <v>4876</v>
      </c>
      <c r="D341" s="197" t="s">
        <v>7212</v>
      </c>
      <c r="E341" s="170" t="s">
        <v>7211</v>
      </c>
      <c r="F341" s="197" t="s">
        <v>6867</v>
      </c>
      <c r="G341" s="197" t="s">
        <v>6876</v>
      </c>
      <c r="H341" s="197" t="s">
        <v>6856</v>
      </c>
      <c r="I341" s="197" t="s">
        <v>6851</v>
      </c>
    </row>
    <row r="342" spans="2:9" ht="31.5" x14ac:dyDescent="0.25">
      <c r="B342" s="170" t="s">
        <v>7323</v>
      </c>
      <c r="C342" s="988" t="s">
        <v>4876</v>
      </c>
      <c r="D342" s="197" t="s">
        <v>7212</v>
      </c>
      <c r="E342" s="170" t="s">
        <v>7211</v>
      </c>
      <c r="F342" s="197" t="s">
        <v>6867</v>
      </c>
      <c r="G342" s="197" t="s">
        <v>6876</v>
      </c>
      <c r="H342" s="197" t="s">
        <v>6856</v>
      </c>
      <c r="I342" s="197" t="s">
        <v>6851</v>
      </c>
    </row>
    <row r="343" spans="2:9" ht="31.5" x14ac:dyDescent="0.25">
      <c r="B343" s="170" t="s">
        <v>7385</v>
      </c>
      <c r="C343" s="986" t="s">
        <v>4876</v>
      </c>
      <c r="D343" s="197" t="s">
        <v>7212</v>
      </c>
      <c r="E343" s="170" t="s">
        <v>7211</v>
      </c>
      <c r="F343" s="197" t="s">
        <v>6867</v>
      </c>
      <c r="G343" s="197" t="s">
        <v>6876</v>
      </c>
      <c r="H343" s="197" t="s">
        <v>6856</v>
      </c>
      <c r="I343" s="197" t="s">
        <v>6851</v>
      </c>
    </row>
    <row r="344" spans="2:9" ht="31.5" x14ac:dyDescent="0.25">
      <c r="B344" s="170" t="s">
        <v>7382</v>
      </c>
      <c r="C344" s="988" t="s">
        <v>4876</v>
      </c>
      <c r="D344" s="197" t="s">
        <v>7212</v>
      </c>
      <c r="E344" s="170" t="s">
        <v>7211</v>
      </c>
      <c r="F344" s="197" t="s">
        <v>6867</v>
      </c>
      <c r="G344" s="197" t="s">
        <v>6876</v>
      </c>
      <c r="H344" s="197" t="s">
        <v>6856</v>
      </c>
      <c r="I344" s="197" t="s">
        <v>6851</v>
      </c>
    </row>
    <row r="345" spans="2:9" ht="31.5" x14ac:dyDescent="0.25">
      <c r="B345" s="170" t="s">
        <v>7325</v>
      </c>
      <c r="C345" s="986" t="s">
        <v>4876</v>
      </c>
      <c r="D345" s="197" t="s">
        <v>7210</v>
      </c>
      <c r="E345" s="170" t="s">
        <v>7209</v>
      </c>
      <c r="F345" s="197" t="s">
        <v>6860</v>
      </c>
      <c r="G345" s="197" t="s">
        <v>6982</v>
      </c>
      <c r="H345" s="197" t="s">
        <v>6856</v>
      </c>
      <c r="I345" s="197" t="s">
        <v>6851</v>
      </c>
    </row>
    <row r="346" spans="2:9" ht="31.5" x14ac:dyDescent="0.25">
      <c r="B346" s="170" t="s">
        <v>7387</v>
      </c>
      <c r="C346" s="988" t="s">
        <v>4876</v>
      </c>
      <c r="D346" s="197" t="s">
        <v>7210</v>
      </c>
      <c r="E346" s="170" t="s">
        <v>7209</v>
      </c>
      <c r="F346" s="197" t="s">
        <v>6860</v>
      </c>
      <c r="G346" s="197" t="s">
        <v>6982</v>
      </c>
      <c r="H346" s="197" t="s">
        <v>6856</v>
      </c>
      <c r="I346" s="197" t="s">
        <v>6851</v>
      </c>
    </row>
    <row r="347" spans="2:9" ht="31.5" x14ac:dyDescent="0.25">
      <c r="B347" s="170" t="s">
        <v>7323</v>
      </c>
      <c r="C347" s="986" t="s">
        <v>4876</v>
      </c>
      <c r="D347" s="197" t="s">
        <v>7210</v>
      </c>
      <c r="E347" s="170" t="s">
        <v>7209</v>
      </c>
      <c r="F347" s="197" t="s">
        <v>6860</v>
      </c>
      <c r="G347" s="197" t="s">
        <v>6982</v>
      </c>
      <c r="H347" s="197" t="s">
        <v>6856</v>
      </c>
      <c r="I347" s="197" t="s">
        <v>6851</v>
      </c>
    </row>
    <row r="348" spans="2:9" ht="31.5" x14ac:dyDescent="0.25">
      <c r="B348" s="170" t="s">
        <v>7385</v>
      </c>
      <c r="C348" s="988" t="s">
        <v>4876</v>
      </c>
      <c r="D348" s="197" t="s">
        <v>7210</v>
      </c>
      <c r="E348" s="170" t="s">
        <v>7209</v>
      </c>
      <c r="F348" s="197" t="s">
        <v>6860</v>
      </c>
      <c r="G348" s="197" t="s">
        <v>6982</v>
      </c>
      <c r="H348" s="197" t="s">
        <v>6856</v>
      </c>
      <c r="I348" s="197" t="s">
        <v>6851</v>
      </c>
    </row>
    <row r="349" spans="2:9" ht="31.5" x14ac:dyDescent="0.25">
      <c r="B349" s="170" t="s">
        <v>7394</v>
      </c>
      <c r="C349" s="170" t="s">
        <v>4904</v>
      </c>
      <c r="D349" s="197" t="s">
        <v>7208</v>
      </c>
      <c r="E349" s="170" t="s">
        <v>7207</v>
      </c>
      <c r="F349" s="197" t="s">
        <v>6867</v>
      </c>
      <c r="G349" s="197" t="s">
        <v>6902</v>
      </c>
      <c r="H349" s="197" t="s">
        <v>6980</v>
      </c>
      <c r="I349" s="197" t="s">
        <v>6977</v>
      </c>
    </row>
    <row r="350" spans="2:9" ht="31.5" x14ac:dyDescent="0.25">
      <c r="B350" s="170" t="s">
        <v>7393</v>
      </c>
      <c r="C350" s="170" t="s">
        <v>4904</v>
      </c>
      <c r="D350" s="197" t="s">
        <v>7208</v>
      </c>
      <c r="E350" s="170" t="s">
        <v>7207</v>
      </c>
      <c r="F350" s="197" t="s">
        <v>6867</v>
      </c>
      <c r="G350" s="197" t="s">
        <v>6902</v>
      </c>
      <c r="H350" s="197" t="s">
        <v>6980</v>
      </c>
      <c r="I350" s="197" t="s">
        <v>6977</v>
      </c>
    </row>
    <row r="351" spans="2:9" ht="31.5" x14ac:dyDescent="0.25">
      <c r="B351" s="170" t="s">
        <v>7328</v>
      </c>
      <c r="C351" s="170" t="s">
        <v>4904</v>
      </c>
      <c r="D351" s="197" t="s">
        <v>7208</v>
      </c>
      <c r="E351" s="170" t="s">
        <v>7207</v>
      </c>
      <c r="F351" s="197" t="s">
        <v>6867</v>
      </c>
      <c r="G351" s="197" t="s">
        <v>6902</v>
      </c>
      <c r="H351" s="197" t="s">
        <v>6980</v>
      </c>
      <c r="I351" s="197" t="s">
        <v>6977</v>
      </c>
    </row>
    <row r="352" spans="2:9" ht="31.5" x14ac:dyDescent="0.25">
      <c r="B352" s="170" t="s">
        <v>7385</v>
      </c>
      <c r="C352" s="986" t="s">
        <v>4876</v>
      </c>
      <c r="D352" s="197" t="s">
        <v>7208</v>
      </c>
      <c r="E352" s="170" t="s">
        <v>7207</v>
      </c>
      <c r="F352" s="197" t="s">
        <v>6867</v>
      </c>
      <c r="G352" s="197" t="s">
        <v>6902</v>
      </c>
      <c r="H352" s="197" t="s">
        <v>6980</v>
      </c>
      <c r="I352" s="197" t="s">
        <v>6977</v>
      </c>
    </row>
    <row r="353" spans="2:9" ht="31.5" x14ac:dyDescent="0.25">
      <c r="B353" s="170" t="s">
        <v>7382</v>
      </c>
      <c r="C353" s="988" t="s">
        <v>4876</v>
      </c>
      <c r="D353" s="197" t="s">
        <v>7208</v>
      </c>
      <c r="E353" s="170" t="s">
        <v>7207</v>
      </c>
      <c r="F353" s="197" t="s">
        <v>6867</v>
      </c>
      <c r="G353" s="197" t="s">
        <v>6902</v>
      </c>
      <c r="H353" s="197" t="s">
        <v>6980</v>
      </c>
      <c r="I353" s="197" t="s">
        <v>6977</v>
      </c>
    </row>
    <row r="354" spans="2:9" ht="31.5" x14ac:dyDescent="0.25">
      <c r="B354" s="170" t="s">
        <v>7381</v>
      </c>
      <c r="C354" s="986" t="s">
        <v>4876</v>
      </c>
      <c r="D354" s="197" t="s">
        <v>7208</v>
      </c>
      <c r="E354" s="170" t="s">
        <v>7207</v>
      </c>
      <c r="F354" s="197" t="s">
        <v>6867</v>
      </c>
      <c r="G354" s="197" t="s">
        <v>6902</v>
      </c>
      <c r="H354" s="197" t="s">
        <v>6980</v>
      </c>
      <c r="I354" s="197" t="s">
        <v>6977</v>
      </c>
    </row>
    <row r="355" spans="2:9" ht="31.5" x14ac:dyDescent="0.25">
      <c r="B355" s="170" t="s">
        <v>7380</v>
      </c>
      <c r="C355" s="988" t="s">
        <v>4876</v>
      </c>
      <c r="D355" s="197" t="s">
        <v>7208</v>
      </c>
      <c r="E355" s="170" t="s">
        <v>7207</v>
      </c>
      <c r="F355" s="197" t="s">
        <v>6867</v>
      </c>
      <c r="G355" s="197" t="s">
        <v>6902</v>
      </c>
      <c r="H355" s="197" t="s">
        <v>6980</v>
      </c>
      <c r="I355" s="197" t="s">
        <v>6977</v>
      </c>
    </row>
    <row r="356" spans="2:9" ht="31.5" x14ac:dyDescent="0.25">
      <c r="B356" s="170" t="s">
        <v>7326</v>
      </c>
      <c r="C356" s="986" t="s">
        <v>4876</v>
      </c>
      <c r="D356" s="197" t="s">
        <v>7206</v>
      </c>
      <c r="E356" s="170" t="s">
        <v>7205</v>
      </c>
      <c r="F356" s="197" t="s">
        <v>6867</v>
      </c>
      <c r="G356" s="197" t="s">
        <v>6902</v>
      </c>
      <c r="H356" s="197" t="s">
        <v>6856</v>
      </c>
      <c r="I356" s="197" t="s">
        <v>6851</v>
      </c>
    </row>
    <row r="357" spans="2:9" ht="31.5" x14ac:dyDescent="0.25">
      <c r="B357" s="170" t="s">
        <v>7325</v>
      </c>
      <c r="C357" s="988" t="s">
        <v>4876</v>
      </c>
      <c r="D357" s="197" t="s">
        <v>7206</v>
      </c>
      <c r="E357" s="170" t="s">
        <v>7205</v>
      </c>
      <c r="F357" s="197" t="s">
        <v>6867</v>
      </c>
      <c r="G357" s="197" t="s">
        <v>6902</v>
      </c>
      <c r="H357" s="197" t="s">
        <v>6856</v>
      </c>
      <c r="I357" s="197" t="s">
        <v>6851</v>
      </c>
    </row>
    <row r="358" spans="2:9" ht="31.5" x14ac:dyDescent="0.25">
      <c r="B358" s="170" t="s">
        <v>7387</v>
      </c>
      <c r="C358" s="986" t="s">
        <v>4876</v>
      </c>
      <c r="D358" s="197" t="s">
        <v>7206</v>
      </c>
      <c r="E358" s="170" t="s">
        <v>7205</v>
      </c>
      <c r="F358" s="197" t="s">
        <v>6867</v>
      </c>
      <c r="G358" s="197" t="s">
        <v>6902</v>
      </c>
      <c r="H358" s="197" t="s">
        <v>6856</v>
      </c>
      <c r="I358" s="197" t="s">
        <v>6851</v>
      </c>
    </row>
    <row r="359" spans="2:9" ht="31.5" x14ac:dyDescent="0.25">
      <c r="B359" s="170" t="s">
        <v>7323</v>
      </c>
      <c r="C359" s="988" t="s">
        <v>4876</v>
      </c>
      <c r="D359" s="197" t="s">
        <v>7206</v>
      </c>
      <c r="E359" s="170" t="s">
        <v>7205</v>
      </c>
      <c r="F359" s="197" t="s">
        <v>6867</v>
      </c>
      <c r="G359" s="197" t="s">
        <v>6902</v>
      </c>
      <c r="H359" s="197" t="s">
        <v>6856</v>
      </c>
      <c r="I359" s="197" t="s">
        <v>6851</v>
      </c>
    </row>
    <row r="360" spans="2:9" ht="31.5" x14ac:dyDescent="0.25">
      <c r="B360" s="170" t="s">
        <v>7385</v>
      </c>
      <c r="C360" s="986" t="s">
        <v>4876</v>
      </c>
      <c r="D360" s="197" t="s">
        <v>7206</v>
      </c>
      <c r="E360" s="170" t="s">
        <v>7205</v>
      </c>
      <c r="F360" s="197" t="s">
        <v>6867</v>
      </c>
      <c r="G360" s="197" t="s">
        <v>6902</v>
      </c>
      <c r="H360" s="197" t="s">
        <v>6856</v>
      </c>
      <c r="I360" s="197" t="s">
        <v>6851</v>
      </c>
    </row>
    <row r="361" spans="2:9" ht="31.5" x14ac:dyDescent="0.25">
      <c r="B361" s="170" t="s">
        <v>7382</v>
      </c>
      <c r="C361" s="988" t="s">
        <v>4876</v>
      </c>
      <c r="D361" s="197" t="s">
        <v>7206</v>
      </c>
      <c r="E361" s="170" t="s">
        <v>7205</v>
      </c>
      <c r="F361" s="197" t="s">
        <v>6867</v>
      </c>
      <c r="G361" s="197" t="s">
        <v>6902</v>
      </c>
      <c r="H361" s="197" t="s">
        <v>6856</v>
      </c>
      <c r="I361" s="197" t="s">
        <v>6851</v>
      </c>
    </row>
    <row r="362" spans="2:9" ht="31.5" x14ac:dyDescent="0.25">
      <c r="B362" s="170" t="s">
        <v>7394</v>
      </c>
      <c r="C362" s="986" t="s">
        <v>4876</v>
      </c>
      <c r="D362" s="197" t="s">
        <v>7204</v>
      </c>
      <c r="E362" s="170" t="s">
        <v>7203</v>
      </c>
      <c r="F362" s="197" t="s">
        <v>6860</v>
      </c>
      <c r="G362" s="197" t="s">
        <v>6902</v>
      </c>
      <c r="H362" s="197" t="s">
        <v>6856</v>
      </c>
      <c r="I362" s="197" t="s">
        <v>6851</v>
      </c>
    </row>
    <row r="363" spans="2:9" ht="31.5" x14ac:dyDescent="0.25">
      <c r="B363" s="170" t="s">
        <v>7393</v>
      </c>
      <c r="C363" s="988" t="s">
        <v>4876</v>
      </c>
      <c r="D363" s="197" t="s">
        <v>7204</v>
      </c>
      <c r="E363" s="170" t="s">
        <v>7203</v>
      </c>
      <c r="F363" s="197" t="s">
        <v>6860</v>
      </c>
      <c r="G363" s="197" t="s">
        <v>6902</v>
      </c>
      <c r="H363" s="197" t="s">
        <v>6856</v>
      </c>
      <c r="I363" s="197" t="s">
        <v>6851</v>
      </c>
    </row>
    <row r="364" spans="2:9" ht="31.5" x14ac:dyDescent="0.25">
      <c r="B364" s="170" t="s">
        <v>7381</v>
      </c>
      <c r="C364" s="986" t="s">
        <v>4876</v>
      </c>
      <c r="D364" s="197" t="s">
        <v>7204</v>
      </c>
      <c r="E364" s="170" t="s">
        <v>7203</v>
      </c>
      <c r="F364" s="197" t="s">
        <v>6860</v>
      </c>
      <c r="G364" s="197" t="s">
        <v>6902</v>
      </c>
      <c r="H364" s="197" t="s">
        <v>6856</v>
      </c>
      <c r="I364" s="197" t="s">
        <v>6851</v>
      </c>
    </row>
    <row r="365" spans="2:9" ht="31.5" x14ac:dyDescent="0.25">
      <c r="B365" s="170" t="s">
        <v>7380</v>
      </c>
      <c r="C365" s="988" t="s">
        <v>4876</v>
      </c>
      <c r="D365" s="197" t="s">
        <v>7204</v>
      </c>
      <c r="E365" s="170" t="s">
        <v>7203</v>
      </c>
      <c r="F365" s="197" t="s">
        <v>6860</v>
      </c>
      <c r="G365" s="197" t="s">
        <v>6902</v>
      </c>
      <c r="H365" s="197" t="s">
        <v>6856</v>
      </c>
      <c r="I365" s="197" t="s">
        <v>6851</v>
      </c>
    </row>
    <row r="366" spans="2:9" ht="31.5" x14ac:dyDescent="0.25">
      <c r="B366" s="170" t="s">
        <v>7394</v>
      </c>
      <c r="C366" s="170" t="s">
        <v>4904</v>
      </c>
      <c r="D366" s="197" t="s">
        <v>7202</v>
      </c>
      <c r="E366" s="170" t="s">
        <v>7201</v>
      </c>
      <c r="F366" s="197" t="s">
        <v>7104</v>
      </c>
      <c r="G366" s="197" t="s">
        <v>6962</v>
      </c>
      <c r="H366" s="197" t="s">
        <v>6890</v>
      </c>
      <c r="I366" s="197" t="s">
        <v>6888</v>
      </c>
    </row>
    <row r="367" spans="2:9" ht="31.5" x14ac:dyDescent="0.25">
      <c r="B367" s="170" t="s">
        <v>7393</v>
      </c>
      <c r="C367" s="170" t="s">
        <v>4904</v>
      </c>
      <c r="D367" s="197" t="s">
        <v>7202</v>
      </c>
      <c r="E367" s="170" t="s">
        <v>7201</v>
      </c>
      <c r="F367" s="197" t="s">
        <v>7104</v>
      </c>
      <c r="G367" s="197" t="s">
        <v>6962</v>
      </c>
      <c r="H367" s="197" t="s">
        <v>6890</v>
      </c>
      <c r="I367" s="197" t="s">
        <v>6888</v>
      </c>
    </row>
    <row r="368" spans="2:9" ht="31.5" x14ac:dyDescent="0.25">
      <c r="B368" s="170" t="s">
        <v>7328</v>
      </c>
      <c r="C368" s="170" t="s">
        <v>4904</v>
      </c>
      <c r="D368" s="197" t="s">
        <v>7202</v>
      </c>
      <c r="E368" s="170" t="s">
        <v>7201</v>
      </c>
      <c r="F368" s="197" t="s">
        <v>7104</v>
      </c>
      <c r="G368" s="197" t="s">
        <v>6962</v>
      </c>
      <c r="H368" s="197" t="s">
        <v>6890</v>
      </c>
      <c r="I368" s="197" t="s">
        <v>6888</v>
      </c>
    </row>
    <row r="369" spans="2:9" ht="31.5" x14ac:dyDescent="0.25">
      <c r="B369" s="170" t="s">
        <v>7390</v>
      </c>
      <c r="C369" s="170" t="s">
        <v>4904</v>
      </c>
      <c r="D369" s="197" t="s">
        <v>7202</v>
      </c>
      <c r="E369" s="170" t="s">
        <v>7201</v>
      </c>
      <c r="F369" s="197" t="s">
        <v>7104</v>
      </c>
      <c r="G369" s="197" t="s">
        <v>6962</v>
      </c>
      <c r="H369" s="197" t="s">
        <v>6890</v>
      </c>
      <c r="I369" s="197" t="s">
        <v>6888</v>
      </c>
    </row>
    <row r="370" spans="2:9" ht="31.5" x14ac:dyDescent="0.25">
      <c r="B370" s="170" t="s">
        <v>7326</v>
      </c>
      <c r="C370" s="170" t="s">
        <v>4904</v>
      </c>
      <c r="D370" s="197" t="s">
        <v>7202</v>
      </c>
      <c r="E370" s="170" t="s">
        <v>7201</v>
      </c>
      <c r="F370" s="197" t="s">
        <v>7104</v>
      </c>
      <c r="G370" s="197" t="s">
        <v>6962</v>
      </c>
      <c r="H370" s="197" t="s">
        <v>6890</v>
      </c>
      <c r="I370" s="197" t="s">
        <v>6888</v>
      </c>
    </row>
    <row r="371" spans="2:9" ht="31.5" x14ac:dyDescent="0.25">
      <c r="B371" s="170" t="s">
        <v>7325</v>
      </c>
      <c r="C371" s="170" t="s">
        <v>4904</v>
      </c>
      <c r="D371" s="197" t="s">
        <v>7202</v>
      </c>
      <c r="E371" s="170" t="s">
        <v>7201</v>
      </c>
      <c r="F371" s="197" t="s">
        <v>7104</v>
      </c>
      <c r="G371" s="197" t="s">
        <v>6962</v>
      </c>
      <c r="H371" s="197" t="s">
        <v>6890</v>
      </c>
      <c r="I371" s="197" t="s">
        <v>6888</v>
      </c>
    </row>
    <row r="372" spans="2:9" ht="31.5" x14ac:dyDescent="0.25">
      <c r="B372" s="170" t="s">
        <v>7387</v>
      </c>
      <c r="C372" s="170" t="s">
        <v>4904</v>
      </c>
      <c r="D372" s="197" t="s">
        <v>7202</v>
      </c>
      <c r="E372" s="170" t="s">
        <v>7201</v>
      </c>
      <c r="F372" s="197" t="s">
        <v>7104</v>
      </c>
      <c r="G372" s="197" t="s">
        <v>6962</v>
      </c>
      <c r="H372" s="197" t="s">
        <v>6890</v>
      </c>
      <c r="I372" s="197" t="s">
        <v>6888</v>
      </c>
    </row>
    <row r="373" spans="2:9" ht="31.5" x14ac:dyDescent="0.25">
      <c r="B373" s="170" t="s">
        <v>7323</v>
      </c>
      <c r="C373" s="170" t="s">
        <v>4904</v>
      </c>
      <c r="D373" s="197" t="s">
        <v>7202</v>
      </c>
      <c r="E373" s="170" t="s">
        <v>7201</v>
      </c>
      <c r="F373" s="197" t="s">
        <v>7104</v>
      </c>
      <c r="G373" s="197" t="s">
        <v>6962</v>
      </c>
      <c r="H373" s="197" t="s">
        <v>6890</v>
      </c>
      <c r="I373" s="197" t="s">
        <v>6888</v>
      </c>
    </row>
    <row r="374" spans="2:9" ht="31.5" x14ac:dyDescent="0.25">
      <c r="B374" s="170" t="s">
        <v>7385</v>
      </c>
      <c r="C374" s="170" t="s">
        <v>4904</v>
      </c>
      <c r="D374" s="197" t="s">
        <v>7202</v>
      </c>
      <c r="E374" s="170" t="s">
        <v>7201</v>
      </c>
      <c r="F374" s="197" t="s">
        <v>7104</v>
      </c>
      <c r="G374" s="197" t="s">
        <v>6962</v>
      </c>
      <c r="H374" s="197" t="s">
        <v>6890</v>
      </c>
      <c r="I374" s="197" t="s">
        <v>6888</v>
      </c>
    </row>
    <row r="375" spans="2:9" ht="31.5" x14ac:dyDescent="0.25">
      <c r="B375" s="170" t="s">
        <v>7382</v>
      </c>
      <c r="C375" s="170" t="s">
        <v>4904</v>
      </c>
      <c r="D375" s="197" t="s">
        <v>7202</v>
      </c>
      <c r="E375" s="170" t="s">
        <v>7201</v>
      </c>
      <c r="F375" s="197" t="s">
        <v>7104</v>
      </c>
      <c r="G375" s="197" t="s">
        <v>6962</v>
      </c>
      <c r="H375" s="197" t="s">
        <v>6890</v>
      </c>
      <c r="I375" s="197" t="s">
        <v>6888</v>
      </c>
    </row>
    <row r="376" spans="2:9" ht="31.5" x14ac:dyDescent="0.25">
      <c r="B376" s="170" t="s">
        <v>7381</v>
      </c>
      <c r="C376" s="170" t="s">
        <v>4904</v>
      </c>
      <c r="D376" s="197" t="s">
        <v>7202</v>
      </c>
      <c r="E376" s="170" t="s">
        <v>7201</v>
      </c>
      <c r="F376" s="197" t="s">
        <v>7104</v>
      </c>
      <c r="G376" s="197" t="s">
        <v>6962</v>
      </c>
      <c r="H376" s="197" t="s">
        <v>6890</v>
      </c>
      <c r="I376" s="197" t="s">
        <v>6888</v>
      </c>
    </row>
    <row r="377" spans="2:9" ht="31.5" x14ac:dyDescent="0.25">
      <c r="B377" s="170" t="s">
        <v>7380</v>
      </c>
      <c r="C377" s="170" t="s">
        <v>4904</v>
      </c>
      <c r="D377" s="197" t="s">
        <v>7202</v>
      </c>
      <c r="E377" s="170" t="s">
        <v>7201</v>
      </c>
      <c r="F377" s="197" t="s">
        <v>7104</v>
      </c>
      <c r="G377" s="197" t="s">
        <v>6962</v>
      </c>
      <c r="H377" s="197" t="s">
        <v>6890</v>
      </c>
      <c r="I377" s="197" t="s">
        <v>6888</v>
      </c>
    </row>
    <row r="378" spans="2:9" ht="31.5" x14ac:dyDescent="0.25">
      <c r="B378" s="170" t="s">
        <v>7394</v>
      </c>
      <c r="C378" s="170" t="s">
        <v>4904</v>
      </c>
      <c r="D378" s="197" t="s">
        <v>7200</v>
      </c>
      <c r="E378" s="170" t="s">
        <v>7199</v>
      </c>
      <c r="F378" s="197" t="s">
        <v>7072</v>
      </c>
      <c r="G378" s="197" t="s">
        <v>6893</v>
      </c>
      <c r="H378" s="197" t="s">
        <v>6980</v>
      </c>
      <c r="I378" s="197" t="s">
        <v>6977</v>
      </c>
    </row>
    <row r="379" spans="2:9" ht="31.5" x14ac:dyDescent="0.25">
      <c r="B379" s="170" t="s">
        <v>7393</v>
      </c>
      <c r="C379" s="170" t="s">
        <v>4904</v>
      </c>
      <c r="D379" s="197" t="s">
        <v>7200</v>
      </c>
      <c r="E379" s="170" t="s">
        <v>7199</v>
      </c>
      <c r="F379" s="197" t="s">
        <v>7072</v>
      </c>
      <c r="G379" s="197" t="s">
        <v>6893</v>
      </c>
      <c r="H379" s="197" t="s">
        <v>6980</v>
      </c>
      <c r="I379" s="197" t="s">
        <v>6977</v>
      </c>
    </row>
    <row r="380" spans="2:9" ht="31.5" x14ac:dyDescent="0.25">
      <c r="B380" s="170" t="s">
        <v>7328</v>
      </c>
      <c r="C380" s="170" t="s">
        <v>4904</v>
      </c>
      <c r="D380" s="197" t="s">
        <v>7200</v>
      </c>
      <c r="E380" s="170" t="s">
        <v>7199</v>
      </c>
      <c r="F380" s="197" t="s">
        <v>7072</v>
      </c>
      <c r="G380" s="197" t="s">
        <v>6893</v>
      </c>
      <c r="H380" s="197" t="s">
        <v>6980</v>
      </c>
      <c r="I380" s="197" t="s">
        <v>6977</v>
      </c>
    </row>
    <row r="381" spans="2:9" ht="31.5" x14ac:dyDescent="0.25">
      <c r="B381" s="170" t="s">
        <v>7390</v>
      </c>
      <c r="C381" s="170" t="s">
        <v>4904</v>
      </c>
      <c r="D381" s="197" t="s">
        <v>7200</v>
      </c>
      <c r="E381" s="170" t="s">
        <v>7199</v>
      </c>
      <c r="F381" s="197" t="s">
        <v>7072</v>
      </c>
      <c r="G381" s="197" t="s">
        <v>6893</v>
      </c>
      <c r="H381" s="197" t="s">
        <v>6980</v>
      </c>
      <c r="I381" s="197" t="s">
        <v>6977</v>
      </c>
    </row>
    <row r="382" spans="2:9" ht="31.5" x14ac:dyDescent="0.25">
      <c r="B382" s="170" t="s">
        <v>7326</v>
      </c>
      <c r="C382" s="170" t="s">
        <v>4904</v>
      </c>
      <c r="D382" s="197" t="s">
        <v>7200</v>
      </c>
      <c r="E382" s="170" t="s">
        <v>7199</v>
      </c>
      <c r="F382" s="197" t="s">
        <v>7072</v>
      </c>
      <c r="G382" s="197" t="s">
        <v>6893</v>
      </c>
      <c r="H382" s="197" t="s">
        <v>6980</v>
      </c>
      <c r="I382" s="197" t="s">
        <v>6977</v>
      </c>
    </row>
    <row r="383" spans="2:9" ht="31.5" x14ac:dyDescent="0.25">
      <c r="B383" s="170" t="s">
        <v>7325</v>
      </c>
      <c r="C383" s="986" t="s">
        <v>4876</v>
      </c>
      <c r="D383" s="197" t="s">
        <v>7200</v>
      </c>
      <c r="E383" s="170" t="s">
        <v>7199</v>
      </c>
      <c r="F383" s="197" t="s">
        <v>7072</v>
      </c>
      <c r="G383" s="197" t="s">
        <v>6893</v>
      </c>
      <c r="H383" s="197" t="s">
        <v>6980</v>
      </c>
      <c r="I383" s="197" t="s">
        <v>6977</v>
      </c>
    </row>
    <row r="384" spans="2:9" ht="31.5" x14ac:dyDescent="0.25">
      <c r="B384" s="170" t="s">
        <v>7387</v>
      </c>
      <c r="C384" s="988" t="s">
        <v>4876</v>
      </c>
      <c r="D384" s="197" t="s">
        <v>7200</v>
      </c>
      <c r="E384" s="170" t="s">
        <v>7199</v>
      </c>
      <c r="F384" s="197" t="s">
        <v>7072</v>
      </c>
      <c r="G384" s="197" t="s">
        <v>6893</v>
      </c>
      <c r="H384" s="197" t="s">
        <v>6980</v>
      </c>
      <c r="I384" s="197" t="s">
        <v>6977</v>
      </c>
    </row>
    <row r="385" spans="2:9" ht="31.5" x14ac:dyDescent="0.25">
      <c r="B385" s="170" t="s">
        <v>7323</v>
      </c>
      <c r="C385" s="986" t="s">
        <v>4876</v>
      </c>
      <c r="D385" s="197" t="s">
        <v>7200</v>
      </c>
      <c r="E385" s="170" t="s">
        <v>7199</v>
      </c>
      <c r="F385" s="197" t="s">
        <v>7072</v>
      </c>
      <c r="G385" s="197" t="s">
        <v>6893</v>
      </c>
      <c r="H385" s="197" t="s">
        <v>6980</v>
      </c>
      <c r="I385" s="197" t="s">
        <v>6977</v>
      </c>
    </row>
    <row r="386" spans="2:9" ht="31.5" x14ac:dyDescent="0.25">
      <c r="B386" s="170" t="s">
        <v>7385</v>
      </c>
      <c r="C386" s="988" t="s">
        <v>4876</v>
      </c>
      <c r="D386" s="197" t="s">
        <v>7200</v>
      </c>
      <c r="E386" s="170" t="s">
        <v>7199</v>
      </c>
      <c r="F386" s="197" t="s">
        <v>7072</v>
      </c>
      <c r="G386" s="197" t="s">
        <v>6893</v>
      </c>
      <c r="H386" s="197" t="s">
        <v>6980</v>
      </c>
      <c r="I386" s="197" t="s">
        <v>6977</v>
      </c>
    </row>
    <row r="387" spans="2:9" ht="31.5" x14ac:dyDescent="0.25">
      <c r="B387" s="170" t="s">
        <v>7382</v>
      </c>
      <c r="C387" s="986" t="s">
        <v>4876</v>
      </c>
      <c r="D387" s="197" t="s">
        <v>7200</v>
      </c>
      <c r="E387" s="170" t="s">
        <v>7199</v>
      </c>
      <c r="F387" s="197" t="s">
        <v>7072</v>
      </c>
      <c r="G387" s="197" t="s">
        <v>6893</v>
      </c>
      <c r="H387" s="197" t="s">
        <v>6980</v>
      </c>
      <c r="I387" s="197" t="s">
        <v>6977</v>
      </c>
    </row>
    <row r="388" spans="2:9" ht="31.5" x14ac:dyDescent="0.25">
      <c r="B388" s="170" t="s">
        <v>7381</v>
      </c>
      <c r="C388" s="170" t="s">
        <v>4904</v>
      </c>
      <c r="D388" s="197" t="s">
        <v>7200</v>
      </c>
      <c r="E388" s="170" t="s">
        <v>7199</v>
      </c>
      <c r="F388" s="197" t="s">
        <v>7072</v>
      </c>
      <c r="G388" s="197" t="s">
        <v>6893</v>
      </c>
      <c r="H388" s="197" t="s">
        <v>6980</v>
      </c>
      <c r="I388" s="197" t="s">
        <v>6977</v>
      </c>
    </row>
    <row r="389" spans="2:9" ht="31.5" x14ac:dyDescent="0.25">
      <c r="B389" s="170" t="s">
        <v>7380</v>
      </c>
      <c r="C389" s="170" t="s">
        <v>4904</v>
      </c>
      <c r="D389" s="197" t="s">
        <v>7200</v>
      </c>
      <c r="E389" s="170" t="s">
        <v>7199</v>
      </c>
      <c r="F389" s="197" t="s">
        <v>7072</v>
      </c>
      <c r="G389" s="197" t="s">
        <v>6893</v>
      </c>
      <c r="H389" s="197" t="s">
        <v>6980</v>
      </c>
      <c r="I389" s="197" t="s">
        <v>6977</v>
      </c>
    </row>
    <row r="390" spans="2:9" ht="31.5" x14ac:dyDescent="0.25">
      <c r="B390" s="170" t="s">
        <v>7394</v>
      </c>
      <c r="C390" s="988" t="s">
        <v>4876</v>
      </c>
      <c r="D390" s="197" t="s">
        <v>7197</v>
      </c>
      <c r="E390" s="170" t="s">
        <v>7196</v>
      </c>
      <c r="F390" s="197" t="s">
        <v>6860</v>
      </c>
      <c r="G390" s="197" t="s">
        <v>6893</v>
      </c>
      <c r="H390" s="197" t="s">
        <v>6856</v>
      </c>
      <c r="I390" s="197" t="s">
        <v>6851</v>
      </c>
    </row>
    <row r="391" spans="2:9" ht="31.5" x14ac:dyDescent="0.25">
      <c r="B391" s="170" t="s">
        <v>7393</v>
      </c>
      <c r="C391" s="986" t="s">
        <v>4876</v>
      </c>
      <c r="D391" s="197" t="s">
        <v>7197</v>
      </c>
      <c r="E391" s="170" t="s">
        <v>7196</v>
      </c>
      <c r="F391" s="197" t="s">
        <v>6860</v>
      </c>
      <c r="G391" s="197" t="s">
        <v>6893</v>
      </c>
      <c r="H391" s="197" t="s">
        <v>6856</v>
      </c>
      <c r="I391" s="197" t="s">
        <v>6851</v>
      </c>
    </row>
    <row r="392" spans="2:9" ht="31.5" x14ac:dyDescent="0.25">
      <c r="B392" s="170" t="s">
        <v>7328</v>
      </c>
      <c r="C392" s="988" t="s">
        <v>4876</v>
      </c>
      <c r="D392" s="197" t="s">
        <v>7197</v>
      </c>
      <c r="E392" s="170" t="s">
        <v>7196</v>
      </c>
      <c r="F392" s="197" t="s">
        <v>6860</v>
      </c>
      <c r="G392" s="197" t="s">
        <v>6893</v>
      </c>
      <c r="H392" s="197" t="s">
        <v>6856</v>
      </c>
      <c r="I392" s="197" t="s">
        <v>6851</v>
      </c>
    </row>
    <row r="393" spans="2:9" ht="31.5" x14ac:dyDescent="0.25">
      <c r="B393" s="170" t="s">
        <v>7390</v>
      </c>
      <c r="C393" s="986" t="s">
        <v>4876</v>
      </c>
      <c r="D393" s="197" t="s">
        <v>7197</v>
      </c>
      <c r="E393" s="170" t="s">
        <v>7196</v>
      </c>
      <c r="F393" s="197" t="s">
        <v>6860</v>
      </c>
      <c r="G393" s="197" t="s">
        <v>6893</v>
      </c>
      <c r="H393" s="197" t="s">
        <v>6856</v>
      </c>
      <c r="I393" s="197" t="s">
        <v>6851</v>
      </c>
    </row>
    <row r="394" spans="2:9" ht="31.5" x14ac:dyDescent="0.25">
      <c r="B394" s="170" t="s">
        <v>7382</v>
      </c>
      <c r="C394" s="988" t="s">
        <v>4876</v>
      </c>
      <c r="D394" s="197" t="s">
        <v>7197</v>
      </c>
      <c r="E394" s="170" t="s">
        <v>7196</v>
      </c>
      <c r="F394" s="197" t="s">
        <v>6860</v>
      </c>
      <c r="G394" s="197" t="s">
        <v>6893</v>
      </c>
      <c r="H394" s="197" t="s">
        <v>6856</v>
      </c>
      <c r="I394" s="197" t="s">
        <v>6851</v>
      </c>
    </row>
    <row r="395" spans="2:9" ht="31.5" x14ac:dyDescent="0.25">
      <c r="B395" s="170" t="s">
        <v>7381</v>
      </c>
      <c r="C395" s="986" t="s">
        <v>4876</v>
      </c>
      <c r="D395" s="197" t="s">
        <v>7197</v>
      </c>
      <c r="E395" s="170" t="s">
        <v>7196</v>
      </c>
      <c r="F395" s="197" t="s">
        <v>6860</v>
      </c>
      <c r="G395" s="197" t="s">
        <v>6893</v>
      </c>
      <c r="H395" s="197" t="s">
        <v>6856</v>
      </c>
      <c r="I395" s="197" t="s">
        <v>6851</v>
      </c>
    </row>
    <row r="396" spans="2:9" ht="31.5" x14ac:dyDescent="0.25">
      <c r="B396" s="170" t="s">
        <v>7380</v>
      </c>
      <c r="C396" s="988" t="s">
        <v>4876</v>
      </c>
      <c r="D396" s="197" t="s">
        <v>7197</v>
      </c>
      <c r="E396" s="170" t="s">
        <v>7196</v>
      </c>
      <c r="F396" s="197" t="s">
        <v>6860</v>
      </c>
      <c r="G396" s="197" t="s">
        <v>6893</v>
      </c>
      <c r="H396" s="197" t="s">
        <v>6856</v>
      </c>
      <c r="I396" s="197" t="s">
        <v>6851</v>
      </c>
    </row>
    <row r="397" spans="2:9" ht="31.5" x14ac:dyDescent="0.25">
      <c r="B397" s="170" t="s">
        <v>7328</v>
      </c>
      <c r="C397" s="986" t="s">
        <v>4876</v>
      </c>
      <c r="D397" s="197" t="s">
        <v>7193</v>
      </c>
      <c r="E397" s="170" t="s">
        <v>7192</v>
      </c>
      <c r="F397" s="197" t="s">
        <v>6860</v>
      </c>
      <c r="G397" s="197" t="s">
        <v>6902</v>
      </c>
      <c r="H397" s="197" t="s">
        <v>6856</v>
      </c>
      <c r="I397" s="197" t="s">
        <v>6851</v>
      </c>
    </row>
    <row r="398" spans="2:9" ht="31.5" x14ac:dyDescent="0.25">
      <c r="B398" s="170" t="s">
        <v>7390</v>
      </c>
      <c r="C398" s="988" t="s">
        <v>4876</v>
      </c>
      <c r="D398" s="197" t="s">
        <v>7193</v>
      </c>
      <c r="E398" s="170" t="s">
        <v>7192</v>
      </c>
      <c r="F398" s="197" t="s">
        <v>6860</v>
      </c>
      <c r="G398" s="197" t="s">
        <v>6902</v>
      </c>
      <c r="H398" s="197" t="s">
        <v>6856</v>
      </c>
      <c r="I398" s="197" t="s">
        <v>6851</v>
      </c>
    </row>
    <row r="399" spans="2:9" ht="31.5" x14ac:dyDescent="0.25">
      <c r="B399" s="170" t="s">
        <v>7326</v>
      </c>
      <c r="C399" s="986" t="s">
        <v>4876</v>
      </c>
      <c r="D399" s="197" t="s">
        <v>7193</v>
      </c>
      <c r="E399" s="170" t="s">
        <v>7192</v>
      </c>
      <c r="F399" s="197" t="s">
        <v>6860</v>
      </c>
      <c r="G399" s="197" t="s">
        <v>6902</v>
      </c>
      <c r="H399" s="197" t="s">
        <v>6856</v>
      </c>
      <c r="I399" s="197" t="s">
        <v>6851</v>
      </c>
    </row>
    <row r="400" spans="2:9" ht="31.5" x14ac:dyDescent="0.25">
      <c r="B400" s="170" t="s">
        <v>7325</v>
      </c>
      <c r="C400" s="988" t="s">
        <v>4876</v>
      </c>
      <c r="D400" s="197" t="s">
        <v>7193</v>
      </c>
      <c r="E400" s="170" t="s">
        <v>7192</v>
      </c>
      <c r="F400" s="197" t="s">
        <v>6860</v>
      </c>
      <c r="G400" s="197" t="s">
        <v>6902</v>
      </c>
      <c r="H400" s="197" t="s">
        <v>6856</v>
      </c>
      <c r="I400" s="197" t="s">
        <v>6851</v>
      </c>
    </row>
    <row r="401" spans="2:9" ht="31.5" x14ac:dyDescent="0.25">
      <c r="B401" s="170" t="s">
        <v>7385</v>
      </c>
      <c r="C401" s="986" t="s">
        <v>4876</v>
      </c>
      <c r="D401" s="197" t="s">
        <v>7193</v>
      </c>
      <c r="E401" s="170" t="s">
        <v>7192</v>
      </c>
      <c r="F401" s="197" t="s">
        <v>6860</v>
      </c>
      <c r="G401" s="197" t="s">
        <v>6902</v>
      </c>
      <c r="H401" s="197" t="s">
        <v>6856</v>
      </c>
      <c r="I401" s="197" t="s">
        <v>6851</v>
      </c>
    </row>
    <row r="402" spans="2:9" ht="31.5" x14ac:dyDescent="0.25">
      <c r="B402" s="170" t="s">
        <v>7382</v>
      </c>
      <c r="C402" s="988" t="s">
        <v>4876</v>
      </c>
      <c r="D402" s="197" t="s">
        <v>7193</v>
      </c>
      <c r="E402" s="170" t="s">
        <v>7192</v>
      </c>
      <c r="F402" s="197" t="s">
        <v>6860</v>
      </c>
      <c r="G402" s="197" t="s">
        <v>6902</v>
      </c>
      <c r="H402" s="197" t="s">
        <v>6856</v>
      </c>
      <c r="I402" s="197" t="s">
        <v>6851</v>
      </c>
    </row>
    <row r="403" spans="2:9" ht="31.5" x14ac:dyDescent="0.25">
      <c r="B403" s="170" t="s">
        <v>7381</v>
      </c>
      <c r="C403" s="986" t="s">
        <v>4876</v>
      </c>
      <c r="D403" s="197" t="s">
        <v>7193</v>
      </c>
      <c r="E403" s="170" t="s">
        <v>7192</v>
      </c>
      <c r="F403" s="197" t="s">
        <v>6860</v>
      </c>
      <c r="G403" s="197" t="s">
        <v>6902</v>
      </c>
      <c r="H403" s="197" t="s">
        <v>6856</v>
      </c>
      <c r="I403" s="197" t="s">
        <v>6851</v>
      </c>
    </row>
    <row r="404" spans="2:9" ht="31.5" x14ac:dyDescent="0.25">
      <c r="B404" s="170" t="s">
        <v>7380</v>
      </c>
      <c r="C404" s="988" t="s">
        <v>4876</v>
      </c>
      <c r="D404" s="197" t="s">
        <v>7193</v>
      </c>
      <c r="E404" s="170" t="s">
        <v>7192</v>
      </c>
      <c r="F404" s="197" t="s">
        <v>6860</v>
      </c>
      <c r="G404" s="197" t="s">
        <v>6902</v>
      </c>
      <c r="H404" s="197" t="s">
        <v>6856</v>
      </c>
      <c r="I404" s="197" t="s">
        <v>6851</v>
      </c>
    </row>
    <row r="405" spans="2:9" ht="31.5" x14ac:dyDescent="0.25">
      <c r="B405" s="170" t="s">
        <v>7326</v>
      </c>
      <c r="C405" s="986" t="s">
        <v>4876</v>
      </c>
      <c r="D405" s="197" t="s">
        <v>7190</v>
      </c>
      <c r="E405" s="170" t="s">
        <v>7189</v>
      </c>
      <c r="F405" s="197" t="s">
        <v>6860</v>
      </c>
      <c r="G405" s="197" t="s">
        <v>6902</v>
      </c>
      <c r="H405" s="197" t="s">
        <v>6856</v>
      </c>
      <c r="I405" s="197" t="s">
        <v>6851</v>
      </c>
    </row>
    <row r="406" spans="2:9" ht="31.5" x14ac:dyDescent="0.25">
      <c r="B406" s="170" t="s">
        <v>7325</v>
      </c>
      <c r="C406" s="988" t="s">
        <v>4876</v>
      </c>
      <c r="D406" s="197" t="s">
        <v>7190</v>
      </c>
      <c r="E406" s="170" t="s">
        <v>7189</v>
      </c>
      <c r="F406" s="197" t="s">
        <v>6860</v>
      </c>
      <c r="G406" s="197" t="s">
        <v>6902</v>
      </c>
      <c r="H406" s="197" t="s">
        <v>6856</v>
      </c>
      <c r="I406" s="197" t="s">
        <v>6851</v>
      </c>
    </row>
    <row r="407" spans="2:9" ht="31.5" x14ac:dyDescent="0.25">
      <c r="B407" s="170" t="s">
        <v>7387</v>
      </c>
      <c r="C407" s="986" t="s">
        <v>4876</v>
      </c>
      <c r="D407" s="197" t="s">
        <v>7190</v>
      </c>
      <c r="E407" s="170" t="s">
        <v>7189</v>
      </c>
      <c r="F407" s="197" t="s">
        <v>6860</v>
      </c>
      <c r="G407" s="197" t="s">
        <v>6902</v>
      </c>
      <c r="H407" s="197" t="s">
        <v>6856</v>
      </c>
      <c r="I407" s="197" t="s">
        <v>6851</v>
      </c>
    </row>
    <row r="408" spans="2:9" ht="31.5" x14ac:dyDescent="0.25">
      <c r="B408" s="170" t="s">
        <v>7323</v>
      </c>
      <c r="C408" s="988" t="s">
        <v>4876</v>
      </c>
      <c r="D408" s="197" t="s">
        <v>7190</v>
      </c>
      <c r="E408" s="170" t="s">
        <v>7189</v>
      </c>
      <c r="F408" s="197" t="s">
        <v>6860</v>
      </c>
      <c r="G408" s="197" t="s">
        <v>6902</v>
      </c>
      <c r="H408" s="197" t="s">
        <v>6856</v>
      </c>
      <c r="I408" s="197" t="s">
        <v>6851</v>
      </c>
    </row>
    <row r="409" spans="2:9" ht="31.5" x14ac:dyDescent="0.25">
      <c r="B409" s="170" t="s">
        <v>7385</v>
      </c>
      <c r="C409" s="986" t="s">
        <v>4876</v>
      </c>
      <c r="D409" s="197" t="s">
        <v>7190</v>
      </c>
      <c r="E409" s="170" t="s">
        <v>7189</v>
      </c>
      <c r="F409" s="197" t="s">
        <v>6860</v>
      </c>
      <c r="G409" s="197" t="s">
        <v>6902</v>
      </c>
      <c r="H409" s="197" t="s">
        <v>6856</v>
      </c>
      <c r="I409" s="197" t="s">
        <v>6851</v>
      </c>
    </row>
    <row r="410" spans="2:9" ht="31.5" x14ac:dyDescent="0.25">
      <c r="B410" s="170" t="s">
        <v>7382</v>
      </c>
      <c r="C410" s="988" t="s">
        <v>4876</v>
      </c>
      <c r="D410" s="197" t="s">
        <v>7190</v>
      </c>
      <c r="E410" s="170" t="s">
        <v>7189</v>
      </c>
      <c r="F410" s="197" t="s">
        <v>6860</v>
      </c>
      <c r="G410" s="197" t="s">
        <v>6902</v>
      </c>
      <c r="H410" s="197" t="s">
        <v>6856</v>
      </c>
      <c r="I410" s="197" t="s">
        <v>6851</v>
      </c>
    </row>
    <row r="411" spans="2:9" ht="31.5" x14ac:dyDescent="0.25">
      <c r="B411" s="170" t="s">
        <v>7381</v>
      </c>
      <c r="C411" s="986" t="s">
        <v>4876</v>
      </c>
      <c r="D411" s="197" t="s">
        <v>7190</v>
      </c>
      <c r="E411" s="170" t="s">
        <v>7189</v>
      </c>
      <c r="F411" s="197" t="s">
        <v>6860</v>
      </c>
      <c r="G411" s="197" t="s">
        <v>6902</v>
      </c>
      <c r="H411" s="197" t="s">
        <v>6856</v>
      </c>
      <c r="I411" s="197" t="s">
        <v>6851</v>
      </c>
    </row>
    <row r="412" spans="2:9" ht="31.5" x14ac:dyDescent="0.25">
      <c r="B412" s="170" t="s">
        <v>7380</v>
      </c>
      <c r="C412" s="988" t="s">
        <v>4876</v>
      </c>
      <c r="D412" s="197" t="s">
        <v>7190</v>
      </c>
      <c r="E412" s="170" t="s">
        <v>7189</v>
      </c>
      <c r="F412" s="197" t="s">
        <v>6860</v>
      </c>
      <c r="G412" s="197" t="s">
        <v>6902</v>
      </c>
      <c r="H412" s="197" t="s">
        <v>6856</v>
      </c>
      <c r="I412" s="197" t="s">
        <v>6851</v>
      </c>
    </row>
    <row r="413" spans="2:9" ht="31.5" x14ac:dyDescent="0.25">
      <c r="B413" s="170" t="s">
        <v>7326</v>
      </c>
      <c r="C413" s="986" t="s">
        <v>4876</v>
      </c>
      <c r="D413" s="197" t="s">
        <v>7187</v>
      </c>
      <c r="E413" s="170" t="s">
        <v>7186</v>
      </c>
      <c r="F413" s="197" t="s">
        <v>6860</v>
      </c>
      <c r="G413" s="197" t="s">
        <v>6902</v>
      </c>
      <c r="H413" s="197" t="s">
        <v>6856</v>
      </c>
      <c r="I413" s="197" t="s">
        <v>6851</v>
      </c>
    </row>
    <row r="414" spans="2:9" ht="31.5" x14ac:dyDescent="0.25">
      <c r="B414" s="170" t="s">
        <v>7325</v>
      </c>
      <c r="C414" s="988" t="s">
        <v>4876</v>
      </c>
      <c r="D414" s="197" t="s">
        <v>7187</v>
      </c>
      <c r="E414" s="170" t="s">
        <v>7186</v>
      </c>
      <c r="F414" s="197" t="s">
        <v>6860</v>
      </c>
      <c r="G414" s="197" t="s">
        <v>6902</v>
      </c>
      <c r="H414" s="197" t="s">
        <v>6856</v>
      </c>
      <c r="I414" s="197" t="s">
        <v>6851</v>
      </c>
    </row>
    <row r="415" spans="2:9" ht="31.5" x14ac:dyDescent="0.25">
      <c r="B415" s="170" t="s">
        <v>7387</v>
      </c>
      <c r="C415" s="986" t="s">
        <v>4876</v>
      </c>
      <c r="D415" s="197" t="s">
        <v>7187</v>
      </c>
      <c r="E415" s="170" t="s">
        <v>7186</v>
      </c>
      <c r="F415" s="197" t="s">
        <v>6860</v>
      </c>
      <c r="G415" s="197" t="s">
        <v>6902</v>
      </c>
      <c r="H415" s="197" t="s">
        <v>6856</v>
      </c>
      <c r="I415" s="197" t="s">
        <v>6851</v>
      </c>
    </row>
    <row r="416" spans="2:9" ht="31.5" x14ac:dyDescent="0.25">
      <c r="B416" s="170" t="s">
        <v>7326</v>
      </c>
      <c r="C416" s="988" t="s">
        <v>4876</v>
      </c>
      <c r="D416" s="197" t="s">
        <v>7185</v>
      </c>
      <c r="E416" s="170" t="s">
        <v>7184</v>
      </c>
      <c r="F416" s="197" t="s">
        <v>6860</v>
      </c>
      <c r="G416" s="197" t="s">
        <v>6897</v>
      </c>
      <c r="H416" s="197" t="s">
        <v>6856</v>
      </c>
      <c r="I416" s="197" t="s">
        <v>6851</v>
      </c>
    </row>
    <row r="417" spans="2:9" ht="31.5" x14ac:dyDescent="0.25">
      <c r="B417" s="170" t="s">
        <v>7325</v>
      </c>
      <c r="C417" s="986" t="s">
        <v>4876</v>
      </c>
      <c r="D417" s="197" t="s">
        <v>7185</v>
      </c>
      <c r="E417" s="170" t="s">
        <v>7184</v>
      </c>
      <c r="F417" s="197" t="s">
        <v>6860</v>
      </c>
      <c r="G417" s="197" t="s">
        <v>6897</v>
      </c>
      <c r="H417" s="197" t="s">
        <v>6856</v>
      </c>
      <c r="I417" s="197" t="s">
        <v>6851</v>
      </c>
    </row>
    <row r="418" spans="2:9" ht="31.5" x14ac:dyDescent="0.25">
      <c r="B418" s="170" t="s">
        <v>7387</v>
      </c>
      <c r="C418" s="988" t="s">
        <v>4876</v>
      </c>
      <c r="D418" s="197" t="s">
        <v>7185</v>
      </c>
      <c r="E418" s="170" t="s">
        <v>7184</v>
      </c>
      <c r="F418" s="197" t="s">
        <v>6860</v>
      </c>
      <c r="G418" s="197" t="s">
        <v>6897</v>
      </c>
      <c r="H418" s="197" t="s">
        <v>6856</v>
      </c>
      <c r="I418" s="197" t="s">
        <v>6851</v>
      </c>
    </row>
    <row r="419" spans="2:9" ht="31.5" x14ac:dyDescent="0.25">
      <c r="B419" s="170" t="s">
        <v>7387</v>
      </c>
      <c r="C419" s="986" t="s">
        <v>4876</v>
      </c>
      <c r="D419" s="197" t="s">
        <v>7182</v>
      </c>
      <c r="E419" s="170" t="s">
        <v>7181</v>
      </c>
      <c r="F419" s="197" t="s">
        <v>521</v>
      </c>
      <c r="G419" s="197" t="s">
        <v>6962</v>
      </c>
      <c r="H419" s="197" t="s">
        <v>6856</v>
      </c>
      <c r="I419" s="197" t="s">
        <v>6851</v>
      </c>
    </row>
    <row r="420" spans="2:9" ht="31.5" x14ac:dyDescent="0.25">
      <c r="B420" s="170" t="s">
        <v>7323</v>
      </c>
      <c r="C420" s="988" t="s">
        <v>4876</v>
      </c>
      <c r="D420" s="197" t="s">
        <v>7182</v>
      </c>
      <c r="E420" s="170" t="s">
        <v>7181</v>
      </c>
      <c r="F420" s="197" t="s">
        <v>521</v>
      </c>
      <c r="G420" s="197" t="s">
        <v>6962</v>
      </c>
      <c r="H420" s="197" t="s">
        <v>6856</v>
      </c>
      <c r="I420" s="197" t="s">
        <v>6851</v>
      </c>
    </row>
    <row r="421" spans="2:9" ht="31.5" x14ac:dyDescent="0.25">
      <c r="B421" s="170" t="s">
        <v>7385</v>
      </c>
      <c r="C421" s="986" t="s">
        <v>4876</v>
      </c>
      <c r="D421" s="197" t="s">
        <v>7182</v>
      </c>
      <c r="E421" s="170" t="s">
        <v>7181</v>
      </c>
      <c r="F421" s="197" t="s">
        <v>521</v>
      </c>
      <c r="G421" s="197" t="s">
        <v>6962</v>
      </c>
      <c r="H421" s="197" t="s">
        <v>6856</v>
      </c>
      <c r="I421" s="197" t="s">
        <v>6851</v>
      </c>
    </row>
    <row r="422" spans="2:9" ht="31.5" x14ac:dyDescent="0.25">
      <c r="B422" s="170" t="s">
        <v>7382</v>
      </c>
      <c r="C422" s="988" t="s">
        <v>4876</v>
      </c>
      <c r="D422" s="197" t="s">
        <v>7182</v>
      </c>
      <c r="E422" s="170" t="s">
        <v>7181</v>
      </c>
      <c r="F422" s="197" t="s">
        <v>521</v>
      </c>
      <c r="G422" s="197" t="s">
        <v>6962</v>
      </c>
      <c r="H422" s="197" t="s">
        <v>6856</v>
      </c>
      <c r="I422" s="197" t="s">
        <v>6851</v>
      </c>
    </row>
    <row r="423" spans="2:9" ht="31.5" x14ac:dyDescent="0.25">
      <c r="B423" s="170" t="s">
        <v>7394</v>
      </c>
      <c r="C423" s="170" t="s">
        <v>4904</v>
      </c>
      <c r="D423" s="197" t="s">
        <v>7180</v>
      </c>
      <c r="E423" s="170" t="s">
        <v>7179</v>
      </c>
      <c r="F423" s="197" t="s">
        <v>6860</v>
      </c>
      <c r="G423" s="197" t="s">
        <v>6897</v>
      </c>
      <c r="H423" s="197" t="s">
        <v>6980</v>
      </c>
      <c r="I423" s="197" t="s">
        <v>6977</v>
      </c>
    </row>
    <row r="424" spans="2:9" ht="31.5" x14ac:dyDescent="0.25">
      <c r="B424" s="170" t="s">
        <v>7393</v>
      </c>
      <c r="C424" s="170" t="s">
        <v>4904</v>
      </c>
      <c r="D424" s="197" t="s">
        <v>7180</v>
      </c>
      <c r="E424" s="170" t="s">
        <v>7179</v>
      </c>
      <c r="F424" s="197" t="s">
        <v>6860</v>
      </c>
      <c r="G424" s="197" t="s">
        <v>6897</v>
      </c>
      <c r="H424" s="197" t="s">
        <v>6980</v>
      </c>
      <c r="I424" s="197" t="s">
        <v>6977</v>
      </c>
    </row>
    <row r="425" spans="2:9" ht="31.5" x14ac:dyDescent="0.25">
      <c r="B425" s="170" t="s">
        <v>7328</v>
      </c>
      <c r="C425" s="170" t="s">
        <v>4904</v>
      </c>
      <c r="D425" s="197" t="s">
        <v>7180</v>
      </c>
      <c r="E425" s="170" t="s">
        <v>7179</v>
      </c>
      <c r="F425" s="197" t="s">
        <v>6860</v>
      </c>
      <c r="G425" s="197" t="s">
        <v>6897</v>
      </c>
      <c r="H425" s="197" t="s">
        <v>6980</v>
      </c>
      <c r="I425" s="197" t="s">
        <v>6977</v>
      </c>
    </row>
    <row r="426" spans="2:9" ht="31.5" x14ac:dyDescent="0.25">
      <c r="B426" s="170" t="s">
        <v>7390</v>
      </c>
      <c r="C426" s="170" t="s">
        <v>4904</v>
      </c>
      <c r="D426" s="197" t="s">
        <v>7180</v>
      </c>
      <c r="E426" s="170" t="s">
        <v>7179</v>
      </c>
      <c r="F426" s="197" t="s">
        <v>6860</v>
      </c>
      <c r="G426" s="197" t="s">
        <v>6897</v>
      </c>
      <c r="H426" s="197" t="s">
        <v>6980</v>
      </c>
      <c r="I426" s="197" t="s">
        <v>6977</v>
      </c>
    </row>
    <row r="427" spans="2:9" ht="31.5" x14ac:dyDescent="0.25">
      <c r="B427" s="170" t="s">
        <v>7326</v>
      </c>
      <c r="C427" s="170" t="s">
        <v>4904</v>
      </c>
      <c r="D427" s="197" t="s">
        <v>7180</v>
      </c>
      <c r="E427" s="170" t="s">
        <v>7179</v>
      </c>
      <c r="F427" s="197" t="s">
        <v>6860</v>
      </c>
      <c r="G427" s="197" t="s">
        <v>6897</v>
      </c>
      <c r="H427" s="197" t="s">
        <v>6980</v>
      </c>
      <c r="I427" s="197" t="s">
        <v>6977</v>
      </c>
    </row>
    <row r="428" spans="2:9" ht="31.5" x14ac:dyDescent="0.25">
      <c r="B428" s="170" t="s">
        <v>7325</v>
      </c>
      <c r="C428" s="170" t="s">
        <v>4904</v>
      </c>
      <c r="D428" s="197" t="s">
        <v>7180</v>
      </c>
      <c r="E428" s="170" t="s">
        <v>7179</v>
      </c>
      <c r="F428" s="197" t="s">
        <v>6860</v>
      </c>
      <c r="G428" s="197" t="s">
        <v>6897</v>
      </c>
      <c r="H428" s="197" t="s">
        <v>6980</v>
      </c>
      <c r="I428" s="197" t="s">
        <v>6977</v>
      </c>
    </row>
    <row r="429" spans="2:9" ht="31.5" x14ac:dyDescent="0.25">
      <c r="B429" s="170" t="s">
        <v>7387</v>
      </c>
      <c r="C429" s="170" t="s">
        <v>4904</v>
      </c>
      <c r="D429" s="197" t="s">
        <v>7180</v>
      </c>
      <c r="E429" s="170" t="s">
        <v>7179</v>
      </c>
      <c r="F429" s="197" t="s">
        <v>6860</v>
      </c>
      <c r="G429" s="197" t="s">
        <v>6897</v>
      </c>
      <c r="H429" s="197" t="s">
        <v>6980</v>
      </c>
      <c r="I429" s="197" t="s">
        <v>6977</v>
      </c>
    </row>
    <row r="430" spans="2:9" ht="31.5" x14ac:dyDescent="0.25">
      <c r="B430" s="170" t="s">
        <v>7323</v>
      </c>
      <c r="C430" s="986" t="s">
        <v>4876</v>
      </c>
      <c r="D430" s="197" t="s">
        <v>7180</v>
      </c>
      <c r="E430" s="170" t="s">
        <v>7179</v>
      </c>
      <c r="F430" s="197" t="s">
        <v>6860</v>
      </c>
      <c r="G430" s="197" t="s">
        <v>6897</v>
      </c>
      <c r="H430" s="197" t="s">
        <v>6980</v>
      </c>
      <c r="I430" s="197" t="s">
        <v>6977</v>
      </c>
    </row>
    <row r="431" spans="2:9" ht="31.5" x14ac:dyDescent="0.25">
      <c r="B431" s="170" t="s">
        <v>7385</v>
      </c>
      <c r="C431" s="988" t="s">
        <v>4876</v>
      </c>
      <c r="D431" s="197" t="s">
        <v>7180</v>
      </c>
      <c r="E431" s="170" t="s">
        <v>7179</v>
      </c>
      <c r="F431" s="197" t="s">
        <v>6860</v>
      </c>
      <c r="G431" s="197" t="s">
        <v>6897</v>
      </c>
      <c r="H431" s="197" t="s">
        <v>6980</v>
      </c>
      <c r="I431" s="197" t="s">
        <v>6977</v>
      </c>
    </row>
    <row r="432" spans="2:9" ht="31.5" x14ac:dyDescent="0.25">
      <c r="B432" s="170" t="s">
        <v>7382</v>
      </c>
      <c r="C432" s="986" t="s">
        <v>4876</v>
      </c>
      <c r="D432" s="197" t="s">
        <v>7180</v>
      </c>
      <c r="E432" s="170" t="s">
        <v>7179</v>
      </c>
      <c r="F432" s="197" t="s">
        <v>6860</v>
      </c>
      <c r="G432" s="197" t="s">
        <v>6897</v>
      </c>
      <c r="H432" s="197" t="s">
        <v>6980</v>
      </c>
      <c r="I432" s="197" t="s">
        <v>6977</v>
      </c>
    </row>
    <row r="433" spans="2:9" ht="31.5" x14ac:dyDescent="0.25">
      <c r="B433" s="170" t="s">
        <v>7381</v>
      </c>
      <c r="C433" s="170" t="s">
        <v>4904</v>
      </c>
      <c r="D433" s="197" t="s">
        <v>7180</v>
      </c>
      <c r="E433" s="170" t="s">
        <v>7179</v>
      </c>
      <c r="F433" s="197" t="s">
        <v>6860</v>
      </c>
      <c r="G433" s="197" t="s">
        <v>6897</v>
      </c>
      <c r="H433" s="197" t="s">
        <v>6980</v>
      </c>
      <c r="I433" s="197" t="s">
        <v>6977</v>
      </c>
    </row>
    <row r="434" spans="2:9" ht="31.5" x14ac:dyDescent="0.25">
      <c r="B434" s="170" t="s">
        <v>7380</v>
      </c>
      <c r="C434" s="170" t="s">
        <v>4904</v>
      </c>
      <c r="D434" s="197" t="s">
        <v>7180</v>
      </c>
      <c r="E434" s="170" t="s">
        <v>7179</v>
      </c>
      <c r="F434" s="197" t="s">
        <v>6860</v>
      </c>
      <c r="G434" s="197" t="s">
        <v>6897</v>
      </c>
      <c r="H434" s="197" t="s">
        <v>6980</v>
      </c>
      <c r="I434" s="197" t="s">
        <v>6977</v>
      </c>
    </row>
    <row r="435" spans="2:9" ht="31.5" x14ac:dyDescent="0.25">
      <c r="B435" s="170" t="s">
        <v>7326</v>
      </c>
      <c r="C435" s="988" t="s">
        <v>4876</v>
      </c>
      <c r="D435" s="197" t="s">
        <v>7178</v>
      </c>
      <c r="E435" s="170" t="s">
        <v>7177</v>
      </c>
      <c r="F435" s="197" t="s">
        <v>7168</v>
      </c>
      <c r="G435" s="197" t="s">
        <v>7167</v>
      </c>
      <c r="H435" s="197" t="s">
        <v>6856</v>
      </c>
      <c r="I435" s="197" t="s">
        <v>6851</v>
      </c>
    </row>
    <row r="436" spans="2:9" ht="31.5" x14ac:dyDescent="0.25">
      <c r="B436" s="170" t="s">
        <v>7325</v>
      </c>
      <c r="C436" s="986" t="s">
        <v>4876</v>
      </c>
      <c r="D436" s="197" t="s">
        <v>7178</v>
      </c>
      <c r="E436" s="170" t="s">
        <v>7177</v>
      </c>
      <c r="F436" s="197" t="s">
        <v>7168</v>
      </c>
      <c r="G436" s="197" t="s">
        <v>7167</v>
      </c>
      <c r="H436" s="197" t="s">
        <v>6856</v>
      </c>
      <c r="I436" s="197" t="s">
        <v>6851</v>
      </c>
    </row>
    <row r="437" spans="2:9" ht="31.5" x14ac:dyDescent="0.25">
      <c r="B437" s="170" t="s">
        <v>7325</v>
      </c>
      <c r="C437" s="988" t="s">
        <v>4876</v>
      </c>
      <c r="D437" s="197" t="s">
        <v>7176</v>
      </c>
      <c r="E437" s="170" t="s">
        <v>7175</v>
      </c>
      <c r="F437" s="197" t="s">
        <v>7168</v>
      </c>
      <c r="G437" s="197" t="s">
        <v>7167</v>
      </c>
      <c r="H437" s="197" t="s">
        <v>6856</v>
      </c>
      <c r="I437" s="197" t="s">
        <v>6851</v>
      </c>
    </row>
    <row r="438" spans="2:9" ht="31.5" x14ac:dyDescent="0.25">
      <c r="B438" s="170" t="s">
        <v>7387</v>
      </c>
      <c r="C438" s="986" t="s">
        <v>4876</v>
      </c>
      <c r="D438" s="197" t="s">
        <v>7176</v>
      </c>
      <c r="E438" s="170" t="s">
        <v>7175</v>
      </c>
      <c r="F438" s="197" t="s">
        <v>7168</v>
      </c>
      <c r="G438" s="197" t="s">
        <v>7167</v>
      </c>
      <c r="H438" s="197" t="s">
        <v>6856</v>
      </c>
      <c r="I438" s="197" t="s">
        <v>6851</v>
      </c>
    </row>
    <row r="439" spans="2:9" ht="31.5" x14ac:dyDescent="0.25">
      <c r="B439" s="170" t="s">
        <v>7323</v>
      </c>
      <c r="C439" s="988" t="s">
        <v>4876</v>
      </c>
      <c r="D439" s="197" t="s">
        <v>7176</v>
      </c>
      <c r="E439" s="170" t="s">
        <v>7175</v>
      </c>
      <c r="F439" s="197" t="s">
        <v>7168</v>
      </c>
      <c r="G439" s="197" t="s">
        <v>7167</v>
      </c>
      <c r="H439" s="197" t="s">
        <v>6856</v>
      </c>
      <c r="I439" s="197" t="s">
        <v>6851</v>
      </c>
    </row>
    <row r="440" spans="2:9" ht="31.5" x14ac:dyDescent="0.25">
      <c r="B440" s="170" t="s">
        <v>7385</v>
      </c>
      <c r="C440" s="986" t="s">
        <v>4876</v>
      </c>
      <c r="D440" s="197" t="s">
        <v>7176</v>
      </c>
      <c r="E440" s="170" t="s">
        <v>7175</v>
      </c>
      <c r="F440" s="197" t="s">
        <v>7168</v>
      </c>
      <c r="G440" s="197" t="s">
        <v>7167</v>
      </c>
      <c r="H440" s="197" t="s">
        <v>6856</v>
      </c>
      <c r="I440" s="197" t="s">
        <v>6851</v>
      </c>
    </row>
    <row r="441" spans="2:9" ht="31.5" x14ac:dyDescent="0.25">
      <c r="B441" s="170" t="s">
        <v>7382</v>
      </c>
      <c r="C441" s="988" t="s">
        <v>4876</v>
      </c>
      <c r="D441" s="197" t="s">
        <v>7176</v>
      </c>
      <c r="E441" s="170" t="s">
        <v>7175</v>
      </c>
      <c r="F441" s="197" t="s">
        <v>7168</v>
      </c>
      <c r="G441" s="197" t="s">
        <v>7167</v>
      </c>
      <c r="H441" s="197" t="s">
        <v>6856</v>
      </c>
      <c r="I441" s="197" t="s">
        <v>6851</v>
      </c>
    </row>
    <row r="442" spans="2:9" ht="31.5" x14ac:dyDescent="0.25">
      <c r="B442" s="170" t="s">
        <v>7325</v>
      </c>
      <c r="C442" s="986" t="s">
        <v>4876</v>
      </c>
      <c r="D442" s="197" t="s">
        <v>7174</v>
      </c>
      <c r="E442" s="170" t="s">
        <v>7173</v>
      </c>
      <c r="F442" s="197" t="s">
        <v>7168</v>
      </c>
      <c r="G442" s="197" t="s">
        <v>6902</v>
      </c>
      <c r="H442" s="197" t="s">
        <v>6856</v>
      </c>
      <c r="I442" s="197" t="s">
        <v>6851</v>
      </c>
    </row>
    <row r="443" spans="2:9" ht="31.5" x14ac:dyDescent="0.25">
      <c r="B443" s="170" t="s">
        <v>7387</v>
      </c>
      <c r="C443" s="988" t="s">
        <v>4876</v>
      </c>
      <c r="D443" s="197" t="s">
        <v>7174</v>
      </c>
      <c r="E443" s="170" t="s">
        <v>7173</v>
      </c>
      <c r="F443" s="197" t="s">
        <v>7168</v>
      </c>
      <c r="G443" s="197" t="s">
        <v>6902</v>
      </c>
      <c r="H443" s="197" t="s">
        <v>6856</v>
      </c>
      <c r="I443" s="197" t="s">
        <v>6851</v>
      </c>
    </row>
    <row r="444" spans="2:9" ht="31.5" x14ac:dyDescent="0.25">
      <c r="B444" s="170" t="s">
        <v>7323</v>
      </c>
      <c r="C444" s="986" t="s">
        <v>4876</v>
      </c>
      <c r="D444" s="197" t="s">
        <v>7174</v>
      </c>
      <c r="E444" s="170" t="s">
        <v>7173</v>
      </c>
      <c r="F444" s="197" t="s">
        <v>7168</v>
      </c>
      <c r="G444" s="197" t="s">
        <v>6902</v>
      </c>
      <c r="H444" s="197" t="s">
        <v>6856</v>
      </c>
      <c r="I444" s="197" t="s">
        <v>6851</v>
      </c>
    </row>
    <row r="445" spans="2:9" ht="31.5" x14ac:dyDescent="0.25">
      <c r="B445" s="170" t="s">
        <v>7385</v>
      </c>
      <c r="C445" s="988" t="s">
        <v>4876</v>
      </c>
      <c r="D445" s="197" t="s">
        <v>7174</v>
      </c>
      <c r="E445" s="170" t="s">
        <v>7173</v>
      </c>
      <c r="F445" s="197" t="s">
        <v>7168</v>
      </c>
      <c r="G445" s="197" t="s">
        <v>6902</v>
      </c>
      <c r="H445" s="197" t="s">
        <v>6856</v>
      </c>
      <c r="I445" s="197" t="s">
        <v>6851</v>
      </c>
    </row>
    <row r="446" spans="2:9" ht="31.5" x14ac:dyDescent="0.25">
      <c r="B446" s="170" t="s">
        <v>7325</v>
      </c>
      <c r="C446" s="986" t="s">
        <v>4876</v>
      </c>
      <c r="D446" s="197" t="s">
        <v>7172</v>
      </c>
      <c r="E446" s="170" t="s">
        <v>7171</v>
      </c>
      <c r="F446" s="197" t="s">
        <v>7168</v>
      </c>
      <c r="G446" s="197" t="s">
        <v>6902</v>
      </c>
      <c r="H446" s="197" t="s">
        <v>6856</v>
      </c>
      <c r="I446" s="197" t="s">
        <v>6851</v>
      </c>
    </row>
    <row r="447" spans="2:9" ht="31.5" x14ac:dyDescent="0.25">
      <c r="B447" s="170" t="s">
        <v>7387</v>
      </c>
      <c r="C447" s="988" t="s">
        <v>4876</v>
      </c>
      <c r="D447" s="197" t="s">
        <v>7172</v>
      </c>
      <c r="E447" s="170" t="s">
        <v>7171</v>
      </c>
      <c r="F447" s="197" t="s">
        <v>7168</v>
      </c>
      <c r="G447" s="197" t="s">
        <v>6902</v>
      </c>
      <c r="H447" s="197" t="s">
        <v>6856</v>
      </c>
      <c r="I447" s="197" t="s">
        <v>6851</v>
      </c>
    </row>
    <row r="448" spans="2:9" ht="31.5" x14ac:dyDescent="0.25">
      <c r="B448" s="170" t="s">
        <v>7323</v>
      </c>
      <c r="C448" s="986" t="s">
        <v>4876</v>
      </c>
      <c r="D448" s="197" t="s">
        <v>7172</v>
      </c>
      <c r="E448" s="170" t="s">
        <v>7171</v>
      </c>
      <c r="F448" s="197" t="s">
        <v>7168</v>
      </c>
      <c r="G448" s="197" t="s">
        <v>6902</v>
      </c>
      <c r="H448" s="197" t="s">
        <v>6856</v>
      </c>
      <c r="I448" s="197" t="s">
        <v>6851</v>
      </c>
    </row>
    <row r="449" spans="2:9" ht="31.5" x14ac:dyDescent="0.25">
      <c r="B449" s="170" t="s">
        <v>7385</v>
      </c>
      <c r="C449" s="988" t="s">
        <v>4876</v>
      </c>
      <c r="D449" s="197" t="s">
        <v>7172</v>
      </c>
      <c r="E449" s="170" t="s">
        <v>7171</v>
      </c>
      <c r="F449" s="197" t="s">
        <v>7168</v>
      </c>
      <c r="G449" s="197" t="s">
        <v>6902</v>
      </c>
      <c r="H449" s="197" t="s">
        <v>6856</v>
      </c>
      <c r="I449" s="197" t="s">
        <v>6851</v>
      </c>
    </row>
    <row r="450" spans="2:9" ht="31.5" x14ac:dyDescent="0.25">
      <c r="B450" s="170" t="s">
        <v>7326</v>
      </c>
      <c r="C450" s="986" t="s">
        <v>4876</v>
      </c>
      <c r="D450" s="197" t="s">
        <v>7170</v>
      </c>
      <c r="E450" s="170" t="s">
        <v>7169</v>
      </c>
      <c r="F450" s="197" t="s">
        <v>7168</v>
      </c>
      <c r="G450" s="197" t="s">
        <v>7167</v>
      </c>
      <c r="H450" s="197" t="s">
        <v>6856</v>
      </c>
      <c r="I450" s="197" t="s">
        <v>6851</v>
      </c>
    </row>
    <row r="451" spans="2:9" ht="31.5" x14ac:dyDescent="0.25">
      <c r="B451" s="170" t="s">
        <v>7325</v>
      </c>
      <c r="C451" s="988" t="s">
        <v>4876</v>
      </c>
      <c r="D451" s="197" t="s">
        <v>7170</v>
      </c>
      <c r="E451" s="170" t="s">
        <v>7169</v>
      </c>
      <c r="F451" s="197" t="s">
        <v>7168</v>
      </c>
      <c r="G451" s="197" t="s">
        <v>7167</v>
      </c>
      <c r="H451" s="197" t="s">
        <v>6856</v>
      </c>
      <c r="I451" s="197" t="s">
        <v>6851</v>
      </c>
    </row>
    <row r="452" spans="2:9" ht="31.5" x14ac:dyDescent="0.25">
      <c r="B452" s="170" t="s">
        <v>7390</v>
      </c>
      <c r="C452" s="986" t="s">
        <v>4876</v>
      </c>
      <c r="D452" s="197" t="s">
        <v>7164</v>
      </c>
      <c r="E452" s="170" t="s">
        <v>7163</v>
      </c>
      <c r="F452" s="197" t="s">
        <v>521</v>
      </c>
      <c r="G452" s="197" t="s">
        <v>6962</v>
      </c>
      <c r="H452" s="197" t="s">
        <v>6856</v>
      </c>
      <c r="I452" s="197" t="s">
        <v>6851</v>
      </c>
    </row>
    <row r="453" spans="2:9" ht="31.5" x14ac:dyDescent="0.25">
      <c r="B453" s="170" t="s">
        <v>7326</v>
      </c>
      <c r="C453" s="988" t="s">
        <v>4876</v>
      </c>
      <c r="D453" s="197" t="s">
        <v>7164</v>
      </c>
      <c r="E453" s="170" t="s">
        <v>7163</v>
      </c>
      <c r="F453" s="197" t="s">
        <v>521</v>
      </c>
      <c r="G453" s="197" t="s">
        <v>6962</v>
      </c>
      <c r="H453" s="197" t="s">
        <v>6856</v>
      </c>
      <c r="I453" s="197" t="s">
        <v>6851</v>
      </c>
    </row>
    <row r="454" spans="2:9" ht="31.5" x14ac:dyDescent="0.25">
      <c r="B454" s="170" t="s">
        <v>7325</v>
      </c>
      <c r="C454" s="986" t="s">
        <v>4876</v>
      </c>
      <c r="D454" s="197" t="s">
        <v>7164</v>
      </c>
      <c r="E454" s="170" t="s">
        <v>7163</v>
      </c>
      <c r="F454" s="197" t="s">
        <v>521</v>
      </c>
      <c r="G454" s="197" t="s">
        <v>6962</v>
      </c>
      <c r="H454" s="197" t="s">
        <v>6856</v>
      </c>
      <c r="I454" s="197" t="s">
        <v>6851</v>
      </c>
    </row>
    <row r="455" spans="2:9" ht="31.5" x14ac:dyDescent="0.25">
      <c r="B455" s="170" t="s">
        <v>7387</v>
      </c>
      <c r="C455" s="988" t="s">
        <v>4876</v>
      </c>
      <c r="D455" s="197" t="s">
        <v>7164</v>
      </c>
      <c r="E455" s="170" t="s">
        <v>7163</v>
      </c>
      <c r="F455" s="197" t="s">
        <v>521</v>
      </c>
      <c r="G455" s="197" t="s">
        <v>6962</v>
      </c>
      <c r="H455" s="197" t="s">
        <v>6856</v>
      </c>
      <c r="I455" s="197" t="s">
        <v>6851</v>
      </c>
    </row>
    <row r="456" spans="2:9" ht="31.5" x14ac:dyDescent="0.25">
      <c r="B456" s="170" t="s">
        <v>7325</v>
      </c>
      <c r="C456" s="986" t="s">
        <v>4876</v>
      </c>
      <c r="D456" s="197" t="s">
        <v>7162</v>
      </c>
      <c r="E456" s="170" t="s">
        <v>7161</v>
      </c>
      <c r="F456" s="197" t="s">
        <v>521</v>
      </c>
      <c r="G456" s="197" t="s">
        <v>6962</v>
      </c>
      <c r="H456" s="197" t="s">
        <v>6856</v>
      </c>
      <c r="I456" s="197" t="s">
        <v>6851</v>
      </c>
    </row>
    <row r="457" spans="2:9" ht="31.5" x14ac:dyDescent="0.25">
      <c r="B457" s="170" t="s">
        <v>7387</v>
      </c>
      <c r="C457" s="988" t="s">
        <v>4876</v>
      </c>
      <c r="D457" s="197" t="s">
        <v>7162</v>
      </c>
      <c r="E457" s="170" t="s">
        <v>7161</v>
      </c>
      <c r="F457" s="197" t="s">
        <v>521</v>
      </c>
      <c r="G457" s="197" t="s">
        <v>6962</v>
      </c>
      <c r="H457" s="197" t="s">
        <v>6856</v>
      </c>
      <c r="I457" s="197" t="s">
        <v>6851</v>
      </c>
    </row>
    <row r="458" spans="2:9" ht="31.5" x14ac:dyDescent="0.25">
      <c r="B458" s="170" t="s">
        <v>7323</v>
      </c>
      <c r="C458" s="986" t="s">
        <v>4876</v>
      </c>
      <c r="D458" s="197" t="s">
        <v>7162</v>
      </c>
      <c r="E458" s="170" t="s">
        <v>7161</v>
      </c>
      <c r="F458" s="197" t="s">
        <v>521</v>
      </c>
      <c r="G458" s="197" t="s">
        <v>6962</v>
      </c>
      <c r="H458" s="197" t="s">
        <v>6856</v>
      </c>
      <c r="I458" s="197" t="s">
        <v>6851</v>
      </c>
    </row>
    <row r="459" spans="2:9" ht="31.5" x14ac:dyDescent="0.25">
      <c r="B459" s="170" t="s">
        <v>7385</v>
      </c>
      <c r="C459" s="988" t="s">
        <v>4876</v>
      </c>
      <c r="D459" s="197" t="s">
        <v>7162</v>
      </c>
      <c r="E459" s="170" t="s">
        <v>7161</v>
      </c>
      <c r="F459" s="197" t="s">
        <v>521</v>
      </c>
      <c r="G459" s="197" t="s">
        <v>6962</v>
      </c>
      <c r="H459" s="197" t="s">
        <v>6856</v>
      </c>
      <c r="I459" s="197" t="s">
        <v>6851</v>
      </c>
    </row>
    <row r="460" spans="2:9" ht="31.5" x14ac:dyDescent="0.25">
      <c r="B460" s="170" t="s">
        <v>7382</v>
      </c>
      <c r="C460" s="986" t="s">
        <v>4876</v>
      </c>
      <c r="D460" s="197" t="s">
        <v>7162</v>
      </c>
      <c r="E460" s="170" t="s">
        <v>7161</v>
      </c>
      <c r="F460" s="197" t="s">
        <v>521</v>
      </c>
      <c r="G460" s="197" t="s">
        <v>6962</v>
      </c>
      <c r="H460" s="197" t="s">
        <v>6856</v>
      </c>
      <c r="I460" s="197" t="s">
        <v>6851</v>
      </c>
    </row>
    <row r="461" spans="2:9" ht="31.5" x14ac:dyDescent="0.25">
      <c r="B461" s="170" t="s">
        <v>7394</v>
      </c>
      <c r="C461" s="170" t="s">
        <v>7100</v>
      </c>
      <c r="D461" s="197" t="s">
        <v>7160</v>
      </c>
      <c r="E461" s="170" t="s">
        <v>7159</v>
      </c>
      <c r="F461" s="197" t="s">
        <v>7104</v>
      </c>
      <c r="G461" s="197" t="s">
        <v>6902</v>
      </c>
      <c r="H461" s="197" t="s">
        <v>7103</v>
      </c>
      <c r="I461" s="197" t="s">
        <v>7101</v>
      </c>
    </row>
    <row r="462" spans="2:9" ht="31.5" x14ac:dyDescent="0.25">
      <c r="B462" s="170" t="s">
        <v>7393</v>
      </c>
      <c r="C462" s="170" t="s">
        <v>7100</v>
      </c>
      <c r="D462" s="197" t="s">
        <v>7160</v>
      </c>
      <c r="E462" s="170" t="s">
        <v>7159</v>
      </c>
      <c r="F462" s="197" t="s">
        <v>7104</v>
      </c>
      <c r="G462" s="197" t="s">
        <v>6902</v>
      </c>
      <c r="H462" s="197" t="s">
        <v>7103</v>
      </c>
      <c r="I462" s="197" t="s">
        <v>7101</v>
      </c>
    </row>
    <row r="463" spans="2:9" ht="31.5" x14ac:dyDescent="0.25">
      <c r="B463" s="170" t="s">
        <v>7328</v>
      </c>
      <c r="C463" s="170" t="s">
        <v>7100</v>
      </c>
      <c r="D463" s="197" t="s">
        <v>7160</v>
      </c>
      <c r="E463" s="170" t="s">
        <v>7159</v>
      </c>
      <c r="F463" s="197" t="s">
        <v>7104</v>
      </c>
      <c r="G463" s="197" t="s">
        <v>6902</v>
      </c>
      <c r="H463" s="197" t="s">
        <v>7103</v>
      </c>
      <c r="I463" s="197" t="s">
        <v>7101</v>
      </c>
    </row>
    <row r="464" spans="2:9" ht="31.5" x14ac:dyDescent="0.25">
      <c r="B464" s="170" t="s">
        <v>7390</v>
      </c>
      <c r="C464" s="170" t="s">
        <v>7100</v>
      </c>
      <c r="D464" s="197" t="s">
        <v>7160</v>
      </c>
      <c r="E464" s="170" t="s">
        <v>7159</v>
      </c>
      <c r="F464" s="197" t="s">
        <v>7104</v>
      </c>
      <c r="G464" s="197" t="s">
        <v>6902</v>
      </c>
      <c r="H464" s="197" t="s">
        <v>7103</v>
      </c>
      <c r="I464" s="197" t="s">
        <v>7101</v>
      </c>
    </row>
    <row r="465" spans="2:9" ht="31.5" x14ac:dyDescent="0.25">
      <c r="B465" s="170" t="s">
        <v>7326</v>
      </c>
      <c r="C465" s="170" t="s">
        <v>7100</v>
      </c>
      <c r="D465" s="197" t="s">
        <v>7160</v>
      </c>
      <c r="E465" s="170" t="s">
        <v>7159</v>
      </c>
      <c r="F465" s="197" t="s">
        <v>7104</v>
      </c>
      <c r="G465" s="197" t="s">
        <v>6902</v>
      </c>
      <c r="H465" s="197" t="s">
        <v>7103</v>
      </c>
      <c r="I465" s="197" t="s">
        <v>7101</v>
      </c>
    </row>
    <row r="466" spans="2:9" ht="31.5" x14ac:dyDescent="0.25">
      <c r="B466" s="170" t="s">
        <v>7325</v>
      </c>
      <c r="C466" s="170" t="s">
        <v>7100</v>
      </c>
      <c r="D466" s="197" t="s">
        <v>7160</v>
      </c>
      <c r="E466" s="170" t="s">
        <v>7159</v>
      </c>
      <c r="F466" s="197" t="s">
        <v>7104</v>
      </c>
      <c r="G466" s="197" t="s">
        <v>6902</v>
      </c>
      <c r="H466" s="197" t="s">
        <v>7103</v>
      </c>
      <c r="I466" s="197" t="s">
        <v>7101</v>
      </c>
    </row>
    <row r="467" spans="2:9" ht="31.5" x14ac:dyDescent="0.25">
      <c r="B467" s="170" t="s">
        <v>7387</v>
      </c>
      <c r="C467" s="170" t="s">
        <v>7100</v>
      </c>
      <c r="D467" s="197" t="s">
        <v>7160</v>
      </c>
      <c r="E467" s="170" t="s">
        <v>7159</v>
      </c>
      <c r="F467" s="197" t="s">
        <v>7104</v>
      </c>
      <c r="G467" s="197" t="s">
        <v>6902</v>
      </c>
      <c r="H467" s="197" t="s">
        <v>7103</v>
      </c>
      <c r="I467" s="197" t="s">
        <v>7101</v>
      </c>
    </row>
    <row r="468" spans="2:9" ht="31.5" x14ac:dyDescent="0.25">
      <c r="B468" s="170" t="s">
        <v>7323</v>
      </c>
      <c r="C468" s="170" t="s">
        <v>7100</v>
      </c>
      <c r="D468" s="197" t="s">
        <v>7160</v>
      </c>
      <c r="E468" s="170" t="s">
        <v>7159</v>
      </c>
      <c r="F468" s="197" t="s">
        <v>7104</v>
      </c>
      <c r="G468" s="197" t="s">
        <v>6902</v>
      </c>
      <c r="H468" s="197" t="s">
        <v>7103</v>
      </c>
      <c r="I468" s="197" t="s">
        <v>7101</v>
      </c>
    </row>
    <row r="469" spans="2:9" ht="31.5" x14ac:dyDescent="0.25">
      <c r="B469" s="170" t="s">
        <v>7385</v>
      </c>
      <c r="C469" s="170" t="s">
        <v>7100</v>
      </c>
      <c r="D469" s="197" t="s">
        <v>7160</v>
      </c>
      <c r="E469" s="170" t="s">
        <v>7159</v>
      </c>
      <c r="F469" s="197" t="s">
        <v>7104</v>
      </c>
      <c r="G469" s="197" t="s">
        <v>6902</v>
      </c>
      <c r="H469" s="197" t="s">
        <v>7103</v>
      </c>
      <c r="I469" s="197" t="s">
        <v>7101</v>
      </c>
    </row>
    <row r="470" spans="2:9" ht="31.5" x14ac:dyDescent="0.25">
      <c r="B470" s="170" t="s">
        <v>7382</v>
      </c>
      <c r="C470" s="170" t="s">
        <v>7100</v>
      </c>
      <c r="D470" s="197" t="s">
        <v>7160</v>
      </c>
      <c r="E470" s="170" t="s">
        <v>7159</v>
      </c>
      <c r="F470" s="197" t="s">
        <v>7104</v>
      </c>
      <c r="G470" s="197" t="s">
        <v>6902</v>
      </c>
      <c r="H470" s="197" t="s">
        <v>7103</v>
      </c>
      <c r="I470" s="197" t="s">
        <v>7101</v>
      </c>
    </row>
    <row r="471" spans="2:9" ht="31.5" x14ac:dyDescent="0.25">
      <c r="B471" s="170" t="s">
        <v>7381</v>
      </c>
      <c r="C471" s="170" t="s">
        <v>7100</v>
      </c>
      <c r="D471" s="197" t="s">
        <v>7160</v>
      </c>
      <c r="E471" s="170" t="s">
        <v>7159</v>
      </c>
      <c r="F471" s="197" t="s">
        <v>7104</v>
      </c>
      <c r="G471" s="197" t="s">
        <v>6902</v>
      </c>
      <c r="H471" s="197" t="s">
        <v>7103</v>
      </c>
      <c r="I471" s="197" t="s">
        <v>7101</v>
      </c>
    </row>
    <row r="472" spans="2:9" ht="31.5" x14ac:dyDescent="0.25">
      <c r="B472" s="170" t="s">
        <v>7380</v>
      </c>
      <c r="C472" s="170" t="s">
        <v>7100</v>
      </c>
      <c r="D472" s="197" t="s">
        <v>7160</v>
      </c>
      <c r="E472" s="170" t="s">
        <v>7159</v>
      </c>
      <c r="F472" s="197" t="s">
        <v>7104</v>
      </c>
      <c r="G472" s="197" t="s">
        <v>6902</v>
      </c>
      <c r="H472" s="197" t="s">
        <v>7103</v>
      </c>
      <c r="I472" s="197" t="s">
        <v>7101</v>
      </c>
    </row>
    <row r="473" spans="2:9" ht="31.5" x14ac:dyDescent="0.25">
      <c r="B473" s="170" t="s">
        <v>7325</v>
      </c>
      <c r="C473" s="988" t="s">
        <v>4876</v>
      </c>
      <c r="D473" s="197" t="s">
        <v>7158</v>
      </c>
      <c r="E473" s="170" t="s">
        <v>7157</v>
      </c>
      <c r="F473" s="197" t="s">
        <v>7156</v>
      </c>
      <c r="G473" s="197" t="s">
        <v>6902</v>
      </c>
      <c r="H473" s="197" t="s">
        <v>6856</v>
      </c>
      <c r="I473" s="197" t="s">
        <v>6851</v>
      </c>
    </row>
    <row r="474" spans="2:9" ht="31.5" x14ac:dyDescent="0.25">
      <c r="B474" s="170" t="s">
        <v>7387</v>
      </c>
      <c r="C474" s="986" t="s">
        <v>4876</v>
      </c>
      <c r="D474" s="197" t="s">
        <v>7158</v>
      </c>
      <c r="E474" s="170" t="s">
        <v>7157</v>
      </c>
      <c r="F474" s="197" t="s">
        <v>7156</v>
      </c>
      <c r="G474" s="197" t="s">
        <v>6902</v>
      </c>
      <c r="H474" s="197" t="s">
        <v>6856</v>
      </c>
      <c r="I474" s="197" t="s">
        <v>6851</v>
      </c>
    </row>
    <row r="475" spans="2:9" ht="31.5" x14ac:dyDescent="0.25">
      <c r="B475" s="170" t="s">
        <v>7323</v>
      </c>
      <c r="C475" s="988" t="s">
        <v>4876</v>
      </c>
      <c r="D475" s="197" t="s">
        <v>7158</v>
      </c>
      <c r="E475" s="170" t="s">
        <v>7157</v>
      </c>
      <c r="F475" s="197" t="s">
        <v>7156</v>
      </c>
      <c r="G475" s="197" t="s">
        <v>6902</v>
      </c>
      <c r="H475" s="197" t="s">
        <v>6856</v>
      </c>
      <c r="I475" s="197" t="s">
        <v>6851</v>
      </c>
    </row>
    <row r="476" spans="2:9" ht="31.5" x14ac:dyDescent="0.25">
      <c r="B476" s="170" t="s">
        <v>7385</v>
      </c>
      <c r="C476" s="986" t="s">
        <v>4876</v>
      </c>
      <c r="D476" s="197" t="s">
        <v>7158</v>
      </c>
      <c r="E476" s="170" t="s">
        <v>7157</v>
      </c>
      <c r="F476" s="197" t="s">
        <v>7156</v>
      </c>
      <c r="G476" s="197" t="s">
        <v>6902</v>
      </c>
      <c r="H476" s="197" t="s">
        <v>6856</v>
      </c>
      <c r="I476" s="197" t="s">
        <v>6851</v>
      </c>
    </row>
    <row r="477" spans="2:9" ht="31.5" x14ac:dyDescent="0.25">
      <c r="B477" s="170" t="s">
        <v>7382</v>
      </c>
      <c r="C477" s="988" t="s">
        <v>4876</v>
      </c>
      <c r="D477" s="197" t="s">
        <v>7158</v>
      </c>
      <c r="E477" s="170" t="s">
        <v>7157</v>
      </c>
      <c r="F477" s="197" t="s">
        <v>7156</v>
      </c>
      <c r="G477" s="197" t="s">
        <v>6902</v>
      </c>
      <c r="H477" s="197" t="s">
        <v>6856</v>
      </c>
      <c r="I477" s="197" t="s">
        <v>6851</v>
      </c>
    </row>
    <row r="478" spans="2:9" ht="31.5" x14ac:dyDescent="0.25">
      <c r="B478" s="170" t="s">
        <v>7381</v>
      </c>
      <c r="C478" s="986" t="s">
        <v>4876</v>
      </c>
      <c r="D478" s="197" t="s">
        <v>7158</v>
      </c>
      <c r="E478" s="170" t="s">
        <v>7157</v>
      </c>
      <c r="F478" s="197" t="s">
        <v>7156</v>
      </c>
      <c r="G478" s="197" t="s">
        <v>6902</v>
      </c>
      <c r="H478" s="197" t="s">
        <v>6856</v>
      </c>
      <c r="I478" s="197" t="s">
        <v>6851</v>
      </c>
    </row>
    <row r="479" spans="2:9" ht="31.5" x14ac:dyDescent="0.25">
      <c r="B479" s="170" t="s">
        <v>7394</v>
      </c>
      <c r="C479" s="170" t="s">
        <v>7100</v>
      </c>
      <c r="D479" s="197" t="s">
        <v>7153</v>
      </c>
      <c r="E479" s="170" t="s">
        <v>7152</v>
      </c>
      <c r="F479" s="197" t="s">
        <v>7104</v>
      </c>
      <c r="G479" s="197" t="s">
        <v>6902</v>
      </c>
      <c r="H479" s="197" t="s">
        <v>7103</v>
      </c>
      <c r="I479" s="197" t="s">
        <v>7101</v>
      </c>
    </row>
    <row r="480" spans="2:9" ht="31.5" x14ac:dyDescent="0.25">
      <c r="B480" s="170" t="s">
        <v>7393</v>
      </c>
      <c r="C480" s="170" t="s">
        <v>7100</v>
      </c>
      <c r="D480" s="197" t="s">
        <v>7153</v>
      </c>
      <c r="E480" s="170" t="s">
        <v>7152</v>
      </c>
      <c r="F480" s="197" t="s">
        <v>7104</v>
      </c>
      <c r="G480" s="197" t="s">
        <v>6902</v>
      </c>
      <c r="H480" s="197" t="s">
        <v>7103</v>
      </c>
      <c r="I480" s="197" t="s">
        <v>7101</v>
      </c>
    </row>
    <row r="481" spans="2:9" ht="31.5" x14ac:dyDescent="0.25">
      <c r="B481" s="170" t="s">
        <v>7328</v>
      </c>
      <c r="C481" s="170" t="s">
        <v>7100</v>
      </c>
      <c r="D481" s="197" t="s">
        <v>7153</v>
      </c>
      <c r="E481" s="170" t="s">
        <v>7152</v>
      </c>
      <c r="F481" s="197" t="s">
        <v>7104</v>
      </c>
      <c r="G481" s="197" t="s">
        <v>6902</v>
      </c>
      <c r="H481" s="197" t="s">
        <v>7103</v>
      </c>
      <c r="I481" s="197" t="s">
        <v>7101</v>
      </c>
    </row>
    <row r="482" spans="2:9" ht="31.5" x14ac:dyDescent="0.25">
      <c r="B482" s="170" t="s">
        <v>7390</v>
      </c>
      <c r="C482" s="170" t="s">
        <v>7100</v>
      </c>
      <c r="D482" s="197" t="s">
        <v>7153</v>
      </c>
      <c r="E482" s="170" t="s">
        <v>7152</v>
      </c>
      <c r="F482" s="197" t="s">
        <v>7104</v>
      </c>
      <c r="G482" s="197" t="s">
        <v>6902</v>
      </c>
      <c r="H482" s="197" t="s">
        <v>7103</v>
      </c>
      <c r="I482" s="197" t="s">
        <v>7101</v>
      </c>
    </row>
    <row r="483" spans="2:9" ht="31.5" x14ac:dyDescent="0.25">
      <c r="B483" s="170" t="s">
        <v>7326</v>
      </c>
      <c r="C483" s="170" t="s">
        <v>7100</v>
      </c>
      <c r="D483" s="197" t="s">
        <v>7153</v>
      </c>
      <c r="E483" s="170" t="s">
        <v>7152</v>
      </c>
      <c r="F483" s="197" t="s">
        <v>7104</v>
      </c>
      <c r="G483" s="197" t="s">
        <v>6902</v>
      </c>
      <c r="H483" s="197" t="s">
        <v>7103</v>
      </c>
      <c r="I483" s="197" t="s">
        <v>7101</v>
      </c>
    </row>
    <row r="484" spans="2:9" ht="31.5" x14ac:dyDescent="0.25">
      <c r="B484" s="170" t="s">
        <v>7325</v>
      </c>
      <c r="C484" s="170" t="s">
        <v>7100</v>
      </c>
      <c r="D484" s="197" t="s">
        <v>7153</v>
      </c>
      <c r="E484" s="170" t="s">
        <v>7152</v>
      </c>
      <c r="F484" s="197" t="s">
        <v>7104</v>
      </c>
      <c r="G484" s="197" t="s">
        <v>6902</v>
      </c>
      <c r="H484" s="197" t="s">
        <v>7103</v>
      </c>
      <c r="I484" s="197" t="s">
        <v>7101</v>
      </c>
    </row>
    <row r="485" spans="2:9" ht="31.5" x14ac:dyDescent="0.25">
      <c r="B485" s="170" t="s">
        <v>7387</v>
      </c>
      <c r="C485" s="170" t="s">
        <v>7100</v>
      </c>
      <c r="D485" s="197" t="s">
        <v>7153</v>
      </c>
      <c r="E485" s="170" t="s">
        <v>7152</v>
      </c>
      <c r="F485" s="197" t="s">
        <v>7104</v>
      </c>
      <c r="G485" s="197" t="s">
        <v>6902</v>
      </c>
      <c r="H485" s="197" t="s">
        <v>7103</v>
      </c>
      <c r="I485" s="197" t="s">
        <v>7101</v>
      </c>
    </row>
    <row r="486" spans="2:9" ht="31.5" x14ac:dyDescent="0.25">
      <c r="B486" s="170" t="s">
        <v>7323</v>
      </c>
      <c r="C486" s="170" t="s">
        <v>7100</v>
      </c>
      <c r="D486" s="197" t="s">
        <v>7153</v>
      </c>
      <c r="E486" s="170" t="s">
        <v>7152</v>
      </c>
      <c r="F486" s="197" t="s">
        <v>7104</v>
      </c>
      <c r="G486" s="197" t="s">
        <v>6902</v>
      </c>
      <c r="H486" s="197" t="s">
        <v>7103</v>
      </c>
      <c r="I486" s="197" t="s">
        <v>7101</v>
      </c>
    </row>
    <row r="487" spans="2:9" ht="31.5" x14ac:dyDescent="0.25">
      <c r="B487" s="170" t="s">
        <v>7385</v>
      </c>
      <c r="C487" s="170" t="s">
        <v>7100</v>
      </c>
      <c r="D487" s="197" t="s">
        <v>7153</v>
      </c>
      <c r="E487" s="170" t="s">
        <v>7152</v>
      </c>
      <c r="F487" s="197" t="s">
        <v>7104</v>
      </c>
      <c r="G487" s="197" t="s">
        <v>6902</v>
      </c>
      <c r="H487" s="197" t="s">
        <v>7103</v>
      </c>
      <c r="I487" s="197" t="s">
        <v>7101</v>
      </c>
    </row>
    <row r="488" spans="2:9" ht="31.5" x14ac:dyDescent="0.25">
      <c r="B488" s="170" t="s">
        <v>7382</v>
      </c>
      <c r="C488" s="170" t="s">
        <v>7100</v>
      </c>
      <c r="D488" s="197" t="s">
        <v>7153</v>
      </c>
      <c r="E488" s="170" t="s">
        <v>7152</v>
      </c>
      <c r="F488" s="197" t="s">
        <v>7104</v>
      </c>
      <c r="G488" s="197" t="s">
        <v>6902</v>
      </c>
      <c r="H488" s="197" t="s">
        <v>7103</v>
      </c>
      <c r="I488" s="197" t="s">
        <v>7101</v>
      </c>
    </row>
    <row r="489" spans="2:9" ht="31.5" x14ac:dyDescent="0.25">
      <c r="B489" s="170" t="s">
        <v>7381</v>
      </c>
      <c r="C489" s="170" t="s">
        <v>7100</v>
      </c>
      <c r="D489" s="197" t="s">
        <v>7153</v>
      </c>
      <c r="E489" s="170" t="s">
        <v>7152</v>
      </c>
      <c r="F489" s="197" t="s">
        <v>7104</v>
      </c>
      <c r="G489" s="197" t="s">
        <v>6902</v>
      </c>
      <c r="H489" s="197" t="s">
        <v>7103</v>
      </c>
      <c r="I489" s="197" t="s">
        <v>7101</v>
      </c>
    </row>
    <row r="490" spans="2:9" ht="31.5" x14ac:dyDescent="0.25">
      <c r="B490" s="170" t="s">
        <v>7380</v>
      </c>
      <c r="C490" s="170" t="s">
        <v>7100</v>
      </c>
      <c r="D490" s="197" t="s">
        <v>7153</v>
      </c>
      <c r="E490" s="170" t="s">
        <v>7152</v>
      </c>
      <c r="F490" s="197" t="s">
        <v>7104</v>
      </c>
      <c r="G490" s="197" t="s">
        <v>6902</v>
      </c>
      <c r="H490" s="197" t="s">
        <v>7103</v>
      </c>
      <c r="I490" s="197" t="s">
        <v>7101</v>
      </c>
    </row>
    <row r="491" spans="2:9" ht="31.5" x14ac:dyDescent="0.25">
      <c r="B491" s="170" t="s">
        <v>7325</v>
      </c>
      <c r="C491" s="988" t="s">
        <v>4876</v>
      </c>
      <c r="D491" s="197" t="s">
        <v>7151</v>
      </c>
      <c r="E491" s="170" t="s">
        <v>7150</v>
      </c>
      <c r="F491" s="197" t="s">
        <v>521</v>
      </c>
      <c r="G491" s="197" t="s">
        <v>6962</v>
      </c>
      <c r="H491" s="197" t="s">
        <v>6856</v>
      </c>
      <c r="I491" s="197" t="s">
        <v>6851</v>
      </c>
    </row>
    <row r="492" spans="2:9" ht="31.5" x14ac:dyDescent="0.25">
      <c r="B492" s="170" t="s">
        <v>7387</v>
      </c>
      <c r="C492" s="986" t="s">
        <v>4876</v>
      </c>
      <c r="D492" s="197" t="s">
        <v>7151</v>
      </c>
      <c r="E492" s="170" t="s">
        <v>7150</v>
      </c>
      <c r="F492" s="197" t="s">
        <v>521</v>
      </c>
      <c r="G492" s="197" t="s">
        <v>6962</v>
      </c>
      <c r="H492" s="197" t="s">
        <v>6856</v>
      </c>
      <c r="I492" s="197" t="s">
        <v>6851</v>
      </c>
    </row>
    <row r="493" spans="2:9" ht="31.5" x14ac:dyDescent="0.25">
      <c r="B493" s="170" t="s">
        <v>7323</v>
      </c>
      <c r="C493" s="988" t="s">
        <v>4876</v>
      </c>
      <c r="D493" s="197" t="s">
        <v>7151</v>
      </c>
      <c r="E493" s="170" t="s">
        <v>7150</v>
      </c>
      <c r="F493" s="197" t="s">
        <v>521</v>
      </c>
      <c r="G493" s="197" t="s">
        <v>6962</v>
      </c>
      <c r="H493" s="197" t="s">
        <v>6856</v>
      </c>
      <c r="I493" s="197" t="s">
        <v>6851</v>
      </c>
    </row>
    <row r="494" spans="2:9" ht="31.5" x14ac:dyDescent="0.25">
      <c r="B494" s="170" t="s">
        <v>7323</v>
      </c>
      <c r="C494" s="986" t="s">
        <v>4876</v>
      </c>
      <c r="D494" s="197" t="s">
        <v>7148</v>
      </c>
      <c r="E494" s="170" t="s">
        <v>7147</v>
      </c>
      <c r="F494" s="197" t="s">
        <v>6860</v>
      </c>
      <c r="G494" s="197" t="s">
        <v>6897</v>
      </c>
      <c r="H494" s="197" t="s">
        <v>6856</v>
      </c>
      <c r="I494" s="197" t="s">
        <v>6851</v>
      </c>
    </row>
    <row r="495" spans="2:9" ht="31.5" x14ac:dyDescent="0.25">
      <c r="B495" s="170" t="s">
        <v>7385</v>
      </c>
      <c r="C495" s="988" t="s">
        <v>4876</v>
      </c>
      <c r="D495" s="197" t="s">
        <v>7148</v>
      </c>
      <c r="E495" s="170" t="s">
        <v>7147</v>
      </c>
      <c r="F495" s="197" t="s">
        <v>6860</v>
      </c>
      <c r="G495" s="197" t="s">
        <v>6897</v>
      </c>
      <c r="H495" s="197" t="s">
        <v>6856</v>
      </c>
      <c r="I495" s="197" t="s">
        <v>6851</v>
      </c>
    </row>
    <row r="496" spans="2:9" ht="31.5" x14ac:dyDescent="0.25">
      <c r="B496" s="170" t="s">
        <v>7382</v>
      </c>
      <c r="C496" s="986" t="s">
        <v>4876</v>
      </c>
      <c r="D496" s="197" t="s">
        <v>7148</v>
      </c>
      <c r="E496" s="170" t="s">
        <v>7147</v>
      </c>
      <c r="F496" s="197" t="s">
        <v>6860</v>
      </c>
      <c r="G496" s="197" t="s">
        <v>6897</v>
      </c>
      <c r="H496" s="197" t="s">
        <v>6856</v>
      </c>
      <c r="I496" s="197" t="s">
        <v>6851</v>
      </c>
    </row>
    <row r="497" spans="2:9" ht="31.5" x14ac:dyDescent="0.25">
      <c r="B497" s="170" t="s">
        <v>7325</v>
      </c>
      <c r="C497" s="988" t="s">
        <v>4876</v>
      </c>
      <c r="D497" s="197" t="s">
        <v>7146</v>
      </c>
      <c r="E497" s="170" t="s">
        <v>7145</v>
      </c>
      <c r="F497" s="197" t="s">
        <v>6860</v>
      </c>
      <c r="G497" s="197" t="s">
        <v>6902</v>
      </c>
      <c r="H497" s="197" t="s">
        <v>6856</v>
      </c>
      <c r="I497" s="197" t="s">
        <v>6851</v>
      </c>
    </row>
    <row r="498" spans="2:9" ht="31.5" x14ac:dyDescent="0.25">
      <c r="B498" s="170" t="s">
        <v>7387</v>
      </c>
      <c r="C498" s="986" t="s">
        <v>4876</v>
      </c>
      <c r="D498" s="197" t="s">
        <v>7146</v>
      </c>
      <c r="E498" s="170" t="s">
        <v>7145</v>
      </c>
      <c r="F498" s="197" t="s">
        <v>6860</v>
      </c>
      <c r="G498" s="197" t="s">
        <v>6902</v>
      </c>
      <c r="H498" s="197" t="s">
        <v>6856</v>
      </c>
      <c r="I498" s="197" t="s">
        <v>6851</v>
      </c>
    </row>
    <row r="499" spans="2:9" ht="31.5" x14ac:dyDescent="0.25">
      <c r="B499" s="170" t="s">
        <v>7323</v>
      </c>
      <c r="C499" s="988" t="s">
        <v>4876</v>
      </c>
      <c r="D499" s="197" t="s">
        <v>7146</v>
      </c>
      <c r="E499" s="170" t="s">
        <v>7145</v>
      </c>
      <c r="F499" s="197" t="s">
        <v>6860</v>
      </c>
      <c r="G499" s="197" t="s">
        <v>6902</v>
      </c>
      <c r="H499" s="197" t="s">
        <v>6856</v>
      </c>
      <c r="I499" s="197" t="s">
        <v>6851</v>
      </c>
    </row>
    <row r="500" spans="2:9" ht="31.5" x14ac:dyDescent="0.25">
      <c r="B500" s="170" t="s">
        <v>7385</v>
      </c>
      <c r="C500" s="986" t="s">
        <v>4876</v>
      </c>
      <c r="D500" s="197" t="s">
        <v>7146</v>
      </c>
      <c r="E500" s="170" t="s">
        <v>7145</v>
      </c>
      <c r="F500" s="197" t="s">
        <v>6860</v>
      </c>
      <c r="G500" s="197" t="s">
        <v>6902</v>
      </c>
      <c r="H500" s="197" t="s">
        <v>6856</v>
      </c>
      <c r="I500" s="197" t="s">
        <v>6851</v>
      </c>
    </row>
    <row r="501" spans="2:9" ht="31.5" x14ac:dyDescent="0.25">
      <c r="B501" s="170" t="s">
        <v>7394</v>
      </c>
      <c r="C501" s="170" t="s">
        <v>4904</v>
      </c>
      <c r="D501" s="197" t="s">
        <v>7144</v>
      </c>
      <c r="E501" s="170" t="s">
        <v>7143</v>
      </c>
      <c r="F501" s="197" t="s">
        <v>6860</v>
      </c>
      <c r="G501" s="197" t="s">
        <v>6897</v>
      </c>
      <c r="H501" s="197" t="s">
        <v>6980</v>
      </c>
      <c r="I501" s="197" t="s">
        <v>6977</v>
      </c>
    </row>
    <row r="502" spans="2:9" ht="31.5" x14ac:dyDescent="0.25">
      <c r="B502" s="170" t="s">
        <v>7393</v>
      </c>
      <c r="C502" s="170" t="s">
        <v>4904</v>
      </c>
      <c r="D502" s="197" t="s">
        <v>7144</v>
      </c>
      <c r="E502" s="170" t="s">
        <v>7143</v>
      </c>
      <c r="F502" s="197" t="s">
        <v>6860</v>
      </c>
      <c r="G502" s="197" t="s">
        <v>6897</v>
      </c>
      <c r="H502" s="197" t="s">
        <v>6980</v>
      </c>
      <c r="I502" s="197" t="s">
        <v>6977</v>
      </c>
    </row>
    <row r="503" spans="2:9" ht="31.5" x14ac:dyDescent="0.25">
      <c r="B503" s="170" t="s">
        <v>7328</v>
      </c>
      <c r="C503" s="170" t="s">
        <v>4904</v>
      </c>
      <c r="D503" s="197" t="s">
        <v>7144</v>
      </c>
      <c r="E503" s="170" t="s">
        <v>7143</v>
      </c>
      <c r="F503" s="197" t="s">
        <v>6860</v>
      </c>
      <c r="G503" s="197" t="s">
        <v>6897</v>
      </c>
      <c r="H503" s="197" t="s">
        <v>6980</v>
      </c>
      <c r="I503" s="197" t="s">
        <v>6977</v>
      </c>
    </row>
    <row r="504" spans="2:9" ht="31.5" x14ac:dyDescent="0.25">
      <c r="B504" s="170" t="s">
        <v>7390</v>
      </c>
      <c r="C504" s="170" t="s">
        <v>4904</v>
      </c>
      <c r="D504" s="197" t="s">
        <v>7144</v>
      </c>
      <c r="E504" s="170" t="s">
        <v>7143</v>
      </c>
      <c r="F504" s="197" t="s">
        <v>6860</v>
      </c>
      <c r="G504" s="197" t="s">
        <v>6897</v>
      </c>
      <c r="H504" s="197" t="s">
        <v>6980</v>
      </c>
      <c r="I504" s="197" t="s">
        <v>6977</v>
      </c>
    </row>
    <row r="505" spans="2:9" ht="31.5" x14ac:dyDescent="0.25">
      <c r="B505" s="170" t="s">
        <v>7326</v>
      </c>
      <c r="C505" s="170" t="s">
        <v>4904</v>
      </c>
      <c r="D505" s="197" t="s">
        <v>7144</v>
      </c>
      <c r="E505" s="170" t="s">
        <v>7143</v>
      </c>
      <c r="F505" s="197" t="s">
        <v>6860</v>
      </c>
      <c r="G505" s="197" t="s">
        <v>6897</v>
      </c>
      <c r="H505" s="197" t="s">
        <v>6980</v>
      </c>
      <c r="I505" s="197" t="s">
        <v>6977</v>
      </c>
    </row>
    <row r="506" spans="2:9" ht="31.5" x14ac:dyDescent="0.25">
      <c r="B506" s="170" t="s">
        <v>7325</v>
      </c>
      <c r="C506" s="170" t="s">
        <v>4904</v>
      </c>
      <c r="D506" s="197" t="s">
        <v>7144</v>
      </c>
      <c r="E506" s="170" t="s">
        <v>7143</v>
      </c>
      <c r="F506" s="197" t="s">
        <v>6860</v>
      </c>
      <c r="G506" s="197" t="s">
        <v>6897</v>
      </c>
      <c r="H506" s="197" t="s">
        <v>6980</v>
      </c>
      <c r="I506" s="197" t="s">
        <v>6977</v>
      </c>
    </row>
    <row r="507" spans="2:9" ht="31.5" x14ac:dyDescent="0.25">
      <c r="B507" s="170" t="s">
        <v>7387</v>
      </c>
      <c r="C507" s="170" t="s">
        <v>4904</v>
      </c>
      <c r="D507" s="197" t="s">
        <v>7144</v>
      </c>
      <c r="E507" s="170" t="s">
        <v>7143</v>
      </c>
      <c r="F507" s="197" t="s">
        <v>6860</v>
      </c>
      <c r="G507" s="197" t="s">
        <v>6897</v>
      </c>
      <c r="H507" s="197" t="s">
        <v>6980</v>
      </c>
      <c r="I507" s="197" t="s">
        <v>6977</v>
      </c>
    </row>
    <row r="508" spans="2:9" ht="31.5" x14ac:dyDescent="0.25">
      <c r="B508" s="170" t="s">
        <v>7323</v>
      </c>
      <c r="C508" s="988" t="s">
        <v>4876</v>
      </c>
      <c r="D508" s="197" t="s">
        <v>7144</v>
      </c>
      <c r="E508" s="170" t="s">
        <v>7143</v>
      </c>
      <c r="F508" s="197" t="s">
        <v>6860</v>
      </c>
      <c r="G508" s="197" t="s">
        <v>6897</v>
      </c>
      <c r="H508" s="197" t="s">
        <v>6980</v>
      </c>
      <c r="I508" s="197" t="s">
        <v>6977</v>
      </c>
    </row>
    <row r="509" spans="2:9" ht="31.5" x14ac:dyDescent="0.25">
      <c r="B509" s="170" t="s">
        <v>7385</v>
      </c>
      <c r="C509" s="986" t="s">
        <v>4876</v>
      </c>
      <c r="D509" s="197" t="s">
        <v>7144</v>
      </c>
      <c r="E509" s="170" t="s">
        <v>7143</v>
      </c>
      <c r="F509" s="197" t="s">
        <v>6860</v>
      </c>
      <c r="G509" s="197" t="s">
        <v>6897</v>
      </c>
      <c r="H509" s="197" t="s">
        <v>6980</v>
      </c>
      <c r="I509" s="197" t="s">
        <v>6977</v>
      </c>
    </row>
    <row r="510" spans="2:9" ht="31.5" x14ac:dyDescent="0.25">
      <c r="B510" s="170" t="s">
        <v>7382</v>
      </c>
      <c r="C510" s="988" t="s">
        <v>4876</v>
      </c>
      <c r="D510" s="197" t="s">
        <v>7144</v>
      </c>
      <c r="E510" s="170" t="s">
        <v>7143</v>
      </c>
      <c r="F510" s="197" t="s">
        <v>6860</v>
      </c>
      <c r="G510" s="197" t="s">
        <v>6897</v>
      </c>
      <c r="H510" s="197" t="s">
        <v>6980</v>
      </c>
      <c r="I510" s="197" t="s">
        <v>6977</v>
      </c>
    </row>
    <row r="511" spans="2:9" ht="31.5" x14ac:dyDescent="0.25">
      <c r="B511" s="170" t="s">
        <v>7381</v>
      </c>
      <c r="C511" s="170" t="s">
        <v>4904</v>
      </c>
      <c r="D511" s="197" t="s">
        <v>7144</v>
      </c>
      <c r="E511" s="170" t="s">
        <v>7143</v>
      </c>
      <c r="F511" s="197" t="s">
        <v>6860</v>
      </c>
      <c r="G511" s="197" t="s">
        <v>6897</v>
      </c>
      <c r="H511" s="197" t="s">
        <v>6980</v>
      </c>
      <c r="I511" s="197" t="s">
        <v>6977</v>
      </c>
    </row>
    <row r="512" spans="2:9" ht="31.5" x14ac:dyDescent="0.25">
      <c r="B512" s="170" t="s">
        <v>7380</v>
      </c>
      <c r="C512" s="170" t="s">
        <v>4904</v>
      </c>
      <c r="D512" s="197" t="s">
        <v>7144</v>
      </c>
      <c r="E512" s="170" t="s">
        <v>7143</v>
      </c>
      <c r="F512" s="197" t="s">
        <v>6860</v>
      </c>
      <c r="G512" s="197" t="s">
        <v>6897</v>
      </c>
      <c r="H512" s="197" t="s">
        <v>6980</v>
      </c>
      <c r="I512" s="197" t="s">
        <v>6977</v>
      </c>
    </row>
    <row r="513" spans="2:9" ht="31.5" x14ac:dyDescent="0.25">
      <c r="B513" s="170" t="s">
        <v>7394</v>
      </c>
      <c r="C513" s="170" t="s">
        <v>4904</v>
      </c>
      <c r="D513" s="197" t="s">
        <v>7141</v>
      </c>
      <c r="E513" s="170" t="s">
        <v>7140</v>
      </c>
      <c r="F513" s="197" t="s">
        <v>6894</v>
      </c>
      <c r="G513" s="197" t="s">
        <v>6897</v>
      </c>
      <c r="H513" s="197" t="s">
        <v>6890</v>
      </c>
      <c r="I513" s="197" t="s">
        <v>6888</v>
      </c>
    </row>
    <row r="514" spans="2:9" ht="31.5" x14ac:dyDescent="0.25">
      <c r="B514" s="170" t="s">
        <v>7393</v>
      </c>
      <c r="C514" s="170" t="s">
        <v>4904</v>
      </c>
      <c r="D514" s="197" t="s">
        <v>7141</v>
      </c>
      <c r="E514" s="170" t="s">
        <v>7140</v>
      </c>
      <c r="F514" s="197" t="s">
        <v>6894</v>
      </c>
      <c r="G514" s="197" t="s">
        <v>6897</v>
      </c>
      <c r="H514" s="197" t="s">
        <v>6890</v>
      </c>
      <c r="I514" s="197" t="s">
        <v>6888</v>
      </c>
    </row>
    <row r="515" spans="2:9" ht="31.5" x14ac:dyDescent="0.25">
      <c r="B515" s="170" t="s">
        <v>7328</v>
      </c>
      <c r="C515" s="170" t="s">
        <v>4904</v>
      </c>
      <c r="D515" s="197" t="s">
        <v>7141</v>
      </c>
      <c r="E515" s="170" t="s">
        <v>7140</v>
      </c>
      <c r="F515" s="197" t="s">
        <v>6894</v>
      </c>
      <c r="G515" s="197" t="s">
        <v>6897</v>
      </c>
      <c r="H515" s="197" t="s">
        <v>6890</v>
      </c>
      <c r="I515" s="197" t="s">
        <v>6888</v>
      </c>
    </row>
    <row r="516" spans="2:9" ht="31.5" x14ac:dyDescent="0.25">
      <c r="B516" s="170" t="s">
        <v>7390</v>
      </c>
      <c r="C516" s="170" t="s">
        <v>4904</v>
      </c>
      <c r="D516" s="197" t="s">
        <v>7141</v>
      </c>
      <c r="E516" s="170" t="s">
        <v>7140</v>
      </c>
      <c r="F516" s="197" t="s">
        <v>6894</v>
      </c>
      <c r="G516" s="197" t="s">
        <v>6897</v>
      </c>
      <c r="H516" s="197" t="s">
        <v>6890</v>
      </c>
      <c r="I516" s="197" t="s">
        <v>6888</v>
      </c>
    </row>
    <row r="517" spans="2:9" ht="31.5" x14ac:dyDescent="0.25">
      <c r="B517" s="170" t="s">
        <v>7326</v>
      </c>
      <c r="C517" s="170" t="s">
        <v>4904</v>
      </c>
      <c r="D517" s="197" t="s">
        <v>7141</v>
      </c>
      <c r="E517" s="170" t="s">
        <v>7140</v>
      </c>
      <c r="F517" s="197" t="s">
        <v>6894</v>
      </c>
      <c r="G517" s="197" t="s">
        <v>6897</v>
      </c>
      <c r="H517" s="197" t="s">
        <v>6890</v>
      </c>
      <c r="I517" s="197" t="s">
        <v>6888</v>
      </c>
    </row>
    <row r="518" spans="2:9" ht="31.5" x14ac:dyDescent="0.25">
      <c r="B518" s="170" t="s">
        <v>7325</v>
      </c>
      <c r="C518" s="170" t="s">
        <v>4904</v>
      </c>
      <c r="D518" s="197" t="s">
        <v>7141</v>
      </c>
      <c r="E518" s="170" t="s">
        <v>7140</v>
      </c>
      <c r="F518" s="197" t="s">
        <v>6894</v>
      </c>
      <c r="G518" s="197" t="s">
        <v>6897</v>
      </c>
      <c r="H518" s="197" t="s">
        <v>6890</v>
      </c>
      <c r="I518" s="197" t="s">
        <v>6888</v>
      </c>
    </row>
    <row r="519" spans="2:9" ht="31.5" x14ac:dyDescent="0.25">
      <c r="B519" s="170" t="s">
        <v>7387</v>
      </c>
      <c r="C519" s="170" t="s">
        <v>4904</v>
      </c>
      <c r="D519" s="197" t="s">
        <v>7141</v>
      </c>
      <c r="E519" s="170" t="s">
        <v>7140</v>
      </c>
      <c r="F519" s="197" t="s">
        <v>6894</v>
      </c>
      <c r="G519" s="197" t="s">
        <v>6897</v>
      </c>
      <c r="H519" s="197" t="s">
        <v>6890</v>
      </c>
      <c r="I519" s="197" t="s">
        <v>6888</v>
      </c>
    </row>
    <row r="520" spans="2:9" ht="31.5" x14ac:dyDescent="0.25">
      <c r="B520" s="170" t="s">
        <v>7323</v>
      </c>
      <c r="C520" s="170" t="s">
        <v>4904</v>
      </c>
      <c r="D520" s="197" t="s">
        <v>7141</v>
      </c>
      <c r="E520" s="170" t="s">
        <v>7140</v>
      </c>
      <c r="F520" s="197" t="s">
        <v>6894</v>
      </c>
      <c r="G520" s="197" t="s">
        <v>6897</v>
      </c>
      <c r="H520" s="197" t="s">
        <v>6890</v>
      </c>
      <c r="I520" s="197" t="s">
        <v>6888</v>
      </c>
    </row>
    <row r="521" spans="2:9" ht="31.5" x14ac:dyDescent="0.25">
      <c r="B521" s="170" t="s">
        <v>7385</v>
      </c>
      <c r="C521" s="170" t="s">
        <v>4904</v>
      </c>
      <c r="D521" s="197" t="s">
        <v>7141</v>
      </c>
      <c r="E521" s="170" t="s">
        <v>7140</v>
      </c>
      <c r="F521" s="197" t="s">
        <v>6894</v>
      </c>
      <c r="G521" s="197" t="s">
        <v>6897</v>
      </c>
      <c r="H521" s="197" t="s">
        <v>6890</v>
      </c>
      <c r="I521" s="197" t="s">
        <v>6888</v>
      </c>
    </row>
    <row r="522" spans="2:9" ht="31.5" x14ac:dyDescent="0.25">
      <c r="B522" s="170" t="s">
        <v>7382</v>
      </c>
      <c r="C522" s="170" t="s">
        <v>4904</v>
      </c>
      <c r="D522" s="197" t="s">
        <v>7141</v>
      </c>
      <c r="E522" s="170" t="s">
        <v>7140</v>
      </c>
      <c r="F522" s="197" t="s">
        <v>6894</v>
      </c>
      <c r="G522" s="197" t="s">
        <v>6897</v>
      </c>
      <c r="H522" s="197" t="s">
        <v>6890</v>
      </c>
      <c r="I522" s="197" t="s">
        <v>6888</v>
      </c>
    </row>
    <row r="523" spans="2:9" ht="31.5" x14ac:dyDescent="0.25">
      <c r="B523" s="170" t="s">
        <v>7381</v>
      </c>
      <c r="C523" s="170" t="s">
        <v>4904</v>
      </c>
      <c r="D523" s="197" t="s">
        <v>7141</v>
      </c>
      <c r="E523" s="170" t="s">
        <v>7140</v>
      </c>
      <c r="F523" s="197" t="s">
        <v>6894</v>
      </c>
      <c r="G523" s="197" t="s">
        <v>6897</v>
      </c>
      <c r="H523" s="197" t="s">
        <v>6890</v>
      </c>
      <c r="I523" s="197" t="s">
        <v>6888</v>
      </c>
    </row>
    <row r="524" spans="2:9" ht="31.5" x14ac:dyDescent="0.25">
      <c r="B524" s="170" t="s">
        <v>7380</v>
      </c>
      <c r="C524" s="170" t="s">
        <v>4904</v>
      </c>
      <c r="D524" s="197" t="s">
        <v>7141</v>
      </c>
      <c r="E524" s="170" t="s">
        <v>7140</v>
      </c>
      <c r="F524" s="197" t="s">
        <v>6894</v>
      </c>
      <c r="G524" s="197" t="s">
        <v>6897</v>
      </c>
      <c r="H524" s="197" t="s">
        <v>6890</v>
      </c>
      <c r="I524" s="197" t="s">
        <v>6888</v>
      </c>
    </row>
    <row r="525" spans="2:9" ht="31.5" x14ac:dyDescent="0.25">
      <c r="B525" s="170" t="s">
        <v>7325</v>
      </c>
      <c r="C525" s="986" t="s">
        <v>4876</v>
      </c>
      <c r="D525" s="197" t="s">
        <v>7138</v>
      </c>
      <c r="E525" s="170" t="s">
        <v>7137</v>
      </c>
      <c r="F525" s="197" t="s">
        <v>6860</v>
      </c>
      <c r="G525" s="197" t="s">
        <v>6902</v>
      </c>
      <c r="H525" s="197" t="s">
        <v>6856</v>
      </c>
      <c r="I525" s="197" t="s">
        <v>6851</v>
      </c>
    </row>
    <row r="526" spans="2:9" ht="31.5" x14ac:dyDescent="0.25">
      <c r="B526" s="170" t="s">
        <v>7387</v>
      </c>
      <c r="C526" s="988" t="s">
        <v>4876</v>
      </c>
      <c r="D526" s="197" t="s">
        <v>7138</v>
      </c>
      <c r="E526" s="170" t="s">
        <v>7137</v>
      </c>
      <c r="F526" s="197" t="s">
        <v>6860</v>
      </c>
      <c r="G526" s="197" t="s">
        <v>6902</v>
      </c>
      <c r="H526" s="197" t="s">
        <v>6856</v>
      </c>
      <c r="I526" s="197" t="s">
        <v>6851</v>
      </c>
    </row>
    <row r="527" spans="2:9" ht="31.5" x14ac:dyDescent="0.25">
      <c r="B527" s="170" t="s">
        <v>7323</v>
      </c>
      <c r="C527" s="986" t="s">
        <v>4876</v>
      </c>
      <c r="D527" s="197" t="s">
        <v>7138</v>
      </c>
      <c r="E527" s="170" t="s">
        <v>7137</v>
      </c>
      <c r="F527" s="197" t="s">
        <v>6860</v>
      </c>
      <c r="G527" s="197" t="s">
        <v>6902</v>
      </c>
      <c r="H527" s="197" t="s">
        <v>6856</v>
      </c>
      <c r="I527" s="197" t="s">
        <v>6851</v>
      </c>
    </row>
    <row r="528" spans="2:9" ht="31.5" x14ac:dyDescent="0.25">
      <c r="B528" s="170" t="s">
        <v>7385</v>
      </c>
      <c r="C528" s="988" t="s">
        <v>4876</v>
      </c>
      <c r="D528" s="197" t="s">
        <v>7138</v>
      </c>
      <c r="E528" s="170" t="s">
        <v>7137</v>
      </c>
      <c r="F528" s="197" t="s">
        <v>6860</v>
      </c>
      <c r="G528" s="197" t="s">
        <v>6902</v>
      </c>
      <c r="H528" s="197" t="s">
        <v>6856</v>
      </c>
      <c r="I528" s="197" t="s">
        <v>6851</v>
      </c>
    </row>
    <row r="529" spans="2:9" ht="31.5" x14ac:dyDescent="0.25">
      <c r="B529" s="170" t="s">
        <v>7394</v>
      </c>
      <c r="C529" s="170" t="s">
        <v>4904</v>
      </c>
      <c r="D529" s="197" t="s">
        <v>7136</v>
      </c>
      <c r="E529" s="170" t="s">
        <v>7135</v>
      </c>
      <c r="F529" s="197" t="s">
        <v>6894</v>
      </c>
      <c r="G529" s="197" t="s">
        <v>6897</v>
      </c>
      <c r="H529" s="197" t="s">
        <v>6890</v>
      </c>
      <c r="I529" s="197" t="s">
        <v>6888</v>
      </c>
    </row>
    <row r="530" spans="2:9" ht="31.5" x14ac:dyDescent="0.25">
      <c r="B530" s="170" t="s">
        <v>7393</v>
      </c>
      <c r="C530" s="170" t="s">
        <v>4904</v>
      </c>
      <c r="D530" s="197" t="s">
        <v>7136</v>
      </c>
      <c r="E530" s="170" t="s">
        <v>7135</v>
      </c>
      <c r="F530" s="197" t="s">
        <v>6894</v>
      </c>
      <c r="G530" s="197" t="s">
        <v>6897</v>
      </c>
      <c r="H530" s="197" t="s">
        <v>6890</v>
      </c>
      <c r="I530" s="197" t="s">
        <v>6888</v>
      </c>
    </row>
    <row r="531" spans="2:9" ht="31.5" x14ac:dyDescent="0.25">
      <c r="B531" s="170" t="s">
        <v>7328</v>
      </c>
      <c r="C531" s="170" t="s">
        <v>4904</v>
      </c>
      <c r="D531" s="197" t="s">
        <v>7136</v>
      </c>
      <c r="E531" s="170" t="s">
        <v>7135</v>
      </c>
      <c r="F531" s="197" t="s">
        <v>6894</v>
      </c>
      <c r="G531" s="197" t="s">
        <v>6897</v>
      </c>
      <c r="H531" s="197" t="s">
        <v>6890</v>
      </c>
      <c r="I531" s="197" t="s">
        <v>6888</v>
      </c>
    </row>
    <row r="532" spans="2:9" ht="31.5" x14ac:dyDescent="0.25">
      <c r="B532" s="170" t="s">
        <v>7390</v>
      </c>
      <c r="C532" s="170" t="s">
        <v>4904</v>
      </c>
      <c r="D532" s="197" t="s">
        <v>7136</v>
      </c>
      <c r="E532" s="170" t="s">
        <v>7135</v>
      </c>
      <c r="F532" s="197" t="s">
        <v>6894</v>
      </c>
      <c r="G532" s="197" t="s">
        <v>6897</v>
      </c>
      <c r="H532" s="197" t="s">
        <v>6890</v>
      </c>
      <c r="I532" s="197" t="s">
        <v>6888</v>
      </c>
    </row>
    <row r="533" spans="2:9" ht="31.5" x14ac:dyDescent="0.25">
      <c r="B533" s="170" t="s">
        <v>7326</v>
      </c>
      <c r="C533" s="170" t="s">
        <v>4904</v>
      </c>
      <c r="D533" s="197" t="s">
        <v>7136</v>
      </c>
      <c r="E533" s="170" t="s">
        <v>7135</v>
      </c>
      <c r="F533" s="197" t="s">
        <v>6894</v>
      </c>
      <c r="G533" s="197" t="s">
        <v>6897</v>
      </c>
      <c r="H533" s="197" t="s">
        <v>6890</v>
      </c>
      <c r="I533" s="197" t="s">
        <v>6888</v>
      </c>
    </row>
    <row r="534" spans="2:9" ht="31.5" x14ac:dyDescent="0.25">
      <c r="B534" s="170" t="s">
        <v>7325</v>
      </c>
      <c r="C534" s="170" t="s">
        <v>4904</v>
      </c>
      <c r="D534" s="197" t="s">
        <v>7136</v>
      </c>
      <c r="E534" s="170" t="s">
        <v>7135</v>
      </c>
      <c r="F534" s="197" t="s">
        <v>6894</v>
      </c>
      <c r="G534" s="197" t="s">
        <v>6897</v>
      </c>
      <c r="H534" s="197" t="s">
        <v>6890</v>
      </c>
      <c r="I534" s="197" t="s">
        <v>6888</v>
      </c>
    </row>
    <row r="535" spans="2:9" ht="31.5" x14ac:dyDescent="0.25">
      <c r="B535" s="170" t="s">
        <v>7387</v>
      </c>
      <c r="C535" s="170" t="s">
        <v>4904</v>
      </c>
      <c r="D535" s="197" t="s">
        <v>7136</v>
      </c>
      <c r="E535" s="170" t="s">
        <v>7135</v>
      </c>
      <c r="F535" s="197" t="s">
        <v>6894</v>
      </c>
      <c r="G535" s="197" t="s">
        <v>6897</v>
      </c>
      <c r="H535" s="197" t="s">
        <v>6890</v>
      </c>
      <c r="I535" s="197" t="s">
        <v>6888</v>
      </c>
    </row>
    <row r="536" spans="2:9" ht="31.5" x14ac:dyDescent="0.25">
      <c r="B536" s="170" t="s">
        <v>7323</v>
      </c>
      <c r="C536" s="170" t="s">
        <v>4904</v>
      </c>
      <c r="D536" s="197" t="s">
        <v>7136</v>
      </c>
      <c r="E536" s="170" t="s">
        <v>7135</v>
      </c>
      <c r="F536" s="197" t="s">
        <v>6894</v>
      </c>
      <c r="G536" s="197" t="s">
        <v>6897</v>
      </c>
      <c r="H536" s="197" t="s">
        <v>6890</v>
      </c>
      <c r="I536" s="197" t="s">
        <v>6888</v>
      </c>
    </row>
    <row r="537" spans="2:9" ht="31.5" x14ac:dyDescent="0.25">
      <c r="B537" s="170" t="s">
        <v>7385</v>
      </c>
      <c r="C537" s="170" t="s">
        <v>4904</v>
      </c>
      <c r="D537" s="197" t="s">
        <v>7136</v>
      </c>
      <c r="E537" s="170" t="s">
        <v>7135</v>
      </c>
      <c r="F537" s="197" t="s">
        <v>6894</v>
      </c>
      <c r="G537" s="197" t="s">
        <v>6897</v>
      </c>
      <c r="H537" s="197" t="s">
        <v>6890</v>
      </c>
      <c r="I537" s="197" t="s">
        <v>6888</v>
      </c>
    </row>
    <row r="538" spans="2:9" ht="31.5" x14ac:dyDescent="0.25">
      <c r="B538" s="170" t="s">
        <v>7382</v>
      </c>
      <c r="C538" s="170" t="s">
        <v>4904</v>
      </c>
      <c r="D538" s="197" t="s">
        <v>7136</v>
      </c>
      <c r="E538" s="170" t="s">
        <v>7135</v>
      </c>
      <c r="F538" s="197" t="s">
        <v>6894</v>
      </c>
      <c r="G538" s="197" t="s">
        <v>6897</v>
      </c>
      <c r="H538" s="197" t="s">
        <v>6890</v>
      </c>
      <c r="I538" s="197" t="s">
        <v>6888</v>
      </c>
    </row>
    <row r="539" spans="2:9" ht="31.5" x14ac:dyDescent="0.25">
      <c r="B539" s="170" t="s">
        <v>7381</v>
      </c>
      <c r="C539" s="170" t="s">
        <v>4904</v>
      </c>
      <c r="D539" s="197" t="s">
        <v>7136</v>
      </c>
      <c r="E539" s="170" t="s">
        <v>7135</v>
      </c>
      <c r="F539" s="197" t="s">
        <v>6894</v>
      </c>
      <c r="G539" s="197" t="s">
        <v>6897</v>
      </c>
      <c r="H539" s="197" t="s">
        <v>6890</v>
      </c>
      <c r="I539" s="197" t="s">
        <v>6888</v>
      </c>
    </row>
    <row r="540" spans="2:9" ht="31.5" x14ac:dyDescent="0.25">
      <c r="B540" s="170" t="s">
        <v>7380</v>
      </c>
      <c r="C540" s="170" t="s">
        <v>4904</v>
      </c>
      <c r="D540" s="197" t="s">
        <v>7136</v>
      </c>
      <c r="E540" s="170" t="s">
        <v>7135</v>
      </c>
      <c r="F540" s="197" t="s">
        <v>6894</v>
      </c>
      <c r="G540" s="197" t="s">
        <v>6897</v>
      </c>
      <c r="H540" s="197" t="s">
        <v>6890</v>
      </c>
      <c r="I540" s="197" t="s">
        <v>6888</v>
      </c>
    </row>
    <row r="541" spans="2:9" ht="31.5" x14ac:dyDescent="0.25">
      <c r="B541" s="170" t="s">
        <v>7394</v>
      </c>
      <c r="C541" s="170" t="s">
        <v>4904</v>
      </c>
      <c r="D541" s="197" t="s">
        <v>7134</v>
      </c>
      <c r="E541" s="170" t="s">
        <v>7133</v>
      </c>
      <c r="F541" s="197" t="s">
        <v>6894</v>
      </c>
      <c r="G541" s="197" t="s">
        <v>6897</v>
      </c>
      <c r="H541" s="197" t="s">
        <v>6890</v>
      </c>
      <c r="I541" s="197" t="s">
        <v>6888</v>
      </c>
    </row>
    <row r="542" spans="2:9" ht="31.5" x14ac:dyDescent="0.25">
      <c r="B542" s="170" t="s">
        <v>7393</v>
      </c>
      <c r="C542" s="170" t="s">
        <v>4904</v>
      </c>
      <c r="D542" s="197" t="s">
        <v>7134</v>
      </c>
      <c r="E542" s="170" t="s">
        <v>7133</v>
      </c>
      <c r="F542" s="197" t="s">
        <v>6894</v>
      </c>
      <c r="G542" s="197" t="s">
        <v>6897</v>
      </c>
      <c r="H542" s="197" t="s">
        <v>6890</v>
      </c>
      <c r="I542" s="197" t="s">
        <v>6888</v>
      </c>
    </row>
    <row r="543" spans="2:9" ht="31.5" x14ac:dyDescent="0.25">
      <c r="B543" s="170" t="s">
        <v>7328</v>
      </c>
      <c r="C543" s="170" t="s">
        <v>4904</v>
      </c>
      <c r="D543" s="197" t="s">
        <v>7134</v>
      </c>
      <c r="E543" s="170" t="s">
        <v>7133</v>
      </c>
      <c r="F543" s="197" t="s">
        <v>6894</v>
      </c>
      <c r="G543" s="197" t="s">
        <v>6897</v>
      </c>
      <c r="H543" s="197" t="s">
        <v>6890</v>
      </c>
      <c r="I543" s="197" t="s">
        <v>6888</v>
      </c>
    </row>
    <row r="544" spans="2:9" ht="31.5" x14ac:dyDescent="0.25">
      <c r="B544" s="170" t="s">
        <v>7390</v>
      </c>
      <c r="C544" s="170" t="s">
        <v>4904</v>
      </c>
      <c r="D544" s="197" t="s">
        <v>7134</v>
      </c>
      <c r="E544" s="170" t="s">
        <v>7133</v>
      </c>
      <c r="F544" s="197" t="s">
        <v>6894</v>
      </c>
      <c r="G544" s="197" t="s">
        <v>6897</v>
      </c>
      <c r="H544" s="197" t="s">
        <v>6890</v>
      </c>
      <c r="I544" s="197" t="s">
        <v>6888</v>
      </c>
    </row>
    <row r="545" spans="2:9" ht="31.5" x14ac:dyDescent="0.25">
      <c r="B545" s="170" t="s">
        <v>7326</v>
      </c>
      <c r="C545" s="170" t="s">
        <v>4904</v>
      </c>
      <c r="D545" s="197" t="s">
        <v>7134</v>
      </c>
      <c r="E545" s="170" t="s">
        <v>7133</v>
      </c>
      <c r="F545" s="197" t="s">
        <v>6894</v>
      </c>
      <c r="G545" s="197" t="s">
        <v>6897</v>
      </c>
      <c r="H545" s="197" t="s">
        <v>6890</v>
      </c>
      <c r="I545" s="197" t="s">
        <v>6888</v>
      </c>
    </row>
    <row r="546" spans="2:9" ht="31.5" x14ac:dyDescent="0.25">
      <c r="B546" s="170" t="s">
        <v>7325</v>
      </c>
      <c r="C546" s="170" t="s">
        <v>4904</v>
      </c>
      <c r="D546" s="197" t="s">
        <v>7134</v>
      </c>
      <c r="E546" s="170" t="s">
        <v>7133</v>
      </c>
      <c r="F546" s="197" t="s">
        <v>6894</v>
      </c>
      <c r="G546" s="197" t="s">
        <v>6897</v>
      </c>
      <c r="H546" s="197" t="s">
        <v>6890</v>
      </c>
      <c r="I546" s="197" t="s">
        <v>6888</v>
      </c>
    </row>
    <row r="547" spans="2:9" ht="31.5" x14ac:dyDescent="0.25">
      <c r="B547" s="170" t="s">
        <v>7387</v>
      </c>
      <c r="C547" s="170" t="s">
        <v>4904</v>
      </c>
      <c r="D547" s="197" t="s">
        <v>7134</v>
      </c>
      <c r="E547" s="170" t="s">
        <v>7133</v>
      </c>
      <c r="F547" s="197" t="s">
        <v>6894</v>
      </c>
      <c r="G547" s="197" t="s">
        <v>6897</v>
      </c>
      <c r="H547" s="197" t="s">
        <v>6890</v>
      </c>
      <c r="I547" s="197" t="s">
        <v>6888</v>
      </c>
    </row>
    <row r="548" spans="2:9" ht="31.5" x14ac:dyDescent="0.25">
      <c r="B548" s="170" t="s">
        <v>7323</v>
      </c>
      <c r="C548" s="170" t="s">
        <v>4904</v>
      </c>
      <c r="D548" s="197" t="s">
        <v>7134</v>
      </c>
      <c r="E548" s="170" t="s">
        <v>7133</v>
      </c>
      <c r="F548" s="197" t="s">
        <v>6894</v>
      </c>
      <c r="G548" s="197" t="s">
        <v>6897</v>
      </c>
      <c r="H548" s="197" t="s">
        <v>6890</v>
      </c>
      <c r="I548" s="197" t="s">
        <v>6888</v>
      </c>
    </row>
    <row r="549" spans="2:9" ht="31.5" x14ac:dyDescent="0.25">
      <c r="B549" s="170" t="s">
        <v>7385</v>
      </c>
      <c r="C549" s="170" t="s">
        <v>4904</v>
      </c>
      <c r="D549" s="197" t="s">
        <v>7134</v>
      </c>
      <c r="E549" s="170" t="s">
        <v>7133</v>
      </c>
      <c r="F549" s="197" t="s">
        <v>6894</v>
      </c>
      <c r="G549" s="197" t="s">
        <v>6897</v>
      </c>
      <c r="H549" s="197" t="s">
        <v>6890</v>
      </c>
      <c r="I549" s="197" t="s">
        <v>6888</v>
      </c>
    </row>
    <row r="550" spans="2:9" ht="31.5" x14ac:dyDescent="0.25">
      <c r="B550" s="170" t="s">
        <v>7382</v>
      </c>
      <c r="C550" s="170" t="s">
        <v>4904</v>
      </c>
      <c r="D550" s="197" t="s">
        <v>7134</v>
      </c>
      <c r="E550" s="170" t="s">
        <v>7133</v>
      </c>
      <c r="F550" s="197" t="s">
        <v>6894</v>
      </c>
      <c r="G550" s="197" t="s">
        <v>6897</v>
      </c>
      <c r="H550" s="197" t="s">
        <v>6890</v>
      </c>
      <c r="I550" s="197" t="s">
        <v>6888</v>
      </c>
    </row>
    <row r="551" spans="2:9" ht="31.5" x14ac:dyDescent="0.25">
      <c r="B551" s="170" t="s">
        <v>7381</v>
      </c>
      <c r="C551" s="170" t="s">
        <v>4904</v>
      </c>
      <c r="D551" s="197" t="s">
        <v>7134</v>
      </c>
      <c r="E551" s="170" t="s">
        <v>7133</v>
      </c>
      <c r="F551" s="197" t="s">
        <v>6894</v>
      </c>
      <c r="G551" s="197" t="s">
        <v>6897</v>
      </c>
      <c r="H551" s="197" t="s">
        <v>6890</v>
      </c>
      <c r="I551" s="197" t="s">
        <v>6888</v>
      </c>
    </row>
    <row r="552" spans="2:9" ht="31.5" x14ac:dyDescent="0.25">
      <c r="B552" s="170" t="s">
        <v>7380</v>
      </c>
      <c r="C552" s="170" t="s">
        <v>4904</v>
      </c>
      <c r="D552" s="197" t="s">
        <v>7134</v>
      </c>
      <c r="E552" s="170" t="s">
        <v>7133</v>
      </c>
      <c r="F552" s="197" t="s">
        <v>6894</v>
      </c>
      <c r="G552" s="197" t="s">
        <v>6897</v>
      </c>
      <c r="H552" s="197" t="s">
        <v>6890</v>
      </c>
      <c r="I552" s="197" t="s">
        <v>6888</v>
      </c>
    </row>
    <row r="553" spans="2:9" ht="31.5" x14ac:dyDescent="0.25">
      <c r="B553" s="170" t="s">
        <v>7325</v>
      </c>
      <c r="C553" s="986" t="s">
        <v>4876</v>
      </c>
      <c r="D553" s="197" t="s">
        <v>7132</v>
      </c>
      <c r="E553" s="170" t="s">
        <v>7131</v>
      </c>
      <c r="F553" s="197" t="s">
        <v>6860</v>
      </c>
      <c r="G553" s="197" t="s">
        <v>7037</v>
      </c>
      <c r="H553" s="197" t="s">
        <v>6856</v>
      </c>
      <c r="I553" s="197" t="s">
        <v>6851</v>
      </c>
    </row>
    <row r="554" spans="2:9" ht="31.5" x14ac:dyDescent="0.25">
      <c r="B554" s="170" t="s">
        <v>7387</v>
      </c>
      <c r="C554" s="988" t="s">
        <v>4876</v>
      </c>
      <c r="D554" s="197" t="s">
        <v>7132</v>
      </c>
      <c r="E554" s="170" t="s">
        <v>7131</v>
      </c>
      <c r="F554" s="197" t="s">
        <v>6860</v>
      </c>
      <c r="G554" s="197" t="s">
        <v>7037</v>
      </c>
      <c r="H554" s="197" t="s">
        <v>6856</v>
      </c>
      <c r="I554" s="197" t="s">
        <v>6851</v>
      </c>
    </row>
    <row r="555" spans="2:9" ht="31.5" x14ac:dyDescent="0.25">
      <c r="B555" s="170" t="s">
        <v>7323</v>
      </c>
      <c r="C555" s="986" t="s">
        <v>4876</v>
      </c>
      <c r="D555" s="197" t="s">
        <v>7132</v>
      </c>
      <c r="E555" s="170" t="s">
        <v>7131</v>
      </c>
      <c r="F555" s="197" t="s">
        <v>6860</v>
      </c>
      <c r="G555" s="197" t="s">
        <v>7037</v>
      </c>
      <c r="H555" s="197" t="s">
        <v>6856</v>
      </c>
      <c r="I555" s="197" t="s">
        <v>6851</v>
      </c>
    </row>
    <row r="556" spans="2:9" ht="31.5" x14ac:dyDescent="0.25">
      <c r="B556" s="170" t="s">
        <v>7385</v>
      </c>
      <c r="C556" s="988" t="s">
        <v>4876</v>
      </c>
      <c r="D556" s="197" t="s">
        <v>7132</v>
      </c>
      <c r="E556" s="170" t="s">
        <v>7131</v>
      </c>
      <c r="F556" s="197" t="s">
        <v>6860</v>
      </c>
      <c r="G556" s="197" t="s">
        <v>7037</v>
      </c>
      <c r="H556" s="197" t="s">
        <v>6856</v>
      </c>
      <c r="I556" s="197" t="s">
        <v>6851</v>
      </c>
    </row>
    <row r="557" spans="2:9" ht="31.5" x14ac:dyDescent="0.25">
      <c r="B557" s="170" t="s">
        <v>7394</v>
      </c>
      <c r="C557" s="170" t="s">
        <v>7100</v>
      </c>
      <c r="D557" s="197" t="s">
        <v>7130</v>
      </c>
      <c r="E557" s="170" t="s">
        <v>7129</v>
      </c>
      <c r="F557" s="197" t="s">
        <v>7104</v>
      </c>
      <c r="G557" s="197" t="s">
        <v>6902</v>
      </c>
      <c r="H557" s="197" t="s">
        <v>7103</v>
      </c>
      <c r="I557" s="197" t="s">
        <v>7101</v>
      </c>
    </row>
    <row r="558" spans="2:9" ht="31.5" x14ac:dyDescent="0.25">
      <c r="B558" s="170" t="s">
        <v>7393</v>
      </c>
      <c r="C558" s="170" t="s">
        <v>7100</v>
      </c>
      <c r="D558" s="197" t="s">
        <v>7130</v>
      </c>
      <c r="E558" s="170" t="s">
        <v>7129</v>
      </c>
      <c r="F558" s="197" t="s">
        <v>7104</v>
      </c>
      <c r="G558" s="197" t="s">
        <v>6902</v>
      </c>
      <c r="H558" s="197" t="s">
        <v>7103</v>
      </c>
      <c r="I558" s="197" t="s">
        <v>7101</v>
      </c>
    </row>
    <row r="559" spans="2:9" ht="31.5" x14ac:dyDescent="0.25">
      <c r="B559" s="170" t="s">
        <v>7328</v>
      </c>
      <c r="C559" s="170" t="s">
        <v>7100</v>
      </c>
      <c r="D559" s="197" t="s">
        <v>7130</v>
      </c>
      <c r="E559" s="170" t="s">
        <v>7129</v>
      </c>
      <c r="F559" s="197" t="s">
        <v>7104</v>
      </c>
      <c r="G559" s="197" t="s">
        <v>6902</v>
      </c>
      <c r="H559" s="197" t="s">
        <v>7103</v>
      </c>
      <c r="I559" s="197" t="s">
        <v>7101</v>
      </c>
    </row>
    <row r="560" spans="2:9" ht="31.5" x14ac:dyDescent="0.25">
      <c r="B560" s="170" t="s">
        <v>7390</v>
      </c>
      <c r="C560" s="170" t="s">
        <v>7100</v>
      </c>
      <c r="D560" s="197" t="s">
        <v>7130</v>
      </c>
      <c r="E560" s="170" t="s">
        <v>7129</v>
      </c>
      <c r="F560" s="197" t="s">
        <v>7104</v>
      </c>
      <c r="G560" s="197" t="s">
        <v>6902</v>
      </c>
      <c r="H560" s="197" t="s">
        <v>7103</v>
      </c>
      <c r="I560" s="197" t="s">
        <v>7101</v>
      </c>
    </row>
    <row r="561" spans="2:9" ht="31.5" x14ac:dyDescent="0.25">
      <c r="B561" s="170" t="s">
        <v>7326</v>
      </c>
      <c r="C561" s="170" t="s">
        <v>7100</v>
      </c>
      <c r="D561" s="197" t="s">
        <v>7130</v>
      </c>
      <c r="E561" s="170" t="s">
        <v>7129</v>
      </c>
      <c r="F561" s="197" t="s">
        <v>7104</v>
      </c>
      <c r="G561" s="197" t="s">
        <v>6902</v>
      </c>
      <c r="H561" s="197" t="s">
        <v>7103</v>
      </c>
      <c r="I561" s="197" t="s">
        <v>7101</v>
      </c>
    </row>
    <row r="562" spans="2:9" ht="31.5" x14ac:dyDescent="0.25">
      <c r="B562" s="170" t="s">
        <v>7325</v>
      </c>
      <c r="C562" s="170" t="s">
        <v>7100</v>
      </c>
      <c r="D562" s="197" t="s">
        <v>7130</v>
      </c>
      <c r="E562" s="170" t="s">
        <v>7129</v>
      </c>
      <c r="F562" s="197" t="s">
        <v>7104</v>
      </c>
      <c r="G562" s="197" t="s">
        <v>6902</v>
      </c>
      <c r="H562" s="197" t="s">
        <v>7103</v>
      </c>
      <c r="I562" s="197" t="s">
        <v>7101</v>
      </c>
    </row>
    <row r="563" spans="2:9" ht="31.5" x14ac:dyDescent="0.25">
      <c r="B563" s="170" t="s">
        <v>7387</v>
      </c>
      <c r="C563" s="170" t="s">
        <v>7100</v>
      </c>
      <c r="D563" s="197" t="s">
        <v>7130</v>
      </c>
      <c r="E563" s="170" t="s">
        <v>7129</v>
      </c>
      <c r="F563" s="197" t="s">
        <v>7104</v>
      </c>
      <c r="G563" s="197" t="s">
        <v>6902</v>
      </c>
      <c r="H563" s="197" t="s">
        <v>7103</v>
      </c>
      <c r="I563" s="197" t="s">
        <v>7101</v>
      </c>
    </row>
    <row r="564" spans="2:9" ht="31.5" x14ac:dyDescent="0.25">
      <c r="B564" s="170" t="s">
        <v>7323</v>
      </c>
      <c r="C564" s="170" t="s">
        <v>7100</v>
      </c>
      <c r="D564" s="197" t="s">
        <v>7130</v>
      </c>
      <c r="E564" s="170" t="s">
        <v>7129</v>
      </c>
      <c r="F564" s="197" t="s">
        <v>7104</v>
      </c>
      <c r="G564" s="197" t="s">
        <v>6902</v>
      </c>
      <c r="H564" s="197" t="s">
        <v>7103</v>
      </c>
      <c r="I564" s="197" t="s">
        <v>7101</v>
      </c>
    </row>
    <row r="565" spans="2:9" ht="31.5" x14ac:dyDescent="0.25">
      <c r="B565" s="170" t="s">
        <v>7385</v>
      </c>
      <c r="C565" s="170" t="s">
        <v>7100</v>
      </c>
      <c r="D565" s="197" t="s">
        <v>7130</v>
      </c>
      <c r="E565" s="170" t="s">
        <v>7129</v>
      </c>
      <c r="F565" s="197" t="s">
        <v>7104</v>
      </c>
      <c r="G565" s="197" t="s">
        <v>6902</v>
      </c>
      <c r="H565" s="197" t="s">
        <v>7103</v>
      </c>
      <c r="I565" s="197" t="s">
        <v>7101</v>
      </c>
    </row>
    <row r="566" spans="2:9" ht="31.5" x14ac:dyDescent="0.25">
      <c r="B566" s="170" t="s">
        <v>7382</v>
      </c>
      <c r="C566" s="170" t="s">
        <v>7100</v>
      </c>
      <c r="D566" s="197" t="s">
        <v>7130</v>
      </c>
      <c r="E566" s="170" t="s">
        <v>7129</v>
      </c>
      <c r="F566" s="197" t="s">
        <v>7104</v>
      </c>
      <c r="G566" s="197" t="s">
        <v>6902</v>
      </c>
      <c r="H566" s="197" t="s">
        <v>7103</v>
      </c>
      <c r="I566" s="197" t="s">
        <v>7101</v>
      </c>
    </row>
    <row r="567" spans="2:9" ht="31.5" x14ac:dyDescent="0.25">
      <c r="B567" s="170" t="s">
        <v>7381</v>
      </c>
      <c r="C567" s="170" t="s">
        <v>7100</v>
      </c>
      <c r="D567" s="197" t="s">
        <v>7130</v>
      </c>
      <c r="E567" s="170" t="s">
        <v>7129</v>
      </c>
      <c r="F567" s="197" t="s">
        <v>7104</v>
      </c>
      <c r="G567" s="197" t="s">
        <v>6902</v>
      </c>
      <c r="H567" s="197" t="s">
        <v>7103</v>
      </c>
      <c r="I567" s="197" t="s">
        <v>7101</v>
      </c>
    </row>
    <row r="568" spans="2:9" ht="31.5" x14ac:dyDescent="0.25">
      <c r="B568" s="170" t="s">
        <v>7380</v>
      </c>
      <c r="C568" s="170" t="s">
        <v>7100</v>
      </c>
      <c r="D568" s="197" t="s">
        <v>7130</v>
      </c>
      <c r="E568" s="170" t="s">
        <v>7129</v>
      </c>
      <c r="F568" s="197" t="s">
        <v>7104</v>
      </c>
      <c r="G568" s="197" t="s">
        <v>6902</v>
      </c>
      <c r="H568" s="197" t="s">
        <v>7103</v>
      </c>
      <c r="I568" s="197" t="s">
        <v>7101</v>
      </c>
    </row>
    <row r="569" spans="2:9" ht="31.5" x14ac:dyDescent="0.25">
      <c r="B569" s="170" t="s">
        <v>7394</v>
      </c>
      <c r="C569" s="986" t="s">
        <v>4876</v>
      </c>
      <c r="D569" s="197" t="s">
        <v>7128</v>
      </c>
      <c r="E569" s="170" t="s">
        <v>7127</v>
      </c>
      <c r="F569" s="197" t="s">
        <v>521</v>
      </c>
      <c r="G569" s="197" t="s">
        <v>6962</v>
      </c>
      <c r="H569" s="197" t="s">
        <v>6856</v>
      </c>
      <c r="I569" s="197" t="s">
        <v>6851</v>
      </c>
    </row>
    <row r="570" spans="2:9" ht="31.5" x14ac:dyDescent="0.25">
      <c r="B570" s="170" t="s">
        <v>7382</v>
      </c>
      <c r="C570" s="988" t="s">
        <v>4876</v>
      </c>
      <c r="D570" s="197" t="s">
        <v>7128</v>
      </c>
      <c r="E570" s="170" t="s">
        <v>7127</v>
      </c>
      <c r="F570" s="197" t="s">
        <v>521</v>
      </c>
      <c r="G570" s="197" t="s">
        <v>6962</v>
      </c>
      <c r="H570" s="197" t="s">
        <v>6856</v>
      </c>
      <c r="I570" s="197" t="s">
        <v>6851</v>
      </c>
    </row>
    <row r="571" spans="2:9" ht="31.5" x14ac:dyDescent="0.25">
      <c r="B571" s="170" t="s">
        <v>7381</v>
      </c>
      <c r="C571" s="986" t="s">
        <v>4876</v>
      </c>
      <c r="D571" s="197" t="s">
        <v>7128</v>
      </c>
      <c r="E571" s="170" t="s">
        <v>7127</v>
      </c>
      <c r="F571" s="197" t="s">
        <v>521</v>
      </c>
      <c r="G571" s="197" t="s">
        <v>6962</v>
      </c>
      <c r="H571" s="197" t="s">
        <v>6856</v>
      </c>
      <c r="I571" s="197" t="s">
        <v>6851</v>
      </c>
    </row>
    <row r="572" spans="2:9" ht="31.5" x14ac:dyDescent="0.25">
      <c r="B572" s="170" t="s">
        <v>7380</v>
      </c>
      <c r="C572" s="988" t="s">
        <v>4876</v>
      </c>
      <c r="D572" s="197" t="s">
        <v>7128</v>
      </c>
      <c r="E572" s="170" t="s">
        <v>7127</v>
      </c>
      <c r="F572" s="197" t="s">
        <v>521</v>
      </c>
      <c r="G572" s="197" t="s">
        <v>6962</v>
      </c>
      <c r="H572" s="197" t="s">
        <v>6856</v>
      </c>
      <c r="I572" s="197" t="s">
        <v>6851</v>
      </c>
    </row>
    <row r="573" spans="2:9" ht="31.5" x14ac:dyDescent="0.25">
      <c r="B573" s="170" t="s">
        <v>7394</v>
      </c>
      <c r="C573" s="986" t="s">
        <v>4876</v>
      </c>
      <c r="D573" s="197" t="s">
        <v>7125</v>
      </c>
      <c r="E573" s="170" t="s">
        <v>7124</v>
      </c>
      <c r="F573" s="197" t="s">
        <v>521</v>
      </c>
      <c r="G573" s="197" t="s">
        <v>6962</v>
      </c>
      <c r="H573" s="197" t="s">
        <v>6856</v>
      </c>
      <c r="I573" s="197" t="s">
        <v>6851</v>
      </c>
    </row>
    <row r="574" spans="2:9" ht="31.5" x14ac:dyDescent="0.25">
      <c r="B574" s="170" t="s">
        <v>7393</v>
      </c>
      <c r="C574" s="988" t="s">
        <v>4876</v>
      </c>
      <c r="D574" s="197" t="s">
        <v>7125</v>
      </c>
      <c r="E574" s="170" t="s">
        <v>7124</v>
      </c>
      <c r="F574" s="197" t="s">
        <v>521</v>
      </c>
      <c r="G574" s="197" t="s">
        <v>6962</v>
      </c>
      <c r="H574" s="197" t="s">
        <v>6856</v>
      </c>
      <c r="I574" s="197" t="s">
        <v>6851</v>
      </c>
    </row>
    <row r="575" spans="2:9" ht="31.5" x14ac:dyDescent="0.25">
      <c r="B575" s="170" t="s">
        <v>7328</v>
      </c>
      <c r="C575" s="986" t="s">
        <v>4876</v>
      </c>
      <c r="D575" s="197" t="s">
        <v>7125</v>
      </c>
      <c r="E575" s="170" t="s">
        <v>7124</v>
      </c>
      <c r="F575" s="197" t="s">
        <v>521</v>
      </c>
      <c r="G575" s="197" t="s">
        <v>6962</v>
      </c>
      <c r="H575" s="197" t="s">
        <v>6856</v>
      </c>
      <c r="I575" s="197" t="s">
        <v>6851</v>
      </c>
    </row>
    <row r="576" spans="2:9" ht="31.5" x14ac:dyDescent="0.25">
      <c r="B576" s="170" t="s">
        <v>7390</v>
      </c>
      <c r="C576" s="988" t="s">
        <v>4876</v>
      </c>
      <c r="D576" s="197" t="s">
        <v>7125</v>
      </c>
      <c r="E576" s="170" t="s">
        <v>7124</v>
      </c>
      <c r="F576" s="197" t="s">
        <v>521</v>
      </c>
      <c r="G576" s="197" t="s">
        <v>6962</v>
      </c>
      <c r="H576" s="197" t="s">
        <v>6856</v>
      </c>
      <c r="I576" s="197" t="s">
        <v>6851</v>
      </c>
    </row>
    <row r="577" spans="2:9" ht="31.5" x14ac:dyDescent="0.25">
      <c r="B577" s="170" t="s">
        <v>7381</v>
      </c>
      <c r="C577" s="986" t="s">
        <v>4876</v>
      </c>
      <c r="D577" s="197" t="s">
        <v>7125</v>
      </c>
      <c r="E577" s="170" t="s">
        <v>7124</v>
      </c>
      <c r="F577" s="197" t="s">
        <v>521</v>
      </c>
      <c r="G577" s="197" t="s">
        <v>6962</v>
      </c>
      <c r="H577" s="197" t="s">
        <v>6856</v>
      </c>
      <c r="I577" s="197" t="s">
        <v>6851</v>
      </c>
    </row>
    <row r="578" spans="2:9" ht="31.5" x14ac:dyDescent="0.25">
      <c r="B578" s="170" t="s">
        <v>7380</v>
      </c>
      <c r="C578" s="988" t="s">
        <v>4876</v>
      </c>
      <c r="D578" s="197" t="s">
        <v>7125</v>
      </c>
      <c r="E578" s="170" t="s">
        <v>7124</v>
      </c>
      <c r="F578" s="197" t="s">
        <v>521</v>
      </c>
      <c r="G578" s="197" t="s">
        <v>6962</v>
      </c>
      <c r="H578" s="197" t="s">
        <v>6856</v>
      </c>
      <c r="I578" s="197" t="s">
        <v>6851</v>
      </c>
    </row>
    <row r="579" spans="2:9" ht="31.5" x14ac:dyDescent="0.25">
      <c r="B579" s="170" t="s">
        <v>7394</v>
      </c>
      <c r="C579" s="170" t="s">
        <v>4904</v>
      </c>
      <c r="D579" s="197" t="s">
        <v>7121</v>
      </c>
      <c r="E579" s="170" t="s">
        <v>7120</v>
      </c>
      <c r="F579" s="197" t="s">
        <v>6894</v>
      </c>
      <c r="G579" s="197" t="s">
        <v>6897</v>
      </c>
      <c r="H579" s="197" t="s">
        <v>6890</v>
      </c>
      <c r="I579" s="197" t="s">
        <v>6888</v>
      </c>
    </row>
    <row r="580" spans="2:9" ht="31.5" x14ac:dyDescent="0.25">
      <c r="B580" s="170" t="s">
        <v>7393</v>
      </c>
      <c r="C580" s="170" t="s">
        <v>4904</v>
      </c>
      <c r="D580" s="197" t="s">
        <v>7121</v>
      </c>
      <c r="E580" s="170" t="s">
        <v>7120</v>
      </c>
      <c r="F580" s="197" t="s">
        <v>6894</v>
      </c>
      <c r="G580" s="197" t="s">
        <v>6897</v>
      </c>
      <c r="H580" s="197" t="s">
        <v>6890</v>
      </c>
      <c r="I580" s="197" t="s">
        <v>6888</v>
      </c>
    </row>
    <row r="581" spans="2:9" ht="31.5" x14ac:dyDescent="0.25">
      <c r="B581" s="170" t="s">
        <v>7328</v>
      </c>
      <c r="C581" s="170" t="s">
        <v>4904</v>
      </c>
      <c r="D581" s="197" t="s">
        <v>7121</v>
      </c>
      <c r="E581" s="170" t="s">
        <v>7120</v>
      </c>
      <c r="F581" s="197" t="s">
        <v>6894</v>
      </c>
      <c r="G581" s="197" t="s">
        <v>6897</v>
      </c>
      <c r="H581" s="197" t="s">
        <v>6890</v>
      </c>
      <c r="I581" s="197" t="s">
        <v>6888</v>
      </c>
    </row>
    <row r="582" spans="2:9" ht="31.5" x14ac:dyDescent="0.25">
      <c r="B582" s="170" t="s">
        <v>7390</v>
      </c>
      <c r="C582" s="170" t="s">
        <v>4904</v>
      </c>
      <c r="D582" s="197" t="s">
        <v>7121</v>
      </c>
      <c r="E582" s="170" t="s">
        <v>7120</v>
      </c>
      <c r="F582" s="197" t="s">
        <v>6894</v>
      </c>
      <c r="G582" s="197" t="s">
        <v>6897</v>
      </c>
      <c r="H582" s="197" t="s">
        <v>6890</v>
      </c>
      <c r="I582" s="197" t="s">
        <v>6888</v>
      </c>
    </row>
    <row r="583" spans="2:9" ht="31.5" x14ac:dyDescent="0.25">
      <c r="B583" s="170" t="s">
        <v>7326</v>
      </c>
      <c r="C583" s="170" t="s">
        <v>4904</v>
      </c>
      <c r="D583" s="197" t="s">
        <v>7121</v>
      </c>
      <c r="E583" s="170" t="s">
        <v>7120</v>
      </c>
      <c r="F583" s="197" t="s">
        <v>6894</v>
      </c>
      <c r="G583" s="197" t="s">
        <v>6897</v>
      </c>
      <c r="H583" s="197" t="s">
        <v>6890</v>
      </c>
      <c r="I583" s="197" t="s">
        <v>6888</v>
      </c>
    </row>
    <row r="584" spans="2:9" ht="31.5" x14ac:dyDescent="0.25">
      <c r="B584" s="170" t="s">
        <v>7325</v>
      </c>
      <c r="C584" s="170" t="s">
        <v>4904</v>
      </c>
      <c r="D584" s="197" t="s">
        <v>7121</v>
      </c>
      <c r="E584" s="170" t="s">
        <v>7120</v>
      </c>
      <c r="F584" s="197" t="s">
        <v>6894</v>
      </c>
      <c r="G584" s="197" t="s">
        <v>6897</v>
      </c>
      <c r="H584" s="197" t="s">
        <v>6890</v>
      </c>
      <c r="I584" s="197" t="s">
        <v>6888</v>
      </c>
    </row>
    <row r="585" spans="2:9" ht="31.5" x14ac:dyDescent="0.25">
      <c r="B585" s="170" t="s">
        <v>7387</v>
      </c>
      <c r="C585" s="170" t="s">
        <v>4904</v>
      </c>
      <c r="D585" s="197" t="s">
        <v>7121</v>
      </c>
      <c r="E585" s="170" t="s">
        <v>7120</v>
      </c>
      <c r="F585" s="197" t="s">
        <v>6894</v>
      </c>
      <c r="G585" s="197" t="s">
        <v>6897</v>
      </c>
      <c r="H585" s="197" t="s">
        <v>6890</v>
      </c>
      <c r="I585" s="197" t="s">
        <v>6888</v>
      </c>
    </row>
    <row r="586" spans="2:9" ht="31.5" x14ac:dyDescent="0.25">
      <c r="B586" s="170" t="s">
        <v>7323</v>
      </c>
      <c r="C586" s="170" t="s">
        <v>4904</v>
      </c>
      <c r="D586" s="197" t="s">
        <v>7121</v>
      </c>
      <c r="E586" s="170" t="s">
        <v>7120</v>
      </c>
      <c r="F586" s="197" t="s">
        <v>6894</v>
      </c>
      <c r="G586" s="197" t="s">
        <v>6897</v>
      </c>
      <c r="H586" s="197" t="s">
        <v>6890</v>
      </c>
      <c r="I586" s="197" t="s">
        <v>6888</v>
      </c>
    </row>
    <row r="587" spans="2:9" ht="31.5" x14ac:dyDescent="0.25">
      <c r="B587" s="170" t="s">
        <v>7385</v>
      </c>
      <c r="C587" s="170" t="s">
        <v>4904</v>
      </c>
      <c r="D587" s="197" t="s">
        <v>7121</v>
      </c>
      <c r="E587" s="170" t="s">
        <v>7120</v>
      </c>
      <c r="F587" s="197" t="s">
        <v>6894</v>
      </c>
      <c r="G587" s="197" t="s">
        <v>6897</v>
      </c>
      <c r="H587" s="197" t="s">
        <v>6890</v>
      </c>
      <c r="I587" s="197" t="s">
        <v>6888</v>
      </c>
    </row>
    <row r="588" spans="2:9" ht="31.5" x14ac:dyDescent="0.25">
      <c r="B588" s="170" t="s">
        <v>7382</v>
      </c>
      <c r="C588" s="170" t="s">
        <v>4904</v>
      </c>
      <c r="D588" s="197" t="s">
        <v>7121</v>
      </c>
      <c r="E588" s="170" t="s">
        <v>7120</v>
      </c>
      <c r="F588" s="197" t="s">
        <v>6894</v>
      </c>
      <c r="G588" s="197" t="s">
        <v>6897</v>
      </c>
      <c r="H588" s="197" t="s">
        <v>6890</v>
      </c>
      <c r="I588" s="197" t="s">
        <v>6888</v>
      </c>
    </row>
    <row r="589" spans="2:9" ht="31.5" x14ac:dyDescent="0.25">
      <c r="B589" s="170" t="s">
        <v>7381</v>
      </c>
      <c r="C589" s="170" t="s">
        <v>4904</v>
      </c>
      <c r="D589" s="197" t="s">
        <v>7121</v>
      </c>
      <c r="E589" s="170" t="s">
        <v>7120</v>
      </c>
      <c r="F589" s="197" t="s">
        <v>6894</v>
      </c>
      <c r="G589" s="197" t="s">
        <v>6897</v>
      </c>
      <c r="H589" s="197" t="s">
        <v>6890</v>
      </c>
      <c r="I589" s="197" t="s">
        <v>6888</v>
      </c>
    </row>
    <row r="590" spans="2:9" ht="31.5" x14ac:dyDescent="0.25">
      <c r="B590" s="170" t="s">
        <v>7380</v>
      </c>
      <c r="C590" s="170" t="s">
        <v>4904</v>
      </c>
      <c r="D590" s="197" t="s">
        <v>7121</v>
      </c>
      <c r="E590" s="170" t="s">
        <v>7120</v>
      </c>
      <c r="F590" s="197" t="s">
        <v>6894</v>
      </c>
      <c r="G590" s="197" t="s">
        <v>6897</v>
      </c>
      <c r="H590" s="197" t="s">
        <v>6890</v>
      </c>
      <c r="I590" s="197" t="s">
        <v>6888</v>
      </c>
    </row>
    <row r="591" spans="2:9" ht="31.5" x14ac:dyDescent="0.25">
      <c r="B591" s="170" t="s">
        <v>7394</v>
      </c>
      <c r="C591" s="170" t="s">
        <v>4904</v>
      </c>
      <c r="D591" s="197" t="s">
        <v>7119</v>
      </c>
      <c r="E591" s="170" t="s">
        <v>7118</v>
      </c>
      <c r="F591" s="197" t="s">
        <v>6894</v>
      </c>
      <c r="G591" s="197" t="s">
        <v>6982</v>
      </c>
      <c r="H591" s="197" t="s">
        <v>6890</v>
      </c>
      <c r="I591" s="197" t="s">
        <v>6888</v>
      </c>
    </row>
    <row r="592" spans="2:9" ht="31.5" x14ac:dyDescent="0.25">
      <c r="B592" s="170" t="s">
        <v>7393</v>
      </c>
      <c r="C592" s="170" t="s">
        <v>4904</v>
      </c>
      <c r="D592" s="197" t="s">
        <v>7119</v>
      </c>
      <c r="E592" s="170" t="s">
        <v>7118</v>
      </c>
      <c r="F592" s="197" t="s">
        <v>6894</v>
      </c>
      <c r="G592" s="197" t="s">
        <v>6982</v>
      </c>
      <c r="H592" s="197" t="s">
        <v>6890</v>
      </c>
      <c r="I592" s="197" t="s">
        <v>6888</v>
      </c>
    </row>
    <row r="593" spans="2:9" ht="31.5" x14ac:dyDescent="0.25">
      <c r="B593" s="170" t="s">
        <v>7328</v>
      </c>
      <c r="C593" s="170" t="s">
        <v>4904</v>
      </c>
      <c r="D593" s="197" t="s">
        <v>7119</v>
      </c>
      <c r="E593" s="170" t="s">
        <v>7118</v>
      </c>
      <c r="F593" s="197" t="s">
        <v>6894</v>
      </c>
      <c r="G593" s="197" t="s">
        <v>6982</v>
      </c>
      <c r="H593" s="197" t="s">
        <v>6890</v>
      </c>
      <c r="I593" s="197" t="s">
        <v>6888</v>
      </c>
    </row>
    <row r="594" spans="2:9" ht="31.5" x14ac:dyDescent="0.25">
      <c r="B594" s="170" t="s">
        <v>7390</v>
      </c>
      <c r="C594" s="170" t="s">
        <v>4904</v>
      </c>
      <c r="D594" s="197" t="s">
        <v>7119</v>
      </c>
      <c r="E594" s="170" t="s">
        <v>7118</v>
      </c>
      <c r="F594" s="197" t="s">
        <v>6894</v>
      </c>
      <c r="G594" s="197" t="s">
        <v>6982</v>
      </c>
      <c r="H594" s="197" t="s">
        <v>6890</v>
      </c>
      <c r="I594" s="197" t="s">
        <v>6888</v>
      </c>
    </row>
    <row r="595" spans="2:9" ht="31.5" x14ac:dyDescent="0.25">
      <c r="B595" s="170" t="s">
        <v>7326</v>
      </c>
      <c r="C595" s="170" t="s">
        <v>4904</v>
      </c>
      <c r="D595" s="197" t="s">
        <v>7119</v>
      </c>
      <c r="E595" s="170" t="s">
        <v>7118</v>
      </c>
      <c r="F595" s="197" t="s">
        <v>6894</v>
      </c>
      <c r="G595" s="197" t="s">
        <v>6982</v>
      </c>
      <c r="H595" s="197" t="s">
        <v>6890</v>
      </c>
      <c r="I595" s="197" t="s">
        <v>6888</v>
      </c>
    </row>
    <row r="596" spans="2:9" ht="31.5" x14ac:dyDescent="0.25">
      <c r="B596" s="170" t="s">
        <v>7325</v>
      </c>
      <c r="C596" s="170" t="s">
        <v>4904</v>
      </c>
      <c r="D596" s="197" t="s">
        <v>7119</v>
      </c>
      <c r="E596" s="170" t="s">
        <v>7118</v>
      </c>
      <c r="F596" s="197" t="s">
        <v>6894</v>
      </c>
      <c r="G596" s="197" t="s">
        <v>6982</v>
      </c>
      <c r="H596" s="197" t="s">
        <v>6890</v>
      </c>
      <c r="I596" s="197" t="s">
        <v>6888</v>
      </c>
    </row>
    <row r="597" spans="2:9" ht="31.5" x14ac:dyDescent="0.25">
      <c r="B597" s="170" t="s">
        <v>7387</v>
      </c>
      <c r="C597" s="170" t="s">
        <v>4904</v>
      </c>
      <c r="D597" s="197" t="s">
        <v>7119</v>
      </c>
      <c r="E597" s="170" t="s">
        <v>7118</v>
      </c>
      <c r="F597" s="197" t="s">
        <v>6894</v>
      </c>
      <c r="G597" s="197" t="s">
        <v>6982</v>
      </c>
      <c r="H597" s="197" t="s">
        <v>6890</v>
      </c>
      <c r="I597" s="197" t="s">
        <v>6888</v>
      </c>
    </row>
    <row r="598" spans="2:9" ht="31.5" x14ac:dyDescent="0.25">
      <c r="B598" s="170" t="s">
        <v>7323</v>
      </c>
      <c r="C598" s="170" t="s">
        <v>4904</v>
      </c>
      <c r="D598" s="197" t="s">
        <v>7119</v>
      </c>
      <c r="E598" s="170" t="s">
        <v>7118</v>
      </c>
      <c r="F598" s="197" t="s">
        <v>6894</v>
      </c>
      <c r="G598" s="197" t="s">
        <v>6982</v>
      </c>
      <c r="H598" s="197" t="s">
        <v>6890</v>
      </c>
      <c r="I598" s="197" t="s">
        <v>6888</v>
      </c>
    </row>
    <row r="599" spans="2:9" ht="31.5" x14ac:dyDescent="0.25">
      <c r="B599" s="170" t="s">
        <v>7385</v>
      </c>
      <c r="C599" s="170" t="s">
        <v>4904</v>
      </c>
      <c r="D599" s="197" t="s">
        <v>7119</v>
      </c>
      <c r="E599" s="170" t="s">
        <v>7118</v>
      </c>
      <c r="F599" s="197" t="s">
        <v>6894</v>
      </c>
      <c r="G599" s="197" t="s">
        <v>6982</v>
      </c>
      <c r="H599" s="197" t="s">
        <v>6890</v>
      </c>
      <c r="I599" s="197" t="s">
        <v>6888</v>
      </c>
    </row>
    <row r="600" spans="2:9" ht="31.5" x14ac:dyDescent="0.25">
      <c r="B600" s="170" t="s">
        <v>7382</v>
      </c>
      <c r="C600" s="170" t="s">
        <v>4904</v>
      </c>
      <c r="D600" s="197" t="s">
        <v>7119</v>
      </c>
      <c r="E600" s="170" t="s">
        <v>7118</v>
      </c>
      <c r="F600" s="197" t="s">
        <v>6894</v>
      </c>
      <c r="G600" s="197" t="s">
        <v>6982</v>
      </c>
      <c r="H600" s="197" t="s">
        <v>6890</v>
      </c>
      <c r="I600" s="197" t="s">
        <v>6888</v>
      </c>
    </row>
    <row r="601" spans="2:9" ht="31.5" x14ac:dyDescent="0.25">
      <c r="B601" s="170" t="s">
        <v>7381</v>
      </c>
      <c r="C601" s="170" t="s">
        <v>4904</v>
      </c>
      <c r="D601" s="197" t="s">
        <v>7119</v>
      </c>
      <c r="E601" s="170" t="s">
        <v>7118</v>
      </c>
      <c r="F601" s="197" t="s">
        <v>6894</v>
      </c>
      <c r="G601" s="197" t="s">
        <v>6982</v>
      </c>
      <c r="H601" s="197" t="s">
        <v>6890</v>
      </c>
      <c r="I601" s="197" t="s">
        <v>6888</v>
      </c>
    </row>
    <row r="602" spans="2:9" ht="31.5" x14ac:dyDescent="0.25">
      <c r="B602" s="170" t="s">
        <v>7380</v>
      </c>
      <c r="C602" s="170" t="s">
        <v>4904</v>
      </c>
      <c r="D602" s="197" t="s">
        <v>7119</v>
      </c>
      <c r="E602" s="170" t="s">
        <v>7118</v>
      </c>
      <c r="F602" s="197" t="s">
        <v>6894</v>
      </c>
      <c r="G602" s="197" t="s">
        <v>6982</v>
      </c>
      <c r="H602" s="197" t="s">
        <v>6890</v>
      </c>
      <c r="I602" s="197" t="s">
        <v>6888</v>
      </c>
    </row>
    <row r="603" spans="2:9" ht="31.5" x14ac:dyDescent="0.25">
      <c r="B603" s="170" t="s">
        <v>7394</v>
      </c>
      <c r="C603" s="170" t="s">
        <v>4904</v>
      </c>
      <c r="D603" s="197" t="s">
        <v>7117</v>
      </c>
      <c r="E603" s="170" t="s">
        <v>7116</v>
      </c>
      <c r="F603" s="197" t="s">
        <v>6894</v>
      </c>
      <c r="G603" s="197" t="s">
        <v>6982</v>
      </c>
      <c r="H603" s="197" t="s">
        <v>6890</v>
      </c>
      <c r="I603" s="197" t="s">
        <v>6888</v>
      </c>
    </row>
    <row r="604" spans="2:9" ht="31.5" x14ac:dyDescent="0.25">
      <c r="B604" s="170" t="s">
        <v>7393</v>
      </c>
      <c r="C604" s="170" t="s">
        <v>4904</v>
      </c>
      <c r="D604" s="197" t="s">
        <v>7117</v>
      </c>
      <c r="E604" s="170" t="s">
        <v>7116</v>
      </c>
      <c r="F604" s="197" t="s">
        <v>6894</v>
      </c>
      <c r="G604" s="197" t="s">
        <v>6982</v>
      </c>
      <c r="H604" s="197" t="s">
        <v>6890</v>
      </c>
      <c r="I604" s="197" t="s">
        <v>6888</v>
      </c>
    </row>
    <row r="605" spans="2:9" ht="31.5" x14ac:dyDescent="0.25">
      <c r="B605" s="170" t="s">
        <v>7328</v>
      </c>
      <c r="C605" s="170" t="s">
        <v>4904</v>
      </c>
      <c r="D605" s="197" t="s">
        <v>7117</v>
      </c>
      <c r="E605" s="170" t="s">
        <v>7116</v>
      </c>
      <c r="F605" s="197" t="s">
        <v>6894</v>
      </c>
      <c r="G605" s="197" t="s">
        <v>6982</v>
      </c>
      <c r="H605" s="197" t="s">
        <v>6890</v>
      </c>
      <c r="I605" s="197" t="s">
        <v>6888</v>
      </c>
    </row>
    <row r="606" spans="2:9" ht="31.5" x14ac:dyDescent="0.25">
      <c r="B606" s="170" t="s">
        <v>7390</v>
      </c>
      <c r="C606" s="170" t="s">
        <v>4904</v>
      </c>
      <c r="D606" s="197" t="s">
        <v>7117</v>
      </c>
      <c r="E606" s="170" t="s">
        <v>7116</v>
      </c>
      <c r="F606" s="197" t="s">
        <v>6894</v>
      </c>
      <c r="G606" s="197" t="s">
        <v>6982</v>
      </c>
      <c r="H606" s="197" t="s">
        <v>6890</v>
      </c>
      <c r="I606" s="197" t="s">
        <v>6888</v>
      </c>
    </row>
    <row r="607" spans="2:9" ht="31.5" x14ac:dyDescent="0.25">
      <c r="B607" s="170" t="s">
        <v>7326</v>
      </c>
      <c r="C607" s="170" t="s">
        <v>4904</v>
      </c>
      <c r="D607" s="197" t="s">
        <v>7117</v>
      </c>
      <c r="E607" s="170" t="s">
        <v>7116</v>
      </c>
      <c r="F607" s="197" t="s">
        <v>6894</v>
      </c>
      <c r="G607" s="197" t="s">
        <v>6982</v>
      </c>
      <c r="H607" s="197" t="s">
        <v>6890</v>
      </c>
      <c r="I607" s="197" t="s">
        <v>6888</v>
      </c>
    </row>
    <row r="608" spans="2:9" ht="31.5" x14ac:dyDescent="0.25">
      <c r="B608" s="170" t="s">
        <v>7325</v>
      </c>
      <c r="C608" s="170" t="s">
        <v>4904</v>
      </c>
      <c r="D608" s="197" t="s">
        <v>7117</v>
      </c>
      <c r="E608" s="170" t="s">
        <v>7116</v>
      </c>
      <c r="F608" s="197" t="s">
        <v>6894</v>
      </c>
      <c r="G608" s="197" t="s">
        <v>6982</v>
      </c>
      <c r="H608" s="197" t="s">
        <v>6890</v>
      </c>
      <c r="I608" s="197" t="s">
        <v>6888</v>
      </c>
    </row>
    <row r="609" spans="2:9" ht="31.5" x14ac:dyDescent="0.25">
      <c r="B609" s="170" t="s">
        <v>7387</v>
      </c>
      <c r="C609" s="170" t="s">
        <v>4904</v>
      </c>
      <c r="D609" s="197" t="s">
        <v>7117</v>
      </c>
      <c r="E609" s="170" t="s">
        <v>7116</v>
      </c>
      <c r="F609" s="197" t="s">
        <v>6894</v>
      </c>
      <c r="G609" s="197" t="s">
        <v>6982</v>
      </c>
      <c r="H609" s="197" t="s">
        <v>6890</v>
      </c>
      <c r="I609" s="197" t="s">
        <v>6888</v>
      </c>
    </row>
    <row r="610" spans="2:9" ht="31.5" x14ac:dyDescent="0.25">
      <c r="B610" s="170" t="s">
        <v>7323</v>
      </c>
      <c r="C610" s="170" t="s">
        <v>4904</v>
      </c>
      <c r="D610" s="197" t="s">
        <v>7117</v>
      </c>
      <c r="E610" s="170" t="s">
        <v>7116</v>
      </c>
      <c r="F610" s="197" t="s">
        <v>6894</v>
      </c>
      <c r="G610" s="197" t="s">
        <v>6982</v>
      </c>
      <c r="H610" s="197" t="s">
        <v>6890</v>
      </c>
      <c r="I610" s="197" t="s">
        <v>6888</v>
      </c>
    </row>
    <row r="611" spans="2:9" ht="31.5" x14ac:dyDescent="0.25">
      <c r="B611" s="170" t="s">
        <v>7385</v>
      </c>
      <c r="C611" s="170" t="s">
        <v>4904</v>
      </c>
      <c r="D611" s="197" t="s">
        <v>7117</v>
      </c>
      <c r="E611" s="170" t="s">
        <v>7116</v>
      </c>
      <c r="F611" s="197" t="s">
        <v>6894</v>
      </c>
      <c r="G611" s="197" t="s">
        <v>6982</v>
      </c>
      <c r="H611" s="197" t="s">
        <v>6890</v>
      </c>
      <c r="I611" s="197" t="s">
        <v>6888</v>
      </c>
    </row>
    <row r="612" spans="2:9" ht="31.5" x14ac:dyDescent="0.25">
      <c r="B612" s="170" t="s">
        <v>7382</v>
      </c>
      <c r="C612" s="170" t="s">
        <v>4904</v>
      </c>
      <c r="D612" s="197" t="s">
        <v>7117</v>
      </c>
      <c r="E612" s="170" t="s">
        <v>7116</v>
      </c>
      <c r="F612" s="197" t="s">
        <v>6894</v>
      </c>
      <c r="G612" s="197" t="s">
        <v>6982</v>
      </c>
      <c r="H612" s="197" t="s">
        <v>6890</v>
      </c>
      <c r="I612" s="197" t="s">
        <v>6888</v>
      </c>
    </row>
    <row r="613" spans="2:9" ht="31.5" x14ac:dyDescent="0.25">
      <c r="B613" s="170" t="s">
        <v>7381</v>
      </c>
      <c r="C613" s="170" t="s">
        <v>4904</v>
      </c>
      <c r="D613" s="197" t="s">
        <v>7117</v>
      </c>
      <c r="E613" s="170" t="s">
        <v>7116</v>
      </c>
      <c r="F613" s="197" t="s">
        <v>6894</v>
      </c>
      <c r="G613" s="197" t="s">
        <v>6982</v>
      </c>
      <c r="H613" s="197" t="s">
        <v>6890</v>
      </c>
      <c r="I613" s="197" t="s">
        <v>6888</v>
      </c>
    </row>
    <row r="614" spans="2:9" ht="31.5" x14ac:dyDescent="0.25">
      <c r="B614" s="170" t="s">
        <v>7380</v>
      </c>
      <c r="C614" s="170" t="s">
        <v>4904</v>
      </c>
      <c r="D614" s="197" t="s">
        <v>7117</v>
      </c>
      <c r="E614" s="170" t="s">
        <v>7116</v>
      </c>
      <c r="F614" s="197" t="s">
        <v>6894</v>
      </c>
      <c r="G614" s="197" t="s">
        <v>6982</v>
      </c>
      <c r="H614" s="197" t="s">
        <v>6890</v>
      </c>
      <c r="I614" s="197" t="s">
        <v>6888</v>
      </c>
    </row>
    <row r="615" spans="2:9" ht="31.5" x14ac:dyDescent="0.25">
      <c r="B615" s="170" t="s">
        <v>7394</v>
      </c>
      <c r="C615" s="170" t="s">
        <v>4904</v>
      </c>
      <c r="D615" s="197" t="s">
        <v>7115</v>
      </c>
      <c r="E615" s="170" t="s">
        <v>7114</v>
      </c>
      <c r="F615" s="197" t="s">
        <v>6894</v>
      </c>
      <c r="G615" s="197" t="s">
        <v>6982</v>
      </c>
      <c r="H615" s="197" t="s">
        <v>6890</v>
      </c>
      <c r="I615" s="197" t="s">
        <v>6888</v>
      </c>
    </row>
    <row r="616" spans="2:9" ht="31.5" x14ac:dyDescent="0.25">
      <c r="B616" s="170" t="s">
        <v>7393</v>
      </c>
      <c r="C616" s="170" t="s">
        <v>4904</v>
      </c>
      <c r="D616" s="197" t="s">
        <v>7115</v>
      </c>
      <c r="E616" s="170" t="s">
        <v>7114</v>
      </c>
      <c r="F616" s="197" t="s">
        <v>6894</v>
      </c>
      <c r="G616" s="197" t="s">
        <v>6982</v>
      </c>
      <c r="H616" s="197" t="s">
        <v>6890</v>
      </c>
      <c r="I616" s="197" t="s">
        <v>6888</v>
      </c>
    </row>
    <row r="617" spans="2:9" ht="31.5" x14ac:dyDescent="0.25">
      <c r="B617" s="170" t="s">
        <v>7328</v>
      </c>
      <c r="C617" s="170" t="s">
        <v>4904</v>
      </c>
      <c r="D617" s="197" t="s">
        <v>7115</v>
      </c>
      <c r="E617" s="170" t="s">
        <v>7114</v>
      </c>
      <c r="F617" s="197" t="s">
        <v>6894</v>
      </c>
      <c r="G617" s="197" t="s">
        <v>6982</v>
      </c>
      <c r="H617" s="197" t="s">
        <v>6890</v>
      </c>
      <c r="I617" s="197" t="s">
        <v>6888</v>
      </c>
    </row>
    <row r="618" spans="2:9" ht="31.5" x14ac:dyDescent="0.25">
      <c r="B618" s="170" t="s">
        <v>7390</v>
      </c>
      <c r="C618" s="170" t="s">
        <v>4904</v>
      </c>
      <c r="D618" s="197" t="s">
        <v>7115</v>
      </c>
      <c r="E618" s="170" t="s">
        <v>7114</v>
      </c>
      <c r="F618" s="197" t="s">
        <v>6894</v>
      </c>
      <c r="G618" s="197" t="s">
        <v>6982</v>
      </c>
      <c r="H618" s="197" t="s">
        <v>6890</v>
      </c>
      <c r="I618" s="197" t="s">
        <v>6888</v>
      </c>
    </row>
    <row r="619" spans="2:9" ht="31.5" x14ac:dyDescent="0.25">
      <c r="B619" s="170" t="s">
        <v>7326</v>
      </c>
      <c r="C619" s="170" t="s">
        <v>4904</v>
      </c>
      <c r="D619" s="197" t="s">
        <v>7115</v>
      </c>
      <c r="E619" s="170" t="s">
        <v>7114</v>
      </c>
      <c r="F619" s="197" t="s">
        <v>6894</v>
      </c>
      <c r="G619" s="197" t="s">
        <v>6982</v>
      </c>
      <c r="H619" s="197" t="s">
        <v>6890</v>
      </c>
      <c r="I619" s="197" t="s">
        <v>6888</v>
      </c>
    </row>
    <row r="620" spans="2:9" ht="31.5" x14ac:dyDescent="0.25">
      <c r="B620" s="170" t="s">
        <v>7325</v>
      </c>
      <c r="C620" s="170" t="s">
        <v>4904</v>
      </c>
      <c r="D620" s="197" t="s">
        <v>7115</v>
      </c>
      <c r="E620" s="170" t="s">
        <v>7114</v>
      </c>
      <c r="F620" s="197" t="s">
        <v>6894</v>
      </c>
      <c r="G620" s="197" t="s">
        <v>6982</v>
      </c>
      <c r="H620" s="197" t="s">
        <v>6890</v>
      </c>
      <c r="I620" s="197" t="s">
        <v>6888</v>
      </c>
    </row>
    <row r="621" spans="2:9" ht="31.5" x14ac:dyDescent="0.25">
      <c r="B621" s="170" t="s">
        <v>7387</v>
      </c>
      <c r="C621" s="170" t="s">
        <v>4904</v>
      </c>
      <c r="D621" s="197" t="s">
        <v>7115</v>
      </c>
      <c r="E621" s="170" t="s">
        <v>7114</v>
      </c>
      <c r="F621" s="197" t="s">
        <v>6894</v>
      </c>
      <c r="G621" s="197" t="s">
        <v>6982</v>
      </c>
      <c r="H621" s="197" t="s">
        <v>6890</v>
      </c>
      <c r="I621" s="197" t="s">
        <v>6888</v>
      </c>
    </row>
    <row r="622" spans="2:9" ht="31.5" x14ac:dyDescent="0.25">
      <c r="B622" s="170" t="s">
        <v>7323</v>
      </c>
      <c r="C622" s="170" t="s">
        <v>4904</v>
      </c>
      <c r="D622" s="197" t="s">
        <v>7115</v>
      </c>
      <c r="E622" s="170" t="s">
        <v>7114</v>
      </c>
      <c r="F622" s="197" t="s">
        <v>6894</v>
      </c>
      <c r="G622" s="197" t="s">
        <v>6982</v>
      </c>
      <c r="H622" s="197" t="s">
        <v>6890</v>
      </c>
      <c r="I622" s="197" t="s">
        <v>6888</v>
      </c>
    </row>
    <row r="623" spans="2:9" ht="31.5" x14ac:dyDescent="0.25">
      <c r="B623" s="170" t="s">
        <v>7385</v>
      </c>
      <c r="C623" s="170" t="s">
        <v>4904</v>
      </c>
      <c r="D623" s="197" t="s">
        <v>7115</v>
      </c>
      <c r="E623" s="170" t="s">
        <v>7114</v>
      </c>
      <c r="F623" s="197" t="s">
        <v>6894</v>
      </c>
      <c r="G623" s="197" t="s">
        <v>6982</v>
      </c>
      <c r="H623" s="197" t="s">
        <v>6890</v>
      </c>
      <c r="I623" s="197" t="s">
        <v>6888</v>
      </c>
    </row>
    <row r="624" spans="2:9" ht="31.5" x14ac:dyDescent="0.25">
      <c r="B624" s="170" t="s">
        <v>7382</v>
      </c>
      <c r="C624" s="170" t="s">
        <v>4904</v>
      </c>
      <c r="D624" s="197" t="s">
        <v>7115</v>
      </c>
      <c r="E624" s="170" t="s">
        <v>7114</v>
      </c>
      <c r="F624" s="197" t="s">
        <v>6894</v>
      </c>
      <c r="G624" s="197" t="s">
        <v>6982</v>
      </c>
      <c r="H624" s="197" t="s">
        <v>6890</v>
      </c>
      <c r="I624" s="197" t="s">
        <v>6888</v>
      </c>
    </row>
    <row r="625" spans="2:9" ht="31.5" x14ac:dyDescent="0.25">
      <c r="B625" s="170" t="s">
        <v>7381</v>
      </c>
      <c r="C625" s="170" t="s">
        <v>4904</v>
      </c>
      <c r="D625" s="197" t="s">
        <v>7115</v>
      </c>
      <c r="E625" s="170" t="s">
        <v>7114</v>
      </c>
      <c r="F625" s="197" t="s">
        <v>6894</v>
      </c>
      <c r="G625" s="197" t="s">
        <v>6982</v>
      </c>
      <c r="H625" s="197" t="s">
        <v>6890</v>
      </c>
      <c r="I625" s="197" t="s">
        <v>6888</v>
      </c>
    </row>
    <row r="626" spans="2:9" ht="31.5" x14ac:dyDescent="0.25">
      <c r="B626" s="170" t="s">
        <v>7380</v>
      </c>
      <c r="C626" s="170" t="s">
        <v>4904</v>
      </c>
      <c r="D626" s="197" t="s">
        <v>7115</v>
      </c>
      <c r="E626" s="170" t="s">
        <v>7114</v>
      </c>
      <c r="F626" s="197" t="s">
        <v>6894</v>
      </c>
      <c r="G626" s="197" t="s">
        <v>6982</v>
      </c>
      <c r="H626" s="197" t="s">
        <v>6890</v>
      </c>
      <c r="I626" s="197" t="s">
        <v>6888</v>
      </c>
    </row>
    <row r="627" spans="2:9" ht="31.5" x14ac:dyDescent="0.25">
      <c r="B627" s="170" t="s">
        <v>7394</v>
      </c>
      <c r="C627" s="170" t="s">
        <v>4904</v>
      </c>
      <c r="D627" s="197" t="s">
        <v>7113</v>
      </c>
      <c r="E627" s="170" t="s">
        <v>7112</v>
      </c>
      <c r="F627" s="197" t="s">
        <v>6860</v>
      </c>
      <c r="G627" s="197" t="s">
        <v>6897</v>
      </c>
      <c r="H627" s="197" t="s">
        <v>6890</v>
      </c>
      <c r="I627" s="197" t="s">
        <v>6888</v>
      </c>
    </row>
    <row r="628" spans="2:9" ht="31.5" x14ac:dyDescent="0.25">
      <c r="B628" s="170" t="s">
        <v>7393</v>
      </c>
      <c r="C628" s="170" t="s">
        <v>4904</v>
      </c>
      <c r="D628" s="197" t="s">
        <v>7113</v>
      </c>
      <c r="E628" s="170" t="s">
        <v>7112</v>
      </c>
      <c r="F628" s="197" t="s">
        <v>6860</v>
      </c>
      <c r="G628" s="197" t="s">
        <v>6897</v>
      </c>
      <c r="H628" s="197" t="s">
        <v>6890</v>
      </c>
      <c r="I628" s="197" t="s">
        <v>6888</v>
      </c>
    </row>
    <row r="629" spans="2:9" ht="31.5" x14ac:dyDescent="0.25">
      <c r="B629" s="170" t="s">
        <v>7328</v>
      </c>
      <c r="C629" s="170" t="s">
        <v>4904</v>
      </c>
      <c r="D629" s="197" t="s">
        <v>7113</v>
      </c>
      <c r="E629" s="170" t="s">
        <v>7112</v>
      </c>
      <c r="F629" s="197" t="s">
        <v>6860</v>
      </c>
      <c r="G629" s="197" t="s">
        <v>6897</v>
      </c>
      <c r="H629" s="197" t="s">
        <v>6890</v>
      </c>
      <c r="I629" s="197" t="s">
        <v>6888</v>
      </c>
    </row>
    <row r="630" spans="2:9" ht="31.5" x14ac:dyDescent="0.25">
      <c r="B630" s="170" t="s">
        <v>7390</v>
      </c>
      <c r="C630" s="170" t="s">
        <v>4904</v>
      </c>
      <c r="D630" s="197" t="s">
        <v>7113</v>
      </c>
      <c r="E630" s="170" t="s">
        <v>7112</v>
      </c>
      <c r="F630" s="197" t="s">
        <v>6860</v>
      </c>
      <c r="G630" s="197" t="s">
        <v>6897</v>
      </c>
      <c r="H630" s="197" t="s">
        <v>6890</v>
      </c>
      <c r="I630" s="197" t="s">
        <v>6888</v>
      </c>
    </row>
    <row r="631" spans="2:9" ht="31.5" x14ac:dyDescent="0.25">
      <c r="B631" s="170" t="s">
        <v>7326</v>
      </c>
      <c r="C631" s="170" t="s">
        <v>4904</v>
      </c>
      <c r="D631" s="197" t="s">
        <v>7113</v>
      </c>
      <c r="E631" s="170" t="s">
        <v>7112</v>
      </c>
      <c r="F631" s="197" t="s">
        <v>6860</v>
      </c>
      <c r="G631" s="197" t="s">
        <v>6897</v>
      </c>
      <c r="H631" s="197" t="s">
        <v>6890</v>
      </c>
      <c r="I631" s="197" t="s">
        <v>6888</v>
      </c>
    </row>
    <row r="632" spans="2:9" ht="31.5" x14ac:dyDescent="0.25">
      <c r="B632" s="170" t="s">
        <v>7325</v>
      </c>
      <c r="C632" s="170" t="s">
        <v>4904</v>
      </c>
      <c r="D632" s="197" t="s">
        <v>7113</v>
      </c>
      <c r="E632" s="170" t="s">
        <v>7112</v>
      </c>
      <c r="F632" s="197" t="s">
        <v>6860</v>
      </c>
      <c r="G632" s="197" t="s">
        <v>6897</v>
      </c>
      <c r="H632" s="197" t="s">
        <v>6890</v>
      </c>
      <c r="I632" s="197" t="s">
        <v>6888</v>
      </c>
    </row>
    <row r="633" spans="2:9" ht="31.5" x14ac:dyDescent="0.25">
      <c r="B633" s="170" t="s">
        <v>7387</v>
      </c>
      <c r="C633" s="170" t="s">
        <v>4904</v>
      </c>
      <c r="D633" s="197" t="s">
        <v>7113</v>
      </c>
      <c r="E633" s="170" t="s">
        <v>7112</v>
      </c>
      <c r="F633" s="197" t="s">
        <v>6860</v>
      </c>
      <c r="G633" s="197" t="s">
        <v>6897</v>
      </c>
      <c r="H633" s="197" t="s">
        <v>6890</v>
      </c>
      <c r="I633" s="197" t="s">
        <v>6888</v>
      </c>
    </row>
    <row r="634" spans="2:9" ht="31.5" x14ac:dyDescent="0.25">
      <c r="B634" s="170" t="s">
        <v>7323</v>
      </c>
      <c r="C634" s="170" t="s">
        <v>4904</v>
      </c>
      <c r="D634" s="197" t="s">
        <v>7113</v>
      </c>
      <c r="E634" s="170" t="s">
        <v>7112</v>
      </c>
      <c r="F634" s="197" t="s">
        <v>6860</v>
      </c>
      <c r="G634" s="197" t="s">
        <v>6897</v>
      </c>
      <c r="H634" s="197" t="s">
        <v>6890</v>
      </c>
      <c r="I634" s="197" t="s">
        <v>6888</v>
      </c>
    </row>
    <row r="635" spans="2:9" ht="31.5" x14ac:dyDescent="0.25">
      <c r="B635" s="170" t="s">
        <v>7385</v>
      </c>
      <c r="C635" s="170" t="s">
        <v>4904</v>
      </c>
      <c r="D635" s="197" t="s">
        <v>7113</v>
      </c>
      <c r="E635" s="170" t="s">
        <v>7112</v>
      </c>
      <c r="F635" s="197" t="s">
        <v>6860</v>
      </c>
      <c r="G635" s="197" t="s">
        <v>6897</v>
      </c>
      <c r="H635" s="197" t="s">
        <v>6890</v>
      </c>
      <c r="I635" s="197" t="s">
        <v>6888</v>
      </c>
    </row>
    <row r="636" spans="2:9" ht="31.5" x14ac:dyDescent="0.25">
      <c r="B636" s="170" t="s">
        <v>7382</v>
      </c>
      <c r="C636" s="170" t="s">
        <v>4904</v>
      </c>
      <c r="D636" s="197" t="s">
        <v>7113</v>
      </c>
      <c r="E636" s="170" t="s">
        <v>7112</v>
      </c>
      <c r="F636" s="197" t="s">
        <v>6860</v>
      </c>
      <c r="G636" s="197" t="s">
        <v>6897</v>
      </c>
      <c r="H636" s="197" t="s">
        <v>6890</v>
      </c>
      <c r="I636" s="197" t="s">
        <v>6888</v>
      </c>
    </row>
    <row r="637" spans="2:9" ht="31.5" x14ac:dyDescent="0.25">
      <c r="B637" s="170" t="s">
        <v>7381</v>
      </c>
      <c r="C637" s="170" t="s">
        <v>4904</v>
      </c>
      <c r="D637" s="197" t="s">
        <v>7113</v>
      </c>
      <c r="E637" s="170" t="s">
        <v>7112</v>
      </c>
      <c r="F637" s="197" t="s">
        <v>6860</v>
      </c>
      <c r="G637" s="197" t="s">
        <v>6897</v>
      </c>
      <c r="H637" s="197" t="s">
        <v>6890</v>
      </c>
      <c r="I637" s="197" t="s">
        <v>6888</v>
      </c>
    </row>
    <row r="638" spans="2:9" ht="31.5" x14ac:dyDescent="0.25">
      <c r="B638" s="170" t="s">
        <v>7380</v>
      </c>
      <c r="C638" s="170" t="s">
        <v>4904</v>
      </c>
      <c r="D638" s="197" t="s">
        <v>7113</v>
      </c>
      <c r="E638" s="170" t="s">
        <v>7112</v>
      </c>
      <c r="F638" s="197" t="s">
        <v>6860</v>
      </c>
      <c r="G638" s="197" t="s">
        <v>6897</v>
      </c>
      <c r="H638" s="197" t="s">
        <v>6890</v>
      </c>
      <c r="I638" s="197" t="s">
        <v>6888</v>
      </c>
    </row>
    <row r="639" spans="2:9" ht="31.5" x14ac:dyDescent="0.25">
      <c r="B639" s="170" t="s">
        <v>7387</v>
      </c>
      <c r="C639" s="986" t="s">
        <v>4876</v>
      </c>
      <c r="D639" s="197" t="s">
        <v>7111</v>
      </c>
      <c r="E639" s="170" t="s">
        <v>7110</v>
      </c>
      <c r="F639" s="197" t="s">
        <v>6860</v>
      </c>
      <c r="G639" s="197" t="s">
        <v>6897</v>
      </c>
      <c r="H639" s="197" t="s">
        <v>6856</v>
      </c>
      <c r="I639" s="197" t="s">
        <v>6851</v>
      </c>
    </row>
    <row r="640" spans="2:9" ht="31.5" x14ac:dyDescent="0.25">
      <c r="B640" s="170" t="s">
        <v>7323</v>
      </c>
      <c r="C640" s="988" t="s">
        <v>4876</v>
      </c>
      <c r="D640" s="197" t="s">
        <v>7111</v>
      </c>
      <c r="E640" s="170" t="s">
        <v>7110</v>
      </c>
      <c r="F640" s="197" t="s">
        <v>6860</v>
      </c>
      <c r="G640" s="197" t="s">
        <v>6897</v>
      </c>
      <c r="H640" s="197" t="s">
        <v>6856</v>
      </c>
      <c r="I640" s="197" t="s">
        <v>6851</v>
      </c>
    </row>
    <row r="641" spans="2:9" ht="31.5" x14ac:dyDescent="0.25">
      <c r="B641" s="170" t="s">
        <v>7385</v>
      </c>
      <c r="C641" s="986" t="s">
        <v>4876</v>
      </c>
      <c r="D641" s="197" t="s">
        <v>7111</v>
      </c>
      <c r="E641" s="170" t="s">
        <v>7110</v>
      </c>
      <c r="F641" s="197" t="s">
        <v>6860</v>
      </c>
      <c r="G641" s="197" t="s">
        <v>6897</v>
      </c>
      <c r="H641" s="197" t="s">
        <v>6856</v>
      </c>
      <c r="I641" s="197" t="s">
        <v>6851</v>
      </c>
    </row>
    <row r="642" spans="2:9" ht="31.5" x14ac:dyDescent="0.25">
      <c r="B642" s="170" t="s">
        <v>7382</v>
      </c>
      <c r="C642" s="988" t="s">
        <v>4876</v>
      </c>
      <c r="D642" s="197" t="s">
        <v>7111</v>
      </c>
      <c r="E642" s="170" t="s">
        <v>7110</v>
      </c>
      <c r="F642" s="197" t="s">
        <v>6860</v>
      </c>
      <c r="G642" s="197" t="s">
        <v>6897</v>
      </c>
      <c r="H642" s="197" t="s">
        <v>6856</v>
      </c>
      <c r="I642" s="197" t="s">
        <v>6851</v>
      </c>
    </row>
    <row r="643" spans="2:9" ht="31.5" x14ac:dyDescent="0.25">
      <c r="B643" s="170" t="s">
        <v>7394</v>
      </c>
      <c r="C643" s="986" t="s">
        <v>4876</v>
      </c>
      <c r="D643" s="197" t="s">
        <v>7109</v>
      </c>
      <c r="E643" s="170" t="s">
        <v>7108</v>
      </c>
      <c r="F643" s="197" t="s">
        <v>521</v>
      </c>
      <c r="G643" s="197" t="s">
        <v>6962</v>
      </c>
      <c r="H643" s="197" t="s">
        <v>6856</v>
      </c>
      <c r="I643" s="197" t="s">
        <v>6851</v>
      </c>
    </row>
    <row r="644" spans="2:9" ht="31.5" x14ac:dyDescent="0.25">
      <c r="B644" s="170" t="s">
        <v>7393</v>
      </c>
      <c r="C644" s="988" t="s">
        <v>4876</v>
      </c>
      <c r="D644" s="197" t="s">
        <v>7109</v>
      </c>
      <c r="E644" s="170" t="s">
        <v>7108</v>
      </c>
      <c r="F644" s="197" t="s">
        <v>521</v>
      </c>
      <c r="G644" s="197" t="s">
        <v>6962</v>
      </c>
      <c r="H644" s="197" t="s">
        <v>6856</v>
      </c>
      <c r="I644" s="197" t="s">
        <v>6851</v>
      </c>
    </row>
    <row r="645" spans="2:9" ht="31.5" x14ac:dyDescent="0.25">
      <c r="B645" s="170" t="s">
        <v>7381</v>
      </c>
      <c r="C645" s="986" t="s">
        <v>4876</v>
      </c>
      <c r="D645" s="197" t="s">
        <v>7109</v>
      </c>
      <c r="E645" s="170" t="s">
        <v>7108</v>
      </c>
      <c r="F645" s="197" t="s">
        <v>521</v>
      </c>
      <c r="G645" s="197" t="s">
        <v>6962</v>
      </c>
      <c r="H645" s="197" t="s">
        <v>6856</v>
      </c>
      <c r="I645" s="197" t="s">
        <v>6851</v>
      </c>
    </row>
    <row r="646" spans="2:9" ht="31.5" x14ac:dyDescent="0.25">
      <c r="B646" s="170" t="s">
        <v>7380</v>
      </c>
      <c r="C646" s="988" t="s">
        <v>4876</v>
      </c>
      <c r="D646" s="197" t="s">
        <v>7109</v>
      </c>
      <c r="E646" s="170" t="s">
        <v>7108</v>
      </c>
      <c r="F646" s="197" t="s">
        <v>521</v>
      </c>
      <c r="G646" s="197" t="s">
        <v>6962</v>
      </c>
      <c r="H646" s="197" t="s">
        <v>6856</v>
      </c>
      <c r="I646" s="197" t="s">
        <v>6851</v>
      </c>
    </row>
    <row r="647" spans="2:9" ht="31.5" x14ac:dyDescent="0.25">
      <c r="B647" s="170" t="s">
        <v>7394</v>
      </c>
      <c r="C647" s="170" t="s">
        <v>7100</v>
      </c>
      <c r="D647" s="197" t="s">
        <v>7106</v>
      </c>
      <c r="E647" s="170" t="s">
        <v>7105</v>
      </c>
      <c r="F647" s="197" t="s">
        <v>7104</v>
      </c>
      <c r="G647" s="197" t="s">
        <v>6974</v>
      </c>
      <c r="H647" s="197" t="s">
        <v>7103</v>
      </c>
      <c r="I647" s="197" t="s">
        <v>7101</v>
      </c>
    </row>
    <row r="648" spans="2:9" ht="31.5" x14ac:dyDescent="0.25">
      <c r="B648" s="170" t="s">
        <v>7393</v>
      </c>
      <c r="C648" s="170" t="s">
        <v>7100</v>
      </c>
      <c r="D648" s="197" t="s">
        <v>7106</v>
      </c>
      <c r="E648" s="170" t="s">
        <v>7105</v>
      </c>
      <c r="F648" s="197" t="s">
        <v>7104</v>
      </c>
      <c r="G648" s="197" t="s">
        <v>6974</v>
      </c>
      <c r="H648" s="197" t="s">
        <v>7103</v>
      </c>
      <c r="I648" s="197" t="s">
        <v>7101</v>
      </c>
    </row>
    <row r="649" spans="2:9" ht="31.5" x14ac:dyDescent="0.25">
      <c r="B649" s="170" t="s">
        <v>7328</v>
      </c>
      <c r="C649" s="170" t="s">
        <v>7100</v>
      </c>
      <c r="D649" s="197" t="s">
        <v>7106</v>
      </c>
      <c r="E649" s="170" t="s">
        <v>7105</v>
      </c>
      <c r="F649" s="197" t="s">
        <v>7104</v>
      </c>
      <c r="G649" s="197" t="s">
        <v>6974</v>
      </c>
      <c r="H649" s="197" t="s">
        <v>7103</v>
      </c>
      <c r="I649" s="197" t="s">
        <v>7101</v>
      </c>
    </row>
    <row r="650" spans="2:9" ht="31.5" x14ac:dyDescent="0.25">
      <c r="B650" s="170" t="s">
        <v>7390</v>
      </c>
      <c r="C650" s="170" t="s">
        <v>7100</v>
      </c>
      <c r="D650" s="197" t="s">
        <v>7106</v>
      </c>
      <c r="E650" s="170" t="s">
        <v>7105</v>
      </c>
      <c r="F650" s="197" t="s">
        <v>7104</v>
      </c>
      <c r="G650" s="197" t="s">
        <v>6974</v>
      </c>
      <c r="H650" s="197" t="s">
        <v>7103</v>
      </c>
      <c r="I650" s="197" t="s">
        <v>7101</v>
      </c>
    </row>
    <row r="651" spans="2:9" ht="31.5" x14ac:dyDescent="0.25">
      <c r="B651" s="170" t="s">
        <v>7326</v>
      </c>
      <c r="C651" s="170" t="s">
        <v>7100</v>
      </c>
      <c r="D651" s="197" t="s">
        <v>7106</v>
      </c>
      <c r="E651" s="170" t="s">
        <v>7105</v>
      </c>
      <c r="F651" s="197" t="s">
        <v>7104</v>
      </c>
      <c r="G651" s="197" t="s">
        <v>6974</v>
      </c>
      <c r="H651" s="197" t="s">
        <v>7103</v>
      </c>
      <c r="I651" s="197" t="s">
        <v>7101</v>
      </c>
    </row>
    <row r="652" spans="2:9" ht="31.5" x14ac:dyDescent="0.25">
      <c r="B652" s="170" t="s">
        <v>7325</v>
      </c>
      <c r="C652" s="170" t="s">
        <v>7100</v>
      </c>
      <c r="D652" s="197" t="s">
        <v>7106</v>
      </c>
      <c r="E652" s="170" t="s">
        <v>7105</v>
      </c>
      <c r="F652" s="197" t="s">
        <v>7104</v>
      </c>
      <c r="G652" s="197" t="s">
        <v>6974</v>
      </c>
      <c r="H652" s="197" t="s">
        <v>7103</v>
      </c>
      <c r="I652" s="197" t="s">
        <v>7101</v>
      </c>
    </row>
    <row r="653" spans="2:9" ht="31.5" x14ac:dyDescent="0.25">
      <c r="B653" s="170" t="s">
        <v>7387</v>
      </c>
      <c r="C653" s="170" t="s">
        <v>7100</v>
      </c>
      <c r="D653" s="197" t="s">
        <v>7106</v>
      </c>
      <c r="E653" s="170" t="s">
        <v>7105</v>
      </c>
      <c r="F653" s="197" t="s">
        <v>7104</v>
      </c>
      <c r="G653" s="197" t="s">
        <v>6974</v>
      </c>
      <c r="H653" s="197" t="s">
        <v>7103</v>
      </c>
      <c r="I653" s="197" t="s">
        <v>7101</v>
      </c>
    </row>
    <row r="654" spans="2:9" ht="31.5" x14ac:dyDescent="0.25">
      <c r="B654" s="170" t="s">
        <v>7323</v>
      </c>
      <c r="C654" s="170" t="s">
        <v>7100</v>
      </c>
      <c r="D654" s="197" t="s">
        <v>7106</v>
      </c>
      <c r="E654" s="170" t="s">
        <v>7105</v>
      </c>
      <c r="F654" s="197" t="s">
        <v>7104</v>
      </c>
      <c r="G654" s="197" t="s">
        <v>6974</v>
      </c>
      <c r="H654" s="197" t="s">
        <v>7103</v>
      </c>
      <c r="I654" s="197" t="s">
        <v>7101</v>
      </c>
    </row>
    <row r="655" spans="2:9" ht="31.5" x14ac:dyDescent="0.25">
      <c r="B655" s="170" t="s">
        <v>7385</v>
      </c>
      <c r="C655" s="170" t="s">
        <v>7100</v>
      </c>
      <c r="D655" s="197" t="s">
        <v>7106</v>
      </c>
      <c r="E655" s="170" t="s">
        <v>7105</v>
      </c>
      <c r="F655" s="197" t="s">
        <v>7104</v>
      </c>
      <c r="G655" s="197" t="s">
        <v>6974</v>
      </c>
      <c r="H655" s="197" t="s">
        <v>7103</v>
      </c>
      <c r="I655" s="197" t="s">
        <v>7101</v>
      </c>
    </row>
    <row r="656" spans="2:9" ht="31.5" x14ac:dyDescent="0.25">
      <c r="B656" s="170" t="s">
        <v>7382</v>
      </c>
      <c r="C656" s="170" t="s">
        <v>7100</v>
      </c>
      <c r="D656" s="197" t="s">
        <v>7106</v>
      </c>
      <c r="E656" s="170" t="s">
        <v>7105</v>
      </c>
      <c r="F656" s="197" t="s">
        <v>7104</v>
      </c>
      <c r="G656" s="197" t="s">
        <v>6974</v>
      </c>
      <c r="H656" s="197" t="s">
        <v>7103</v>
      </c>
      <c r="I656" s="197" t="s">
        <v>7101</v>
      </c>
    </row>
    <row r="657" spans="2:9" ht="31.5" x14ac:dyDescent="0.25">
      <c r="B657" s="170" t="s">
        <v>7381</v>
      </c>
      <c r="C657" s="170" t="s">
        <v>7100</v>
      </c>
      <c r="D657" s="197" t="s">
        <v>7106</v>
      </c>
      <c r="E657" s="170" t="s">
        <v>7105</v>
      </c>
      <c r="F657" s="197" t="s">
        <v>7104</v>
      </c>
      <c r="G657" s="197" t="s">
        <v>6974</v>
      </c>
      <c r="H657" s="197" t="s">
        <v>7103</v>
      </c>
      <c r="I657" s="197" t="s">
        <v>7101</v>
      </c>
    </row>
    <row r="658" spans="2:9" ht="31.5" x14ac:dyDescent="0.25">
      <c r="B658" s="170" t="s">
        <v>7380</v>
      </c>
      <c r="C658" s="170" t="s">
        <v>7100</v>
      </c>
      <c r="D658" s="197" t="s">
        <v>7106</v>
      </c>
      <c r="E658" s="170" t="s">
        <v>7105</v>
      </c>
      <c r="F658" s="197" t="s">
        <v>7104</v>
      </c>
      <c r="G658" s="197" t="s">
        <v>6974</v>
      </c>
      <c r="H658" s="197" t="s">
        <v>7103</v>
      </c>
      <c r="I658" s="197" t="s">
        <v>7101</v>
      </c>
    </row>
    <row r="659" spans="2:9" ht="31.5" x14ac:dyDescent="0.25">
      <c r="B659" s="170" t="s">
        <v>7394</v>
      </c>
      <c r="C659" s="170" t="s">
        <v>4904</v>
      </c>
      <c r="D659" s="197" t="s">
        <v>7099</v>
      </c>
      <c r="E659" s="170" t="s">
        <v>7098</v>
      </c>
      <c r="F659" s="197" t="s">
        <v>6860</v>
      </c>
      <c r="G659" s="197" t="s">
        <v>6897</v>
      </c>
      <c r="H659" s="197" t="s">
        <v>6980</v>
      </c>
      <c r="I659" s="197" t="s">
        <v>6977</v>
      </c>
    </row>
    <row r="660" spans="2:9" ht="31.5" x14ac:dyDescent="0.25">
      <c r="B660" s="170" t="s">
        <v>7393</v>
      </c>
      <c r="C660" s="170" t="s">
        <v>4904</v>
      </c>
      <c r="D660" s="197" t="s">
        <v>7099</v>
      </c>
      <c r="E660" s="170" t="s">
        <v>7098</v>
      </c>
      <c r="F660" s="197" t="s">
        <v>6860</v>
      </c>
      <c r="G660" s="197" t="s">
        <v>6897</v>
      </c>
      <c r="H660" s="197" t="s">
        <v>6980</v>
      </c>
      <c r="I660" s="197" t="s">
        <v>6977</v>
      </c>
    </row>
    <row r="661" spans="2:9" ht="31.5" x14ac:dyDescent="0.25">
      <c r="B661" s="170" t="s">
        <v>7328</v>
      </c>
      <c r="C661" s="170" t="s">
        <v>4904</v>
      </c>
      <c r="D661" s="197" t="s">
        <v>7099</v>
      </c>
      <c r="E661" s="170" t="s">
        <v>7098</v>
      </c>
      <c r="F661" s="197" t="s">
        <v>6860</v>
      </c>
      <c r="G661" s="197" t="s">
        <v>6897</v>
      </c>
      <c r="H661" s="197" t="s">
        <v>6980</v>
      </c>
      <c r="I661" s="197" t="s">
        <v>6977</v>
      </c>
    </row>
    <row r="662" spans="2:9" ht="31.5" x14ac:dyDescent="0.25">
      <c r="B662" s="170" t="s">
        <v>7382</v>
      </c>
      <c r="C662" s="986" t="s">
        <v>4876</v>
      </c>
      <c r="D662" s="197" t="s">
        <v>7099</v>
      </c>
      <c r="E662" s="170" t="s">
        <v>7098</v>
      </c>
      <c r="F662" s="197" t="s">
        <v>6860</v>
      </c>
      <c r="G662" s="197" t="s">
        <v>6897</v>
      </c>
      <c r="H662" s="197" t="s">
        <v>6980</v>
      </c>
      <c r="I662" s="197" t="s">
        <v>6977</v>
      </c>
    </row>
    <row r="663" spans="2:9" ht="31.5" x14ac:dyDescent="0.25">
      <c r="B663" s="170" t="s">
        <v>7381</v>
      </c>
      <c r="C663" s="988" t="s">
        <v>4876</v>
      </c>
      <c r="D663" s="197" t="s">
        <v>7099</v>
      </c>
      <c r="E663" s="170" t="s">
        <v>7098</v>
      </c>
      <c r="F663" s="197" t="s">
        <v>6860</v>
      </c>
      <c r="G663" s="197" t="s">
        <v>6897</v>
      </c>
      <c r="H663" s="197" t="s">
        <v>6980</v>
      </c>
      <c r="I663" s="197" t="s">
        <v>6977</v>
      </c>
    </row>
    <row r="664" spans="2:9" ht="31.5" x14ac:dyDescent="0.25">
      <c r="B664" s="170" t="s">
        <v>7380</v>
      </c>
      <c r="C664" s="986" t="s">
        <v>4876</v>
      </c>
      <c r="D664" s="197" t="s">
        <v>7099</v>
      </c>
      <c r="E664" s="170" t="s">
        <v>7098</v>
      </c>
      <c r="F664" s="197" t="s">
        <v>6860</v>
      </c>
      <c r="G664" s="197" t="s">
        <v>6897</v>
      </c>
      <c r="H664" s="197" t="s">
        <v>6980</v>
      </c>
      <c r="I664" s="197" t="s">
        <v>6977</v>
      </c>
    </row>
    <row r="665" spans="2:9" ht="31.5" x14ac:dyDescent="0.25">
      <c r="B665" s="170" t="s">
        <v>7325</v>
      </c>
      <c r="C665" s="988" t="s">
        <v>4876</v>
      </c>
      <c r="D665" s="197" t="s">
        <v>7096</v>
      </c>
      <c r="E665" s="170" t="s">
        <v>7095</v>
      </c>
      <c r="F665" s="197" t="s">
        <v>521</v>
      </c>
      <c r="G665" s="197" t="s">
        <v>6962</v>
      </c>
      <c r="H665" s="197" t="s">
        <v>6856</v>
      </c>
      <c r="I665" s="197" t="s">
        <v>6851</v>
      </c>
    </row>
    <row r="666" spans="2:9" ht="31.5" x14ac:dyDescent="0.25">
      <c r="B666" s="170" t="s">
        <v>7387</v>
      </c>
      <c r="C666" s="986" t="s">
        <v>4876</v>
      </c>
      <c r="D666" s="197" t="s">
        <v>7096</v>
      </c>
      <c r="E666" s="170" t="s">
        <v>7095</v>
      </c>
      <c r="F666" s="197" t="s">
        <v>521</v>
      </c>
      <c r="G666" s="197" t="s">
        <v>6962</v>
      </c>
      <c r="H666" s="197" t="s">
        <v>6856</v>
      </c>
      <c r="I666" s="197" t="s">
        <v>6851</v>
      </c>
    </row>
    <row r="667" spans="2:9" ht="31.5" x14ac:dyDescent="0.25">
      <c r="B667" s="170" t="s">
        <v>7323</v>
      </c>
      <c r="C667" s="988" t="s">
        <v>4876</v>
      </c>
      <c r="D667" s="197" t="s">
        <v>7096</v>
      </c>
      <c r="E667" s="170" t="s">
        <v>7095</v>
      </c>
      <c r="F667" s="197" t="s">
        <v>521</v>
      </c>
      <c r="G667" s="197" t="s">
        <v>6962</v>
      </c>
      <c r="H667" s="197" t="s">
        <v>6856</v>
      </c>
      <c r="I667" s="197" t="s">
        <v>6851</v>
      </c>
    </row>
    <row r="668" spans="2:9" ht="31.5" x14ac:dyDescent="0.25">
      <c r="B668" s="170" t="s">
        <v>7385</v>
      </c>
      <c r="C668" s="986" t="s">
        <v>4876</v>
      </c>
      <c r="D668" s="197" t="s">
        <v>7096</v>
      </c>
      <c r="E668" s="170" t="s">
        <v>7095</v>
      </c>
      <c r="F668" s="197" t="s">
        <v>521</v>
      </c>
      <c r="G668" s="197" t="s">
        <v>6962</v>
      </c>
      <c r="H668" s="197" t="s">
        <v>6856</v>
      </c>
      <c r="I668" s="197" t="s">
        <v>6851</v>
      </c>
    </row>
    <row r="669" spans="2:9" ht="31.5" x14ac:dyDescent="0.25">
      <c r="B669" s="170" t="s">
        <v>7323</v>
      </c>
      <c r="C669" s="988" t="s">
        <v>4876</v>
      </c>
      <c r="D669" s="197" t="s">
        <v>7094</v>
      </c>
      <c r="E669" s="170" t="s">
        <v>7093</v>
      </c>
      <c r="F669" s="197" t="s">
        <v>521</v>
      </c>
      <c r="G669" s="197" t="s">
        <v>6974</v>
      </c>
      <c r="H669" s="197" t="s">
        <v>6856</v>
      </c>
      <c r="I669" s="197" t="s">
        <v>6851</v>
      </c>
    </row>
    <row r="670" spans="2:9" ht="31.5" x14ac:dyDescent="0.25">
      <c r="B670" s="170" t="s">
        <v>7385</v>
      </c>
      <c r="C670" s="986" t="s">
        <v>4876</v>
      </c>
      <c r="D670" s="197" t="s">
        <v>7094</v>
      </c>
      <c r="E670" s="170" t="s">
        <v>7093</v>
      </c>
      <c r="F670" s="197" t="s">
        <v>521</v>
      </c>
      <c r="G670" s="197" t="s">
        <v>6974</v>
      </c>
      <c r="H670" s="197" t="s">
        <v>6856</v>
      </c>
      <c r="I670" s="197" t="s">
        <v>6851</v>
      </c>
    </row>
    <row r="671" spans="2:9" ht="31.5" x14ac:dyDescent="0.25">
      <c r="B671" s="170" t="s">
        <v>7323</v>
      </c>
      <c r="C671" s="988" t="s">
        <v>4876</v>
      </c>
      <c r="D671" s="197" t="s">
        <v>7092</v>
      </c>
      <c r="E671" s="170" t="s">
        <v>7091</v>
      </c>
      <c r="F671" s="197" t="s">
        <v>521</v>
      </c>
      <c r="G671" s="197" t="s">
        <v>6962</v>
      </c>
      <c r="H671" s="197" t="s">
        <v>6856</v>
      </c>
      <c r="I671" s="197" t="s">
        <v>6851</v>
      </c>
    </row>
    <row r="672" spans="2:9" ht="31.5" x14ac:dyDescent="0.25">
      <c r="B672" s="170" t="s">
        <v>7385</v>
      </c>
      <c r="C672" s="986" t="s">
        <v>4876</v>
      </c>
      <c r="D672" s="197" t="s">
        <v>7092</v>
      </c>
      <c r="E672" s="170" t="s">
        <v>7091</v>
      </c>
      <c r="F672" s="197" t="s">
        <v>521</v>
      </c>
      <c r="G672" s="197" t="s">
        <v>6962</v>
      </c>
      <c r="H672" s="197" t="s">
        <v>6856</v>
      </c>
      <c r="I672" s="197" t="s">
        <v>6851</v>
      </c>
    </row>
    <row r="673" spans="2:9" ht="31.5" x14ac:dyDescent="0.25">
      <c r="B673" s="170" t="s">
        <v>7394</v>
      </c>
      <c r="C673" s="988" t="s">
        <v>4876</v>
      </c>
      <c r="D673" s="197" t="s">
        <v>7088</v>
      </c>
      <c r="E673" s="170" t="s">
        <v>7087</v>
      </c>
      <c r="F673" s="197" t="s">
        <v>6860</v>
      </c>
      <c r="G673" s="197" t="s">
        <v>6902</v>
      </c>
      <c r="H673" s="197" t="s">
        <v>6856</v>
      </c>
      <c r="I673" s="197" t="s">
        <v>6851</v>
      </c>
    </row>
    <row r="674" spans="2:9" ht="31.5" x14ac:dyDescent="0.25">
      <c r="B674" s="170" t="s">
        <v>7393</v>
      </c>
      <c r="C674" s="986" t="s">
        <v>4876</v>
      </c>
      <c r="D674" s="197" t="s">
        <v>7088</v>
      </c>
      <c r="E674" s="170" t="s">
        <v>7087</v>
      </c>
      <c r="F674" s="197" t="s">
        <v>6860</v>
      </c>
      <c r="G674" s="197" t="s">
        <v>6902</v>
      </c>
      <c r="H674" s="197" t="s">
        <v>6856</v>
      </c>
      <c r="I674" s="197" t="s">
        <v>6851</v>
      </c>
    </row>
    <row r="675" spans="2:9" ht="31.5" x14ac:dyDescent="0.25">
      <c r="B675" s="170" t="s">
        <v>7328</v>
      </c>
      <c r="C675" s="988" t="s">
        <v>4876</v>
      </c>
      <c r="D675" s="197" t="s">
        <v>7088</v>
      </c>
      <c r="E675" s="170" t="s">
        <v>7087</v>
      </c>
      <c r="F675" s="197" t="s">
        <v>6860</v>
      </c>
      <c r="G675" s="197" t="s">
        <v>6902</v>
      </c>
      <c r="H675" s="197" t="s">
        <v>6856</v>
      </c>
      <c r="I675" s="197" t="s">
        <v>6851</v>
      </c>
    </row>
    <row r="676" spans="2:9" ht="31.5" x14ac:dyDescent="0.25">
      <c r="B676" s="170" t="s">
        <v>7390</v>
      </c>
      <c r="C676" s="986" t="s">
        <v>4876</v>
      </c>
      <c r="D676" s="197" t="s">
        <v>7088</v>
      </c>
      <c r="E676" s="170" t="s">
        <v>7087</v>
      </c>
      <c r="F676" s="197" t="s">
        <v>6860</v>
      </c>
      <c r="G676" s="197" t="s">
        <v>6902</v>
      </c>
      <c r="H676" s="197" t="s">
        <v>6856</v>
      </c>
      <c r="I676" s="197" t="s">
        <v>6851</v>
      </c>
    </row>
    <row r="677" spans="2:9" ht="31.5" x14ac:dyDescent="0.25">
      <c r="B677" s="170" t="s">
        <v>7326</v>
      </c>
      <c r="C677" s="988" t="s">
        <v>4876</v>
      </c>
      <c r="D677" s="197" t="s">
        <v>7088</v>
      </c>
      <c r="E677" s="170" t="s">
        <v>7087</v>
      </c>
      <c r="F677" s="197" t="s">
        <v>6860</v>
      </c>
      <c r="G677" s="197" t="s">
        <v>6902</v>
      </c>
      <c r="H677" s="197" t="s">
        <v>6856</v>
      </c>
      <c r="I677" s="197" t="s">
        <v>6851</v>
      </c>
    </row>
    <row r="678" spans="2:9" ht="31.5" x14ac:dyDescent="0.25">
      <c r="B678" s="170" t="s">
        <v>7382</v>
      </c>
      <c r="C678" s="986" t="s">
        <v>4876</v>
      </c>
      <c r="D678" s="197" t="s">
        <v>7088</v>
      </c>
      <c r="E678" s="170" t="s">
        <v>7087</v>
      </c>
      <c r="F678" s="197" t="s">
        <v>6860</v>
      </c>
      <c r="G678" s="197" t="s">
        <v>6902</v>
      </c>
      <c r="H678" s="197" t="s">
        <v>6856</v>
      </c>
      <c r="I678" s="197" t="s">
        <v>6851</v>
      </c>
    </row>
    <row r="679" spans="2:9" ht="31.5" x14ac:dyDescent="0.25">
      <c r="B679" s="170" t="s">
        <v>7381</v>
      </c>
      <c r="C679" s="988" t="s">
        <v>4876</v>
      </c>
      <c r="D679" s="197" t="s">
        <v>7088</v>
      </c>
      <c r="E679" s="170" t="s">
        <v>7087</v>
      </c>
      <c r="F679" s="197" t="s">
        <v>6860</v>
      </c>
      <c r="G679" s="197" t="s">
        <v>6902</v>
      </c>
      <c r="H679" s="197" t="s">
        <v>6856</v>
      </c>
      <c r="I679" s="197" t="s">
        <v>6851</v>
      </c>
    </row>
    <row r="680" spans="2:9" ht="31.5" x14ac:dyDescent="0.25">
      <c r="B680" s="170" t="s">
        <v>7380</v>
      </c>
      <c r="C680" s="986" t="s">
        <v>4876</v>
      </c>
      <c r="D680" s="197" t="s">
        <v>7088</v>
      </c>
      <c r="E680" s="170" t="s">
        <v>7087</v>
      </c>
      <c r="F680" s="197" t="s">
        <v>6860</v>
      </c>
      <c r="G680" s="197" t="s">
        <v>6902</v>
      </c>
      <c r="H680" s="197" t="s">
        <v>6856</v>
      </c>
      <c r="I680" s="197" t="s">
        <v>6851</v>
      </c>
    </row>
    <row r="681" spans="2:9" ht="31.5" x14ac:dyDescent="0.25">
      <c r="B681" s="170" t="s">
        <v>7387</v>
      </c>
      <c r="C681" s="988" t="s">
        <v>4876</v>
      </c>
      <c r="D681" s="197" t="s">
        <v>7084</v>
      </c>
      <c r="E681" s="170" t="s">
        <v>7083</v>
      </c>
      <c r="F681" s="197" t="s">
        <v>521</v>
      </c>
      <c r="G681" s="197" t="s">
        <v>6962</v>
      </c>
      <c r="H681" s="197" t="s">
        <v>6856</v>
      </c>
      <c r="I681" s="197" t="s">
        <v>6851</v>
      </c>
    </row>
    <row r="682" spans="2:9" ht="31.5" x14ac:dyDescent="0.25">
      <c r="B682" s="170" t="s">
        <v>7323</v>
      </c>
      <c r="C682" s="986" t="s">
        <v>4876</v>
      </c>
      <c r="D682" s="197" t="s">
        <v>7084</v>
      </c>
      <c r="E682" s="170" t="s">
        <v>7083</v>
      </c>
      <c r="F682" s="197" t="s">
        <v>521</v>
      </c>
      <c r="G682" s="197" t="s">
        <v>6962</v>
      </c>
      <c r="H682" s="197" t="s">
        <v>6856</v>
      </c>
      <c r="I682" s="197" t="s">
        <v>6851</v>
      </c>
    </row>
    <row r="683" spans="2:9" ht="31.5" x14ac:dyDescent="0.25">
      <c r="B683" s="170" t="s">
        <v>7385</v>
      </c>
      <c r="C683" s="988" t="s">
        <v>4876</v>
      </c>
      <c r="D683" s="197" t="s">
        <v>7084</v>
      </c>
      <c r="E683" s="170" t="s">
        <v>7083</v>
      </c>
      <c r="F683" s="197" t="s">
        <v>521</v>
      </c>
      <c r="G683" s="197" t="s">
        <v>6962</v>
      </c>
      <c r="H683" s="197" t="s">
        <v>6856</v>
      </c>
      <c r="I683" s="197" t="s">
        <v>6851</v>
      </c>
    </row>
    <row r="684" spans="2:9" ht="31.5" x14ac:dyDescent="0.25">
      <c r="B684" s="170" t="s">
        <v>7394</v>
      </c>
      <c r="C684" s="170" t="s">
        <v>4904</v>
      </c>
      <c r="D684" s="197" t="s">
        <v>7082</v>
      </c>
      <c r="E684" s="170" t="s">
        <v>7081</v>
      </c>
      <c r="F684" s="197" t="s">
        <v>521</v>
      </c>
      <c r="G684" s="197" t="s">
        <v>6991</v>
      </c>
      <c r="H684" s="197" t="s">
        <v>6980</v>
      </c>
      <c r="I684" s="197" t="s">
        <v>6977</v>
      </c>
    </row>
    <row r="685" spans="2:9" ht="31.5" x14ac:dyDescent="0.25">
      <c r="B685" s="170" t="s">
        <v>7393</v>
      </c>
      <c r="C685" s="170" t="s">
        <v>4904</v>
      </c>
      <c r="D685" s="197" t="s">
        <v>7082</v>
      </c>
      <c r="E685" s="170" t="s">
        <v>7081</v>
      </c>
      <c r="F685" s="197" t="s">
        <v>521</v>
      </c>
      <c r="G685" s="197" t="s">
        <v>6991</v>
      </c>
      <c r="H685" s="197" t="s">
        <v>6980</v>
      </c>
      <c r="I685" s="197" t="s">
        <v>6977</v>
      </c>
    </row>
    <row r="686" spans="2:9" ht="31.5" x14ac:dyDescent="0.25">
      <c r="B686" s="170" t="s">
        <v>7328</v>
      </c>
      <c r="C686" s="170" t="s">
        <v>4904</v>
      </c>
      <c r="D686" s="197" t="s">
        <v>7082</v>
      </c>
      <c r="E686" s="170" t="s">
        <v>7081</v>
      </c>
      <c r="F686" s="197" t="s">
        <v>521</v>
      </c>
      <c r="G686" s="197" t="s">
        <v>6991</v>
      </c>
      <c r="H686" s="197" t="s">
        <v>6980</v>
      </c>
      <c r="I686" s="197" t="s">
        <v>6977</v>
      </c>
    </row>
    <row r="687" spans="2:9" ht="31.5" x14ac:dyDescent="0.25">
      <c r="B687" s="170" t="s">
        <v>7390</v>
      </c>
      <c r="C687" s="170" t="s">
        <v>4904</v>
      </c>
      <c r="D687" s="197" t="s">
        <v>7082</v>
      </c>
      <c r="E687" s="170" t="s">
        <v>7081</v>
      </c>
      <c r="F687" s="197" t="s">
        <v>521</v>
      </c>
      <c r="G687" s="197" t="s">
        <v>6991</v>
      </c>
      <c r="H687" s="197" t="s">
        <v>6980</v>
      </c>
      <c r="I687" s="197" t="s">
        <v>6977</v>
      </c>
    </row>
    <row r="688" spans="2:9" ht="31.5" x14ac:dyDescent="0.25">
      <c r="B688" s="170" t="s">
        <v>7326</v>
      </c>
      <c r="C688" s="170" t="s">
        <v>4904</v>
      </c>
      <c r="D688" s="197" t="s">
        <v>7082</v>
      </c>
      <c r="E688" s="170" t="s">
        <v>7081</v>
      </c>
      <c r="F688" s="197" t="s">
        <v>521</v>
      </c>
      <c r="G688" s="197" t="s">
        <v>6991</v>
      </c>
      <c r="H688" s="197" t="s">
        <v>6980</v>
      </c>
      <c r="I688" s="197" t="s">
        <v>6977</v>
      </c>
    </row>
    <row r="689" spans="2:9" ht="31.5" x14ac:dyDescent="0.25">
      <c r="B689" s="170" t="s">
        <v>7325</v>
      </c>
      <c r="C689" s="170" t="s">
        <v>4904</v>
      </c>
      <c r="D689" s="197" t="s">
        <v>7082</v>
      </c>
      <c r="E689" s="170" t="s">
        <v>7081</v>
      </c>
      <c r="F689" s="197" t="s">
        <v>521</v>
      </c>
      <c r="G689" s="197" t="s">
        <v>6991</v>
      </c>
      <c r="H689" s="197" t="s">
        <v>6980</v>
      </c>
      <c r="I689" s="197" t="s">
        <v>6977</v>
      </c>
    </row>
    <row r="690" spans="2:9" ht="31.5" x14ac:dyDescent="0.25">
      <c r="B690" s="170" t="s">
        <v>7387</v>
      </c>
      <c r="C690" s="170" t="s">
        <v>4904</v>
      </c>
      <c r="D690" s="197" t="s">
        <v>7082</v>
      </c>
      <c r="E690" s="170" t="s">
        <v>7081</v>
      </c>
      <c r="F690" s="197" t="s">
        <v>521</v>
      </c>
      <c r="G690" s="197" t="s">
        <v>6991</v>
      </c>
      <c r="H690" s="197" t="s">
        <v>6980</v>
      </c>
      <c r="I690" s="197" t="s">
        <v>6977</v>
      </c>
    </row>
    <row r="691" spans="2:9" ht="31.5" x14ac:dyDescent="0.25">
      <c r="B691" s="170" t="s">
        <v>7385</v>
      </c>
      <c r="C691" s="986" t="s">
        <v>4876</v>
      </c>
      <c r="D691" s="197" t="s">
        <v>7082</v>
      </c>
      <c r="E691" s="170" t="s">
        <v>7081</v>
      </c>
      <c r="F691" s="197" t="s">
        <v>521</v>
      </c>
      <c r="G691" s="197" t="s">
        <v>6991</v>
      </c>
      <c r="H691" s="197" t="s">
        <v>6980</v>
      </c>
      <c r="I691" s="197" t="s">
        <v>6977</v>
      </c>
    </row>
    <row r="692" spans="2:9" ht="31.5" x14ac:dyDescent="0.25">
      <c r="B692" s="170" t="s">
        <v>7382</v>
      </c>
      <c r="C692" s="988" t="s">
        <v>4876</v>
      </c>
      <c r="D692" s="197" t="s">
        <v>7082</v>
      </c>
      <c r="E692" s="170" t="s">
        <v>7081</v>
      </c>
      <c r="F692" s="197" t="s">
        <v>521</v>
      </c>
      <c r="G692" s="197" t="s">
        <v>6991</v>
      </c>
      <c r="H692" s="197" t="s">
        <v>6980</v>
      </c>
      <c r="I692" s="197" t="s">
        <v>6977</v>
      </c>
    </row>
    <row r="693" spans="2:9" ht="31.5" x14ac:dyDescent="0.25">
      <c r="B693" s="170" t="s">
        <v>7381</v>
      </c>
      <c r="C693" s="170" t="s">
        <v>4904</v>
      </c>
      <c r="D693" s="197" t="s">
        <v>7082</v>
      </c>
      <c r="E693" s="170" t="s">
        <v>7081</v>
      </c>
      <c r="F693" s="197" t="s">
        <v>521</v>
      </c>
      <c r="G693" s="197" t="s">
        <v>6991</v>
      </c>
      <c r="H693" s="197" t="s">
        <v>6980</v>
      </c>
      <c r="I693" s="197" t="s">
        <v>6977</v>
      </c>
    </row>
    <row r="694" spans="2:9" ht="31.5" x14ac:dyDescent="0.25">
      <c r="B694" s="170" t="s">
        <v>7380</v>
      </c>
      <c r="C694" s="170" t="s">
        <v>4904</v>
      </c>
      <c r="D694" s="197" t="s">
        <v>7082</v>
      </c>
      <c r="E694" s="170" t="s">
        <v>7081</v>
      </c>
      <c r="F694" s="197" t="s">
        <v>521</v>
      </c>
      <c r="G694" s="197" t="s">
        <v>6991</v>
      </c>
      <c r="H694" s="197" t="s">
        <v>6980</v>
      </c>
      <c r="I694" s="197" t="s">
        <v>6977</v>
      </c>
    </row>
    <row r="695" spans="2:9" ht="31.5" x14ac:dyDescent="0.25">
      <c r="B695" s="170" t="s">
        <v>7394</v>
      </c>
      <c r="C695" s="170" t="s">
        <v>4904</v>
      </c>
      <c r="D695" s="197" t="s">
        <v>7078</v>
      </c>
      <c r="E695" s="170" t="s">
        <v>7077</v>
      </c>
      <c r="F695" s="197" t="s">
        <v>7072</v>
      </c>
      <c r="G695" s="197" t="s">
        <v>6893</v>
      </c>
      <c r="H695" s="197" t="s">
        <v>6980</v>
      </c>
      <c r="I695" s="197" t="s">
        <v>6977</v>
      </c>
    </row>
    <row r="696" spans="2:9" ht="31.5" x14ac:dyDescent="0.25">
      <c r="B696" s="170" t="s">
        <v>7393</v>
      </c>
      <c r="C696" s="170" t="s">
        <v>4904</v>
      </c>
      <c r="D696" s="197" t="s">
        <v>7078</v>
      </c>
      <c r="E696" s="170" t="s">
        <v>7077</v>
      </c>
      <c r="F696" s="197" t="s">
        <v>7072</v>
      </c>
      <c r="G696" s="197" t="s">
        <v>6893</v>
      </c>
      <c r="H696" s="197" t="s">
        <v>6980</v>
      </c>
      <c r="I696" s="197" t="s">
        <v>6977</v>
      </c>
    </row>
    <row r="697" spans="2:9" ht="31.5" x14ac:dyDescent="0.25">
      <c r="B697" s="170" t="s">
        <v>7328</v>
      </c>
      <c r="C697" s="170" t="s">
        <v>4904</v>
      </c>
      <c r="D697" s="197" t="s">
        <v>7078</v>
      </c>
      <c r="E697" s="170" t="s">
        <v>7077</v>
      </c>
      <c r="F697" s="197" t="s">
        <v>7072</v>
      </c>
      <c r="G697" s="197" t="s">
        <v>6893</v>
      </c>
      <c r="H697" s="197" t="s">
        <v>6980</v>
      </c>
      <c r="I697" s="197" t="s">
        <v>6977</v>
      </c>
    </row>
    <row r="698" spans="2:9" ht="31.5" x14ac:dyDescent="0.25">
      <c r="B698" s="170" t="s">
        <v>7390</v>
      </c>
      <c r="C698" s="170" t="s">
        <v>4904</v>
      </c>
      <c r="D698" s="197" t="s">
        <v>7078</v>
      </c>
      <c r="E698" s="170" t="s">
        <v>7077</v>
      </c>
      <c r="F698" s="197" t="s">
        <v>7072</v>
      </c>
      <c r="G698" s="197" t="s">
        <v>6893</v>
      </c>
      <c r="H698" s="197" t="s">
        <v>6980</v>
      </c>
      <c r="I698" s="197" t="s">
        <v>6977</v>
      </c>
    </row>
    <row r="699" spans="2:9" ht="31.5" x14ac:dyDescent="0.25">
      <c r="B699" s="170" t="s">
        <v>7326</v>
      </c>
      <c r="C699" s="170" t="s">
        <v>4904</v>
      </c>
      <c r="D699" s="197" t="s">
        <v>7078</v>
      </c>
      <c r="E699" s="170" t="s">
        <v>7077</v>
      </c>
      <c r="F699" s="197" t="s">
        <v>7072</v>
      </c>
      <c r="G699" s="197" t="s">
        <v>6893</v>
      </c>
      <c r="H699" s="197" t="s">
        <v>6980</v>
      </c>
      <c r="I699" s="197" t="s">
        <v>6977</v>
      </c>
    </row>
    <row r="700" spans="2:9" ht="31.5" x14ac:dyDescent="0.25">
      <c r="B700" s="170" t="s">
        <v>7325</v>
      </c>
      <c r="C700" s="170" t="s">
        <v>4904</v>
      </c>
      <c r="D700" s="197" t="s">
        <v>7078</v>
      </c>
      <c r="E700" s="170" t="s">
        <v>7077</v>
      </c>
      <c r="F700" s="197" t="s">
        <v>7072</v>
      </c>
      <c r="G700" s="197" t="s">
        <v>6893</v>
      </c>
      <c r="H700" s="197" t="s">
        <v>6980</v>
      </c>
      <c r="I700" s="197" t="s">
        <v>6977</v>
      </c>
    </row>
    <row r="701" spans="2:9" ht="31.5" x14ac:dyDescent="0.25">
      <c r="B701" s="170" t="s">
        <v>7387</v>
      </c>
      <c r="C701" s="986" t="s">
        <v>4876</v>
      </c>
      <c r="D701" s="197" t="s">
        <v>7078</v>
      </c>
      <c r="E701" s="170" t="s">
        <v>7077</v>
      </c>
      <c r="F701" s="197" t="s">
        <v>7072</v>
      </c>
      <c r="G701" s="197" t="s">
        <v>6893</v>
      </c>
      <c r="H701" s="197" t="s">
        <v>6980</v>
      </c>
      <c r="I701" s="197" t="s">
        <v>6977</v>
      </c>
    </row>
    <row r="702" spans="2:9" ht="31.5" x14ac:dyDescent="0.25">
      <c r="B702" s="170" t="s">
        <v>7323</v>
      </c>
      <c r="C702" s="988" t="s">
        <v>4876</v>
      </c>
      <c r="D702" s="197" t="s">
        <v>7078</v>
      </c>
      <c r="E702" s="170" t="s">
        <v>7077</v>
      </c>
      <c r="F702" s="197" t="s">
        <v>7072</v>
      </c>
      <c r="G702" s="197" t="s">
        <v>6893</v>
      </c>
      <c r="H702" s="197" t="s">
        <v>6980</v>
      </c>
      <c r="I702" s="197" t="s">
        <v>6977</v>
      </c>
    </row>
    <row r="703" spans="2:9" ht="31.5" x14ac:dyDescent="0.25">
      <c r="B703" s="170" t="s">
        <v>7385</v>
      </c>
      <c r="C703" s="986" t="s">
        <v>4876</v>
      </c>
      <c r="D703" s="197" t="s">
        <v>7078</v>
      </c>
      <c r="E703" s="170" t="s">
        <v>7077</v>
      </c>
      <c r="F703" s="197" t="s">
        <v>7072</v>
      </c>
      <c r="G703" s="197" t="s">
        <v>6893</v>
      </c>
      <c r="H703" s="197" t="s">
        <v>6980</v>
      </c>
      <c r="I703" s="197" t="s">
        <v>6977</v>
      </c>
    </row>
    <row r="704" spans="2:9" ht="31.5" x14ac:dyDescent="0.25">
      <c r="B704" s="170" t="s">
        <v>7382</v>
      </c>
      <c r="C704" s="170" t="s">
        <v>4904</v>
      </c>
      <c r="D704" s="197" t="s">
        <v>7078</v>
      </c>
      <c r="E704" s="170" t="s">
        <v>7077</v>
      </c>
      <c r="F704" s="197" t="s">
        <v>7072</v>
      </c>
      <c r="G704" s="197" t="s">
        <v>6893</v>
      </c>
      <c r="H704" s="197" t="s">
        <v>6980</v>
      </c>
      <c r="I704" s="197" t="s">
        <v>6977</v>
      </c>
    </row>
    <row r="705" spans="2:9" ht="31.5" x14ac:dyDescent="0.25">
      <c r="B705" s="170" t="s">
        <v>7381</v>
      </c>
      <c r="C705" s="170" t="s">
        <v>4904</v>
      </c>
      <c r="D705" s="197" t="s">
        <v>7078</v>
      </c>
      <c r="E705" s="170" t="s">
        <v>7077</v>
      </c>
      <c r="F705" s="197" t="s">
        <v>7072</v>
      </c>
      <c r="G705" s="197" t="s">
        <v>6893</v>
      </c>
      <c r="H705" s="197" t="s">
        <v>6980</v>
      </c>
      <c r="I705" s="197" t="s">
        <v>6977</v>
      </c>
    </row>
    <row r="706" spans="2:9" ht="31.5" x14ac:dyDescent="0.25">
      <c r="B706" s="170" t="s">
        <v>7380</v>
      </c>
      <c r="C706" s="170" t="s">
        <v>4904</v>
      </c>
      <c r="D706" s="197" t="s">
        <v>7078</v>
      </c>
      <c r="E706" s="170" t="s">
        <v>7077</v>
      </c>
      <c r="F706" s="197" t="s">
        <v>7072</v>
      </c>
      <c r="G706" s="197" t="s">
        <v>6893</v>
      </c>
      <c r="H706" s="197" t="s">
        <v>6980</v>
      </c>
      <c r="I706" s="197" t="s">
        <v>6977</v>
      </c>
    </row>
    <row r="707" spans="2:9" ht="31.5" x14ac:dyDescent="0.25">
      <c r="B707" s="170" t="s">
        <v>7390</v>
      </c>
      <c r="C707" s="988" t="s">
        <v>4876</v>
      </c>
      <c r="D707" s="197" t="s">
        <v>7074</v>
      </c>
      <c r="E707" s="170" t="s">
        <v>7073</v>
      </c>
      <c r="F707" s="197" t="s">
        <v>7072</v>
      </c>
      <c r="G707" s="197" t="s">
        <v>6866</v>
      </c>
      <c r="H707" s="197" t="s">
        <v>6856</v>
      </c>
      <c r="I707" s="197" t="s">
        <v>6851</v>
      </c>
    </row>
    <row r="708" spans="2:9" ht="31.5" x14ac:dyDescent="0.25">
      <c r="B708" s="170" t="s">
        <v>7326</v>
      </c>
      <c r="C708" s="986" t="s">
        <v>4876</v>
      </c>
      <c r="D708" s="197" t="s">
        <v>7074</v>
      </c>
      <c r="E708" s="170" t="s">
        <v>7073</v>
      </c>
      <c r="F708" s="197" t="s">
        <v>7072</v>
      </c>
      <c r="G708" s="197" t="s">
        <v>6866</v>
      </c>
      <c r="H708" s="197" t="s">
        <v>6856</v>
      </c>
      <c r="I708" s="197" t="s">
        <v>6851</v>
      </c>
    </row>
    <row r="709" spans="2:9" ht="31.5" x14ac:dyDescent="0.25">
      <c r="B709" s="170" t="s">
        <v>7325</v>
      </c>
      <c r="C709" s="988" t="s">
        <v>4876</v>
      </c>
      <c r="D709" s="197" t="s">
        <v>7074</v>
      </c>
      <c r="E709" s="170" t="s">
        <v>7073</v>
      </c>
      <c r="F709" s="197" t="s">
        <v>7072</v>
      </c>
      <c r="G709" s="197" t="s">
        <v>6866</v>
      </c>
      <c r="H709" s="197" t="s">
        <v>6856</v>
      </c>
      <c r="I709" s="197" t="s">
        <v>6851</v>
      </c>
    </row>
    <row r="710" spans="2:9" ht="31.5" x14ac:dyDescent="0.25">
      <c r="B710" s="170" t="s">
        <v>7387</v>
      </c>
      <c r="C710" s="986" t="s">
        <v>4876</v>
      </c>
      <c r="D710" s="197" t="s">
        <v>7074</v>
      </c>
      <c r="E710" s="170" t="s">
        <v>7073</v>
      </c>
      <c r="F710" s="197" t="s">
        <v>7072</v>
      </c>
      <c r="G710" s="197" t="s">
        <v>6866</v>
      </c>
      <c r="H710" s="197" t="s">
        <v>6856</v>
      </c>
      <c r="I710" s="197" t="s">
        <v>6851</v>
      </c>
    </row>
    <row r="711" spans="2:9" ht="31.5" x14ac:dyDescent="0.25">
      <c r="B711" s="170" t="s">
        <v>7394</v>
      </c>
      <c r="C711" s="988" t="s">
        <v>4876</v>
      </c>
      <c r="D711" s="197" t="s">
        <v>7069</v>
      </c>
      <c r="E711" s="170" t="s">
        <v>7068</v>
      </c>
      <c r="F711" s="197" t="s">
        <v>521</v>
      </c>
      <c r="G711" s="197" t="s">
        <v>6962</v>
      </c>
      <c r="H711" s="197" t="s">
        <v>6856</v>
      </c>
      <c r="I711" s="197" t="s">
        <v>6851</v>
      </c>
    </row>
    <row r="712" spans="2:9" ht="31.5" x14ac:dyDescent="0.25">
      <c r="B712" s="170" t="s">
        <v>7393</v>
      </c>
      <c r="C712" s="986" t="s">
        <v>4876</v>
      </c>
      <c r="D712" s="197" t="s">
        <v>7069</v>
      </c>
      <c r="E712" s="170" t="s">
        <v>7068</v>
      </c>
      <c r="F712" s="197" t="s">
        <v>521</v>
      </c>
      <c r="G712" s="197" t="s">
        <v>6962</v>
      </c>
      <c r="H712" s="197" t="s">
        <v>6856</v>
      </c>
      <c r="I712" s="197" t="s">
        <v>6851</v>
      </c>
    </row>
    <row r="713" spans="2:9" ht="31.5" x14ac:dyDescent="0.25">
      <c r="B713" s="170" t="s">
        <v>7328</v>
      </c>
      <c r="C713" s="988" t="s">
        <v>4876</v>
      </c>
      <c r="D713" s="197" t="s">
        <v>7069</v>
      </c>
      <c r="E713" s="170" t="s">
        <v>7068</v>
      </c>
      <c r="F713" s="197" t="s">
        <v>521</v>
      </c>
      <c r="G713" s="197" t="s">
        <v>6962</v>
      </c>
      <c r="H713" s="197" t="s">
        <v>6856</v>
      </c>
      <c r="I713" s="197" t="s">
        <v>6851</v>
      </c>
    </row>
    <row r="714" spans="2:9" ht="31.5" x14ac:dyDescent="0.25">
      <c r="B714" s="170" t="s">
        <v>7390</v>
      </c>
      <c r="C714" s="986" t="s">
        <v>4876</v>
      </c>
      <c r="D714" s="197" t="s">
        <v>7069</v>
      </c>
      <c r="E714" s="170" t="s">
        <v>7068</v>
      </c>
      <c r="F714" s="197" t="s">
        <v>521</v>
      </c>
      <c r="G714" s="197" t="s">
        <v>6962</v>
      </c>
      <c r="H714" s="197" t="s">
        <v>6856</v>
      </c>
      <c r="I714" s="197" t="s">
        <v>6851</v>
      </c>
    </row>
    <row r="715" spans="2:9" ht="31.5" x14ac:dyDescent="0.25">
      <c r="B715" s="170" t="s">
        <v>7380</v>
      </c>
      <c r="C715" s="988" t="s">
        <v>4876</v>
      </c>
      <c r="D715" s="197" t="s">
        <v>7069</v>
      </c>
      <c r="E715" s="170" t="s">
        <v>7068</v>
      </c>
      <c r="F715" s="197" t="s">
        <v>521</v>
      </c>
      <c r="G715" s="197" t="s">
        <v>6962</v>
      </c>
      <c r="H715" s="197" t="s">
        <v>6856</v>
      </c>
      <c r="I715" s="197" t="s">
        <v>6851</v>
      </c>
    </row>
    <row r="716" spans="2:9" ht="31.5" x14ac:dyDescent="0.25">
      <c r="B716" s="170" t="s">
        <v>7394</v>
      </c>
      <c r="C716" s="986" t="s">
        <v>4876</v>
      </c>
      <c r="D716" s="197" t="s">
        <v>7065</v>
      </c>
      <c r="E716" s="170" t="s">
        <v>7064</v>
      </c>
      <c r="F716" s="197" t="s">
        <v>521</v>
      </c>
      <c r="G716" s="197" t="s">
        <v>6991</v>
      </c>
      <c r="H716" s="197" t="s">
        <v>6856</v>
      </c>
      <c r="I716" s="197" t="s">
        <v>6851</v>
      </c>
    </row>
    <row r="717" spans="2:9" ht="31.5" x14ac:dyDescent="0.25">
      <c r="B717" s="170" t="s">
        <v>7393</v>
      </c>
      <c r="C717" s="988" t="s">
        <v>4876</v>
      </c>
      <c r="D717" s="197" t="s">
        <v>7065</v>
      </c>
      <c r="E717" s="170" t="s">
        <v>7064</v>
      </c>
      <c r="F717" s="197" t="s">
        <v>521</v>
      </c>
      <c r="G717" s="197" t="s">
        <v>6991</v>
      </c>
      <c r="H717" s="197" t="s">
        <v>6856</v>
      </c>
      <c r="I717" s="197" t="s">
        <v>6851</v>
      </c>
    </row>
    <row r="718" spans="2:9" ht="31.5" x14ac:dyDescent="0.25">
      <c r="B718" s="170" t="s">
        <v>7328</v>
      </c>
      <c r="C718" s="986" t="s">
        <v>4876</v>
      </c>
      <c r="D718" s="197" t="s">
        <v>7065</v>
      </c>
      <c r="E718" s="170" t="s">
        <v>7064</v>
      </c>
      <c r="F718" s="197" t="s">
        <v>521</v>
      </c>
      <c r="G718" s="197" t="s">
        <v>6991</v>
      </c>
      <c r="H718" s="197" t="s">
        <v>6856</v>
      </c>
      <c r="I718" s="197" t="s">
        <v>6851</v>
      </c>
    </row>
    <row r="719" spans="2:9" ht="31.5" x14ac:dyDescent="0.25">
      <c r="B719" s="170" t="s">
        <v>7390</v>
      </c>
      <c r="C719" s="988" t="s">
        <v>4876</v>
      </c>
      <c r="D719" s="197" t="s">
        <v>7065</v>
      </c>
      <c r="E719" s="170" t="s">
        <v>7064</v>
      </c>
      <c r="F719" s="197" t="s">
        <v>521</v>
      </c>
      <c r="G719" s="197" t="s">
        <v>6991</v>
      </c>
      <c r="H719" s="197" t="s">
        <v>6856</v>
      </c>
      <c r="I719" s="197" t="s">
        <v>6851</v>
      </c>
    </row>
    <row r="720" spans="2:9" ht="31.5" x14ac:dyDescent="0.25">
      <c r="B720" s="170" t="s">
        <v>7326</v>
      </c>
      <c r="C720" s="986" t="s">
        <v>4876</v>
      </c>
      <c r="D720" s="197" t="s">
        <v>7065</v>
      </c>
      <c r="E720" s="170" t="s">
        <v>7064</v>
      </c>
      <c r="F720" s="197" t="s">
        <v>521</v>
      </c>
      <c r="G720" s="197" t="s">
        <v>6991</v>
      </c>
      <c r="H720" s="197" t="s">
        <v>6856</v>
      </c>
      <c r="I720" s="197" t="s">
        <v>6851</v>
      </c>
    </row>
    <row r="721" spans="2:9" ht="31.5" x14ac:dyDescent="0.25">
      <c r="B721" s="170" t="s">
        <v>7381</v>
      </c>
      <c r="C721" s="988" t="s">
        <v>4876</v>
      </c>
      <c r="D721" s="197" t="s">
        <v>7065</v>
      </c>
      <c r="E721" s="170" t="s">
        <v>7064</v>
      </c>
      <c r="F721" s="197" t="s">
        <v>521</v>
      </c>
      <c r="G721" s="197" t="s">
        <v>6991</v>
      </c>
      <c r="H721" s="197" t="s">
        <v>6856</v>
      </c>
      <c r="I721" s="197" t="s">
        <v>6851</v>
      </c>
    </row>
    <row r="722" spans="2:9" ht="31.5" x14ac:dyDescent="0.25">
      <c r="B722" s="170" t="s">
        <v>7380</v>
      </c>
      <c r="C722" s="986" t="s">
        <v>4876</v>
      </c>
      <c r="D722" s="197" t="s">
        <v>7065</v>
      </c>
      <c r="E722" s="170" t="s">
        <v>7064</v>
      </c>
      <c r="F722" s="197" t="s">
        <v>521</v>
      </c>
      <c r="G722" s="197" t="s">
        <v>6991</v>
      </c>
      <c r="H722" s="197" t="s">
        <v>6856</v>
      </c>
      <c r="I722" s="197" t="s">
        <v>6851</v>
      </c>
    </row>
    <row r="723" spans="2:9" ht="31.5" x14ac:dyDescent="0.25">
      <c r="B723" s="170" t="s">
        <v>7394</v>
      </c>
      <c r="C723" s="988" t="s">
        <v>4876</v>
      </c>
      <c r="D723" s="197" t="s">
        <v>7062</v>
      </c>
      <c r="E723" s="170" t="s">
        <v>7061</v>
      </c>
      <c r="F723" s="197" t="s">
        <v>6860</v>
      </c>
      <c r="G723" s="197" t="s">
        <v>6902</v>
      </c>
      <c r="H723" s="197" t="s">
        <v>6856</v>
      </c>
      <c r="I723" s="197" t="s">
        <v>6851</v>
      </c>
    </row>
    <row r="724" spans="2:9" ht="31.5" x14ac:dyDescent="0.25">
      <c r="B724" s="170" t="s">
        <v>7393</v>
      </c>
      <c r="C724" s="986" t="s">
        <v>4876</v>
      </c>
      <c r="D724" s="197" t="s">
        <v>7062</v>
      </c>
      <c r="E724" s="170" t="s">
        <v>7061</v>
      </c>
      <c r="F724" s="197" t="s">
        <v>6860</v>
      </c>
      <c r="G724" s="197" t="s">
        <v>6902</v>
      </c>
      <c r="H724" s="197" t="s">
        <v>6856</v>
      </c>
      <c r="I724" s="197" t="s">
        <v>6851</v>
      </c>
    </row>
    <row r="725" spans="2:9" ht="31.5" x14ac:dyDescent="0.25">
      <c r="B725" s="170" t="s">
        <v>7328</v>
      </c>
      <c r="C725" s="988" t="s">
        <v>4876</v>
      </c>
      <c r="D725" s="197" t="s">
        <v>7062</v>
      </c>
      <c r="E725" s="170" t="s">
        <v>7061</v>
      </c>
      <c r="F725" s="197" t="s">
        <v>6860</v>
      </c>
      <c r="G725" s="197" t="s">
        <v>6902</v>
      </c>
      <c r="H725" s="197" t="s">
        <v>6856</v>
      </c>
      <c r="I725" s="197" t="s">
        <v>6851</v>
      </c>
    </row>
    <row r="726" spans="2:9" ht="31.5" x14ac:dyDescent="0.25">
      <c r="B726" s="170" t="s">
        <v>7382</v>
      </c>
      <c r="C726" s="986" t="s">
        <v>4876</v>
      </c>
      <c r="D726" s="197" t="s">
        <v>7062</v>
      </c>
      <c r="E726" s="170" t="s">
        <v>7061</v>
      </c>
      <c r="F726" s="197" t="s">
        <v>6860</v>
      </c>
      <c r="G726" s="197" t="s">
        <v>6902</v>
      </c>
      <c r="H726" s="197" t="s">
        <v>6856</v>
      </c>
      <c r="I726" s="197" t="s">
        <v>6851</v>
      </c>
    </row>
    <row r="727" spans="2:9" ht="31.5" x14ac:dyDescent="0.25">
      <c r="B727" s="170" t="s">
        <v>7381</v>
      </c>
      <c r="C727" s="988" t="s">
        <v>4876</v>
      </c>
      <c r="D727" s="197" t="s">
        <v>7062</v>
      </c>
      <c r="E727" s="170" t="s">
        <v>7061</v>
      </c>
      <c r="F727" s="197" t="s">
        <v>6860</v>
      </c>
      <c r="G727" s="197" t="s">
        <v>6902</v>
      </c>
      <c r="H727" s="197" t="s">
        <v>6856</v>
      </c>
      <c r="I727" s="197" t="s">
        <v>6851</v>
      </c>
    </row>
    <row r="728" spans="2:9" ht="31.5" x14ac:dyDescent="0.25">
      <c r="B728" s="170" t="s">
        <v>7380</v>
      </c>
      <c r="C728" s="986" t="s">
        <v>4876</v>
      </c>
      <c r="D728" s="197" t="s">
        <v>7062</v>
      </c>
      <c r="E728" s="170" t="s">
        <v>7061</v>
      </c>
      <c r="F728" s="197" t="s">
        <v>6860</v>
      </c>
      <c r="G728" s="197" t="s">
        <v>6902</v>
      </c>
      <c r="H728" s="197" t="s">
        <v>6856</v>
      </c>
      <c r="I728" s="197" t="s">
        <v>6851</v>
      </c>
    </row>
    <row r="729" spans="2:9" ht="31.5" x14ac:dyDescent="0.25">
      <c r="B729" s="170" t="s">
        <v>7394</v>
      </c>
      <c r="C729" s="988" t="s">
        <v>4876</v>
      </c>
      <c r="D729" s="197" t="s">
        <v>7060</v>
      </c>
      <c r="E729" s="170" t="s">
        <v>7059</v>
      </c>
      <c r="F729" s="197" t="s">
        <v>521</v>
      </c>
      <c r="G729" s="197" t="s">
        <v>6962</v>
      </c>
      <c r="H729" s="197" t="s">
        <v>6856</v>
      </c>
      <c r="I729" s="197" t="s">
        <v>6851</v>
      </c>
    </row>
    <row r="730" spans="2:9" ht="31.5" x14ac:dyDescent="0.25">
      <c r="B730" s="170" t="s">
        <v>7393</v>
      </c>
      <c r="C730" s="986" t="s">
        <v>4876</v>
      </c>
      <c r="D730" s="197" t="s">
        <v>7060</v>
      </c>
      <c r="E730" s="170" t="s">
        <v>7059</v>
      </c>
      <c r="F730" s="197" t="s">
        <v>521</v>
      </c>
      <c r="G730" s="197" t="s">
        <v>6962</v>
      </c>
      <c r="H730" s="197" t="s">
        <v>6856</v>
      </c>
      <c r="I730" s="197" t="s">
        <v>6851</v>
      </c>
    </row>
    <row r="731" spans="2:9" ht="31.5" x14ac:dyDescent="0.25">
      <c r="B731" s="170" t="s">
        <v>7328</v>
      </c>
      <c r="C731" s="988" t="s">
        <v>4876</v>
      </c>
      <c r="D731" s="197" t="s">
        <v>7060</v>
      </c>
      <c r="E731" s="170" t="s">
        <v>7059</v>
      </c>
      <c r="F731" s="197" t="s">
        <v>521</v>
      </c>
      <c r="G731" s="197" t="s">
        <v>6962</v>
      </c>
      <c r="H731" s="197" t="s">
        <v>6856</v>
      </c>
      <c r="I731" s="197" t="s">
        <v>6851</v>
      </c>
    </row>
    <row r="732" spans="2:9" ht="31.5" x14ac:dyDescent="0.25">
      <c r="B732" s="170" t="s">
        <v>7390</v>
      </c>
      <c r="C732" s="986" t="s">
        <v>4876</v>
      </c>
      <c r="D732" s="197" t="s">
        <v>7060</v>
      </c>
      <c r="E732" s="170" t="s">
        <v>7059</v>
      </c>
      <c r="F732" s="197" t="s">
        <v>521</v>
      </c>
      <c r="G732" s="197" t="s">
        <v>6962</v>
      </c>
      <c r="H732" s="197" t="s">
        <v>6856</v>
      </c>
      <c r="I732" s="197" t="s">
        <v>6851</v>
      </c>
    </row>
    <row r="733" spans="2:9" ht="31.5" x14ac:dyDescent="0.25">
      <c r="B733" s="170" t="s">
        <v>7380</v>
      </c>
      <c r="C733" s="988" t="s">
        <v>4876</v>
      </c>
      <c r="D733" s="197" t="s">
        <v>7060</v>
      </c>
      <c r="E733" s="170" t="s">
        <v>7059</v>
      </c>
      <c r="F733" s="197" t="s">
        <v>521</v>
      </c>
      <c r="G733" s="197" t="s">
        <v>6962</v>
      </c>
      <c r="H733" s="197" t="s">
        <v>6856</v>
      </c>
      <c r="I733" s="197" t="s">
        <v>6851</v>
      </c>
    </row>
    <row r="734" spans="2:9" ht="31.5" x14ac:dyDescent="0.25">
      <c r="B734" s="170" t="s">
        <v>7325</v>
      </c>
      <c r="C734" s="986" t="s">
        <v>4876</v>
      </c>
      <c r="D734" s="197" t="s">
        <v>7057</v>
      </c>
      <c r="E734" s="170" t="s">
        <v>7056</v>
      </c>
      <c r="F734" s="197" t="s">
        <v>521</v>
      </c>
      <c r="G734" s="197" t="s">
        <v>6962</v>
      </c>
      <c r="H734" s="197" t="s">
        <v>6856</v>
      </c>
      <c r="I734" s="197" t="s">
        <v>6851</v>
      </c>
    </row>
    <row r="735" spans="2:9" ht="31.5" x14ac:dyDescent="0.25">
      <c r="B735" s="170" t="s">
        <v>7387</v>
      </c>
      <c r="C735" s="988" t="s">
        <v>4876</v>
      </c>
      <c r="D735" s="197" t="s">
        <v>7057</v>
      </c>
      <c r="E735" s="170" t="s">
        <v>7056</v>
      </c>
      <c r="F735" s="197" t="s">
        <v>521</v>
      </c>
      <c r="G735" s="197" t="s">
        <v>6962</v>
      </c>
      <c r="H735" s="197" t="s">
        <v>6856</v>
      </c>
      <c r="I735" s="197" t="s">
        <v>6851</v>
      </c>
    </row>
    <row r="736" spans="2:9" ht="31.5" x14ac:dyDescent="0.25">
      <c r="B736" s="170" t="s">
        <v>7323</v>
      </c>
      <c r="C736" s="986" t="s">
        <v>4876</v>
      </c>
      <c r="D736" s="197" t="s">
        <v>7057</v>
      </c>
      <c r="E736" s="170" t="s">
        <v>7056</v>
      </c>
      <c r="F736" s="197" t="s">
        <v>521</v>
      </c>
      <c r="G736" s="197" t="s">
        <v>6962</v>
      </c>
      <c r="H736" s="197" t="s">
        <v>6856</v>
      </c>
      <c r="I736" s="197" t="s">
        <v>6851</v>
      </c>
    </row>
    <row r="737" spans="2:9" ht="31.5" x14ac:dyDescent="0.25">
      <c r="B737" s="170" t="s">
        <v>7385</v>
      </c>
      <c r="C737" s="988" t="s">
        <v>4876</v>
      </c>
      <c r="D737" s="197" t="s">
        <v>7057</v>
      </c>
      <c r="E737" s="170" t="s">
        <v>7056</v>
      </c>
      <c r="F737" s="197" t="s">
        <v>521</v>
      </c>
      <c r="G737" s="197" t="s">
        <v>6962</v>
      </c>
      <c r="H737" s="197" t="s">
        <v>6856</v>
      </c>
      <c r="I737" s="197" t="s">
        <v>6851</v>
      </c>
    </row>
    <row r="738" spans="2:9" ht="31.5" x14ac:dyDescent="0.25">
      <c r="B738" s="170" t="s">
        <v>7394</v>
      </c>
      <c r="C738" s="986" t="s">
        <v>4876</v>
      </c>
      <c r="D738" s="197" t="s">
        <v>7055</v>
      </c>
      <c r="E738" s="170" t="s">
        <v>7054</v>
      </c>
      <c r="F738" s="197" t="s">
        <v>6860</v>
      </c>
      <c r="G738" s="197" t="s">
        <v>6902</v>
      </c>
      <c r="H738" s="197" t="s">
        <v>6980</v>
      </c>
      <c r="I738" s="197" t="s">
        <v>6977</v>
      </c>
    </row>
    <row r="739" spans="2:9" ht="31.5" x14ac:dyDescent="0.25">
      <c r="B739" s="170" t="s">
        <v>7393</v>
      </c>
      <c r="C739" s="988" t="s">
        <v>4876</v>
      </c>
      <c r="D739" s="197" t="s">
        <v>7055</v>
      </c>
      <c r="E739" s="170" t="s">
        <v>7054</v>
      </c>
      <c r="F739" s="197" t="s">
        <v>6860</v>
      </c>
      <c r="G739" s="197" t="s">
        <v>6902</v>
      </c>
      <c r="H739" s="197" t="s">
        <v>6980</v>
      </c>
      <c r="I739" s="197" t="s">
        <v>6977</v>
      </c>
    </row>
    <row r="740" spans="2:9" ht="31.5" x14ac:dyDescent="0.25">
      <c r="B740" s="170" t="s">
        <v>7328</v>
      </c>
      <c r="C740" s="986" t="s">
        <v>4876</v>
      </c>
      <c r="D740" s="197" t="s">
        <v>7055</v>
      </c>
      <c r="E740" s="170" t="s">
        <v>7054</v>
      </c>
      <c r="F740" s="197" t="s">
        <v>6860</v>
      </c>
      <c r="G740" s="197" t="s">
        <v>6902</v>
      </c>
      <c r="H740" s="197" t="s">
        <v>6980</v>
      </c>
      <c r="I740" s="197" t="s">
        <v>6977</v>
      </c>
    </row>
    <row r="741" spans="2:9" ht="31.5" x14ac:dyDescent="0.25">
      <c r="B741" s="170" t="s">
        <v>7390</v>
      </c>
      <c r="C741" s="170" t="s">
        <v>4904</v>
      </c>
      <c r="D741" s="197" t="s">
        <v>7055</v>
      </c>
      <c r="E741" s="170" t="s">
        <v>7054</v>
      </c>
      <c r="F741" s="197" t="s">
        <v>6860</v>
      </c>
      <c r="G741" s="197" t="s">
        <v>6902</v>
      </c>
      <c r="H741" s="197" t="s">
        <v>6980</v>
      </c>
      <c r="I741" s="197" t="s">
        <v>6977</v>
      </c>
    </row>
    <row r="742" spans="2:9" ht="31.5" x14ac:dyDescent="0.25">
      <c r="B742" s="170" t="s">
        <v>7326</v>
      </c>
      <c r="C742" s="170" t="s">
        <v>4904</v>
      </c>
      <c r="D742" s="197" t="s">
        <v>7055</v>
      </c>
      <c r="E742" s="170" t="s">
        <v>7054</v>
      </c>
      <c r="F742" s="197" t="s">
        <v>6860</v>
      </c>
      <c r="G742" s="197" t="s">
        <v>6902</v>
      </c>
      <c r="H742" s="197" t="s">
        <v>6980</v>
      </c>
      <c r="I742" s="197" t="s">
        <v>6977</v>
      </c>
    </row>
    <row r="743" spans="2:9" ht="31.5" x14ac:dyDescent="0.25">
      <c r="B743" s="170" t="s">
        <v>7325</v>
      </c>
      <c r="C743" s="170" t="s">
        <v>4904</v>
      </c>
      <c r="D743" s="197" t="s">
        <v>7055</v>
      </c>
      <c r="E743" s="170" t="s">
        <v>7054</v>
      </c>
      <c r="F743" s="197" t="s">
        <v>6860</v>
      </c>
      <c r="G743" s="197" t="s">
        <v>6902</v>
      </c>
      <c r="H743" s="197" t="s">
        <v>6980</v>
      </c>
      <c r="I743" s="197" t="s">
        <v>6977</v>
      </c>
    </row>
    <row r="744" spans="2:9" ht="31.5" x14ac:dyDescent="0.25">
      <c r="B744" s="170" t="s">
        <v>7387</v>
      </c>
      <c r="C744" s="170" t="s">
        <v>4904</v>
      </c>
      <c r="D744" s="197" t="s">
        <v>7055</v>
      </c>
      <c r="E744" s="170" t="s">
        <v>7054</v>
      </c>
      <c r="F744" s="197" t="s">
        <v>6860</v>
      </c>
      <c r="G744" s="197" t="s">
        <v>6902</v>
      </c>
      <c r="H744" s="197" t="s">
        <v>6980</v>
      </c>
      <c r="I744" s="197" t="s">
        <v>6977</v>
      </c>
    </row>
    <row r="745" spans="2:9" ht="31.5" x14ac:dyDescent="0.25">
      <c r="B745" s="170" t="s">
        <v>7323</v>
      </c>
      <c r="C745" s="170" t="s">
        <v>4904</v>
      </c>
      <c r="D745" s="197" t="s">
        <v>7055</v>
      </c>
      <c r="E745" s="170" t="s">
        <v>7054</v>
      </c>
      <c r="F745" s="197" t="s">
        <v>6860</v>
      </c>
      <c r="G745" s="197" t="s">
        <v>6902</v>
      </c>
      <c r="H745" s="197" t="s">
        <v>6980</v>
      </c>
      <c r="I745" s="197" t="s">
        <v>6977</v>
      </c>
    </row>
    <row r="746" spans="2:9" ht="31.5" x14ac:dyDescent="0.25">
      <c r="B746" s="170" t="s">
        <v>7385</v>
      </c>
      <c r="C746" s="988" t="s">
        <v>4876</v>
      </c>
      <c r="D746" s="197" t="s">
        <v>7055</v>
      </c>
      <c r="E746" s="170" t="s">
        <v>7054</v>
      </c>
      <c r="F746" s="197" t="s">
        <v>6860</v>
      </c>
      <c r="G746" s="197" t="s">
        <v>6902</v>
      </c>
      <c r="H746" s="197" t="s">
        <v>6980</v>
      </c>
      <c r="I746" s="197" t="s">
        <v>6977</v>
      </c>
    </row>
    <row r="747" spans="2:9" ht="31.5" x14ac:dyDescent="0.25">
      <c r="B747" s="170" t="s">
        <v>7382</v>
      </c>
      <c r="C747" s="986" t="s">
        <v>4876</v>
      </c>
      <c r="D747" s="197" t="s">
        <v>7055</v>
      </c>
      <c r="E747" s="170" t="s">
        <v>7054</v>
      </c>
      <c r="F747" s="197" t="s">
        <v>6860</v>
      </c>
      <c r="G747" s="197" t="s">
        <v>6902</v>
      </c>
      <c r="H747" s="197" t="s">
        <v>6980</v>
      </c>
      <c r="I747" s="197" t="s">
        <v>6977</v>
      </c>
    </row>
    <row r="748" spans="2:9" ht="31.5" x14ac:dyDescent="0.25">
      <c r="B748" s="170" t="s">
        <v>7381</v>
      </c>
      <c r="C748" s="988" t="s">
        <v>4876</v>
      </c>
      <c r="D748" s="197" t="s">
        <v>7055</v>
      </c>
      <c r="E748" s="170" t="s">
        <v>7054</v>
      </c>
      <c r="F748" s="197" t="s">
        <v>6860</v>
      </c>
      <c r="G748" s="197" t="s">
        <v>6902</v>
      </c>
      <c r="H748" s="197" t="s">
        <v>6980</v>
      </c>
      <c r="I748" s="197" t="s">
        <v>6977</v>
      </c>
    </row>
    <row r="749" spans="2:9" ht="31.5" x14ac:dyDescent="0.25">
      <c r="B749" s="170" t="s">
        <v>7380</v>
      </c>
      <c r="C749" s="986" t="s">
        <v>4876</v>
      </c>
      <c r="D749" s="197" t="s">
        <v>7055</v>
      </c>
      <c r="E749" s="170" t="s">
        <v>7054</v>
      </c>
      <c r="F749" s="197" t="s">
        <v>6860</v>
      </c>
      <c r="G749" s="197" t="s">
        <v>6902</v>
      </c>
      <c r="H749" s="197" t="s">
        <v>6980</v>
      </c>
      <c r="I749" s="197" t="s">
        <v>6977</v>
      </c>
    </row>
    <row r="750" spans="2:9" ht="31.5" x14ac:dyDescent="0.25">
      <c r="B750" s="170" t="s">
        <v>7394</v>
      </c>
      <c r="C750" s="170" t="s">
        <v>4904</v>
      </c>
      <c r="D750" s="197" t="s">
        <v>7053</v>
      </c>
      <c r="E750" s="170" t="s">
        <v>7052</v>
      </c>
      <c r="F750" s="197" t="s">
        <v>6894</v>
      </c>
      <c r="G750" s="197" t="s">
        <v>6897</v>
      </c>
      <c r="H750" s="197" t="s">
        <v>6890</v>
      </c>
      <c r="I750" s="197" t="s">
        <v>6888</v>
      </c>
    </row>
    <row r="751" spans="2:9" ht="31.5" x14ac:dyDescent="0.25">
      <c r="B751" s="170" t="s">
        <v>7393</v>
      </c>
      <c r="C751" s="170" t="s">
        <v>4904</v>
      </c>
      <c r="D751" s="197" t="s">
        <v>7053</v>
      </c>
      <c r="E751" s="170" t="s">
        <v>7052</v>
      </c>
      <c r="F751" s="197" t="s">
        <v>6894</v>
      </c>
      <c r="G751" s="197" t="s">
        <v>6897</v>
      </c>
      <c r="H751" s="197" t="s">
        <v>6890</v>
      </c>
      <c r="I751" s="197" t="s">
        <v>6888</v>
      </c>
    </row>
    <row r="752" spans="2:9" ht="31.5" x14ac:dyDescent="0.25">
      <c r="B752" s="170" t="s">
        <v>7328</v>
      </c>
      <c r="C752" s="170" t="s">
        <v>4904</v>
      </c>
      <c r="D752" s="197" t="s">
        <v>7053</v>
      </c>
      <c r="E752" s="170" t="s">
        <v>7052</v>
      </c>
      <c r="F752" s="197" t="s">
        <v>6894</v>
      </c>
      <c r="G752" s="197" t="s">
        <v>6897</v>
      </c>
      <c r="H752" s="197" t="s">
        <v>6890</v>
      </c>
      <c r="I752" s="197" t="s">
        <v>6888</v>
      </c>
    </row>
    <row r="753" spans="2:9" ht="31.5" x14ac:dyDescent="0.25">
      <c r="B753" s="170" t="s">
        <v>7390</v>
      </c>
      <c r="C753" s="170" t="s">
        <v>4904</v>
      </c>
      <c r="D753" s="197" t="s">
        <v>7053</v>
      </c>
      <c r="E753" s="170" t="s">
        <v>7052</v>
      </c>
      <c r="F753" s="197" t="s">
        <v>6894</v>
      </c>
      <c r="G753" s="197" t="s">
        <v>6897</v>
      </c>
      <c r="H753" s="197" t="s">
        <v>6890</v>
      </c>
      <c r="I753" s="197" t="s">
        <v>6888</v>
      </c>
    </row>
    <row r="754" spans="2:9" ht="31.5" x14ac:dyDescent="0.25">
      <c r="B754" s="170" t="s">
        <v>7326</v>
      </c>
      <c r="C754" s="170" t="s">
        <v>4904</v>
      </c>
      <c r="D754" s="197" t="s">
        <v>7053</v>
      </c>
      <c r="E754" s="170" t="s">
        <v>7052</v>
      </c>
      <c r="F754" s="197" t="s">
        <v>6894</v>
      </c>
      <c r="G754" s="197" t="s">
        <v>6897</v>
      </c>
      <c r="H754" s="197" t="s">
        <v>6890</v>
      </c>
      <c r="I754" s="197" t="s">
        <v>6888</v>
      </c>
    </row>
    <row r="755" spans="2:9" ht="31.5" x14ac:dyDescent="0.25">
      <c r="B755" s="170" t="s">
        <v>7325</v>
      </c>
      <c r="C755" s="170" t="s">
        <v>4904</v>
      </c>
      <c r="D755" s="197" t="s">
        <v>7053</v>
      </c>
      <c r="E755" s="170" t="s">
        <v>7052</v>
      </c>
      <c r="F755" s="197" t="s">
        <v>6894</v>
      </c>
      <c r="G755" s="197" t="s">
        <v>6897</v>
      </c>
      <c r="H755" s="197" t="s">
        <v>6890</v>
      </c>
      <c r="I755" s="197" t="s">
        <v>6888</v>
      </c>
    </row>
    <row r="756" spans="2:9" ht="31.5" x14ac:dyDescent="0.25">
      <c r="B756" s="170" t="s">
        <v>7387</v>
      </c>
      <c r="C756" s="170" t="s">
        <v>4904</v>
      </c>
      <c r="D756" s="197" t="s">
        <v>7053</v>
      </c>
      <c r="E756" s="170" t="s">
        <v>7052</v>
      </c>
      <c r="F756" s="197" t="s">
        <v>6894</v>
      </c>
      <c r="G756" s="197" t="s">
        <v>6897</v>
      </c>
      <c r="H756" s="197" t="s">
        <v>6890</v>
      </c>
      <c r="I756" s="197" t="s">
        <v>6888</v>
      </c>
    </row>
    <row r="757" spans="2:9" ht="31.5" x14ac:dyDescent="0.25">
      <c r="B757" s="170" t="s">
        <v>7323</v>
      </c>
      <c r="C757" s="170" t="s">
        <v>4904</v>
      </c>
      <c r="D757" s="197" t="s">
        <v>7053</v>
      </c>
      <c r="E757" s="170" t="s">
        <v>7052</v>
      </c>
      <c r="F757" s="197" t="s">
        <v>6894</v>
      </c>
      <c r="G757" s="197" t="s">
        <v>6897</v>
      </c>
      <c r="H757" s="197" t="s">
        <v>6890</v>
      </c>
      <c r="I757" s="197" t="s">
        <v>6888</v>
      </c>
    </row>
    <row r="758" spans="2:9" ht="31.5" x14ac:dyDescent="0.25">
      <c r="B758" s="170" t="s">
        <v>7385</v>
      </c>
      <c r="C758" s="170" t="s">
        <v>4904</v>
      </c>
      <c r="D758" s="197" t="s">
        <v>7053</v>
      </c>
      <c r="E758" s="170" t="s">
        <v>7052</v>
      </c>
      <c r="F758" s="197" t="s">
        <v>6894</v>
      </c>
      <c r="G758" s="197" t="s">
        <v>6897</v>
      </c>
      <c r="H758" s="197" t="s">
        <v>6890</v>
      </c>
      <c r="I758" s="197" t="s">
        <v>6888</v>
      </c>
    </row>
    <row r="759" spans="2:9" ht="31.5" x14ac:dyDescent="0.25">
      <c r="B759" s="170" t="s">
        <v>7382</v>
      </c>
      <c r="C759" s="170" t="s">
        <v>4904</v>
      </c>
      <c r="D759" s="197" t="s">
        <v>7053</v>
      </c>
      <c r="E759" s="170" t="s">
        <v>7052</v>
      </c>
      <c r="F759" s="197" t="s">
        <v>6894</v>
      </c>
      <c r="G759" s="197" t="s">
        <v>6897</v>
      </c>
      <c r="H759" s="197" t="s">
        <v>6890</v>
      </c>
      <c r="I759" s="197" t="s">
        <v>6888</v>
      </c>
    </row>
    <row r="760" spans="2:9" ht="31.5" x14ac:dyDescent="0.25">
      <c r="B760" s="170" t="s">
        <v>7381</v>
      </c>
      <c r="C760" s="170" t="s">
        <v>4904</v>
      </c>
      <c r="D760" s="197" t="s">
        <v>7053</v>
      </c>
      <c r="E760" s="170" t="s">
        <v>7052</v>
      </c>
      <c r="F760" s="197" t="s">
        <v>6894</v>
      </c>
      <c r="G760" s="197" t="s">
        <v>6897</v>
      </c>
      <c r="H760" s="197" t="s">
        <v>6890</v>
      </c>
      <c r="I760" s="197" t="s">
        <v>6888</v>
      </c>
    </row>
    <row r="761" spans="2:9" ht="31.5" x14ac:dyDescent="0.25">
      <c r="B761" s="170" t="s">
        <v>7380</v>
      </c>
      <c r="C761" s="170" t="s">
        <v>4904</v>
      </c>
      <c r="D761" s="197" t="s">
        <v>7053</v>
      </c>
      <c r="E761" s="170" t="s">
        <v>7052</v>
      </c>
      <c r="F761" s="197" t="s">
        <v>6894</v>
      </c>
      <c r="G761" s="197" t="s">
        <v>6897</v>
      </c>
      <c r="H761" s="197" t="s">
        <v>6890</v>
      </c>
      <c r="I761" s="197" t="s">
        <v>6888</v>
      </c>
    </row>
    <row r="762" spans="2:9" ht="31.5" x14ac:dyDescent="0.25">
      <c r="B762" s="170" t="s">
        <v>7387</v>
      </c>
      <c r="C762" s="988" t="s">
        <v>4876</v>
      </c>
      <c r="D762" s="197" t="s">
        <v>7051</v>
      </c>
      <c r="E762" s="170" t="s">
        <v>7050</v>
      </c>
      <c r="F762" s="197" t="s">
        <v>6867</v>
      </c>
      <c r="G762" s="197" t="s">
        <v>6902</v>
      </c>
      <c r="H762" s="197" t="s">
        <v>6856</v>
      </c>
      <c r="I762" s="197" t="s">
        <v>6851</v>
      </c>
    </row>
    <row r="763" spans="2:9" ht="31.5" x14ac:dyDescent="0.25">
      <c r="B763" s="170" t="s">
        <v>7323</v>
      </c>
      <c r="C763" s="986" t="s">
        <v>4876</v>
      </c>
      <c r="D763" s="197" t="s">
        <v>7051</v>
      </c>
      <c r="E763" s="170" t="s">
        <v>7050</v>
      </c>
      <c r="F763" s="197" t="s">
        <v>6867</v>
      </c>
      <c r="G763" s="197" t="s">
        <v>6902</v>
      </c>
      <c r="H763" s="197" t="s">
        <v>6856</v>
      </c>
      <c r="I763" s="197" t="s">
        <v>6851</v>
      </c>
    </row>
    <row r="764" spans="2:9" ht="31.5" x14ac:dyDescent="0.25">
      <c r="B764" s="170" t="s">
        <v>7385</v>
      </c>
      <c r="C764" s="988" t="s">
        <v>4876</v>
      </c>
      <c r="D764" s="197" t="s">
        <v>7051</v>
      </c>
      <c r="E764" s="170" t="s">
        <v>7050</v>
      </c>
      <c r="F764" s="197" t="s">
        <v>6867</v>
      </c>
      <c r="G764" s="197" t="s">
        <v>6902</v>
      </c>
      <c r="H764" s="197" t="s">
        <v>6856</v>
      </c>
      <c r="I764" s="197" t="s">
        <v>6851</v>
      </c>
    </row>
    <row r="765" spans="2:9" ht="31.5" x14ac:dyDescent="0.25">
      <c r="B765" s="170" t="s">
        <v>7382</v>
      </c>
      <c r="C765" s="986" t="s">
        <v>4876</v>
      </c>
      <c r="D765" s="197" t="s">
        <v>7051</v>
      </c>
      <c r="E765" s="170" t="s">
        <v>7050</v>
      </c>
      <c r="F765" s="197" t="s">
        <v>6867</v>
      </c>
      <c r="G765" s="197" t="s">
        <v>6902</v>
      </c>
      <c r="H765" s="197" t="s">
        <v>6856</v>
      </c>
      <c r="I765" s="197" t="s">
        <v>6851</v>
      </c>
    </row>
    <row r="766" spans="2:9" ht="31.5" x14ac:dyDescent="0.25">
      <c r="B766" s="170" t="s">
        <v>7325</v>
      </c>
      <c r="C766" s="988" t="s">
        <v>4876</v>
      </c>
      <c r="D766" s="197" t="s">
        <v>7049</v>
      </c>
      <c r="E766" s="170" t="s">
        <v>7048</v>
      </c>
      <c r="F766" s="197" t="s">
        <v>521</v>
      </c>
      <c r="G766" s="197" t="s">
        <v>6974</v>
      </c>
      <c r="H766" s="197" t="s">
        <v>6856</v>
      </c>
      <c r="I766" s="197" t="s">
        <v>6851</v>
      </c>
    </row>
    <row r="767" spans="2:9" ht="31.5" x14ac:dyDescent="0.25">
      <c r="B767" s="170" t="s">
        <v>7387</v>
      </c>
      <c r="C767" s="986" t="s">
        <v>4876</v>
      </c>
      <c r="D767" s="197" t="s">
        <v>7049</v>
      </c>
      <c r="E767" s="170" t="s">
        <v>7048</v>
      </c>
      <c r="F767" s="197" t="s">
        <v>521</v>
      </c>
      <c r="G767" s="197" t="s">
        <v>6974</v>
      </c>
      <c r="H767" s="197" t="s">
        <v>6856</v>
      </c>
      <c r="I767" s="197" t="s">
        <v>6851</v>
      </c>
    </row>
    <row r="768" spans="2:9" ht="31.5" x14ac:dyDescent="0.25">
      <c r="B768" s="170" t="s">
        <v>7323</v>
      </c>
      <c r="C768" s="988" t="s">
        <v>4876</v>
      </c>
      <c r="D768" s="197" t="s">
        <v>7049</v>
      </c>
      <c r="E768" s="170" t="s">
        <v>7048</v>
      </c>
      <c r="F768" s="197" t="s">
        <v>521</v>
      </c>
      <c r="G768" s="197" t="s">
        <v>6974</v>
      </c>
      <c r="H768" s="197" t="s">
        <v>6856</v>
      </c>
      <c r="I768" s="197" t="s">
        <v>6851</v>
      </c>
    </row>
    <row r="769" spans="2:9" ht="31.5" x14ac:dyDescent="0.25">
      <c r="B769" s="170" t="s">
        <v>7385</v>
      </c>
      <c r="C769" s="986" t="s">
        <v>4876</v>
      </c>
      <c r="D769" s="197" t="s">
        <v>7049</v>
      </c>
      <c r="E769" s="170" t="s">
        <v>7048</v>
      </c>
      <c r="F769" s="197" t="s">
        <v>521</v>
      </c>
      <c r="G769" s="197" t="s">
        <v>6974</v>
      </c>
      <c r="H769" s="197" t="s">
        <v>6856</v>
      </c>
      <c r="I769" s="197" t="s">
        <v>6851</v>
      </c>
    </row>
    <row r="770" spans="2:9" ht="31.5" x14ac:dyDescent="0.25">
      <c r="B770" s="170" t="s">
        <v>7326</v>
      </c>
      <c r="C770" s="988" t="s">
        <v>4876</v>
      </c>
      <c r="D770" s="197" t="s">
        <v>7045</v>
      </c>
      <c r="E770" s="170" t="s">
        <v>7044</v>
      </c>
      <c r="F770" s="197" t="s">
        <v>6860</v>
      </c>
      <c r="G770" s="197" t="s">
        <v>6859</v>
      </c>
      <c r="H770" s="197" t="s">
        <v>6856</v>
      </c>
      <c r="I770" s="197" t="s">
        <v>6851</v>
      </c>
    </row>
    <row r="771" spans="2:9" ht="31.5" x14ac:dyDescent="0.25">
      <c r="B771" s="170" t="s">
        <v>7325</v>
      </c>
      <c r="C771" s="986" t="s">
        <v>4876</v>
      </c>
      <c r="D771" s="197" t="s">
        <v>7045</v>
      </c>
      <c r="E771" s="170" t="s">
        <v>7044</v>
      </c>
      <c r="F771" s="197" t="s">
        <v>6860</v>
      </c>
      <c r="G771" s="197" t="s">
        <v>6859</v>
      </c>
      <c r="H771" s="197" t="s">
        <v>6856</v>
      </c>
      <c r="I771" s="197" t="s">
        <v>6851</v>
      </c>
    </row>
    <row r="772" spans="2:9" ht="31.5" x14ac:dyDescent="0.25">
      <c r="B772" s="170" t="s">
        <v>7387</v>
      </c>
      <c r="C772" s="988" t="s">
        <v>4876</v>
      </c>
      <c r="D772" s="197" t="s">
        <v>7045</v>
      </c>
      <c r="E772" s="170" t="s">
        <v>7044</v>
      </c>
      <c r="F772" s="197" t="s">
        <v>6860</v>
      </c>
      <c r="G772" s="197" t="s">
        <v>6859</v>
      </c>
      <c r="H772" s="197" t="s">
        <v>6856</v>
      </c>
      <c r="I772" s="197" t="s">
        <v>6851</v>
      </c>
    </row>
    <row r="773" spans="2:9" ht="31.5" x14ac:dyDescent="0.25">
      <c r="B773" s="170" t="s">
        <v>7394</v>
      </c>
      <c r="C773" s="986" t="s">
        <v>4876</v>
      </c>
      <c r="D773" s="197" t="s">
        <v>7041</v>
      </c>
      <c r="E773" s="170" t="s">
        <v>7040</v>
      </c>
      <c r="F773" s="197" t="s">
        <v>6860</v>
      </c>
      <c r="G773" s="197" t="s">
        <v>6982</v>
      </c>
      <c r="H773" s="197" t="s">
        <v>6856</v>
      </c>
      <c r="I773" s="197" t="s">
        <v>6851</v>
      </c>
    </row>
    <row r="774" spans="2:9" ht="31.5" x14ac:dyDescent="0.25">
      <c r="B774" s="170" t="s">
        <v>7393</v>
      </c>
      <c r="C774" s="988" t="s">
        <v>4876</v>
      </c>
      <c r="D774" s="197" t="s">
        <v>7041</v>
      </c>
      <c r="E774" s="170" t="s">
        <v>7040</v>
      </c>
      <c r="F774" s="197" t="s">
        <v>6860</v>
      </c>
      <c r="G774" s="197" t="s">
        <v>6982</v>
      </c>
      <c r="H774" s="197" t="s">
        <v>6856</v>
      </c>
      <c r="I774" s="197" t="s">
        <v>6851</v>
      </c>
    </row>
    <row r="775" spans="2:9" ht="31.5" x14ac:dyDescent="0.25">
      <c r="B775" s="170" t="s">
        <v>7328</v>
      </c>
      <c r="C775" s="986" t="s">
        <v>4876</v>
      </c>
      <c r="D775" s="197" t="s">
        <v>7041</v>
      </c>
      <c r="E775" s="170" t="s">
        <v>7040</v>
      </c>
      <c r="F775" s="197" t="s">
        <v>6860</v>
      </c>
      <c r="G775" s="197" t="s">
        <v>6982</v>
      </c>
      <c r="H775" s="197" t="s">
        <v>6856</v>
      </c>
      <c r="I775" s="197" t="s">
        <v>6851</v>
      </c>
    </row>
    <row r="776" spans="2:9" ht="31.5" x14ac:dyDescent="0.25">
      <c r="B776" s="170" t="s">
        <v>7390</v>
      </c>
      <c r="C776" s="988" t="s">
        <v>4876</v>
      </c>
      <c r="D776" s="197" t="s">
        <v>7041</v>
      </c>
      <c r="E776" s="170" t="s">
        <v>7040</v>
      </c>
      <c r="F776" s="197" t="s">
        <v>6860</v>
      </c>
      <c r="G776" s="197" t="s">
        <v>6982</v>
      </c>
      <c r="H776" s="197" t="s">
        <v>6856</v>
      </c>
      <c r="I776" s="197" t="s">
        <v>6851</v>
      </c>
    </row>
    <row r="777" spans="2:9" ht="31.5" x14ac:dyDescent="0.25">
      <c r="B777" s="170" t="s">
        <v>7385</v>
      </c>
      <c r="C777" s="986" t="s">
        <v>4876</v>
      </c>
      <c r="D777" s="197" t="s">
        <v>7041</v>
      </c>
      <c r="E777" s="170" t="s">
        <v>7040</v>
      </c>
      <c r="F777" s="197" t="s">
        <v>6860</v>
      </c>
      <c r="G777" s="197" t="s">
        <v>6982</v>
      </c>
      <c r="H777" s="197" t="s">
        <v>6856</v>
      </c>
      <c r="I777" s="197" t="s">
        <v>6851</v>
      </c>
    </row>
    <row r="778" spans="2:9" ht="31.5" x14ac:dyDescent="0.25">
      <c r="B778" s="170" t="s">
        <v>7382</v>
      </c>
      <c r="C778" s="988" t="s">
        <v>4876</v>
      </c>
      <c r="D778" s="197" t="s">
        <v>7041</v>
      </c>
      <c r="E778" s="170" t="s">
        <v>7040</v>
      </c>
      <c r="F778" s="197" t="s">
        <v>6860</v>
      </c>
      <c r="G778" s="197" t="s">
        <v>6982</v>
      </c>
      <c r="H778" s="197" t="s">
        <v>6856</v>
      </c>
      <c r="I778" s="197" t="s">
        <v>6851</v>
      </c>
    </row>
    <row r="779" spans="2:9" ht="31.5" x14ac:dyDescent="0.25">
      <c r="B779" s="170" t="s">
        <v>7381</v>
      </c>
      <c r="C779" s="986" t="s">
        <v>4876</v>
      </c>
      <c r="D779" s="197" t="s">
        <v>7041</v>
      </c>
      <c r="E779" s="170" t="s">
        <v>7040</v>
      </c>
      <c r="F779" s="197" t="s">
        <v>6860</v>
      </c>
      <c r="G779" s="197" t="s">
        <v>6982</v>
      </c>
      <c r="H779" s="197" t="s">
        <v>6856</v>
      </c>
      <c r="I779" s="197" t="s">
        <v>6851</v>
      </c>
    </row>
    <row r="780" spans="2:9" ht="31.5" x14ac:dyDescent="0.25">
      <c r="B780" s="170" t="s">
        <v>7380</v>
      </c>
      <c r="C780" s="988" t="s">
        <v>4876</v>
      </c>
      <c r="D780" s="197" t="s">
        <v>7041</v>
      </c>
      <c r="E780" s="170" t="s">
        <v>7040</v>
      </c>
      <c r="F780" s="197" t="s">
        <v>6860</v>
      </c>
      <c r="G780" s="197" t="s">
        <v>6982</v>
      </c>
      <c r="H780" s="197" t="s">
        <v>6856</v>
      </c>
      <c r="I780" s="197" t="s">
        <v>6851</v>
      </c>
    </row>
    <row r="781" spans="2:9" ht="31.5" x14ac:dyDescent="0.25">
      <c r="B781" s="170" t="s">
        <v>7394</v>
      </c>
      <c r="C781" s="986" t="s">
        <v>4876</v>
      </c>
      <c r="D781" s="197" t="s">
        <v>7039</v>
      </c>
      <c r="E781" s="170" t="s">
        <v>7038</v>
      </c>
      <c r="F781" s="197" t="s">
        <v>6860</v>
      </c>
      <c r="G781" s="197" t="s">
        <v>7037</v>
      </c>
      <c r="H781" s="197" t="s">
        <v>6856</v>
      </c>
      <c r="I781" s="197" t="s">
        <v>6851</v>
      </c>
    </row>
    <row r="782" spans="2:9" ht="31.5" x14ac:dyDescent="0.25">
      <c r="B782" s="170" t="s">
        <v>7393</v>
      </c>
      <c r="C782" s="988" t="s">
        <v>4876</v>
      </c>
      <c r="D782" s="197" t="s">
        <v>7039</v>
      </c>
      <c r="E782" s="170" t="s">
        <v>7038</v>
      </c>
      <c r="F782" s="197" t="s">
        <v>6860</v>
      </c>
      <c r="G782" s="197" t="s">
        <v>7037</v>
      </c>
      <c r="H782" s="197" t="s">
        <v>6856</v>
      </c>
      <c r="I782" s="197" t="s">
        <v>6851</v>
      </c>
    </row>
    <row r="783" spans="2:9" ht="31.5" x14ac:dyDescent="0.25">
      <c r="B783" s="170" t="s">
        <v>7328</v>
      </c>
      <c r="C783" s="986" t="s">
        <v>4876</v>
      </c>
      <c r="D783" s="197" t="s">
        <v>7039</v>
      </c>
      <c r="E783" s="170" t="s">
        <v>7038</v>
      </c>
      <c r="F783" s="197" t="s">
        <v>6860</v>
      </c>
      <c r="G783" s="197" t="s">
        <v>7037</v>
      </c>
      <c r="H783" s="197" t="s">
        <v>6856</v>
      </c>
      <c r="I783" s="197" t="s">
        <v>6851</v>
      </c>
    </row>
    <row r="784" spans="2:9" ht="31.5" x14ac:dyDescent="0.25">
      <c r="B784" s="170" t="s">
        <v>7390</v>
      </c>
      <c r="C784" s="988" t="s">
        <v>4876</v>
      </c>
      <c r="D784" s="197" t="s">
        <v>7039</v>
      </c>
      <c r="E784" s="170" t="s">
        <v>7038</v>
      </c>
      <c r="F784" s="197" t="s">
        <v>6860</v>
      </c>
      <c r="G784" s="197" t="s">
        <v>7037</v>
      </c>
      <c r="H784" s="197" t="s">
        <v>6856</v>
      </c>
      <c r="I784" s="197" t="s">
        <v>6851</v>
      </c>
    </row>
    <row r="785" spans="2:9" ht="31.5" x14ac:dyDescent="0.25">
      <c r="B785" s="170" t="s">
        <v>7385</v>
      </c>
      <c r="C785" s="986" t="s">
        <v>4876</v>
      </c>
      <c r="D785" s="197" t="s">
        <v>7039</v>
      </c>
      <c r="E785" s="170" t="s">
        <v>7038</v>
      </c>
      <c r="F785" s="197" t="s">
        <v>6860</v>
      </c>
      <c r="G785" s="197" t="s">
        <v>7037</v>
      </c>
      <c r="H785" s="197" t="s">
        <v>6856</v>
      </c>
      <c r="I785" s="197" t="s">
        <v>6851</v>
      </c>
    </row>
    <row r="786" spans="2:9" ht="31.5" x14ac:dyDescent="0.25">
      <c r="B786" s="170" t="s">
        <v>7382</v>
      </c>
      <c r="C786" s="988" t="s">
        <v>4876</v>
      </c>
      <c r="D786" s="197" t="s">
        <v>7039</v>
      </c>
      <c r="E786" s="170" t="s">
        <v>7038</v>
      </c>
      <c r="F786" s="197" t="s">
        <v>6860</v>
      </c>
      <c r="G786" s="197" t="s">
        <v>7037</v>
      </c>
      <c r="H786" s="197" t="s">
        <v>6856</v>
      </c>
      <c r="I786" s="197" t="s">
        <v>6851</v>
      </c>
    </row>
    <row r="787" spans="2:9" ht="31.5" x14ac:dyDescent="0.25">
      <c r="B787" s="170" t="s">
        <v>7381</v>
      </c>
      <c r="C787" s="986" t="s">
        <v>4876</v>
      </c>
      <c r="D787" s="197" t="s">
        <v>7039</v>
      </c>
      <c r="E787" s="170" t="s">
        <v>7038</v>
      </c>
      <c r="F787" s="197" t="s">
        <v>6860</v>
      </c>
      <c r="G787" s="197" t="s">
        <v>7037</v>
      </c>
      <c r="H787" s="197" t="s">
        <v>6856</v>
      </c>
      <c r="I787" s="197" t="s">
        <v>6851</v>
      </c>
    </row>
    <row r="788" spans="2:9" ht="31.5" x14ac:dyDescent="0.25">
      <c r="B788" s="170" t="s">
        <v>7380</v>
      </c>
      <c r="C788" s="988" t="s">
        <v>4876</v>
      </c>
      <c r="D788" s="197" t="s">
        <v>7039</v>
      </c>
      <c r="E788" s="170" t="s">
        <v>7038</v>
      </c>
      <c r="F788" s="197" t="s">
        <v>6860</v>
      </c>
      <c r="G788" s="197" t="s">
        <v>7037</v>
      </c>
      <c r="H788" s="197" t="s">
        <v>6856</v>
      </c>
      <c r="I788" s="197" t="s">
        <v>6851</v>
      </c>
    </row>
    <row r="789" spans="2:9" ht="31.5" x14ac:dyDescent="0.25">
      <c r="B789" s="170" t="s">
        <v>7394</v>
      </c>
      <c r="C789" s="170" t="s">
        <v>4904</v>
      </c>
      <c r="D789" s="197" t="s">
        <v>7035</v>
      </c>
      <c r="E789" s="170" t="s">
        <v>7034</v>
      </c>
      <c r="F789" s="197" t="s">
        <v>521</v>
      </c>
      <c r="G789" s="197" t="s">
        <v>7002</v>
      </c>
      <c r="H789" s="197" t="s">
        <v>6980</v>
      </c>
      <c r="I789" s="197" t="s">
        <v>6977</v>
      </c>
    </row>
    <row r="790" spans="2:9" ht="31.5" x14ac:dyDescent="0.25">
      <c r="B790" s="170" t="s">
        <v>7393</v>
      </c>
      <c r="C790" s="170" t="s">
        <v>4904</v>
      </c>
      <c r="D790" s="197" t="s">
        <v>7035</v>
      </c>
      <c r="E790" s="170" t="s">
        <v>7034</v>
      </c>
      <c r="F790" s="197" t="s">
        <v>521</v>
      </c>
      <c r="G790" s="197" t="s">
        <v>7002</v>
      </c>
      <c r="H790" s="197" t="s">
        <v>6980</v>
      </c>
      <c r="I790" s="197" t="s">
        <v>6977</v>
      </c>
    </row>
    <row r="791" spans="2:9" ht="31.5" x14ac:dyDescent="0.25">
      <c r="B791" s="170" t="s">
        <v>7328</v>
      </c>
      <c r="C791" s="170" t="s">
        <v>4904</v>
      </c>
      <c r="D791" s="197" t="s">
        <v>7035</v>
      </c>
      <c r="E791" s="170" t="s">
        <v>7034</v>
      </c>
      <c r="F791" s="197" t="s">
        <v>521</v>
      </c>
      <c r="G791" s="197" t="s">
        <v>7002</v>
      </c>
      <c r="H791" s="197" t="s">
        <v>6980</v>
      </c>
      <c r="I791" s="197" t="s">
        <v>6977</v>
      </c>
    </row>
    <row r="792" spans="2:9" ht="31.5" x14ac:dyDescent="0.25">
      <c r="B792" s="170" t="s">
        <v>7390</v>
      </c>
      <c r="C792" s="170" t="s">
        <v>4904</v>
      </c>
      <c r="D792" s="197" t="s">
        <v>7035</v>
      </c>
      <c r="E792" s="170" t="s">
        <v>7034</v>
      </c>
      <c r="F792" s="197" t="s">
        <v>521</v>
      </c>
      <c r="G792" s="197" t="s">
        <v>7002</v>
      </c>
      <c r="H792" s="197" t="s">
        <v>6980</v>
      </c>
      <c r="I792" s="197" t="s">
        <v>6977</v>
      </c>
    </row>
    <row r="793" spans="2:9" ht="31.5" x14ac:dyDescent="0.25">
      <c r="B793" s="170" t="s">
        <v>7323</v>
      </c>
      <c r="C793" s="986" t="s">
        <v>4876</v>
      </c>
      <c r="D793" s="197" t="s">
        <v>7035</v>
      </c>
      <c r="E793" s="170" t="s">
        <v>7034</v>
      </c>
      <c r="F793" s="197" t="s">
        <v>521</v>
      </c>
      <c r="G793" s="197" t="s">
        <v>7002</v>
      </c>
      <c r="H793" s="197" t="s">
        <v>6980</v>
      </c>
      <c r="I793" s="197" t="s">
        <v>6977</v>
      </c>
    </row>
    <row r="794" spans="2:9" ht="31.5" x14ac:dyDescent="0.25">
      <c r="B794" s="170" t="s">
        <v>7385</v>
      </c>
      <c r="C794" s="988" t="s">
        <v>4876</v>
      </c>
      <c r="D794" s="197" t="s">
        <v>7035</v>
      </c>
      <c r="E794" s="170" t="s">
        <v>7034</v>
      </c>
      <c r="F794" s="197" t="s">
        <v>521</v>
      </c>
      <c r="G794" s="197" t="s">
        <v>7002</v>
      </c>
      <c r="H794" s="197" t="s">
        <v>6980</v>
      </c>
      <c r="I794" s="197" t="s">
        <v>6977</v>
      </c>
    </row>
    <row r="795" spans="2:9" ht="31.5" x14ac:dyDescent="0.25">
      <c r="B795" s="170" t="s">
        <v>7382</v>
      </c>
      <c r="C795" s="986" t="s">
        <v>4876</v>
      </c>
      <c r="D795" s="197" t="s">
        <v>7035</v>
      </c>
      <c r="E795" s="170" t="s">
        <v>7034</v>
      </c>
      <c r="F795" s="197" t="s">
        <v>521</v>
      </c>
      <c r="G795" s="197" t="s">
        <v>7002</v>
      </c>
      <c r="H795" s="197" t="s">
        <v>6980</v>
      </c>
      <c r="I795" s="197" t="s">
        <v>6977</v>
      </c>
    </row>
    <row r="796" spans="2:9" ht="31.5" x14ac:dyDescent="0.25">
      <c r="B796" s="170" t="s">
        <v>7381</v>
      </c>
      <c r="C796" s="988" t="s">
        <v>4876</v>
      </c>
      <c r="D796" s="197" t="s">
        <v>7035</v>
      </c>
      <c r="E796" s="170" t="s">
        <v>7034</v>
      </c>
      <c r="F796" s="197" t="s">
        <v>521</v>
      </c>
      <c r="G796" s="197" t="s">
        <v>7002</v>
      </c>
      <c r="H796" s="197" t="s">
        <v>6980</v>
      </c>
      <c r="I796" s="197" t="s">
        <v>6977</v>
      </c>
    </row>
    <row r="797" spans="2:9" ht="31.5" x14ac:dyDescent="0.25">
      <c r="B797" s="170" t="s">
        <v>7380</v>
      </c>
      <c r="C797" s="986" t="s">
        <v>4876</v>
      </c>
      <c r="D797" s="197" t="s">
        <v>7035</v>
      </c>
      <c r="E797" s="170" t="s">
        <v>7034</v>
      </c>
      <c r="F797" s="197" t="s">
        <v>521</v>
      </c>
      <c r="G797" s="197" t="s">
        <v>7002</v>
      </c>
      <c r="H797" s="197" t="s">
        <v>6980</v>
      </c>
      <c r="I797" s="197" t="s">
        <v>6977</v>
      </c>
    </row>
    <row r="798" spans="2:9" ht="31.5" x14ac:dyDescent="0.25">
      <c r="B798" s="170" t="s">
        <v>7385</v>
      </c>
      <c r="C798" s="988" t="s">
        <v>4876</v>
      </c>
      <c r="D798" s="197" t="s">
        <v>7032</v>
      </c>
      <c r="E798" s="170" t="s">
        <v>7031</v>
      </c>
      <c r="F798" s="197" t="s">
        <v>521</v>
      </c>
      <c r="G798" s="197" t="s">
        <v>6962</v>
      </c>
      <c r="H798" s="197" t="s">
        <v>6856</v>
      </c>
      <c r="I798" s="197" t="s">
        <v>6851</v>
      </c>
    </row>
    <row r="799" spans="2:9" ht="31.5" x14ac:dyDescent="0.25">
      <c r="B799" s="170" t="s">
        <v>7382</v>
      </c>
      <c r="C799" s="986" t="s">
        <v>4876</v>
      </c>
      <c r="D799" s="197" t="s">
        <v>7032</v>
      </c>
      <c r="E799" s="170" t="s">
        <v>7031</v>
      </c>
      <c r="F799" s="197" t="s">
        <v>521</v>
      </c>
      <c r="G799" s="197" t="s">
        <v>6962</v>
      </c>
      <c r="H799" s="197" t="s">
        <v>6856</v>
      </c>
      <c r="I799" s="197" t="s">
        <v>6851</v>
      </c>
    </row>
    <row r="800" spans="2:9" ht="31.5" x14ac:dyDescent="0.25">
      <c r="B800" s="170" t="s">
        <v>7381</v>
      </c>
      <c r="C800" s="988" t="s">
        <v>4876</v>
      </c>
      <c r="D800" s="197" t="s">
        <v>7032</v>
      </c>
      <c r="E800" s="170" t="s">
        <v>7031</v>
      </c>
      <c r="F800" s="197" t="s">
        <v>521</v>
      </c>
      <c r="G800" s="197" t="s">
        <v>6962</v>
      </c>
      <c r="H800" s="197" t="s">
        <v>6856</v>
      </c>
      <c r="I800" s="197" t="s">
        <v>6851</v>
      </c>
    </row>
    <row r="801" spans="2:9" ht="31.5" x14ac:dyDescent="0.25">
      <c r="B801" s="170" t="s">
        <v>7387</v>
      </c>
      <c r="C801" s="986" t="s">
        <v>4876</v>
      </c>
      <c r="D801" s="197" t="s">
        <v>7029</v>
      </c>
      <c r="E801" s="170" t="s">
        <v>7028</v>
      </c>
      <c r="F801" s="197" t="s">
        <v>521</v>
      </c>
      <c r="G801" s="197" t="s">
        <v>6962</v>
      </c>
      <c r="H801" s="197" t="s">
        <v>6856</v>
      </c>
      <c r="I801" s="197" t="s">
        <v>6851</v>
      </c>
    </row>
    <row r="802" spans="2:9" ht="31.5" x14ac:dyDescent="0.25">
      <c r="B802" s="170" t="s">
        <v>7323</v>
      </c>
      <c r="C802" s="988" t="s">
        <v>4876</v>
      </c>
      <c r="D802" s="197" t="s">
        <v>7029</v>
      </c>
      <c r="E802" s="170" t="s">
        <v>7028</v>
      </c>
      <c r="F802" s="197" t="s">
        <v>521</v>
      </c>
      <c r="G802" s="197" t="s">
        <v>6962</v>
      </c>
      <c r="H802" s="197" t="s">
        <v>6856</v>
      </c>
      <c r="I802" s="197" t="s">
        <v>6851</v>
      </c>
    </row>
    <row r="803" spans="2:9" ht="31.5" x14ac:dyDescent="0.25">
      <c r="B803" s="170" t="s">
        <v>7394</v>
      </c>
      <c r="C803" s="170" t="s">
        <v>4904</v>
      </c>
      <c r="D803" s="197" t="s">
        <v>7025</v>
      </c>
      <c r="E803" s="170" t="s">
        <v>7024</v>
      </c>
      <c r="F803" s="197" t="s">
        <v>521</v>
      </c>
      <c r="G803" s="197" t="s">
        <v>6962</v>
      </c>
      <c r="H803" s="197" t="s">
        <v>6980</v>
      </c>
      <c r="I803" s="197" t="s">
        <v>6977</v>
      </c>
    </row>
    <row r="804" spans="2:9" ht="31.5" x14ac:dyDescent="0.25">
      <c r="B804" s="170" t="s">
        <v>7393</v>
      </c>
      <c r="C804" s="170" t="s">
        <v>4904</v>
      </c>
      <c r="D804" s="197" t="s">
        <v>7025</v>
      </c>
      <c r="E804" s="170" t="s">
        <v>7024</v>
      </c>
      <c r="F804" s="197" t="s">
        <v>521</v>
      </c>
      <c r="G804" s="197" t="s">
        <v>6962</v>
      </c>
      <c r="H804" s="197" t="s">
        <v>6980</v>
      </c>
      <c r="I804" s="197" t="s">
        <v>6977</v>
      </c>
    </row>
    <row r="805" spans="2:9" ht="31.5" x14ac:dyDescent="0.25">
      <c r="B805" s="170" t="s">
        <v>7328</v>
      </c>
      <c r="C805" s="170" t="s">
        <v>4904</v>
      </c>
      <c r="D805" s="197" t="s">
        <v>7025</v>
      </c>
      <c r="E805" s="170" t="s">
        <v>7024</v>
      </c>
      <c r="F805" s="197" t="s">
        <v>521</v>
      </c>
      <c r="G805" s="197" t="s">
        <v>6962</v>
      </c>
      <c r="H805" s="197" t="s">
        <v>6980</v>
      </c>
      <c r="I805" s="197" t="s">
        <v>6977</v>
      </c>
    </row>
    <row r="806" spans="2:9" ht="31.5" x14ac:dyDescent="0.25">
      <c r="B806" s="170" t="s">
        <v>7390</v>
      </c>
      <c r="C806" s="170" t="s">
        <v>4904</v>
      </c>
      <c r="D806" s="197" t="s">
        <v>7025</v>
      </c>
      <c r="E806" s="170" t="s">
        <v>7024</v>
      </c>
      <c r="F806" s="197" t="s">
        <v>521</v>
      </c>
      <c r="G806" s="197" t="s">
        <v>6962</v>
      </c>
      <c r="H806" s="197" t="s">
        <v>6980</v>
      </c>
      <c r="I806" s="197" t="s">
        <v>6977</v>
      </c>
    </row>
    <row r="807" spans="2:9" ht="31.5" x14ac:dyDescent="0.25">
      <c r="B807" s="170" t="s">
        <v>7382</v>
      </c>
      <c r="C807" s="986" t="s">
        <v>4876</v>
      </c>
      <c r="D807" s="197" t="s">
        <v>7025</v>
      </c>
      <c r="E807" s="170" t="s">
        <v>7024</v>
      </c>
      <c r="F807" s="197" t="s">
        <v>521</v>
      </c>
      <c r="G807" s="197" t="s">
        <v>6962</v>
      </c>
      <c r="H807" s="197" t="s">
        <v>6980</v>
      </c>
      <c r="I807" s="197" t="s">
        <v>6977</v>
      </c>
    </row>
    <row r="808" spans="2:9" ht="31.5" x14ac:dyDescent="0.25">
      <c r="B808" s="170" t="s">
        <v>7381</v>
      </c>
      <c r="C808" s="988" t="s">
        <v>4876</v>
      </c>
      <c r="D808" s="197" t="s">
        <v>7025</v>
      </c>
      <c r="E808" s="170" t="s">
        <v>7024</v>
      </c>
      <c r="F808" s="197" t="s">
        <v>521</v>
      </c>
      <c r="G808" s="197" t="s">
        <v>6962</v>
      </c>
      <c r="H808" s="197" t="s">
        <v>6980</v>
      </c>
      <c r="I808" s="197" t="s">
        <v>6977</v>
      </c>
    </row>
    <row r="809" spans="2:9" ht="31.5" x14ac:dyDescent="0.25">
      <c r="B809" s="170" t="s">
        <v>7380</v>
      </c>
      <c r="C809" s="986" t="s">
        <v>4876</v>
      </c>
      <c r="D809" s="197" t="s">
        <v>7025</v>
      </c>
      <c r="E809" s="170" t="s">
        <v>7024</v>
      </c>
      <c r="F809" s="197" t="s">
        <v>521</v>
      </c>
      <c r="G809" s="197" t="s">
        <v>6962</v>
      </c>
      <c r="H809" s="197" t="s">
        <v>6980</v>
      </c>
      <c r="I809" s="197" t="s">
        <v>6977</v>
      </c>
    </row>
    <row r="810" spans="2:9" ht="31.5" x14ac:dyDescent="0.25">
      <c r="B810" s="170" t="s">
        <v>7323</v>
      </c>
      <c r="C810" s="988" t="s">
        <v>4876</v>
      </c>
      <c r="D810" s="197" t="s">
        <v>7022</v>
      </c>
      <c r="E810" s="170" t="s">
        <v>7021</v>
      </c>
      <c r="F810" s="197" t="s">
        <v>521</v>
      </c>
      <c r="G810" s="197" t="s">
        <v>6962</v>
      </c>
      <c r="H810" s="197" t="s">
        <v>6856</v>
      </c>
      <c r="I810" s="197" t="s">
        <v>6851</v>
      </c>
    </row>
    <row r="811" spans="2:9" ht="31.5" x14ac:dyDescent="0.25">
      <c r="B811" s="170" t="s">
        <v>7385</v>
      </c>
      <c r="C811" s="986" t="s">
        <v>4876</v>
      </c>
      <c r="D811" s="197" t="s">
        <v>7022</v>
      </c>
      <c r="E811" s="170" t="s">
        <v>7021</v>
      </c>
      <c r="F811" s="197" t="s">
        <v>521</v>
      </c>
      <c r="G811" s="197" t="s">
        <v>6962</v>
      </c>
      <c r="H811" s="197" t="s">
        <v>6856</v>
      </c>
      <c r="I811" s="197" t="s">
        <v>6851</v>
      </c>
    </row>
    <row r="812" spans="2:9" ht="31.5" x14ac:dyDescent="0.25">
      <c r="B812" s="170" t="s">
        <v>7382</v>
      </c>
      <c r="C812" s="988" t="s">
        <v>4876</v>
      </c>
      <c r="D812" s="197" t="s">
        <v>7022</v>
      </c>
      <c r="E812" s="170" t="s">
        <v>7021</v>
      </c>
      <c r="F812" s="197" t="s">
        <v>521</v>
      </c>
      <c r="G812" s="197" t="s">
        <v>6962</v>
      </c>
      <c r="H812" s="197" t="s">
        <v>6856</v>
      </c>
      <c r="I812" s="197" t="s">
        <v>6851</v>
      </c>
    </row>
    <row r="813" spans="2:9" ht="31.5" x14ac:dyDescent="0.25">
      <c r="B813" s="170" t="s">
        <v>7394</v>
      </c>
      <c r="C813" s="170" t="s">
        <v>4904</v>
      </c>
      <c r="D813" s="197" t="s">
        <v>7020</v>
      </c>
      <c r="E813" s="170" t="s">
        <v>7019</v>
      </c>
      <c r="F813" s="197" t="s">
        <v>6894</v>
      </c>
      <c r="G813" s="197" t="s">
        <v>6859</v>
      </c>
      <c r="H813" s="197" t="s">
        <v>6890</v>
      </c>
      <c r="I813" s="197" t="s">
        <v>6888</v>
      </c>
    </row>
    <row r="814" spans="2:9" ht="31.5" x14ac:dyDescent="0.25">
      <c r="B814" s="170" t="s">
        <v>7393</v>
      </c>
      <c r="C814" s="170" t="s">
        <v>4904</v>
      </c>
      <c r="D814" s="197" t="s">
        <v>7020</v>
      </c>
      <c r="E814" s="170" t="s">
        <v>7019</v>
      </c>
      <c r="F814" s="197" t="s">
        <v>6894</v>
      </c>
      <c r="G814" s="197" t="s">
        <v>6859</v>
      </c>
      <c r="H814" s="197" t="s">
        <v>6890</v>
      </c>
      <c r="I814" s="197" t="s">
        <v>6888</v>
      </c>
    </row>
    <row r="815" spans="2:9" ht="31.5" x14ac:dyDescent="0.25">
      <c r="B815" s="170" t="s">
        <v>7328</v>
      </c>
      <c r="C815" s="170" t="s">
        <v>4904</v>
      </c>
      <c r="D815" s="197" t="s">
        <v>7020</v>
      </c>
      <c r="E815" s="170" t="s">
        <v>7019</v>
      </c>
      <c r="F815" s="197" t="s">
        <v>6894</v>
      </c>
      <c r="G815" s="197" t="s">
        <v>6859</v>
      </c>
      <c r="H815" s="197" t="s">
        <v>6890</v>
      </c>
      <c r="I815" s="197" t="s">
        <v>6888</v>
      </c>
    </row>
    <row r="816" spans="2:9" ht="31.5" x14ac:dyDescent="0.25">
      <c r="B816" s="170" t="s">
        <v>7390</v>
      </c>
      <c r="C816" s="170" t="s">
        <v>4904</v>
      </c>
      <c r="D816" s="197" t="s">
        <v>7020</v>
      </c>
      <c r="E816" s="170" t="s">
        <v>7019</v>
      </c>
      <c r="F816" s="197" t="s">
        <v>6894</v>
      </c>
      <c r="G816" s="197" t="s">
        <v>6859</v>
      </c>
      <c r="H816" s="197" t="s">
        <v>6890</v>
      </c>
      <c r="I816" s="197" t="s">
        <v>6888</v>
      </c>
    </row>
    <row r="817" spans="2:9" ht="31.5" x14ac:dyDescent="0.25">
      <c r="B817" s="170" t="s">
        <v>7326</v>
      </c>
      <c r="C817" s="170" t="s">
        <v>4904</v>
      </c>
      <c r="D817" s="197" t="s">
        <v>7020</v>
      </c>
      <c r="E817" s="170" t="s">
        <v>7019</v>
      </c>
      <c r="F817" s="197" t="s">
        <v>6894</v>
      </c>
      <c r="G817" s="197" t="s">
        <v>6859</v>
      </c>
      <c r="H817" s="197" t="s">
        <v>6890</v>
      </c>
      <c r="I817" s="197" t="s">
        <v>6888</v>
      </c>
    </row>
    <row r="818" spans="2:9" ht="31.5" x14ac:dyDescent="0.25">
      <c r="B818" s="170" t="s">
        <v>7325</v>
      </c>
      <c r="C818" s="170" t="s">
        <v>4904</v>
      </c>
      <c r="D818" s="197" t="s">
        <v>7020</v>
      </c>
      <c r="E818" s="170" t="s">
        <v>7019</v>
      </c>
      <c r="F818" s="197" t="s">
        <v>6894</v>
      </c>
      <c r="G818" s="197" t="s">
        <v>6859</v>
      </c>
      <c r="H818" s="197" t="s">
        <v>6890</v>
      </c>
      <c r="I818" s="197" t="s">
        <v>6888</v>
      </c>
    </row>
    <row r="819" spans="2:9" ht="31.5" x14ac:dyDescent="0.25">
      <c r="B819" s="170" t="s">
        <v>7387</v>
      </c>
      <c r="C819" s="170" t="s">
        <v>4904</v>
      </c>
      <c r="D819" s="197" t="s">
        <v>7020</v>
      </c>
      <c r="E819" s="170" t="s">
        <v>7019</v>
      </c>
      <c r="F819" s="197" t="s">
        <v>6894</v>
      </c>
      <c r="G819" s="197" t="s">
        <v>6859</v>
      </c>
      <c r="H819" s="197" t="s">
        <v>6890</v>
      </c>
      <c r="I819" s="197" t="s">
        <v>6888</v>
      </c>
    </row>
    <row r="820" spans="2:9" ht="31.5" x14ac:dyDescent="0.25">
      <c r="B820" s="170" t="s">
        <v>7323</v>
      </c>
      <c r="C820" s="170" t="s">
        <v>4904</v>
      </c>
      <c r="D820" s="197" t="s">
        <v>7020</v>
      </c>
      <c r="E820" s="170" t="s">
        <v>7019</v>
      </c>
      <c r="F820" s="197" t="s">
        <v>6894</v>
      </c>
      <c r="G820" s="197" t="s">
        <v>6859</v>
      </c>
      <c r="H820" s="197" t="s">
        <v>6890</v>
      </c>
      <c r="I820" s="197" t="s">
        <v>6888</v>
      </c>
    </row>
    <row r="821" spans="2:9" ht="31.5" x14ac:dyDescent="0.25">
      <c r="B821" s="170" t="s">
        <v>7385</v>
      </c>
      <c r="C821" s="170" t="s">
        <v>4904</v>
      </c>
      <c r="D821" s="197" t="s">
        <v>7020</v>
      </c>
      <c r="E821" s="170" t="s">
        <v>7019</v>
      </c>
      <c r="F821" s="197" t="s">
        <v>6894</v>
      </c>
      <c r="G821" s="197" t="s">
        <v>6859</v>
      </c>
      <c r="H821" s="197" t="s">
        <v>6890</v>
      </c>
      <c r="I821" s="197" t="s">
        <v>6888</v>
      </c>
    </row>
    <row r="822" spans="2:9" ht="31.5" x14ac:dyDescent="0.25">
      <c r="B822" s="170" t="s">
        <v>7382</v>
      </c>
      <c r="C822" s="170" t="s">
        <v>4904</v>
      </c>
      <c r="D822" s="197" t="s">
        <v>7020</v>
      </c>
      <c r="E822" s="170" t="s">
        <v>7019</v>
      </c>
      <c r="F822" s="197" t="s">
        <v>6894</v>
      </c>
      <c r="G822" s="197" t="s">
        <v>6859</v>
      </c>
      <c r="H822" s="197" t="s">
        <v>6890</v>
      </c>
      <c r="I822" s="197" t="s">
        <v>6888</v>
      </c>
    </row>
    <row r="823" spans="2:9" ht="31.5" x14ac:dyDescent="0.25">
      <c r="B823" s="170" t="s">
        <v>7381</v>
      </c>
      <c r="C823" s="170" t="s">
        <v>4904</v>
      </c>
      <c r="D823" s="197" t="s">
        <v>7020</v>
      </c>
      <c r="E823" s="170" t="s">
        <v>7019</v>
      </c>
      <c r="F823" s="197" t="s">
        <v>6894</v>
      </c>
      <c r="G823" s="197" t="s">
        <v>6859</v>
      </c>
      <c r="H823" s="197" t="s">
        <v>6890</v>
      </c>
      <c r="I823" s="197" t="s">
        <v>6888</v>
      </c>
    </row>
    <row r="824" spans="2:9" ht="31.5" x14ac:dyDescent="0.25">
      <c r="B824" s="170" t="s">
        <v>7380</v>
      </c>
      <c r="C824" s="170" t="s">
        <v>4904</v>
      </c>
      <c r="D824" s="197" t="s">
        <v>7020</v>
      </c>
      <c r="E824" s="170" t="s">
        <v>7019</v>
      </c>
      <c r="F824" s="197" t="s">
        <v>6894</v>
      </c>
      <c r="G824" s="197" t="s">
        <v>6859</v>
      </c>
      <c r="H824" s="197" t="s">
        <v>6890</v>
      </c>
      <c r="I824" s="197" t="s">
        <v>6888</v>
      </c>
    </row>
    <row r="825" spans="2:9" ht="31.5" x14ac:dyDescent="0.25">
      <c r="B825" s="170" t="s">
        <v>7394</v>
      </c>
      <c r="C825" s="170" t="s">
        <v>4904</v>
      </c>
      <c r="D825" s="197" t="s">
        <v>7017</v>
      </c>
      <c r="E825" s="170" t="s">
        <v>7016</v>
      </c>
      <c r="F825" s="197" t="s">
        <v>6894</v>
      </c>
      <c r="G825" s="197" t="s">
        <v>6897</v>
      </c>
      <c r="H825" s="197" t="s">
        <v>6890</v>
      </c>
      <c r="I825" s="197" t="s">
        <v>6888</v>
      </c>
    </row>
    <row r="826" spans="2:9" ht="31.5" x14ac:dyDescent="0.25">
      <c r="B826" s="170" t="s">
        <v>7393</v>
      </c>
      <c r="C826" s="170" t="s">
        <v>4904</v>
      </c>
      <c r="D826" s="197" t="s">
        <v>7017</v>
      </c>
      <c r="E826" s="170" t="s">
        <v>7016</v>
      </c>
      <c r="F826" s="197" t="s">
        <v>6894</v>
      </c>
      <c r="G826" s="197" t="s">
        <v>6897</v>
      </c>
      <c r="H826" s="197" t="s">
        <v>6890</v>
      </c>
      <c r="I826" s="197" t="s">
        <v>6888</v>
      </c>
    </row>
    <row r="827" spans="2:9" ht="31.5" x14ac:dyDescent="0.25">
      <c r="B827" s="170" t="s">
        <v>7328</v>
      </c>
      <c r="C827" s="170" t="s">
        <v>4904</v>
      </c>
      <c r="D827" s="197" t="s">
        <v>7017</v>
      </c>
      <c r="E827" s="170" t="s">
        <v>7016</v>
      </c>
      <c r="F827" s="197" t="s">
        <v>6894</v>
      </c>
      <c r="G827" s="197" t="s">
        <v>6897</v>
      </c>
      <c r="H827" s="197" t="s">
        <v>6890</v>
      </c>
      <c r="I827" s="197" t="s">
        <v>6888</v>
      </c>
    </row>
    <row r="828" spans="2:9" ht="31.5" x14ac:dyDescent="0.25">
      <c r="B828" s="170" t="s">
        <v>7390</v>
      </c>
      <c r="C828" s="170" t="s">
        <v>4904</v>
      </c>
      <c r="D828" s="197" t="s">
        <v>7017</v>
      </c>
      <c r="E828" s="170" t="s">
        <v>7016</v>
      </c>
      <c r="F828" s="197" t="s">
        <v>6894</v>
      </c>
      <c r="G828" s="197" t="s">
        <v>6897</v>
      </c>
      <c r="H828" s="197" t="s">
        <v>6890</v>
      </c>
      <c r="I828" s="197" t="s">
        <v>6888</v>
      </c>
    </row>
    <row r="829" spans="2:9" ht="31.5" x14ac:dyDescent="0.25">
      <c r="B829" s="170" t="s">
        <v>7326</v>
      </c>
      <c r="C829" s="170" t="s">
        <v>4904</v>
      </c>
      <c r="D829" s="197" t="s">
        <v>7017</v>
      </c>
      <c r="E829" s="170" t="s">
        <v>7016</v>
      </c>
      <c r="F829" s="197" t="s">
        <v>6894</v>
      </c>
      <c r="G829" s="197" t="s">
        <v>6897</v>
      </c>
      <c r="H829" s="197" t="s">
        <v>6890</v>
      </c>
      <c r="I829" s="197" t="s">
        <v>6888</v>
      </c>
    </row>
    <row r="830" spans="2:9" ht="31.5" x14ac:dyDescent="0.25">
      <c r="B830" s="170" t="s">
        <v>7325</v>
      </c>
      <c r="C830" s="170" t="s">
        <v>4904</v>
      </c>
      <c r="D830" s="197" t="s">
        <v>7017</v>
      </c>
      <c r="E830" s="170" t="s">
        <v>7016</v>
      </c>
      <c r="F830" s="197" t="s">
        <v>6894</v>
      </c>
      <c r="G830" s="197" t="s">
        <v>6897</v>
      </c>
      <c r="H830" s="197" t="s">
        <v>6890</v>
      </c>
      <c r="I830" s="197" t="s">
        <v>6888</v>
      </c>
    </row>
    <row r="831" spans="2:9" ht="31.5" x14ac:dyDescent="0.25">
      <c r="B831" s="170" t="s">
        <v>7387</v>
      </c>
      <c r="C831" s="170" t="s">
        <v>4904</v>
      </c>
      <c r="D831" s="197" t="s">
        <v>7017</v>
      </c>
      <c r="E831" s="170" t="s">
        <v>7016</v>
      </c>
      <c r="F831" s="197" t="s">
        <v>6894</v>
      </c>
      <c r="G831" s="197" t="s">
        <v>6897</v>
      </c>
      <c r="H831" s="197" t="s">
        <v>6890</v>
      </c>
      <c r="I831" s="197" t="s">
        <v>6888</v>
      </c>
    </row>
    <row r="832" spans="2:9" ht="31.5" x14ac:dyDescent="0.25">
      <c r="B832" s="170" t="s">
        <v>7323</v>
      </c>
      <c r="C832" s="170" t="s">
        <v>4904</v>
      </c>
      <c r="D832" s="197" t="s">
        <v>7017</v>
      </c>
      <c r="E832" s="170" t="s">
        <v>7016</v>
      </c>
      <c r="F832" s="197" t="s">
        <v>6894</v>
      </c>
      <c r="G832" s="197" t="s">
        <v>6897</v>
      </c>
      <c r="H832" s="197" t="s">
        <v>6890</v>
      </c>
      <c r="I832" s="197" t="s">
        <v>6888</v>
      </c>
    </row>
    <row r="833" spans="2:9" ht="31.5" x14ac:dyDescent="0.25">
      <c r="B833" s="170" t="s">
        <v>7385</v>
      </c>
      <c r="C833" s="170" t="s">
        <v>4904</v>
      </c>
      <c r="D833" s="197" t="s">
        <v>7017</v>
      </c>
      <c r="E833" s="170" t="s">
        <v>7016</v>
      </c>
      <c r="F833" s="197" t="s">
        <v>6894</v>
      </c>
      <c r="G833" s="197" t="s">
        <v>6897</v>
      </c>
      <c r="H833" s="197" t="s">
        <v>6890</v>
      </c>
      <c r="I833" s="197" t="s">
        <v>6888</v>
      </c>
    </row>
    <row r="834" spans="2:9" ht="31.5" x14ac:dyDescent="0.25">
      <c r="B834" s="170" t="s">
        <v>7382</v>
      </c>
      <c r="C834" s="170" t="s">
        <v>4904</v>
      </c>
      <c r="D834" s="197" t="s">
        <v>7017</v>
      </c>
      <c r="E834" s="170" t="s">
        <v>7016</v>
      </c>
      <c r="F834" s="197" t="s">
        <v>6894</v>
      </c>
      <c r="G834" s="197" t="s">
        <v>6897</v>
      </c>
      <c r="H834" s="197" t="s">
        <v>6890</v>
      </c>
      <c r="I834" s="197" t="s">
        <v>6888</v>
      </c>
    </row>
    <row r="835" spans="2:9" ht="31.5" x14ac:dyDescent="0.25">
      <c r="B835" s="170" t="s">
        <v>7381</v>
      </c>
      <c r="C835" s="170" t="s">
        <v>4904</v>
      </c>
      <c r="D835" s="197" t="s">
        <v>7017</v>
      </c>
      <c r="E835" s="170" t="s">
        <v>7016</v>
      </c>
      <c r="F835" s="197" t="s">
        <v>6894</v>
      </c>
      <c r="G835" s="197" t="s">
        <v>6897</v>
      </c>
      <c r="H835" s="197" t="s">
        <v>6890</v>
      </c>
      <c r="I835" s="197" t="s">
        <v>6888</v>
      </c>
    </row>
    <row r="836" spans="2:9" ht="31.5" x14ac:dyDescent="0.25">
      <c r="B836" s="170" t="s">
        <v>7380</v>
      </c>
      <c r="C836" s="170" t="s">
        <v>4904</v>
      </c>
      <c r="D836" s="197" t="s">
        <v>7017</v>
      </c>
      <c r="E836" s="170" t="s">
        <v>7016</v>
      </c>
      <c r="F836" s="197" t="s">
        <v>6894</v>
      </c>
      <c r="G836" s="197" t="s">
        <v>6897</v>
      </c>
      <c r="H836" s="197" t="s">
        <v>6890</v>
      </c>
      <c r="I836" s="197" t="s">
        <v>6888</v>
      </c>
    </row>
    <row r="837" spans="2:9" ht="31.5" x14ac:dyDescent="0.25">
      <c r="B837" s="170" t="s">
        <v>7325</v>
      </c>
      <c r="C837" s="986" t="s">
        <v>4876</v>
      </c>
      <c r="D837" s="197" t="s">
        <v>7014</v>
      </c>
      <c r="E837" s="170" t="s">
        <v>7013</v>
      </c>
      <c r="F837" s="197" t="s">
        <v>6867</v>
      </c>
      <c r="G837" s="197" t="s">
        <v>6893</v>
      </c>
      <c r="H837" s="197" t="s">
        <v>6856</v>
      </c>
      <c r="I837" s="197" t="s">
        <v>6851</v>
      </c>
    </row>
    <row r="838" spans="2:9" ht="31.5" x14ac:dyDescent="0.25">
      <c r="B838" s="170" t="s">
        <v>7387</v>
      </c>
      <c r="C838" s="988" t="s">
        <v>4876</v>
      </c>
      <c r="D838" s="197" t="s">
        <v>7014</v>
      </c>
      <c r="E838" s="170" t="s">
        <v>7013</v>
      </c>
      <c r="F838" s="197" t="s">
        <v>6867</v>
      </c>
      <c r="G838" s="197" t="s">
        <v>6893</v>
      </c>
      <c r="H838" s="197" t="s">
        <v>6856</v>
      </c>
      <c r="I838" s="197" t="s">
        <v>6851</v>
      </c>
    </row>
    <row r="839" spans="2:9" ht="31.5" x14ac:dyDescent="0.25">
      <c r="B839" s="170" t="s">
        <v>7323</v>
      </c>
      <c r="C839" s="986" t="s">
        <v>4876</v>
      </c>
      <c r="D839" s="197" t="s">
        <v>7014</v>
      </c>
      <c r="E839" s="170" t="s">
        <v>7013</v>
      </c>
      <c r="F839" s="197" t="s">
        <v>6867</v>
      </c>
      <c r="G839" s="197" t="s">
        <v>6893</v>
      </c>
      <c r="H839" s="197" t="s">
        <v>6856</v>
      </c>
      <c r="I839" s="197" t="s">
        <v>6851</v>
      </c>
    </row>
    <row r="840" spans="2:9" ht="31.5" x14ac:dyDescent="0.25">
      <c r="B840" s="170" t="s">
        <v>7385</v>
      </c>
      <c r="C840" s="988" t="s">
        <v>4876</v>
      </c>
      <c r="D840" s="197" t="s">
        <v>7014</v>
      </c>
      <c r="E840" s="170" t="s">
        <v>7013</v>
      </c>
      <c r="F840" s="197" t="s">
        <v>6867</v>
      </c>
      <c r="G840" s="197" t="s">
        <v>6893</v>
      </c>
      <c r="H840" s="197" t="s">
        <v>6856</v>
      </c>
      <c r="I840" s="197" t="s">
        <v>6851</v>
      </c>
    </row>
    <row r="841" spans="2:9" ht="31.5" x14ac:dyDescent="0.25">
      <c r="B841" s="170" t="s">
        <v>7382</v>
      </c>
      <c r="C841" s="986" t="s">
        <v>4876</v>
      </c>
      <c r="D841" s="197" t="s">
        <v>7014</v>
      </c>
      <c r="E841" s="170" t="s">
        <v>7013</v>
      </c>
      <c r="F841" s="197" t="s">
        <v>6867</v>
      </c>
      <c r="G841" s="197" t="s">
        <v>6893</v>
      </c>
      <c r="H841" s="197" t="s">
        <v>6856</v>
      </c>
      <c r="I841" s="197" t="s">
        <v>6851</v>
      </c>
    </row>
    <row r="842" spans="2:9" ht="31.5" x14ac:dyDescent="0.25">
      <c r="B842" s="170" t="s">
        <v>7325</v>
      </c>
      <c r="C842" s="988" t="s">
        <v>4876</v>
      </c>
      <c r="D842" s="197" t="s">
        <v>7012</v>
      </c>
      <c r="E842" s="170" t="s">
        <v>7011</v>
      </c>
      <c r="F842" s="197" t="s">
        <v>6867</v>
      </c>
      <c r="G842" s="197" t="s">
        <v>7010</v>
      </c>
      <c r="H842" s="197" t="s">
        <v>6856</v>
      </c>
      <c r="I842" s="197" t="s">
        <v>6851</v>
      </c>
    </row>
    <row r="843" spans="2:9" ht="31.5" x14ac:dyDescent="0.25">
      <c r="B843" s="170" t="s">
        <v>7387</v>
      </c>
      <c r="C843" s="986" t="s">
        <v>4876</v>
      </c>
      <c r="D843" s="197" t="s">
        <v>7012</v>
      </c>
      <c r="E843" s="170" t="s">
        <v>7011</v>
      </c>
      <c r="F843" s="197" t="s">
        <v>6867</v>
      </c>
      <c r="G843" s="197" t="s">
        <v>7010</v>
      </c>
      <c r="H843" s="197" t="s">
        <v>6856</v>
      </c>
      <c r="I843" s="197" t="s">
        <v>6851</v>
      </c>
    </row>
    <row r="844" spans="2:9" ht="31.5" x14ac:dyDescent="0.25">
      <c r="B844" s="170" t="s">
        <v>7323</v>
      </c>
      <c r="C844" s="988" t="s">
        <v>4876</v>
      </c>
      <c r="D844" s="197" t="s">
        <v>7012</v>
      </c>
      <c r="E844" s="170" t="s">
        <v>7011</v>
      </c>
      <c r="F844" s="197" t="s">
        <v>6867</v>
      </c>
      <c r="G844" s="197" t="s">
        <v>7010</v>
      </c>
      <c r="H844" s="197" t="s">
        <v>6856</v>
      </c>
      <c r="I844" s="197" t="s">
        <v>6851</v>
      </c>
    </row>
    <row r="845" spans="2:9" ht="31.5" x14ac:dyDescent="0.25">
      <c r="B845" s="170" t="s">
        <v>7385</v>
      </c>
      <c r="C845" s="986" t="s">
        <v>4876</v>
      </c>
      <c r="D845" s="197" t="s">
        <v>7012</v>
      </c>
      <c r="E845" s="170" t="s">
        <v>7011</v>
      </c>
      <c r="F845" s="197" t="s">
        <v>6867</v>
      </c>
      <c r="G845" s="197" t="s">
        <v>7010</v>
      </c>
      <c r="H845" s="197" t="s">
        <v>6856</v>
      </c>
      <c r="I845" s="197" t="s">
        <v>6851</v>
      </c>
    </row>
    <row r="846" spans="2:9" ht="31.5" x14ac:dyDescent="0.25">
      <c r="B846" s="170" t="s">
        <v>7382</v>
      </c>
      <c r="C846" s="988" t="s">
        <v>4876</v>
      </c>
      <c r="D846" s="197" t="s">
        <v>7012</v>
      </c>
      <c r="E846" s="170" t="s">
        <v>7011</v>
      </c>
      <c r="F846" s="197" t="s">
        <v>6867</v>
      </c>
      <c r="G846" s="197" t="s">
        <v>7010</v>
      </c>
      <c r="H846" s="197" t="s">
        <v>6856</v>
      </c>
      <c r="I846" s="197" t="s">
        <v>6851</v>
      </c>
    </row>
    <row r="847" spans="2:9" ht="31.5" x14ac:dyDescent="0.25">
      <c r="B847" s="170" t="s">
        <v>7325</v>
      </c>
      <c r="C847" s="986" t="s">
        <v>4876</v>
      </c>
      <c r="D847" s="197" t="s">
        <v>7009</v>
      </c>
      <c r="E847" s="170" t="s">
        <v>7008</v>
      </c>
      <c r="F847" s="197" t="s">
        <v>6867</v>
      </c>
      <c r="G847" s="197" t="s">
        <v>6876</v>
      </c>
      <c r="H847" s="197" t="s">
        <v>6856</v>
      </c>
      <c r="I847" s="197" t="s">
        <v>6851</v>
      </c>
    </row>
    <row r="848" spans="2:9" ht="31.5" x14ac:dyDescent="0.25">
      <c r="B848" s="170" t="s">
        <v>7387</v>
      </c>
      <c r="C848" s="988" t="s">
        <v>4876</v>
      </c>
      <c r="D848" s="197" t="s">
        <v>7009</v>
      </c>
      <c r="E848" s="170" t="s">
        <v>7008</v>
      </c>
      <c r="F848" s="197" t="s">
        <v>6867</v>
      </c>
      <c r="G848" s="197" t="s">
        <v>6876</v>
      </c>
      <c r="H848" s="197" t="s">
        <v>6856</v>
      </c>
      <c r="I848" s="197" t="s">
        <v>6851</v>
      </c>
    </row>
    <row r="849" spans="2:9" ht="31.5" x14ac:dyDescent="0.25">
      <c r="B849" s="170" t="s">
        <v>7323</v>
      </c>
      <c r="C849" s="986" t="s">
        <v>4876</v>
      </c>
      <c r="D849" s="197" t="s">
        <v>7009</v>
      </c>
      <c r="E849" s="170" t="s">
        <v>7008</v>
      </c>
      <c r="F849" s="197" t="s">
        <v>6867</v>
      </c>
      <c r="G849" s="197" t="s">
        <v>6876</v>
      </c>
      <c r="H849" s="197" t="s">
        <v>6856</v>
      </c>
      <c r="I849" s="197" t="s">
        <v>6851</v>
      </c>
    </row>
    <row r="850" spans="2:9" ht="31.5" x14ac:dyDescent="0.25">
      <c r="B850" s="170" t="s">
        <v>7385</v>
      </c>
      <c r="C850" s="988" t="s">
        <v>4876</v>
      </c>
      <c r="D850" s="197" t="s">
        <v>7009</v>
      </c>
      <c r="E850" s="170" t="s">
        <v>7008</v>
      </c>
      <c r="F850" s="197" t="s">
        <v>6867</v>
      </c>
      <c r="G850" s="197" t="s">
        <v>6876</v>
      </c>
      <c r="H850" s="197" t="s">
        <v>6856</v>
      </c>
      <c r="I850" s="197" t="s">
        <v>6851</v>
      </c>
    </row>
    <row r="851" spans="2:9" ht="31.5" x14ac:dyDescent="0.25">
      <c r="B851" s="170" t="s">
        <v>7382</v>
      </c>
      <c r="C851" s="986" t="s">
        <v>4876</v>
      </c>
      <c r="D851" s="197" t="s">
        <v>7009</v>
      </c>
      <c r="E851" s="170" t="s">
        <v>7008</v>
      </c>
      <c r="F851" s="197" t="s">
        <v>6867</v>
      </c>
      <c r="G851" s="197" t="s">
        <v>6876</v>
      </c>
      <c r="H851" s="197" t="s">
        <v>6856</v>
      </c>
      <c r="I851" s="197" t="s">
        <v>6851</v>
      </c>
    </row>
    <row r="852" spans="2:9" ht="31.5" x14ac:dyDescent="0.25">
      <c r="B852" s="170" t="s">
        <v>7394</v>
      </c>
      <c r="C852" s="170" t="s">
        <v>4904</v>
      </c>
      <c r="D852" s="197" t="s">
        <v>7006</v>
      </c>
      <c r="E852" s="170" t="s">
        <v>7005</v>
      </c>
      <c r="F852" s="197" t="s">
        <v>6894</v>
      </c>
      <c r="G852" s="197" t="s">
        <v>6859</v>
      </c>
      <c r="H852" s="197" t="s">
        <v>6890</v>
      </c>
      <c r="I852" s="197" t="s">
        <v>6888</v>
      </c>
    </row>
    <row r="853" spans="2:9" ht="31.5" x14ac:dyDescent="0.25">
      <c r="B853" s="170" t="s">
        <v>7393</v>
      </c>
      <c r="C853" s="170" t="s">
        <v>4904</v>
      </c>
      <c r="D853" s="197" t="s">
        <v>7006</v>
      </c>
      <c r="E853" s="170" t="s">
        <v>7005</v>
      </c>
      <c r="F853" s="197" t="s">
        <v>6894</v>
      </c>
      <c r="G853" s="197" t="s">
        <v>6859</v>
      </c>
      <c r="H853" s="197" t="s">
        <v>6890</v>
      </c>
      <c r="I853" s="197" t="s">
        <v>6888</v>
      </c>
    </row>
    <row r="854" spans="2:9" ht="31.5" x14ac:dyDescent="0.25">
      <c r="B854" s="170" t="s">
        <v>7328</v>
      </c>
      <c r="C854" s="170" t="s">
        <v>4904</v>
      </c>
      <c r="D854" s="197" t="s">
        <v>7006</v>
      </c>
      <c r="E854" s="170" t="s">
        <v>7005</v>
      </c>
      <c r="F854" s="197" t="s">
        <v>6894</v>
      </c>
      <c r="G854" s="197" t="s">
        <v>6859</v>
      </c>
      <c r="H854" s="197" t="s">
        <v>6890</v>
      </c>
      <c r="I854" s="197" t="s">
        <v>6888</v>
      </c>
    </row>
    <row r="855" spans="2:9" ht="31.5" x14ac:dyDescent="0.25">
      <c r="B855" s="170" t="s">
        <v>7390</v>
      </c>
      <c r="C855" s="170" t="s">
        <v>4904</v>
      </c>
      <c r="D855" s="197" t="s">
        <v>7006</v>
      </c>
      <c r="E855" s="170" t="s">
        <v>7005</v>
      </c>
      <c r="F855" s="197" t="s">
        <v>6894</v>
      </c>
      <c r="G855" s="197" t="s">
        <v>6859</v>
      </c>
      <c r="H855" s="197" t="s">
        <v>6890</v>
      </c>
      <c r="I855" s="197" t="s">
        <v>6888</v>
      </c>
    </row>
    <row r="856" spans="2:9" ht="31.5" x14ac:dyDescent="0.25">
      <c r="B856" s="170" t="s">
        <v>7326</v>
      </c>
      <c r="C856" s="170" t="s">
        <v>4904</v>
      </c>
      <c r="D856" s="197" t="s">
        <v>7006</v>
      </c>
      <c r="E856" s="170" t="s">
        <v>7005</v>
      </c>
      <c r="F856" s="197" t="s">
        <v>6894</v>
      </c>
      <c r="G856" s="197" t="s">
        <v>6859</v>
      </c>
      <c r="H856" s="197" t="s">
        <v>6890</v>
      </c>
      <c r="I856" s="197" t="s">
        <v>6888</v>
      </c>
    </row>
    <row r="857" spans="2:9" ht="31.5" x14ac:dyDescent="0.25">
      <c r="B857" s="170" t="s">
        <v>7325</v>
      </c>
      <c r="C857" s="170" t="s">
        <v>4904</v>
      </c>
      <c r="D857" s="197" t="s">
        <v>7006</v>
      </c>
      <c r="E857" s="170" t="s">
        <v>7005</v>
      </c>
      <c r="F857" s="197" t="s">
        <v>6894</v>
      </c>
      <c r="G857" s="197" t="s">
        <v>6859</v>
      </c>
      <c r="H857" s="197" t="s">
        <v>6890</v>
      </c>
      <c r="I857" s="197" t="s">
        <v>6888</v>
      </c>
    </row>
    <row r="858" spans="2:9" ht="31.5" x14ac:dyDescent="0.25">
      <c r="B858" s="170" t="s">
        <v>7387</v>
      </c>
      <c r="C858" s="170" t="s">
        <v>4904</v>
      </c>
      <c r="D858" s="197" t="s">
        <v>7006</v>
      </c>
      <c r="E858" s="170" t="s">
        <v>7005</v>
      </c>
      <c r="F858" s="197" t="s">
        <v>6894</v>
      </c>
      <c r="G858" s="197" t="s">
        <v>6859</v>
      </c>
      <c r="H858" s="197" t="s">
        <v>6890</v>
      </c>
      <c r="I858" s="197" t="s">
        <v>6888</v>
      </c>
    </row>
    <row r="859" spans="2:9" ht="31.5" x14ac:dyDescent="0.25">
      <c r="B859" s="170" t="s">
        <v>7323</v>
      </c>
      <c r="C859" s="170" t="s">
        <v>4904</v>
      </c>
      <c r="D859" s="197" t="s">
        <v>7006</v>
      </c>
      <c r="E859" s="170" t="s">
        <v>7005</v>
      </c>
      <c r="F859" s="197" t="s">
        <v>6894</v>
      </c>
      <c r="G859" s="197" t="s">
        <v>6859</v>
      </c>
      <c r="H859" s="197" t="s">
        <v>6890</v>
      </c>
      <c r="I859" s="197" t="s">
        <v>6888</v>
      </c>
    </row>
    <row r="860" spans="2:9" ht="31.5" x14ac:dyDescent="0.25">
      <c r="B860" s="170" t="s">
        <v>7385</v>
      </c>
      <c r="C860" s="170" t="s">
        <v>4904</v>
      </c>
      <c r="D860" s="197" t="s">
        <v>7006</v>
      </c>
      <c r="E860" s="170" t="s">
        <v>7005</v>
      </c>
      <c r="F860" s="197" t="s">
        <v>6894</v>
      </c>
      <c r="G860" s="197" t="s">
        <v>6859</v>
      </c>
      <c r="H860" s="197" t="s">
        <v>6890</v>
      </c>
      <c r="I860" s="197" t="s">
        <v>6888</v>
      </c>
    </row>
    <row r="861" spans="2:9" ht="31.5" x14ac:dyDescent="0.25">
      <c r="B861" s="170" t="s">
        <v>7382</v>
      </c>
      <c r="C861" s="170" t="s">
        <v>4904</v>
      </c>
      <c r="D861" s="197" t="s">
        <v>7006</v>
      </c>
      <c r="E861" s="170" t="s">
        <v>7005</v>
      </c>
      <c r="F861" s="197" t="s">
        <v>6894</v>
      </c>
      <c r="G861" s="197" t="s">
        <v>6859</v>
      </c>
      <c r="H861" s="197" t="s">
        <v>6890</v>
      </c>
      <c r="I861" s="197" t="s">
        <v>6888</v>
      </c>
    </row>
    <row r="862" spans="2:9" ht="31.5" x14ac:dyDescent="0.25">
      <c r="B862" s="170" t="s">
        <v>7381</v>
      </c>
      <c r="C862" s="170" t="s">
        <v>4904</v>
      </c>
      <c r="D862" s="197" t="s">
        <v>7006</v>
      </c>
      <c r="E862" s="170" t="s">
        <v>7005</v>
      </c>
      <c r="F862" s="197" t="s">
        <v>6894</v>
      </c>
      <c r="G862" s="197" t="s">
        <v>6859</v>
      </c>
      <c r="H862" s="197" t="s">
        <v>6890</v>
      </c>
      <c r="I862" s="197" t="s">
        <v>6888</v>
      </c>
    </row>
    <row r="863" spans="2:9" ht="31.5" x14ac:dyDescent="0.25">
      <c r="B863" s="170" t="s">
        <v>7380</v>
      </c>
      <c r="C863" s="170" t="s">
        <v>4904</v>
      </c>
      <c r="D863" s="197" t="s">
        <v>7006</v>
      </c>
      <c r="E863" s="170" t="s">
        <v>7005</v>
      </c>
      <c r="F863" s="197" t="s">
        <v>6894</v>
      </c>
      <c r="G863" s="197" t="s">
        <v>6859</v>
      </c>
      <c r="H863" s="197" t="s">
        <v>6890</v>
      </c>
      <c r="I863" s="197" t="s">
        <v>6888</v>
      </c>
    </row>
    <row r="864" spans="2:9" ht="31.5" x14ac:dyDescent="0.25">
      <c r="B864" s="170" t="s">
        <v>7394</v>
      </c>
      <c r="C864" s="988" t="s">
        <v>4876</v>
      </c>
      <c r="D864" s="197" t="s">
        <v>7004</v>
      </c>
      <c r="E864" s="170" t="s">
        <v>7003</v>
      </c>
      <c r="F864" s="197" t="s">
        <v>521</v>
      </c>
      <c r="G864" s="197" t="s">
        <v>7002</v>
      </c>
      <c r="H864" s="197" t="s">
        <v>6856</v>
      </c>
      <c r="I864" s="197" t="s">
        <v>6851</v>
      </c>
    </row>
    <row r="865" spans="2:9" ht="31.5" x14ac:dyDescent="0.25">
      <c r="B865" s="170" t="s">
        <v>7393</v>
      </c>
      <c r="C865" s="986" t="s">
        <v>4876</v>
      </c>
      <c r="D865" s="197" t="s">
        <v>7004</v>
      </c>
      <c r="E865" s="170" t="s">
        <v>7003</v>
      </c>
      <c r="F865" s="197" t="s">
        <v>521</v>
      </c>
      <c r="G865" s="197" t="s">
        <v>7002</v>
      </c>
      <c r="H865" s="197" t="s">
        <v>6856</v>
      </c>
      <c r="I865" s="197" t="s">
        <v>6851</v>
      </c>
    </row>
    <row r="866" spans="2:9" ht="31.5" x14ac:dyDescent="0.25">
      <c r="B866" s="170" t="s">
        <v>7328</v>
      </c>
      <c r="C866" s="988" t="s">
        <v>4876</v>
      </c>
      <c r="D866" s="197" t="s">
        <v>7004</v>
      </c>
      <c r="E866" s="170" t="s">
        <v>7003</v>
      </c>
      <c r="F866" s="197" t="s">
        <v>521</v>
      </c>
      <c r="G866" s="197" t="s">
        <v>7002</v>
      </c>
      <c r="H866" s="197" t="s">
        <v>6856</v>
      </c>
      <c r="I866" s="197" t="s">
        <v>6851</v>
      </c>
    </row>
    <row r="867" spans="2:9" ht="31.5" x14ac:dyDescent="0.25">
      <c r="B867" s="170" t="s">
        <v>7390</v>
      </c>
      <c r="C867" s="986" t="s">
        <v>4876</v>
      </c>
      <c r="D867" s="197" t="s">
        <v>7004</v>
      </c>
      <c r="E867" s="170" t="s">
        <v>7003</v>
      </c>
      <c r="F867" s="197" t="s">
        <v>521</v>
      </c>
      <c r="G867" s="197" t="s">
        <v>7002</v>
      </c>
      <c r="H867" s="197" t="s">
        <v>6856</v>
      </c>
      <c r="I867" s="197" t="s">
        <v>6851</v>
      </c>
    </row>
    <row r="868" spans="2:9" ht="31.5" x14ac:dyDescent="0.25">
      <c r="B868" s="170" t="s">
        <v>7326</v>
      </c>
      <c r="C868" s="988" t="s">
        <v>4876</v>
      </c>
      <c r="D868" s="197" t="s">
        <v>7004</v>
      </c>
      <c r="E868" s="170" t="s">
        <v>7003</v>
      </c>
      <c r="F868" s="197" t="s">
        <v>521</v>
      </c>
      <c r="G868" s="197" t="s">
        <v>7002</v>
      </c>
      <c r="H868" s="197" t="s">
        <v>6856</v>
      </c>
      <c r="I868" s="197" t="s">
        <v>6851</v>
      </c>
    </row>
    <row r="869" spans="2:9" ht="31.5" x14ac:dyDescent="0.25">
      <c r="B869" s="170" t="s">
        <v>7381</v>
      </c>
      <c r="C869" s="986" t="s">
        <v>4876</v>
      </c>
      <c r="D869" s="197" t="s">
        <v>7004</v>
      </c>
      <c r="E869" s="170" t="s">
        <v>7003</v>
      </c>
      <c r="F869" s="197" t="s">
        <v>521</v>
      </c>
      <c r="G869" s="197" t="s">
        <v>7002</v>
      </c>
      <c r="H869" s="197" t="s">
        <v>6856</v>
      </c>
      <c r="I869" s="197" t="s">
        <v>6851</v>
      </c>
    </row>
    <row r="870" spans="2:9" ht="31.5" x14ac:dyDescent="0.25">
      <c r="B870" s="170" t="s">
        <v>7380</v>
      </c>
      <c r="C870" s="988" t="s">
        <v>4876</v>
      </c>
      <c r="D870" s="197" t="s">
        <v>7004</v>
      </c>
      <c r="E870" s="170" t="s">
        <v>7003</v>
      </c>
      <c r="F870" s="197" t="s">
        <v>521</v>
      </c>
      <c r="G870" s="197" t="s">
        <v>7002</v>
      </c>
      <c r="H870" s="197" t="s">
        <v>6856</v>
      </c>
      <c r="I870" s="197" t="s">
        <v>6851</v>
      </c>
    </row>
    <row r="871" spans="2:9" ht="31.5" x14ac:dyDescent="0.25">
      <c r="B871" s="170" t="s">
        <v>7394</v>
      </c>
      <c r="C871" s="170" t="s">
        <v>4904</v>
      </c>
      <c r="D871" s="197" t="s">
        <v>6999</v>
      </c>
      <c r="E871" s="170" t="s">
        <v>6998</v>
      </c>
      <c r="F871" s="197" t="s">
        <v>521</v>
      </c>
      <c r="G871" s="197" t="s">
        <v>6962</v>
      </c>
      <c r="H871" s="197" t="s">
        <v>6980</v>
      </c>
      <c r="I871" s="197" t="s">
        <v>6977</v>
      </c>
    </row>
    <row r="872" spans="2:9" ht="31.5" x14ac:dyDescent="0.25">
      <c r="B872" s="170" t="s">
        <v>7393</v>
      </c>
      <c r="C872" s="170" t="s">
        <v>4904</v>
      </c>
      <c r="D872" s="197" t="s">
        <v>6999</v>
      </c>
      <c r="E872" s="170" t="s">
        <v>6998</v>
      </c>
      <c r="F872" s="197" t="s">
        <v>521</v>
      </c>
      <c r="G872" s="197" t="s">
        <v>6962</v>
      </c>
      <c r="H872" s="197" t="s">
        <v>6980</v>
      </c>
      <c r="I872" s="197" t="s">
        <v>6977</v>
      </c>
    </row>
    <row r="873" spans="2:9" ht="31.5" x14ac:dyDescent="0.25">
      <c r="B873" s="170" t="s">
        <v>7328</v>
      </c>
      <c r="C873" s="170" t="s">
        <v>4904</v>
      </c>
      <c r="D873" s="197" t="s">
        <v>6999</v>
      </c>
      <c r="E873" s="170" t="s">
        <v>6998</v>
      </c>
      <c r="F873" s="197" t="s">
        <v>521</v>
      </c>
      <c r="G873" s="197" t="s">
        <v>6962</v>
      </c>
      <c r="H873" s="197" t="s">
        <v>6980</v>
      </c>
      <c r="I873" s="197" t="s">
        <v>6977</v>
      </c>
    </row>
    <row r="874" spans="2:9" ht="31.5" x14ac:dyDescent="0.25">
      <c r="B874" s="170" t="s">
        <v>7390</v>
      </c>
      <c r="C874" s="170" t="s">
        <v>4904</v>
      </c>
      <c r="D874" s="197" t="s">
        <v>6999</v>
      </c>
      <c r="E874" s="170" t="s">
        <v>6998</v>
      </c>
      <c r="F874" s="197" t="s">
        <v>521</v>
      </c>
      <c r="G874" s="197" t="s">
        <v>6962</v>
      </c>
      <c r="H874" s="197" t="s">
        <v>6980</v>
      </c>
      <c r="I874" s="197" t="s">
        <v>6977</v>
      </c>
    </row>
    <row r="875" spans="2:9" ht="31.5" x14ac:dyDescent="0.25">
      <c r="B875" s="170" t="s">
        <v>7326</v>
      </c>
      <c r="C875" s="170" t="s">
        <v>4904</v>
      </c>
      <c r="D875" s="197" t="s">
        <v>6999</v>
      </c>
      <c r="E875" s="170" t="s">
        <v>6998</v>
      </c>
      <c r="F875" s="197" t="s">
        <v>521</v>
      </c>
      <c r="G875" s="197" t="s">
        <v>6962</v>
      </c>
      <c r="H875" s="197" t="s">
        <v>6980</v>
      </c>
      <c r="I875" s="197" t="s">
        <v>6977</v>
      </c>
    </row>
    <row r="876" spans="2:9" ht="31.5" x14ac:dyDescent="0.25">
      <c r="B876" s="170" t="s">
        <v>7325</v>
      </c>
      <c r="C876" s="170" t="s">
        <v>4904</v>
      </c>
      <c r="D876" s="197" t="s">
        <v>6999</v>
      </c>
      <c r="E876" s="170" t="s">
        <v>6998</v>
      </c>
      <c r="F876" s="197" t="s">
        <v>521</v>
      </c>
      <c r="G876" s="197" t="s">
        <v>6962</v>
      </c>
      <c r="H876" s="197" t="s">
        <v>6980</v>
      </c>
      <c r="I876" s="197" t="s">
        <v>6977</v>
      </c>
    </row>
    <row r="877" spans="2:9" ht="31.5" x14ac:dyDescent="0.25">
      <c r="B877" s="170" t="s">
        <v>7387</v>
      </c>
      <c r="C877" s="170" t="s">
        <v>4904</v>
      </c>
      <c r="D877" s="197" t="s">
        <v>6999</v>
      </c>
      <c r="E877" s="170" t="s">
        <v>6998</v>
      </c>
      <c r="F877" s="197" t="s">
        <v>521</v>
      </c>
      <c r="G877" s="197" t="s">
        <v>6962</v>
      </c>
      <c r="H877" s="197" t="s">
        <v>6980</v>
      </c>
      <c r="I877" s="197" t="s">
        <v>6977</v>
      </c>
    </row>
    <row r="878" spans="2:9" ht="31.5" x14ac:dyDescent="0.25">
      <c r="B878" s="170" t="s">
        <v>7323</v>
      </c>
      <c r="C878" s="170" t="s">
        <v>4904</v>
      </c>
      <c r="D878" s="197" t="s">
        <v>6999</v>
      </c>
      <c r="E878" s="170" t="s">
        <v>6998</v>
      </c>
      <c r="F878" s="197" t="s">
        <v>521</v>
      </c>
      <c r="G878" s="197" t="s">
        <v>6962</v>
      </c>
      <c r="H878" s="197" t="s">
        <v>6980</v>
      </c>
      <c r="I878" s="197" t="s">
        <v>6977</v>
      </c>
    </row>
    <row r="879" spans="2:9" ht="31.5" x14ac:dyDescent="0.25">
      <c r="B879" s="170" t="s">
        <v>7385</v>
      </c>
      <c r="C879" s="986" t="s">
        <v>4876</v>
      </c>
      <c r="D879" s="197" t="s">
        <v>6999</v>
      </c>
      <c r="E879" s="170" t="s">
        <v>6998</v>
      </c>
      <c r="F879" s="197" t="s">
        <v>521</v>
      </c>
      <c r="G879" s="197" t="s">
        <v>6962</v>
      </c>
      <c r="H879" s="197" t="s">
        <v>6980</v>
      </c>
      <c r="I879" s="197" t="s">
        <v>6977</v>
      </c>
    </row>
    <row r="880" spans="2:9" ht="31.5" x14ac:dyDescent="0.25">
      <c r="B880" s="170" t="s">
        <v>7382</v>
      </c>
      <c r="C880" s="988" t="s">
        <v>4876</v>
      </c>
      <c r="D880" s="197" t="s">
        <v>6999</v>
      </c>
      <c r="E880" s="170" t="s">
        <v>6998</v>
      </c>
      <c r="F880" s="197" t="s">
        <v>521</v>
      </c>
      <c r="G880" s="197" t="s">
        <v>6962</v>
      </c>
      <c r="H880" s="197" t="s">
        <v>6980</v>
      </c>
      <c r="I880" s="197" t="s">
        <v>6977</v>
      </c>
    </row>
    <row r="881" spans="2:9" ht="31.5" x14ac:dyDescent="0.25">
      <c r="B881" s="170" t="s">
        <v>7381</v>
      </c>
      <c r="C881" s="986" t="s">
        <v>4876</v>
      </c>
      <c r="D881" s="197" t="s">
        <v>6999</v>
      </c>
      <c r="E881" s="170" t="s">
        <v>6998</v>
      </c>
      <c r="F881" s="197" t="s">
        <v>521</v>
      </c>
      <c r="G881" s="197" t="s">
        <v>6962</v>
      </c>
      <c r="H881" s="197" t="s">
        <v>6980</v>
      </c>
      <c r="I881" s="197" t="s">
        <v>6977</v>
      </c>
    </row>
    <row r="882" spans="2:9" ht="31.5" x14ac:dyDescent="0.25">
      <c r="B882" s="170" t="s">
        <v>7380</v>
      </c>
      <c r="C882" s="988" t="s">
        <v>4876</v>
      </c>
      <c r="D882" s="197" t="s">
        <v>6999</v>
      </c>
      <c r="E882" s="170" t="s">
        <v>6998</v>
      </c>
      <c r="F882" s="197" t="s">
        <v>521</v>
      </c>
      <c r="G882" s="197" t="s">
        <v>6962</v>
      </c>
      <c r="H882" s="197" t="s">
        <v>6980</v>
      </c>
      <c r="I882" s="197" t="s">
        <v>6977</v>
      </c>
    </row>
    <row r="883" spans="2:9" ht="31.5" x14ac:dyDescent="0.25">
      <c r="B883" s="170" t="s">
        <v>7394</v>
      </c>
      <c r="C883" s="170" t="s">
        <v>4904</v>
      </c>
      <c r="D883" s="197" t="s">
        <v>6996</v>
      </c>
      <c r="E883" s="170" t="s">
        <v>6995</v>
      </c>
      <c r="F883" s="197" t="s">
        <v>6860</v>
      </c>
      <c r="G883" s="197" t="s">
        <v>6897</v>
      </c>
      <c r="H883" s="197" t="s">
        <v>6980</v>
      </c>
      <c r="I883" s="197" t="s">
        <v>6977</v>
      </c>
    </row>
    <row r="884" spans="2:9" ht="31.5" x14ac:dyDescent="0.25">
      <c r="B884" s="170" t="s">
        <v>7393</v>
      </c>
      <c r="C884" s="170" t="s">
        <v>4904</v>
      </c>
      <c r="D884" s="197" t="s">
        <v>6996</v>
      </c>
      <c r="E884" s="170" t="s">
        <v>6995</v>
      </c>
      <c r="F884" s="197" t="s">
        <v>6860</v>
      </c>
      <c r="G884" s="197" t="s">
        <v>6897</v>
      </c>
      <c r="H884" s="197" t="s">
        <v>6980</v>
      </c>
      <c r="I884" s="197" t="s">
        <v>6977</v>
      </c>
    </row>
    <row r="885" spans="2:9" ht="31.5" x14ac:dyDescent="0.25">
      <c r="B885" s="170" t="s">
        <v>7328</v>
      </c>
      <c r="C885" s="170" t="s">
        <v>4904</v>
      </c>
      <c r="D885" s="197" t="s">
        <v>6996</v>
      </c>
      <c r="E885" s="170" t="s">
        <v>6995</v>
      </c>
      <c r="F885" s="197" t="s">
        <v>6860</v>
      </c>
      <c r="G885" s="197" t="s">
        <v>6897</v>
      </c>
      <c r="H885" s="197" t="s">
        <v>6980</v>
      </c>
      <c r="I885" s="197" t="s">
        <v>6977</v>
      </c>
    </row>
    <row r="886" spans="2:9" ht="31.5" x14ac:dyDescent="0.25">
      <c r="B886" s="170" t="s">
        <v>7390</v>
      </c>
      <c r="C886" s="170" t="s">
        <v>4904</v>
      </c>
      <c r="D886" s="197" t="s">
        <v>6996</v>
      </c>
      <c r="E886" s="170" t="s">
        <v>6995</v>
      </c>
      <c r="F886" s="197" t="s">
        <v>6860</v>
      </c>
      <c r="G886" s="197" t="s">
        <v>6897</v>
      </c>
      <c r="H886" s="197" t="s">
        <v>6980</v>
      </c>
      <c r="I886" s="197" t="s">
        <v>6977</v>
      </c>
    </row>
    <row r="887" spans="2:9" ht="31.5" x14ac:dyDescent="0.25">
      <c r="B887" s="170" t="s">
        <v>7326</v>
      </c>
      <c r="C887" s="986" t="s">
        <v>4876</v>
      </c>
      <c r="D887" s="197" t="s">
        <v>6996</v>
      </c>
      <c r="E887" s="170" t="s">
        <v>6995</v>
      </c>
      <c r="F887" s="197" t="s">
        <v>6860</v>
      </c>
      <c r="G887" s="197" t="s">
        <v>6897</v>
      </c>
      <c r="H887" s="197" t="s">
        <v>6980</v>
      </c>
      <c r="I887" s="197" t="s">
        <v>6977</v>
      </c>
    </row>
    <row r="888" spans="2:9" ht="31.5" x14ac:dyDescent="0.25">
      <c r="B888" s="170" t="s">
        <v>7325</v>
      </c>
      <c r="C888" s="988" t="s">
        <v>4876</v>
      </c>
      <c r="D888" s="197" t="s">
        <v>6996</v>
      </c>
      <c r="E888" s="170" t="s">
        <v>6995</v>
      </c>
      <c r="F888" s="197" t="s">
        <v>6860</v>
      </c>
      <c r="G888" s="197" t="s">
        <v>6897</v>
      </c>
      <c r="H888" s="197" t="s">
        <v>6980</v>
      </c>
      <c r="I888" s="197" t="s">
        <v>6977</v>
      </c>
    </row>
    <row r="889" spans="2:9" ht="31.5" x14ac:dyDescent="0.25">
      <c r="B889" s="170" t="s">
        <v>7387</v>
      </c>
      <c r="C889" s="986" t="s">
        <v>4876</v>
      </c>
      <c r="D889" s="197" t="s">
        <v>6996</v>
      </c>
      <c r="E889" s="170" t="s">
        <v>6995</v>
      </c>
      <c r="F889" s="197" t="s">
        <v>6860</v>
      </c>
      <c r="G889" s="197" t="s">
        <v>6897</v>
      </c>
      <c r="H889" s="197" t="s">
        <v>6980</v>
      </c>
      <c r="I889" s="197" t="s">
        <v>6977</v>
      </c>
    </row>
    <row r="890" spans="2:9" ht="31.5" x14ac:dyDescent="0.25">
      <c r="B890" s="170" t="s">
        <v>7323</v>
      </c>
      <c r="C890" s="988" t="s">
        <v>4876</v>
      </c>
      <c r="D890" s="197" t="s">
        <v>6996</v>
      </c>
      <c r="E890" s="170" t="s">
        <v>6995</v>
      </c>
      <c r="F890" s="197" t="s">
        <v>6860</v>
      </c>
      <c r="G890" s="197" t="s">
        <v>6897</v>
      </c>
      <c r="H890" s="197" t="s">
        <v>6980</v>
      </c>
      <c r="I890" s="197" t="s">
        <v>6977</v>
      </c>
    </row>
    <row r="891" spans="2:9" ht="31.5" x14ac:dyDescent="0.25">
      <c r="B891" s="170" t="s">
        <v>7385</v>
      </c>
      <c r="C891" s="986" t="s">
        <v>4876</v>
      </c>
      <c r="D891" s="197" t="s">
        <v>6996</v>
      </c>
      <c r="E891" s="170" t="s">
        <v>6995</v>
      </c>
      <c r="F891" s="197" t="s">
        <v>6860</v>
      </c>
      <c r="G891" s="197" t="s">
        <v>6897</v>
      </c>
      <c r="H891" s="197" t="s">
        <v>6980</v>
      </c>
      <c r="I891" s="197" t="s">
        <v>6977</v>
      </c>
    </row>
    <row r="892" spans="2:9" ht="31.5" x14ac:dyDescent="0.25">
      <c r="B892" s="170" t="s">
        <v>7382</v>
      </c>
      <c r="C892" s="988" t="s">
        <v>4876</v>
      </c>
      <c r="D892" s="197" t="s">
        <v>6996</v>
      </c>
      <c r="E892" s="170" t="s">
        <v>6995</v>
      </c>
      <c r="F892" s="197" t="s">
        <v>6860</v>
      </c>
      <c r="G892" s="197" t="s">
        <v>6897</v>
      </c>
      <c r="H892" s="197" t="s">
        <v>6980</v>
      </c>
      <c r="I892" s="197" t="s">
        <v>6977</v>
      </c>
    </row>
    <row r="893" spans="2:9" ht="31.5" x14ac:dyDescent="0.25">
      <c r="B893" s="170" t="s">
        <v>7381</v>
      </c>
      <c r="C893" s="170" t="s">
        <v>4904</v>
      </c>
      <c r="D893" s="197" t="s">
        <v>6996</v>
      </c>
      <c r="E893" s="170" t="s">
        <v>6995</v>
      </c>
      <c r="F893" s="197" t="s">
        <v>6860</v>
      </c>
      <c r="G893" s="197" t="s">
        <v>6897</v>
      </c>
      <c r="H893" s="197" t="s">
        <v>6980</v>
      </c>
      <c r="I893" s="197" t="s">
        <v>6977</v>
      </c>
    </row>
    <row r="894" spans="2:9" ht="31.5" x14ac:dyDescent="0.25">
      <c r="B894" s="170" t="s">
        <v>7380</v>
      </c>
      <c r="C894" s="170" t="s">
        <v>4904</v>
      </c>
      <c r="D894" s="197" t="s">
        <v>6996</v>
      </c>
      <c r="E894" s="170" t="s">
        <v>6995</v>
      </c>
      <c r="F894" s="197" t="s">
        <v>6860</v>
      </c>
      <c r="G894" s="197" t="s">
        <v>6897</v>
      </c>
      <c r="H894" s="197" t="s">
        <v>6980</v>
      </c>
      <c r="I894" s="197" t="s">
        <v>6977</v>
      </c>
    </row>
    <row r="895" spans="2:9" ht="31.5" x14ac:dyDescent="0.25">
      <c r="B895" s="170" t="s">
        <v>7394</v>
      </c>
      <c r="C895" s="170" t="s">
        <v>4904</v>
      </c>
      <c r="D895" s="197" t="s">
        <v>6993</v>
      </c>
      <c r="E895" s="170" t="s">
        <v>6992</v>
      </c>
      <c r="F895" s="197" t="s">
        <v>521</v>
      </c>
      <c r="G895" s="197" t="s">
        <v>6991</v>
      </c>
      <c r="H895" s="197" t="s">
        <v>6980</v>
      </c>
      <c r="I895" s="197" t="s">
        <v>6977</v>
      </c>
    </row>
    <row r="896" spans="2:9" ht="31.5" x14ac:dyDescent="0.25">
      <c r="B896" s="170" t="s">
        <v>7393</v>
      </c>
      <c r="C896" s="170" t="s">
        <v>4904</v>
      </c>
      <c r="D896" s="197" t="s">
        <v>6993</v>
      </c>
      <c r="E896" s="170" t="s">
        <v>6992</v>
      </c>
      <c r="F896" s="197" t="s">
        <v>521</v>
      </c>
      <c r="G896" s="197" t="s">
        <v>6991</v>
      </c>
      <c r="H896" s="197" t="s">
        <v>6980</v>
      </c>
      <c r="I896" s="197" t="s">
        <v>6977</v>
      </c>
    </row>
    <row r="897" spans="2:9" ht="31.5" x14ac:dyDescent="0.25">
      <c r="B897" s="170" t="s">
        <v>7328</v>
      </c>
      <c r="C897" s="170" t="s">
        <v>4904</v>
      </c>
      <c r="D897" s="197" t="s">
        <v>6993</v>
      </c>
      <c r="E897" s="170" t="s">
        <v>6992</v>
      </c>
      <c r="F897" s="197" t="s">
        <v>521</v>
      </c>
      <c r="G897" s="197" t="s">
        <v>6991</v>
      </c>
      <c r="H897" s="197" t="s">
        <v>6980</v>
      </c>
      <c r="I897" s="197" t="s">
        <v>6977</v>
      </c>
    </row>
    <row r="898" spans="2:9" ht="31.5" x14ac:dyDescent="0.25">
      <c r="B898" s="170" t="s">
        <v>7390</v>
      </c>
      <c r="C898" s="170" t="s">
        <v>4904</v>
      </c>
      <c r="D898" s="197" t="s">
        <v>6993</v>
      </c>
      <c r="E898" s="170" t="s">
        <v>6992</v>
      </c>
      <c r="F898" s="197" t="s">
        <v>521</v>
      </c>
      <c r="G898" s="197" t="s">
        <v>6991</v>
      </c>
      <c r="H898" s="197" t="s">
        <v>6980</v>
      </c>
      <c r="I898" s="197" t="s">
        <v>6977</v>
      </c>
    </row>
    <row r="899" spans="2:9" ht="31.5" x14ac:dyDescent="0.25">
      <c r="B899" s="170" t="s">
        <v>7326</v>
      </c>
      <c r="C899" s="170" t="s">
        <v>4904</v>
      </c>
      <c r="D899" s="197" t="s">
        <v>6993</v>
      </c>
      <c r="E899" s="170" t="s">
        <v>6992</v>
      </c>
      <c r="F899" s="197" t="s">
        <v>521</v>
      </c>
      <c r="G899" s="197" t="s">
        <v>6991</v>
      </c>
      <c r="H899" s="197" t="s">
        <v>6980</v>
      </c>
      <c r="I899" s="197" t="s">
        <v>6977</v>
      </c>
    </row>
    <row r="900" spans="2:9" ht="31.5" x14ac:dyDescent="0.25">
      <c r="B900" s="170" t="s">
        <v>7325</v>
      </c>
      <c r="C900" s="170" t="s">
        <v>4904</v>
      </c>
      <c r="D900" s="197" t="s">
        <v>6993</v>
      </c>
      <c r="E900" s="170" t="s">
        <v>6992</v>
      </c>
      <c r="F900" s="197" t="s">
        <v>521</v>
      </c>
      <c r="G900" s="197" t="s">
        <v>6991</v>
      </c>
      <c r="H900" s="197" t="s">
        <v>6980</v>
      </c>
      <c r="I900" s="197" t="s">
        <v>6977</v>
      </c>
    </row>
    <row r="901" spans="2:9" ht="31.5" x14ac:dyDescent="0.25">
      <c r="B901" s="170" t="s">
        <v>7387</v>
      </c>
      <c r="C901" s="170" t="s">
        <v>4904</v>
      </c>
      <c r="D901" s="197" t="s">
        <v>6993</v>
      </c>
      <c r="E901" s="170" t="s">
        <v>6992</v>
      </c>
      <c r="F901" s="197" t="s">
        <v>521</v>
      </c>
      <c r="G901" s="197" t="s">
        <v>6991</v>
      </c>
      <c r="H901" s="197" t="s">
        <v>6980</v>
      </c>
      <c r="I901" s="197" t="s">
        <v>6977</v>
      </c>
    </row>
    <row r="902" spans="2:9" ht="31.5" x14ac:dyDescent="0.25">
      <c r="B902" s="170" t="s">
        <v>7323</v>
      </c>
      <c r="C902" s="170" t="s">
        <v>4904</v>
      </c>
      <c r="D902" s="197" t="s">
        <v>6993</v>
      </c>
      <c r="E902" s="170" t="s">
        <v>6992</v>
      </c>
      <c r="F902" s="197" t="s">
        <v>521</v>
      </c>
      <c r="G902" s="197" t="s">
        <v>6991</v>
      </c>
      <c r="H902" s="197" t="s">
        <v>6980</v>
      </c>
      <c r="I902" s="197" t="s">
        <v>6977</v>
      </c>
    </row>
    <row r="903" spans="2:9" ht="31.5" x14ac:dyDescent="0.25">
      <c r="B903" s="170" t="s">
        <v>7385</v>
      </c>
      <c r="C903" s="986" t="s">
        <v>4876</v>
      </c>
      <c r="D903" s="197" t="s">
        <v>6993</v>
      </c>
      <c r="E903" s="170" t="s">
        <v>6992</v>
      </c>
      <c r="F903" s="197" t="s">
        <v>521</v>
      </c>
      <c r="G903" s="197" t="s">
        <v>6991</v>
      </c>
      <c r="H903" s="197" t="s">
        <v>6980</v>
      </c>
      <c r="I903" s="197" t="s">
        <v>6977</v>
      </c>
    </row>
    <row r="904" spans="2:9" ht="31.5" x14ac:dyDescent="0.25">
      <c r="B904" s="170" t="s">
        <v>7382</v>
      </c>
      <c r="C904" s="988" t="s">
        <v>4876</v>
      </c>
      <c r="D904" s="197" t="s">
        <v>6993</v>
      </c>
      <c r="E904" s="170" t="s">
        <v>6992</v>
      </c>
      <c r="F904" s="197" t="s">
        <v>521</v>
      </c>
      <c r="G904" s="197" t="s">
        <v>6991</v>
      </c>
      <c r="H904" s="197" t="s">
        <v>6980</v>
      </c>
      <c r="I904" s="197" t="s">
        <v>6977</v>
      </c>
    </row>
    <row r="905" spans="2:9" ht="31.5" x14ac:dyDescent="0.25">
      <c r="B905" s="170" t="s">
        <v>7381</v>
      </c>
      <c r="C905" s="986" t="s">
        <v>4876</v>
      </c>
      <c r="D905" s="197" t="s">
        <v>6993</v>
      </c>
      <c r="E905" s="170" t="s">
        <v>6992</v>
      </c>
      <c r="F905" s="197" t="s">
        <v>521</v>
      </c>
      <c r="G905" s="197" t="s">
        <v>6991</v>
      </c>
      <c r="H905" s="197" t="s">
        <v>6980</v>
      </c>
      <c r="I905" s="197" t="s">
        <v>6977</v>
      </c>
    </row>
    <row r="906" spans="2:9" ht="31.5" x14ac:dyDescent="0.25">
      <c r="B906" s="170" t="s">
        <v>7380</v>
      </c>
      <c r="C906" s="988" t="s">
        <v>4876</v>
      </c>
      <c r="D906" s="197" t="s">
        <v>6993</v>
      </c>
      <c r="E906" s="170" t="s">
        <v>6992</v>
      </c>
      <c r="F906" s="197" t="s">
        <v>521</v>
      </c>
      <c r="G906" s="197" t="s">
        <v>6991</v>
      </c>
      <c r="H906" s="197" t="s">
        <v>6980</v>
      </c>
      <c r="I906" s="197" t="s">
        <v>6977</v>
      </c>
    </row>
    <row r="907" spans="2:9" ht="31.5" x14ac:dyDescent="0.25">
      <c r="B907" s="170" t="s">
        <v>7394</v>
      </c>
      <c r="C907" s="170" t="s">
        <v>4904</v>
      </c>
      <c r="D907" s="197" t="s">
        <v>6989</v>
      </c>
      <c r="E907" s="170" t="s">
        <v>6988</v>
      </c>
      <c r="F907" s="197" t="s">
        <v>521</v>
      </c>
      <c r="G907" s="197" t="s">
        <v>6962</v>
      </c>
      <c r="H907" s="197" t="s">
        <v>6980</v>
      </c>
      <c r="I907" s="197" t="s">
        <v>6977</v>
      </c>
    </row>
    <row r="908" spans="2:9" ht="31.5" x14ac:dyDescent="0.25">
      <c r="B908" s="170" t="s">
        <v>7393</v>
      </c>
      <c r="C908" s="170" t="s">
        <v>4904</v>
      </c>
      <c r="D908" s="197" t="s">
        <v>6989</v>
      </c>
      <c r="E908" s="170" t="s">
        <v>6988</v>
      </c>
      <c r="F908" s="197" t="s">
        <v>521</v>
      </c>
      <c r="G908" s="197" t="s">
        <v>6962</v>
      </c>
      <c r="H908" s="197" t="s">
        <v>6980</v>
      </c>
      <c r="I908" s="197" t="s">
        <v>6977</v>
      </c>
    </row>
    <row r="909" spans="2:9" ht="31.5" x14ac:dyDescent="0.25">
      <c r="B909" s="170" t="s">
        <v>7328</v>
      </c>
      <c r="C909" s="170" t="s">
        <v>4904</v>
      </c>
      <c r="D909" s="197" t="s">
        <v>6989</v>
      </c>
      <c r="E909" s="170" t="s">
        <v>6988</v>
      </c>
      <c r="F909" s="197" t="s">
        <v>521</v>
      </c>
      <c r="G909" s="197" t="s">
        <v>6962</v>
      </c>
      <c r="H909" s="197" t="s">
        <v>6980</v>
      </c>
      <c r="I909" s="197" t="s">
        <v>6977</v>
      </c>
    </row>
    <row r="910" spans="2:9" ht="31.5" x14ac:dyDescent="0.25">
      <c r="B910" s="170" t="s">
        <v>7390</v>
      </c>
      <c r="C910" s="170" t="s">
        <v>4904</v>
      </c>
      <c r="D910" s="197" t="s">
        <v>6989</v>
      </c>
      <c r="E910" s="170" t="s">
        <v>6988</v>
      </c>
      <c r="F910" s="197" t="s">
        <v>521</v>
      </c>
      <c r="G910" s="197" t="s">
        <v>6962</v>
      </c>
      <c r="H910" s="197" t="s">
        <v>6980</v>
      </c>
      <c r="I910" s="197" t="s">
        <v>6977</v>
      </c>
    </row>
    <row r="911" spans="2:9" ht="31.5" x14ac:dyDescent="0.25">
      <c r="B911" s="170" t="s">
        <v>7326</v>
      </c>
      <c r="C911" s="170" t="s">
        <v>4904</v>
      </c>
      <c r="D911" s="197" t="s">
        <v>6989</v>
      </c>
      <c r="E911" s="170" t="s">
        <v>6988</v>
      </c>
      <c r="F911" s="197" t="s">
        <v>521</v>
      </c>
      <c r="G911" s="197" t="s">
        <v>6962</v>
      </c>
      <c r="H911" s="197" t="s">
        <v>6980</v>
      </c>
      <c r="I911" s="197" t="s">
        <v>6977</v>
      </c>
    </row>
    <row r="912" spans="2:9" ht="31.5" x14ac:dyDescent="0.25">
      <c r="B912" s="170" t="s">
        <v>7325</v>
      </c>
      <c r="C912" s="170" t="s">
        <v>4904</v>
      </c>
      <c r="D912" s="197" t="s">
        <v>6989</v>
      </c>
      <c r="E912" s="170" t="s">
        <v>6988</v>
      </c>
      <c r="F912" s="197" t="s">
        <v>521</v>
      </c>
      <c r="G912" s="197" t="s">
        <v>6962</v>
      </c>
      <c r="H912" s="197" t="s">
        <v>6980</v>
      </c>
      <c r="I912" s="197" t="s">
        <v>6977</v>
      </c>
    </row>
    <row r="913" spans="2:9" ht="31.5" x14ac:dyDescent="0.25">
      <c r="B913" s="170" t="s">
        <v>7387</v>
      </c>
      <c r="C913" s="170" t="s">
        <v>4904</v>
      </c>
      <c r="D913" s="197" t="s">
        <v>6989</v>
      </c>
      <c r="E913" s="170" t="s">
        <v>6988</v>
      </c>
      <c r="F913" s="197" t="s">
        <v>521</v>
      </c>
      <c r="G913" s="197" t="s">
        <v>6962</v>
      </c>
      <c r="H913" s="197" t="s">
        <v>6980</v>
      </c>
      <c r="I913" s="197" t="s">
        <v>6977</v>
      </c>
    </row>
    <row r="914" spans="2:9" ht="31.5" x14ac:dyDescent="0.25">
      <c r="B914" s="170" t="s">
        <v>7323</v>
      </c>
      <c r="C914" s="170" t="s">
        <v>4904</v>
      </c>
      <c r="D914" s="197" t="s">
        <v>6989</v>
      </c>
      <c r="E914" s="170" t="s">
        <v>6988</v>
      </c>
      <c r="F914" s="197" t="s">
        <v>521</v>
      </c>
      <c r="G914" s="197" t="s">
        <v>6962</v>
      </c>
      <c r="H914" s="197" t="s">
        <v>6980</v>
      </c>
      <c r="I914" s="197" t="s">
        <v>6977</v>
      </c>
    </row>
    <row r="915" spans="2:9" ht="31.5" x14ac:dyDescent="0.25">
      <c r="B915" s="170" t="s">
        <v>7385</v>
      </c>
      <c r="C915" s="986" t="s">
        <v>4876</v>
      </c>
      <c r="D915" s="197" t="s">
        <v>6989</v>
      </c>
      <c r="E915" s="170" t="s">
        <v>6988</v>
      </c>
      <c r="F915" s="197" t="s">
        <v>521</v>
      </c>
      <c r="G915" s="197" t="s">
        <v>6962</v>
      </c>
      <c r="H915" s="197" t="s">
        <v>6980</v>
      </c>
      <c r="I915" s="197" t="s">
        <v>6977</v>
      </c>
    </row>
    <row r="916" spans="2:9" ht="31.5" x14ac:dyDescent="0.25">
      <c r="B916" s="170" t="s">
        <v>7382</v>
      </c>
      <c r="C916" s="988" t="s">
        <v>4876</v>
      </c>
      <c r="D916" s="197" t="s">
        <v>6989</v>
      </c>
      <c r="E916" s="170" t="s">
        <v>6988</v>
      </c>
      <c r="F916" s="197" t="s">
        <v>521</v>
      </c>
      <c r="G916" s="197" t="s">
        <v>6962</v>
      </c>
      <c r="H916" s="197" t="s">
        <v>6980</v>
      </c>
      <c r="I916" s="197" t="s">
        <v>6977</v>
      </c>
    </row>
    <row r="917" spans="2:9" ht="31.5" x14ac:dyDescent="0.25">
      <c r="B917" s="170" t="s">
        <v>7381</v>
      </c>
      <c r="C917" s="986" t="s">
        <v>4876</v>
      </c>
      <c r="D917" s="197" t="s">
        <v>6989</v>
      </c>
      <c r="E917" s="170" t="s">
        <v>6988</v>
      </c>
      <c r="F917" s="197" t="s">
        <v>521</v>
      </c>
      <c r="G917" s="197" t="s">
        <v>6962</v>
      </c>
      <c r="H917" s="197" t="s">
        <v>6980</v>
      </c>
      <c r="I917" s="197" t="s">
        <v>6977</v>
      </c>
    </row>
    <row r="918" spans="2:9" ht="31.5" x14ac:dyDescent="0.25">
      <c r="B918" s="170" t="s">
        <v>7380</v>
      </c>
      <c r="C918" s="988" t="s">
        <v>4876</v>
      </c>
      <c r="D918" s="197" t="s">
        <v>6989</v>
      </c>
      <c r="E918" s="170" t="s">
        <v>6988</v>
      </c>
      <c r="F918" s="197" t="s">
        <v>521</v>
      </c>
      <c r="G918" s="197" t="s">
        <v>6962</v>
      </c>
      <c r="H918" s="197" t="s">
        <v>6980</v>
      </c>
      <c r="I918" s="197" t="s">
        <v>6977</v>
      </c>
    </row>
    <row r="919" spans="2:9" ht="31.5" x14ac:dyDescent="0.25">
      <c r="B919" s="170" t="s">
        <v>7323</v>
      </c>
      <c r="C919" s="986" t="s">
        <v>4876</v>
      </c>
      <c r="D919" s="197" t="s">
        <v>6986</v>
      </c>
      <c r="E919" s="170" t="s">
        <v>6985</v>
      </c>
      <c r="F919" s="197" t="s">
        <v>521</v>
      </c>
      <c r="G919" s="197" t="s">
        <v>6962</v>
      </c>
      <c r="H919" s="197" t="s">
        <v>6856</v>
      </c>
      <c r="I919" s="197" t="s">
        <v>6851</v>
      </c>
    </row>
    <row r="920" spans="2:9" ht="31.5" x14ac:dyDescent="0.25">
      <c r="B920" s="170" t="s">
        <v>7385</v>
      </c>
      <c r="C920" s="988" t="s">
        <v>4876</v>
      </c>
      <c r="D920" s="197" t="s">
        <v>6986</v>
      </c>
      <c r="E920" s="170" t="s">
        <v>6985</v>
      </c>
      <c r="F920" s="197" t="s">
        <v>521</v>
      </c>
      <c r="G920" s="197" t="s">
        <v>6962</v>
      </c>
      <c r="H920" s="197" t="s">
        <v>6856</v>
      </c>
      <c r="I920" s="197" t="s">
        <v>6851</v>
      </c>
    </row>
    <row r="921" spans="2:9" ht="31.5" x14ac:dyDescent="0.25">
      <c r="B921" s="170" t="s">
        <v>7382</v>
      </c>
      <c r="C921" s="986" t="s">
        <v>4876</v>
      </c>
      <c r="D921" s="197" t="s">
        <v>6986</v>
      </c>
      <c r="E921" s="170" t="s">
        <v>6985</v>
      </c>
      <c r="F921" s="197" t="s">
        <v>521</v>
      </c>
      <c r="G921" s="197" t="s">
        <v>6962</v>
      </c>
      <c r="H921" s="197" t="s">
        <v>6856</v>
      </c>
      <c r="I921" s="197" t="s">
        <v>6851</v>
      </c>
    </row>
    <row r="922" spans="2:9" ht="31.5" x14ac:dyDescent="0.25">
      <c r="B922" s="170" t="s">
        <v>7394</v>
      </c>
      <c r="C922" s="170" t="s">
        <v>4904</v>
      </c>
      <c r="D922" s="197" t="s">
        <v>6984</v>
      </c>
      <c r="E922" s="170" t="s">
        <v>6983</v>
      </c>
      <c r="F922" s="197" t="s">
        <v>6867</v>
      </c>
      <c r="G922" s="197" t="s">
        <v>6982</v>
      </c>
      <c r="H922" s="197" t="s">
        <v>6980</v>
      </c>
      <c r="I922" s="197" t="s">
        <v>6977</v>
      </c>
    </row>
    <row r="923" spans="2:9" ht="31.5" x14ac:dyDescent="0.25">
      <c r="B923" s="170" t="s">
        <v>7393</v>
      </c>
      <c r="C923" s="170" t="s">
        <v>4904</v>
      </c>
      <c r="D923" s="197" t="s">
        <v>6984</v>
      </c>
      <c r="E923" s="170" t="s">
        <v>6983</v>
      </c>
      <c r="F923" s="197" t="s">
        <v>6867</v>
      </c>
      <c r="G923" s="197" t="s">
        <v>6982</v>
      </c>
      <c r="H923" s="197" t="s">
        <v>6980</v>
      </c>
      <c r="I923" s="197" t="s">
        <v>6977</v>
      </c>
    </row>
    <row r="924" spans="2:9" ht="31.5" x14ac:dyDescent="0.25">
      <c r="B924" s="170" t="s">
        <v>7328</v>
      </c>
      <c r="C924" s="170" t="s">
        <v>4904</v>
      </c>
      <c r="D924" s="197" t="s">
        <v>6984</v>
      </c>
      <c r="E924" s="170" t="s">
        <v>6983</v>
      </c>
      <c r="F924" s="197" t="s">
        <v>6867</v>
      </c>
      <c r="G924" s="197" t="s">
        <v>6982</v>
      </c>
      <c r="H924" s="197" t="s">
        <v>6980</v>
      </c>
      <c r="I924" s="197" t="s">
        <v>6977</v>
      </c>
    </row>
    <row r="925" spans="2:9" ht="31.5" x14ac:dyDescent="0.25">
      <c r="B925" s="170" t="s">
        <v>7385</v>
      </c>
      <c r="C925" s="988" t="s">
        <v>4876</v>
      </c>
      <c r="D925" s="197" t="s">
        <v>6984</v>
      </c>
      <c r="E925" s="170" t="s">
        <v>6983</v>
      </c>
      <c r="F925" s="197" t="s">
        <v>6867</v>
      </c>
      <c r="G925" s="197" t="s">
        <v>6982</v>
      </c>
      <c r="H925" s="197" t="s">
        <v>6980</v>
      </c>
      <c r="I925" s="197" t="s">
        <v>6977</v>
      </c>
    </row>
    <row r="926" spans="2:9" ht="31.5" x14ac:dyDescent="0.25">
      <c r="B926" s="170" t="s">
        <v>7382</v>
      </c>
      <c r="C926" s="986" t="s">
        <v>4876</v>
      </c>
      <c r="D926" s="197" t="s">
        <v>6984</v>
      </c>
      <c r="E926" s="170" t="s">
        <v>6983</v>
      </c>
      <c r="F926" s="197" t="s">
        <v>6867</v>
      </c>
      <c r="G926" s="197" t="s">
        <v>6982</v>
      </c>
      <c r="H926" s="197" t="s">
        <v>6980</v>
      </c>
      <c r="I926" s="197" t="s">
        <v>6977</v>
      </c>
    </row>
    <row r="927" spans="2:9" ht="31.5" x14ac:dyDescent="0.25">
      <c r="B927" s="170" t="s">
        <v>7381</v>
      </c>
      <c r="C927" s="988" t="s">
        <v>4876</v>
      </c>
      <c r="D927" s="197" t="s">
        <v>6984</v>
      </c>
      <c r="E927" s="170" t="s">
        <v>6983</v>
      </c>
      <c r="F927" s="197" t="s">
        <v>6867</v>
      </c>
      <c r="G927" s="197" t="s">
        <v>6982</v>
      </c>
      <c r="H927" s="197" t="s">
        <v>6980</v>
      </c>
      <c r="I927" s="197" t="s">
        <v>6977</v>
      </c>
    </row>
    <row r="928" spans="2:9" ht="31.5" x14ac:dyDescent="0.25">
      <c r="B928" s="170" t="s">
        <v>7380</v>
      </c>
      <c r="C928" s="986" t="s">
        <v>4876</v>
      </c>
      <c r="D928" s="197" t="s">
        <v>6984</v>
      </c>
      <c r="E928" s="170" t="s">
        <v>6983</v>
      </c>
      <c r="F928" s="197" t="s">
        <v>6867</v>
      </c>
      <c r="G928" s="197" t="s">
        <v>6982</v>
      </c>
      <c r="H928" s="197" t="s">
        <v>6980</v>
      </c>
      <c r="I928" s="197" t="s">
        <v>6977</v>
      </c>
    </row>
    <row r="929" spans="2:9" ht="31.5" x14ac:dyDescent="0.25">
      <c r="B929" s="170" t="s">
        <v>7387</v>
      </c>
      <c r="C929" s="988" t="s">
        <v>4876</v>
      </c>
      <c r="D929" s="197" t="s">
        <v>6976</v>
      </c>
      <c r="E929" s="170" t="s">
        <v>6975</v>
      </c>
      <c r="F929" s="197" t="s">
        <v>521</v>
      </c>
      <c r="G929" s="197" t="s">
        <v>6974</v>
      </c>
      <c r="H929" s="197" t="s">
        <v>6856</v>
      </c>
      <c r="I929" s="197" t="s">
        <v>6851</v>
      </c>
    </row>
    <row r="930" spans="2:9" ht="31.5" x14ac:dyDescent="0.25">
      <c r="B930" s="170" t="s">
        <v>7323</v>
      </c>
      <c r="C930" s="986" t="s">
        <v>4876</v>
      </c>
      <c r="D930" s="197" t="s">
        <v>6976</v>
      </c>
      <c r="E930" s="170" t="s">
        <v>6975</v>
      </c>
      <c r="F930" s="197" t="s">
        <v>521</v>
      </c>
      <c r="G930" s="197" t="s">
        <v>6974</v>
      </c>
      <c r="H930" s="197" t="s">
        <v>6856</v>
      </c>
      <c r="I930" s="197" t="s">
        <v>6851</v>
      </c>
    </row>
    <row r="931" spans="2:9" ht="31.5" x14ac:dyDescent="0.25">
      <c r="B931" s="170" t="s">
        <v>7385</v>
      </c>
      <c r="C931" s="988" t="s">
        <v>4876</v>
      </c>
      <c r="D931" s="197" t="s">
        <v>6976</v>
      </c>
      <c r="E931" s="170" t="s">
        <v>6975</v>
      </c>
      <c r="F931" s="197" t="s">
        <v>521</v>
      </c>
      <c r="G931" s="197" t="s">
        <v>6974</v>
      </c>
      <c r="H931" s="197" t="s">
        <v>6856</v>
      </c>
      <c r="I931" s="197" t="s">
        <v>6851</v>
      </c>
    </row>
    <row r="932" spans="2:9" ht="31.5" x14ac:dyDescent="0.25">
      <c r="B932" s="170" t="s">
        <v>7382</v>
      </c>
      <c r="C932" s="986" t="s">
        <v>4876</v>
      </c>
      <c r="D932" s="197" t="s">
        <v>6976</v>
      </c>
      <c r="E932" s="170" t="s">
        <v>6975</v>
      </c>
      <c r="F932" s="197" t="s">
        <v>521</v>
      </c>
      <c r="G932" s="197" t="s">
        <v>6974</v>
      </c>
      <c r="H932" s="197" t="s">
        <v>6856</v>
      </c>
      <c r="I932" s="197" t="s">
        <v>6851</v>
      </c>
    </row>
    <row r="933" spans="2:9" ht="31.5" x14ac:dyDescent="0.25">
      <c r="B933" s="170" t="s">
        <v>7394</v>
      </c>
      <c r="C933" s="988" t="s">
        <v>4876</v>
      </c>
      <c r="D933" s="197" t="s">
        <v>6972</v>
      </c>
      <c r="E933" s="170" t="s">
        <v>6971</v>
      </c>
      <c r="F933" s="197" t="s">
        <v>6860</v>
      </c>
      <c r="G933" s="197" t="s">
        <v>6866</v>
      </c>
      <c r="H933" s="197" t="s">
        <v>6856</v>
      </c>
      <c r="I933" s="197" t="s">
        <v>6851</v>
      </c>
    </row>
    <row r="934" spans="2:9" ht="31.5" x14ac:dyDescent="0.25">
      <c r="B934" s="170" t="s">
        <v>7393</v>
      </c>
      <c r="C934" s="986" t="s">
        <v>4876</v>
      </c>
      <c r="D934" s="197" t="s">
        <v>6972</v>
      </c>
      <c r="E934" s="170" t="s">
        <v>6971</v>
      </c>
      <c r="F934" s="197" t="s">
        <v>6860</v>
      </c>
      <c r="G934" s="197" t="s">
        <v>6866</v>
      </c>
      <c r="H934" s="197" t="s">
        <v>6856</v>
      </c>
      <c r="I934" s="197" t="s">
        <v>6851</v>
      </c>
    </row>
    <row r="935" spans="2:9" ht="31.5" x14ac:dyDescent="0.25">
      <c r="B935" s="170" t="s">
        <v>7328</v>
      </c>
      <c r="C935" s="988" t="s">
        <v>4876</v>
      </c>
      <c r="D935" s="197" t="s">
        <v>6972</v>
      </c>
      <c r="E935" s="170" t="s">
        <v>6971</v>
      </c>
      <c r="F935" s="197" t="s">
        <v>6860</v>
      </c>
      <c r="G935" s="197" t="s">
        <v>6866</v>
      </c>
      <c r="H935" s="197" t="s">
        <v>6856</v>
      </c>
      <c r="I935" s="197" t="s">
        <v>6851</v>
      </c>
    </row>
    <row r="936" spans="2:9" ht="31.5" x14ac:dyDescent="0.25">
      <c r="B936" s="170" t="s">
        <v>7390</v>
      </c>
      <c r="C936" s="986" t="s">
        <v>4876</v>
      </c>
      <c r="D936" s="197" t="s">
        <v>6972</v>
      </c>
      <c r="E936" s="170" t="s">
        <v>6971</v>
      </c>
      <c r="F936" s="197" t="s">
        <v>6860</v>
      </c>
      <c r="G936" s="197" t="s">
        <v>6866</v>
      </c>
      <c r="H936" s="197" t="s">
        <v>6856</v>
      </c>
      <c r="I936" s="197" t="s">
        <v>6851</v>
      </c>
    </row>
    <row r="937" spans="2:9" ht="31.5" x14ac:dyDescent="0.25">
      <c r="B937" s="170" t="s">
        <v>7326</v>
      </c>
      <c r="C937" s="988" t="s">
        <v>4876</v>
      </c>
      <c r="D937" s="197" t="s">
        <v>6972</v>
      </c>
      <c r="E937" s="170" t="s">
        <v>6971</v>
      </c>
      <c r="F937" s="197" t="s">
        <v>6860</v>
      </c>
      <c r="G937" s="197" t="s">
        <v>6866</v>
      </c>
      <c r="H937" s="197" t="s">
        <v>6856</v>
      </c>
      <c r="I937" s="197" t="s">
        <v>6851</v>
      </c>
    </row>
    <row r="938" spans="2:9" ht="31.5" x14ac:dyDescent="0.25">
      <c r="B938" s="170" t="s">
        <v>7325</v>
      </c>
      <c r="C938" s="986" t="s">
        <v>4876</v>
      </c>
      <c r="D938" s="197" t="s">
        <v>6972</v>
      </c>
      <c r="E938" s="170" t="s">
        <v>6971</v>
      </c>
      <c r="F938" s="197" t="s">
        <v>6860</v>
      </c>
      <c r="G938" s="197" t="s">
        <v>6866</v>
      </c>
      <c r="H938" s="197" t="s">
        <v>6856</v>
      </c>
      <c r="I938" s="197" t="s">
        <v>6851</v>
      </c>
    </row>
    <row r="939" spans="2:9" ht="31.5" x14ac:dyDescent="0.25">
      <c r="B939" s="170" t="s">
        <v>7385</v>
      </c>
      <c r="C939" s="988" t="s">
        <v>4876</v>
      </c>
      <c r="D939" s="197" t="s">
        <v>6972</v>
      </c>
      <c r="E939" s="170" t="s">
        <v>6971</v>
      </c>
      <c r="F939" s="197" t="s">
        <v>6860</v>
      </c>
      <c r="G939" s="197" t="s">
        <v>6866</v>
      </c>
      <c r="H939" s="197" t="s">
        <v>6856</v>
      </c>
      <c r="I939" s="197" t="s">
        <v>6851</v>
      </c>
    </row>
    <row r="940" spans="2:9" ht="31.5" x14ac:dyDescent="0.25">
      <c r="B940" s="170" t="s">
        <v>7382</v>
      </c>
      <c r="C940" s="986" t="s">
        <v>4876</v>
      </c>
      <c r="D940" s="197" t="s">
        <v>6972</v>
      </c>
      <c r="E940" s="170" t="s">
        <v>6971</v>
      </c>
      <c r="F940" s="197" t="s">
        <v>6860</v>
      </c>
      <c r="G940" s="197" t="s">
        <v>6866</v>
      </c>
      <c r="H940" s="197" t="s">
        <v>6856</v>
      </c>
      <c r="I940" s="197" t="s">
        <v>6851</v>
      </c>
    </row>
    <row r="941" spans="2:9" ht="31.5" x14ac:dyDescent="0.25">
      <c r="B941" s="170" t="s">
        <v>7381</v>
      </c>
      <c r="C941" s="988" t="s">
        <v>4876</v>
      </c>
      <c r="D941" s="197" t="s">
        <v>6972</v>
      </c>
      <c r="E941" s="170" t="s">
        <v>6971</v>
      </c>
      <c r="F941" s="197" t="s">
        <v>6860</v>
      </c>
      <c r="G941" s="197" t="s">
        <v>6866</v>
      </c>
      <c r="H941" s="197" t="s">
        <v>6856</v>
      </c>
      <c r="I941" s="197" t="s">
        <v>6851</v>
      </c>
    </row>
    <row r="942" spans="2:9" ht="31.5" x14ac:dyDescent="0.25">
      <c r="B942" s="170" t="s">
        <v>7380</v>
      </c>
      <c r="C942" s="986" t="s">
        <v>4876</v>
      </c>
      <c r="D942" s="197" t="s">
        <v>6972</v>
      </c>
      <c r="E942" s="170" t="s">
        <v>6971</v>
      </c>
      <c r="F942" s="197" t="s">
        <v>6860</v>
      </c>
      <c r="G942" s="197" t="s">
        <v>6866</v>
      </c>
      <c r="H942" s="197" t="s">
        <v>6856</v>
      </c>
      <c r="I942" s="197" t="s">
        <v>6851</v>
      </c>
    </row>
    <row r="943" spans="2:9" ht="31.5" x14ac:dyDescent="0.25">
      <c r="B943" s="170" t="s">
        <v>7323</v>
      </c>
      <c r="C943" s="988" t="s">
        <v>4876</v>
      </c>
      <c r="D943" s="197" t="s">
        <v>6967</v>
      </c>
      <c r="E943" s="170" t="s">
        <v>6966</v>
      </c>
      <c r="F943" s="197" t="s">
        <v>521</v>
      </c>
      <c r="G943" s="197" t="s">
        <v>6962</v>
      </c>
      <c r="H943" s="197" t="s">
        <v>6856</v>
      </c>
      <c r="I943" s="197" t="s">
        <v>6851</v>
      </c>
    </row>
    <row r="944" spans="2:9" ht="31.5" x14ac:dyDescent="0.25">
      <c r="B944" s="170" t="s">
        <v>7385</v>
      </c>
      <c r="C944" s="986" t="s">
        <v>4876</v>
      </c>
      <c r="D944" s="197" t="s">
        <v>6967</v>
      </c>
      <c r="E944" s="170" t="s">
        <v>6966</v>
      </c>
      <c r="F944" s="197" t="s">
        <v>521</v>
      </c>
      <c r="G944" s="197" t="s">
        <v>6962</v>
      </c>
      <c r="H944" s="197" t="s">
        <v>6856</v>
      </c>
      <c r="I944" s="197" t="s">
        <v>6851</v>
      </c>
    </row>
    <row r="945" spans="2:9" ht="31.5" x14ac:dyDescent="0.25">
      <c r="B945" s="170" t="s">
        <v>7382</v>
      </c>
      <c r="C945" s="988" t="s">
        <v>4876</v>
      </c>
      <c r="D945" s="197" t="s">
        <v>6967</v>
      </c>
      <c r="E945" s="170" t="s">
        <v>6966</v>
      </c>
      <c r="F945" s="197" t="s">
        <v>521</v>
      </c>
      <c r="G945" s="197" t="s">
        <v>6962</v>
      </c>
      <c r="H945" s="197" t="s">
        <v>6856</v>
      </c>
      <c r="I945" s="197" t="s">
        <v>6851</v>
      </c>
    </row>
    <row r="946" spans="2:9" ht="31.5" x14ac:dyDescent="0.25">
      <c r="B946" s="170" t="s">
        <v>7323</v>
      </c>
      <c r="C946" s="986" t="s">
        <v>4876</v>
      </c>
      <c r="D946" s="197" t="s">
        <v>6964</v>
      </c>
      <c r="E946" s="170" t="s">
        <v>6963</v>
      </c>
      <c r="F946" s="197" t="s">
        <v>521</v>
      </c>
      <c r="G946" s="197" t="s">
        <v>6962</v>
      </c>
      <c r="H946" s="197" t="s">
        <v>6856</v>
      </c>
      <c r="I946" s="197" t="s">
        <v>6851</v>
      </c>
    </row>
    <row r="947" spans="2:9" ht="31.5" x14ac:dyDescent="0.25">
      <c r="B947" s="170" t="s">
        <v>7385</v>
      </c>
      <c r="C947" s="988" t="s">
        <v>4876</v>
      </c>
      <c r="D947" s="197" t="s">
        <v>6964</v>
      </c>
      <c r="E947" s="170" t="s">
        <v>6963</v>
      </c>
      <c r="F947" s="197" t="s">
        <v>521</v>
      </c>
      <c r="G947" s="197" t="s">
        <v>6962</v>
      </c>
      <c r="H947" s="197" t="s">
        <v>6856</v>
      </c>
      <c r="I947" s="197" t="s">
        <v>6851</v>
      </c>
    </row>
    <row r="948" spans="2:9" ht="31.5" x14ac:dyDescent="0.25">
      <c r="B948" s="170" t="s">
        <v>7382</v>
      </c>
      <c r="C948" s="986" t="s">
        <v>4876</v>
      </c>
      <c r="D948" s="197" t="s">
        <v>6964</v>
      </c>
      <c r="E948" s="170" t="s">
        <v>6963</v>
      </c>
      <c r="F948" s="197" t="s">
        <v>521</v>
      </c>
      <c r="G948" s="197" t="s">
        <v>6962</v>
      </c>
      <c r="H948" s="197" t="s">
        <v>6856</v>
      </c>
      <c r="I948" s="197" t="s">
        <v>6851</v>
      </c>
    </row>
    <row r="949" spans="2:9" ht="31.5" x14ac:dyDescent="0.25">
      <c r="B949" s="170" t="s">
        <v>7394</v>
      </c>
      <c r="C949" s="170" t="s">
        <v>4904</v>
      </c>
      <c r="D949" s="197" t="s">
        <v>6958</v>
      </c>
      <c r="E949" s="170" t="s">
        <v>6957</v>
      </c>
      <c r="F949" s="197" t="s">
        <v>6894</v>
      </c>
      <c r="G949" s="197" t="s">
        <v>6897</v>
      </c>
      <c r="H949" s="197" t="s">
        <v>6890</v>
      </c>
      <c r="I949" s="197" t="s">
        <v>6888</v>
      </c>
    </row>
    <row r="950" spans="2:9" ht="31.5" x14ac:dyDescent="0.25">
      <c r="B950" s="170" t="s">
        <v>7393</v>
      </c>
      <c r="C950" s="170" t="s">
        <v>4904</v>
      </c>
      <c r="D950" s="197" t="s">
        <v>6958</v>
      </c>
      <c r="E950" s="170" t="s">
        <v>6957</v>
      </c>
      <c r="F950" s="197" t="s">
        <v>6894</v>
      </c>
      <c r="G950" s="197" t="s">
        <v>6897</v>
      </c>
      <c r="H950" s="197" t="s">
        <v>6890</v>
      </c>
      <c r="I950" s="197" t="s">
        <v>6888</v>
      </c>
    </row>
    <row r="951" spans="2:9" ht="31.5" x14ac:dyDescent="0.25">
      <c r="B951" s="170" t="s">
        <v>7328</v>
      </c>
      <c r="C951" s="170" t="s">
        <v>4904</v>
      </c>
      <c r="D951" s="197" t="s">
        <v>6958</v>
      </c>
      <c r="E951" s="170" t="s">
        <v>6957</v>
      </c>
      <c r="F951" s="197" t="s">
        <v>6894</v>
      </c>
      <c r="G951" s="197" t="s">
        <v>6897</v>
      </c>
      <c r="H951" s="197" t="s">
        <v>6890</v>
      </c>
      <c r="I951" s="197" t="s">
        <v>6888</v>
      </c>
    </row>
    <row r="952" spans="2:9" ht="31.5" x14ac:dyDescent="0.25">
      <c r="B952" s="170" t="s">
        <v>7390</v>
      </c>
      <c r="C952" s="170" t="s">
        <v>4904</v>
      </c>
      <c r="D952" s="197" t="s">
        <v>6958</v>
      </c>
      <c r="E952" s="170" t="s">
        <v>6957</v>
      </c>
      <c r="F952" s="197" t="s">
        <v>6894</v>
      </c>
      <c r="G952" s="197" t="s">
        <v>6897</v>
      </c>
      <c r="H952" s="197" t="s">
        <v>6890</v>
      </c>
      <c r="I952" s="197" t="s">
        <v>6888</v>
      </c>
    </row>
    <row r="953" spans="2:9" ht="31.5" x14ac:dyDescent="0.25">
      <c r="B953" s="170" t="s">
        <v>7326</v>
      </c>
      <c r="C953" s="170" t="s">
        <v>4904</v>
      </c>
      <c r="D953" s="197" t="s">
        <v>6958</v>
      </c>
      <c r="E953" s="170" t="s">
        <v>6957</v>
      </c>
      <c r="F953" s="197" t="s">
        <v>6894</v>
      </c>
      <c r="G953" s="197" t="s">
        <v>6897</v>
      </c>
      <c r="H953" s="197" t="s">
        <v>6890</v>
      </c>
      <c r="I953" s="197" t="s">
        <v>6888</v>
      </c>
    </row>
    <row r="954" spans="2:9" ht="31.5" x14ac:dyDescent="0.25">
      <c r="B954" s="170" t="s">
        <v>7325</v>
      </c>
      <c r="C954" s="170" t="s">
        <v>4904</v>
      </c>
      <c r="D954" s="197" t="s">
        <v>6958</v>
      </c>
      <c r="E954" s="170" t="s">
        <v>6957</v>
      </c>
      <c r="F954" s="197" t="s">
        <v>6894</v>
      </c>
      <c r="G954" s="197" t="s">
        <v>6897</v>
      </c>
      <c r="H954" s="197" t="s">
        <v>6890</v>
      </c>
      <c r="I954" s="197" t="s">
        <v>6888</v>
      </c>
    </row>
    <row r="955" spans="2:9" ht="31.5" x14ac:dyDescent="0.25">
      <c r="B955" s="170" t="s">
        <v>7387</v>
      </c>
      <c r="C955" s="170" t="s">
        <v>4904</v>
      </c>
      <c r="D955" s="197" t="s">
        <v>6958</v>
      </c>
      <c r="E955" s="170" t="s">
        <v>6957</v>
      </c>
      <c r="F955" s="197" t="s">
        <v>6894</v>
      </c>
      <c r="G955" s="197" t="s">
        <v>6897</v>
      </c>
      <c r="H955" s="197" t="s">
        <v>6890</v>
      </c>
      <c r="I955" s="197" t="s">
        <v>6888</v>
      </c>
    </row>
    <row r="956" spans="2:9" ht="31.5" x14ac:dyDescent="0.25">
      <c r="B956" s="170" t="s">
        <v>7323</v>
      </c>
      <c r="C956" s="170" t="s">
        <v>4904</v>
      </c>
      <c r="D956" s="197" t="s">
        <v>6958</v>
      </c>
      <c r="E956" s="170" t="s">
        <v>6957</v>
      </c>
      <c r="F956" s="197" t="s">
        <v>6894</v>
      </c>
      <c r="G956" s="197" t="s">
        <v>6897</v>
      </c>
      <c r="H956" s="197" t="s">
        <v>6890</v>
      </c>
      <c r="I956" s="197" t="s">
        <v>6888</v>
      </c>
    </row>
    <row r="957" spans="2:9" ht="31.5" x14ac:dyDescent="0.25">
      <c r="B957" s="170" t="s">
        <v>7385</v>
      </c>
      <c r="C957" s="170" t="s">
        <v>4904</v>
      </c>
      <c r="D957" s="197" t="s">
        <v>6958</v>
      </c>
      <c r="E957" s="170" t="s">
        <v>6957</v>
      </c>
      <c r="F957" s="197" t="s">
        <v>6894</v>
      </c>
      <c r="G957" s="197" t="s">
        <v>6897</v>
      </c>
      <c r="H957" s="197" t="s">
        <v>6890</v>
      </c>
      <c r="I957" s="197" t="s">
        <v>6888</v>
      </c>
    </row>
    <row r="958" spans="2:9" ht="31.5" x14ac:dyDescent="0.25">
      <c r="B958" s="170" t="s">
        <v>7382</v>
      </c>
      <c r="C958" s="170" t="s">
        <v>4904</v>
      </c>
      <c r="D958" s="197" t="s">
        <v>6958</v>
      </c>
      <c r="E958" s="170" t="s">
        <v>6957</v>
      </c>
      <c r="F958" s="197" t="s">
        <v>6894</v>
      </c>
      <c r="G958" s="197" t="s">
        <v>6897</v>
      </c>
      <c r="H958" s="197" t="s">
        <v>6890</v>
      </c>
      <c r="I958" s="197" t="s">
        <v>6888</v>
      </c>
    </row>
    <row r="959" spans="2:9" ht="31.5" x14ac:dyDescent="0.25">
      <c r="B959" s="170" t="s">
        <v>7381</v>
      </c>
      <c r="C959" s="170" t="s">
        <v>4904</v>
      </c>
      <c r="D959" s="197" t="s">
        <v>6958</v>
      </c>
      <c r="E959" s="170" t="s">
        <v>6957</v>
      </c>
      <c r="F959" s="197" t="s">
        <v>6894</v>
      </c>
      <c r="G959" s="197" t="s">
        <v>6897</v>
      </c>
      <c r="H959" s="197" t="s">
        <v>6890</v>
      </c>
      <c r="I959" s="197" t="s">
        <v>6888</v>
      </c>
    </row>
    <row r="960" spans="2:9" ht="31.5" x14ac:dyDescent="0.25">
      <c r="B960" s="170" t="s">
        <v>7380</v>
      </c>
      <c r="C960" s="170" t="s">
        <v>4904</v>
      </c>
      <c r="D960" s="197" t="s">
        <v>6958</v>
      </c>
      <c r="E960" s="170" t="s">
        <v>6957</v>
      </c>
      <c r="F960" s="197" t="s">
        <v>6894</v>
      </c>
      <c r="G960" s="197" t="s">
        <v>6897</v>
      </c>
      <c r="H960" s="197" t="s">
        <v>6890</v>
      </c>
      <c r="I960" s="197" t="s">
        <v>6888</v>
      </c>
    </row>
    <row r="961" spans="2:9" ht="31.5" x14ac:dyDescent="0.25">
      <c r="B961" s="170" t="s">
        <v>7394</v>
      </c>
      <c r="C961" s="988" t="s">
        <v>4876</v>
      </c>
      <c r="D961" s="197" t="s">
        <v>6956</v>
      </c>
      <c r="E961" s="170" t="s">
        <v>6955</v>
      </c>
      <c r="F961" s="197" t="s">
        <v>6860</v>
      </c>
      <c r="G961" s="197" t="s">
        <v>6902</v>
      </c>
      <c r="H961" s="197" t="s">
        <v>6856</v>
      </c>
      <c r="I961" s="197" t="s">
        <v>6851</v>
      </c>
    </row>
    <row r="962" spans="2:9" ht="31.5" x14ac:dyDescent="0.25">
      <c r="B962" s="170" t="s">
        <v>7393</v>
      </c>
      <c r="C962" s="986" t="s">
        <v>4876</v>
      </c>
      <c r="D962" s="197" t="s">
        <v>6956</v>
      </c>
      <c r="E962" s="170" t="s">
        <v>6955</v>
      </c>
      <c r="F962" s="197" t="s">
        <v>6860</v>
      </c>
      <c r="G962" s="197" t="s">
        <v>6902</v>
      </c>
      <c r="H962" s="197" t="s">
        <v>6856</v>
      </c>
      <c r="I962" s="197" t="s">
        <v>6851</v>
      </c>
    </row>
    <row r="963" spans="2:9" ht="31.5" x14ac:dyDescent="0.25">
      <c r="B963" s="170" t="s">
        <v>7328</v>
      </c>
      <c r="C963" s="988" t="s">
        <v>4876</v>
      </c>
      <c r="D963" s="197" t="s">
        <v>6956</v>
      </c>
      <c r="E963" s="170" t="s">
        <v>6955</v>
      </c>
      <c r="F963" s="197" t="s">
        <v>6860</v>
      </c>
      <c r="G963" s="197" t="s">
        <v>6902</v>
      </c>
      <c r="H963" s="197" t="s">
        <v>6856</v>
      </c>
      <c r="I963" s="197" t="s">
        <v>6851</v>
      </c>
    </row>
    <row r="964" spans="2:9" ht="31.5" x14ac:dyDescent="0.25">
      <c r="B964" s="170" t="s">
        <v>7382</v>
      </c>
      <c r="C964" s="986" t="s">
        <v>4876</v>
      </c>
      <c r="D964" s="197" t="s">
        <v>6956</v>
      </c>
      <c r="E964" s="170" t="s">
        <v>6955</v>
      </c>
      <c r="F964" s="197" t="s">
        <v>6860</v>
      </c>
      <c r="G964" s="197" t="s">
        <v>6902</v>
      </c>
      <c r="H964" s="197" t="s">
        <v>6856</v>
      </c>
      <c r="I964" s="197" t="s">
        <v>6851</v>
      </c>
    </row>
    <row r="965" spans="2:9" ht="31.5" x14ac:dyDescent="0.25">
      <c r="B965" s="170" t="s">
        <v>7381</v>
      </c>
      <c r="C965" s="988" t="s">
        <v>4876</v>
      </c>
      <c r="D965" s="197" t="s">
        <v>6956</v>
      </c>
      <c r="E965" s="170" t="s">
        <v>6955</v>
      </c>
      <c r="F965" s="197" t="s">
        <v>6860</v>
      </c>
      <c r="G965" s="197" t="s">
        <v>6902</v>
      </c>
      <c r="H965" s="197" t="s">
        <v>6856</v>
      </c>
      <c r="I965" s="197" t="s">
        <v>6851</v>
      </c>
    </row>
    <row r="966" spans="2:9" ht="31.5" x14ac:dyDescent="0.25">
      <c r="B966" s="170" t="s">
        <v>7380</v>
      </c>
      <c r="C966" s="986" t="s">
        <v>4876</v>
      </c>
      <c r="D966" s="197" t="s">
        <v>6956</v>
      </c>
      <c r="E966" s="170" t="s">
        <v>6955</v>
      </c>
      <c r="F966" s="197" t="s">
        <v>6860</v>
      </c>
      <c r="G966" s="197" t="s">
        <v>6902</v>
      </c>
      <c r="H966" s="197" t="s">
        <v>6856</v>
      </c>
      <c r="I966" s="197" t="s">
        <v>6851</v>
      </c>
    </row>
    <row r="967" spans="2:9" ht="31.5" x14ac:dyDescent="0.25">
      <c r="B967" s="170" t="s">
        <v>7390</v>
      </c>
      <c r="C967" s="988" t="s">
        <v>4876</v>
      </c>
      <c r="D967" s="197" t="s">
        <v>6954</v>
      </c>
      <c r="E967" s="170" t="s">
        <v>6953</v>
      </c>
      <c r="F967" s="197" t="s">
        <v>6911</v>
      </c>
      <c r="G967" s="197" t="s">
        <v>6876</v>
      </c>
      <c r="H967" s="197" t="s">
        <v>6856</v>
      </c>
      <c r="I967" s="197" t="s">
        <v>6910</v>
      </c>
    </row>
    <row r="968" spans="2:9" ht="31.5" x14ac:dyDescent="0.25">
      <c r="B968" s="170" t="s">
        <v>7326</v>
      </c>
      <c r="C968" s="986" t="s">
        <v>4876</v>
      </c>
      <c r="D968" s="197" t="s">
        <v>6954</v>
      </c>
      <c r="E968" s="170" t="s">
        <v>6953</v>
      </c>
      <c r="F968" s="197" t="s">
        <v>6911</v>
      </c>
      <c r="G968" s="197" t="s">
        <v>6876</v>
      </c>
      <c r="H968" s="197" t="s">
        <v>6856</v>
      </c>
      <c r="I968" s="197" t="s">
        <v>6910</v>
      </c>
    </row>
    <row r="969" spans="2:9" ht="31.5" x14ac:dyDescent="0.25">
      <c r="B969" s="170" t="s">
        <v>7325</v>
      </c>
      <c r="C969" s="988" t="s">
        <v>4876</v>
      </c>
      <c r="D969" s="197" t="s">
        <v>6954</v>
      </c>
      <c r="E969" s="170" t="s">
        <v>6953</v>
      </c>
      <c r="F969" s="197" t="s">
        <v>6911</v>
      </c>
      <c r="G969" s="197" t="s">
        <v>6876</v>
      </c>
      <c r="H969" s="197" t="s">
        <v>6856</v>
      </c>
      <c r="I969" s="197" t="s">
        <v>6910</v>
      </c>
    </row>
    <row r="970" spans="2:9" ht="31.5" x14ac:dyDescent="0.25">
      <c r="B970" s="170" t="s">
        <v>7387</v>
      </c>
      <c r="C970" s="986" t="s">
        <v>4876</v>
      </c>
      <c r="D970" s="197" t="s">
        <v>6954</v>
      </c>
      <c r="E970" s="170" t="s">
        <v>6953</v>
      </c>
      <c r="F970" s="197" t="s">
        <v>6911</v>
      </c>
      <c r="G970" s="197" t="s">
        <v>6876</v>
      </c>
      <c r="H970" s="197" t="s">
        <v>6856</v>
      </c>
      <c r="I970" s="197" t="s">
        <v>6910</v>
      </c>
    </row>
    <row r="971" spans="2:9" ht="31.5" x14ac:dyDescent="0.25">
      <c r="B971" s="170" t="s">
        <v>7323</v>
      </c>
      <c r="C971" s="988" t="s">
        <v>4876</v>
      </c>
      <c r="D971" s="197" t="s">
        <v>6954</v>
      </c>
      <c r="E971" s="170" t="s">
        <v>6953</v>
      </c>
      <c r="F971" s="197" t="s">
        <v>6911</v>
      </c>
      <c r="G971" s="197" t="s">
        <v>6876</v>
      </c>
      <c r="H971" s="197" t="s">
        <v>6856</v>
      </c>
      <c r="I971" s="197" t="s">
        <v>6910</v>
      </c>
    </row>
    <row r="972" spans="2:9" ht="31.5" x14ac:dyDescent="0.25">
      <c r="B972" s="170" t="s">
        <v>7385</v>
      </c>
      <c r="C972" s="986" t="s">
        <v>4876</v>
      </c>
      <c r="D972" s="197" t="s">
        <v>6954</v>
      </c>
      <c r="E972" s="170" t="s">
        <v>6953</v>
      </c>
      <c r="F972" s="197" t="s">
        <v>6911</v>
      </c>
      <c r="G972" s="197" t="s">
        <v>6876</v>
      </c>
      <c r="H972" s="197" t="s">
        <v>6856</v>
      </c>
      <c r="I972" s="197" t="s">
        <v>6910</v>
      </c>
    </row>
    <row r="973" spans="2:9" ht="31.5" x14ac:dyDescent="0.25">
      <c r="B973" s="170" t="s">
        <v>7382</v>
      </c>
      <c r="C973" s="988" t="s">
        <v>4876</v>
      </c>
      <c r="D973" s="197" t="s">
        <v>6954</v>
      </c>
      <c r="E973" s="170" t="s">
        <v>6953</v>
      </c>
      <c r="F973" s="197" t="s">
        <v>6911</v>
      </c>
      <c r="G973" s="197" t="s">
        <v>6876</v>
      </c>
      <c r="H973" s="197" t="s">
        <v>6856</v>
      </c>
      <c r="I973" s="197" t="s">
        <v>6910</v>
      </c>
    </row>
    <row r="974" spans="2:9" ht="31.5" x14ac:dyDescent="0.25">
      <c r="B974" s="170" t="s">
        <v>7394</v>
      </c>
      <c r="C974" s="986" t="s">
        <v>4876</v>
      </c>
      <c r="D974" s="197" t="s">
        <v>6952</v>
      </c>
      <c r="E974" s="170" t="s">
        <v>6951</v>
      </c>
      <c r="F974" s="197" t="s">
        <v>6911</v>
      </c>
      <c r="G974" s="197" t="s">
        <v>6950</v>
      </c>
      <c r="H974" s="197" t="s">
        <v>6856</v>
      </c>
      <c r="I974" s="197" t="s">
        <v>6910</v>
      </c>
    </row>
    <row r="975" spans="2:9" ht="31.5" x14ac:dyDescent="0.25">
      <c r="B975" s="170" t="s">
        <v>7393</v>
      </c>
      <c r="C975" s="988" t="s">
        <v>4876</v>
      </c>
      <c r="D975" s="197" t="s">
        <v>6952</v>
      </c>
      <c r="E975" s="170" t="s">
        <v>6951</v>
      </c>
      <c r="F975" s="197" t="s">
        <v>6911</v>
      </c>
      <c r="G975" s="197" t="s">
        <v>6950</v>
      </c>
      <c r="H975" s="197" t="s">
        <v>6856</v>
      </c>
      <c r="I975" s="197" t="s">
        <v>6910</v>
      </c>
    </row>
    <row r="976" spans="2:9" ht="31.5" x14ac:dyDescent="0.25">
      <c r="B976" s="170" t="s">
        <v>7328</v>
      </c>
      <c r="C976" s="986" t="s">
        <v>4876</v>
      </c>
      <c r="D976" s="197" t="s">
        <v>6952</v>
      </c>
      <c r="E976" s="170" t="s">
        <v>6951</v>
      </c>
      <c r="F976" s="197" t="s">
        <v>6911</v>
      </c>
      <c r="G976" s="197" t="s">
        <v>6950</v>
      </c>
      <c r="H976" s="197" t="s">
        <v>6856</v>
      </c>
      <c r="I976" s="197" t="s">
        <v>6910</v>
      </c>
    </row>
    <row r="977" spans="2:9" ht="31.5" x14ac:dyDescent="0.25">
      <c r="B977" s="170" t="s">
        <v>7385</v>
      </c>
      <c r="C977" s="988" t="s">
        <v>4876</v>
      </c>
      <c r="D977" s="197" t="s">
        <v>6952</v>
      </c>
      <c r="E977" s="170" t="s">
        <v>6951</v>
      </c>
      <c r="F977" s="197" t="s">
        <v>6911</v>
      </c>
      <c r="G977" s="197" t="s">
        <v>6950</v>
      </c>
      <c r="H977" s="197" t="s">
        <v>6856</v>
      </c>
      <c r="I977" s="197" t="s">
        <v>6910</v>
      </c>
    </row>
    <row r="978" spans="2:9" ht="31.5" x14ac:dyDescent="0.25">
      <c r="B978" s="170" t="s">
        <v>7382</v>
      </c>
      <c r="C978" s="986" t="s">
        <v>4876</v>
      </c>
      <c r="D978" s="197" t="s">
        <v>6952</v>
      </c>
      <c r="E978" s="170" t="s">
        <v>6951</v>
      </c>
      <c r="F978" s="197" t="s">
        <v>6911</v>
      </c>
      <c r="G978" s="197" t="s">
        <v>6950</v>
      </c>
      <c r="H978" s="197" t="s">
        <v>6856</v>
      </c>
      <c r="I978" s="197" t="s">
        <v>6910</v>
      </c>
    </row>
    <row r="979" spans="2:9" ht="31.5" x14ac:dyDescent="0.25">
      <c r="B979" s="170" t="s">
        <v>7381</v>
      </c>
      <c r="C979" s="988" t="s">
        <v>4876</v>
      </c>
      <c r="D979" s="197" t="s">
        <v>6952</v>
      </c>
      <c r="E979" s="170" t="s">
        <v>6951</v>
      </c>
      <c r="F979" s="197" t="s">
        <v>6911</v>
      </c>
      <c r="G979" s="197" t="s">
        <v>6950</v>
      </c>
      <c r="H979" s="197" t="s">
        <v>6856</v>
      </c>
      <c r="I979" s="197" t="s">
        <v>6910</v>
      </c>
    </row>
    <row r="980" spans="2:9" ht="31.5" x14ac:dyDescent="0.25">
      <c r="B980" s="170" t="s">
        <v>7380</v>
      </c>
      <c r="C980" s="986" t="s">
        <v>4876</v>
      </c>
      <c r="D980" s="197" t="s">
        <v>6952</v>
      </c>
      <c r="E980" s="170" t="s">
        <v>6951</v>
      </c>
      <c r="F980" s="197" t="s">
        <v>6911</v>
      </c>
      <c r="G980" s="197" t="s">
        <v>6950</v>
      </c>
      <c r="H980" s="197" t="s">
        <v>6856</v>
      </c>
      <c r="I980" s="197" t="s">
        <v>6910</v>
      </c>
    </row>
    <row r="981" spans="2:9" ht="31.5" x14ac:dyDescent="0.25">
      <c r="B981" s="170" t="s">
        <v>7394</v>
      </c>
      <c r="C981" s="988" t="s">
        <v>4876</v>
      </c>
      <c r="D981" s="197" t="s">
        <v>6949</v>
      </c>
      <c r="E981" s="170" t="s">
        <v>6948</v>
      </c>
      <c r="F981" s="197" t="s">
        <v>6911</v>
      </c>
      <c r="G981" s="197" t="s">
        <v>6866</v>
      </c>
      <c r="H981" s="197" t="s">
        <v>6856</v>
      </c>
      <c r="I981" s="197" t="s">
        <v>6910</v>
      </c>
    </row>
    <row r="982" spans="2:9" ht="31.5" x14ac:dyDescent="0.25">
      <c r="B982" s="170" t="s">
        <v>7393</v>
      </c>
      <c r="C982" s="986" t="s">
        <v>4876</v>
      </c>
      <c r="D982" s="197" t="s">
        <v>6949</v>
      </c>
      <c r="E982" s="170" t="s">
        <v>6948</v>
      </c>
      <c r="F982" s="197" t="s">
        <v>6911</v>
      </c>
      <c r="G982" s="197" t="s">
        <v>6866</v>
      </c>
      <c r="H982" s="197" t="s">
        <v>6856</v>
      </c>
      <c r="I982" s="197" t="s">
        <v>6910</v>
      </c>
    </row>
    <row r="983" spans="2:9" ht="31.5" x14ac:dyDescent="0.25">
      <c r="B983" s="170" t="s">
        <v>7328</v>
      </c>
      <c r="C983" s="988" t="s">
        <v>4876</v>
      </c>
      <c r="D983" s="197" t="s">
        <v>6949</v>
      </c>
      <c r="E983" s="170" t="s">
        <v>6948</v>
      </c>
      <c r="F983" s="197" t="s">
        <v>6911</v>
      </c>
      <c r="G983" s="197" t="s">
        <v>6866</v>
      </c>
      <c r="H983" s="197" t="s">
        <v>6856</v>
      </c>
      <c r="I983" s="197" t="s">
        <v>6910</v>
      </c>
    </row>
    <row r="984" spans="2:9" ht="31.5" x14ac:dyDescent="0.25">
      <c r="B984" s="170" t="s">
        <v>7390</v>
      </c>
      <c r="C984" s="986" t="s">
        <v>4876</v>
      </c>
      <c r="D984" s="197" t="s">
        <v>6949</v>
      </c>
      <c r="E984" s="170" t="s">
        <v>6948</v>
      </c>
      <c r="F984" s="197" t="s">
        <v>6911</v>
      </c>
      <c r="G984" s="197" t="s">
        <v>6866</v>
      </c>
      <c r="H984" s="197" t="s">
        <v>6856</v>
      </c>
      <c r="I984" s="197" t="s">
        <v>6910</v>
      </c>
    </row>
    <row r="985" spans="2:9" ht="31.5" x14ac:dyDescent="0.25">
      <c r="B985" s="170" t="s">
        <v>7326</v>
      </c>
      <c r="C985" s="988" t="s">
        <v>4876</v>
      </c>
      <c r="D985" s="197" t="s">
        <v>6949</v>
      </c>
      <c r="E985" s="170" t="s">
        <v>6948</v>
      </c>
      <c r="F985" s="197" t="s">
        <v>6911</v>
      </c>
      <c r="G985" s="197" t="s">
        <v>6866</v>
      </c>
      <c r="H985" s="197" t="s">
        <v>6856</v>
      </c>
      <c r="I985" s="197" t="s">
        <v>6910</v>
      </c>
    </row>
    <row r="986" spans="2:9" ht="31.5" x14ac:dyDescent="0.25">
      <c r="B986" s="170" t="s">
        <v>7385</v>
      </c>
      <c r="C986" s="986" t="s">
        <v>4876</v>
      </c>
      <c r="D986" s="197" t="s">
        <v>6949</v>
      </c>
      <c r="E986" s="170" t="s">
        <v>6948</v>
      </c>
      <c r="F986" s="197" t="s">
        <v>6911</v>
      </c>
      <c r="G986" s="197" t="s">
        <v>6866</v>
      </c>
      <c r="H986" s="197" t="s">
        <v>6856</v>
      </c>
      <c r="I986" s="197" t="s">
        <v>6910</v>
      </c>
    </row>
    <row r="987" spans="2:9" ht="31.5" x14ac:dyDescent="0.25">
      <c r="B987" s="170" t="s">
        <v>7382</v>
      </c>
      <c r="C987" s="988" t="s">
        <v>4876</v>
      </c>
      <c r="D987" s="197" t="s">
        <v>6949</v>
      </c>
      <c r="E987" s="170" t="s">
        <v>6948</v>
      </c>
      <c r="F987" s="197" t="s">
        <v>6911</v>
      </c>
      <c r="G987" s="197" t="s">
        <v>6866</v>
      </c>
      <c r="H987" s="197" t="s">
        <v>6856</v>
      </c>
      <c r="I987" s="197" t="s">
        <v>6910</v>
      </c>
    </row>
    <row r="988" spans="2:9" ht="31.5" x14ac:dyDescent="0.25">
      <c r="B988" s="170" t="s">
        <v>7381</v>
      </c>
      <c r="C988" s="986" t="s">
        <v>4876</v>
      </c>
      <c r="D988" s="197" t="s">
        <v>6949</v>
      </c>
      <c r="E988" s="170" t="s">
        <v>6948</v>
      </c>
      <c r="F988" s="197" t="s">
        <v>6911</v>
      </c>
      <c r="G988" s="197" t="s">
        <v>6866</v>
      </c>
      <c r="H988" s="197" t="s">
        <v>6856</v>
      </c>
      <c r="I988" s="197" t="s">
        <v>6910</v>
      </c>
    </row>
    <row r="989" spans="2:9" ht="31.5" x14ac:dyDescent="0.25">
      <c r="B989" s="170" t="s">
        <v>7380</v>
      </c>
      <c r="C989" s="988" t="s">
        <v>4876</v>
      </c>
      <c r="D989" s="197" t="s">
        <v>6949</v>
      </c>
      <c r="E989" s="170" t="s">
        <v>6948</v>
      </c>
      <c r="F989" s="197" t="s">
        <v>6911</v>
      </c>
      <c r="G989" s="197" t="s">
        <v>6866</v>
      </c>
      <c r="H989" s="197" t="s">
        <v>6856</v>
      </c>
      <c r="I989" s="197" t="s">
        <v>6910</v>
      </c>
    </row>
    <row r="990" spans="2:9" ht="31.5" x14ac:dyDescent="0.25">
      <c r="B990" s="170" t="s">
        <v>7394</v>
      </c>
      <c r="C990" s="986" t="s">
        <v>4876</v>
      </c>
      <c r="D990" s="197" t="s">
        <v>6945</v>
      </c>
      <c r="E990" s="170" t="s">
        <v>6944</v>
      </c>
      <c r="F990" s="197" t="s">
        <v>6911</v>
      </c>
      <c r="G990" s="197" t="s">
        <v>6876</v>
      </c>
      <c r="H990" s="197" t="s">
        <v>6856</v>
      </c>
      <c r="I990" s="197" t="s">
        <v>6910</v>
      </c>
    </row>
    <row r="991" spans="2:9" ht="31.5" x14ac:dyDescent="0.25">
      <c r="B991" s="170" t="s">
        <v>7393</v>
      </c>
      <c r="C991" s="988" t="s">
        <v>4876</v>
      </c>
      <c r="D991" s="197" t="s">
        <v>6945</v>
      </c>
      <c r="E991" s="170" t="s">
        <v>6944</v>
      </c>
      <c r="F991" s="197" t="s">
        <v>6911</v>
      </c>
      <c r="G991" s="197" t="s">
        <v>6876</v>
      </c>
      <c r="H991" s="197" t="s">
        <v>6856</v>
      </c>
      <c r="I991" s="197" t="s">
        <v>6910</v>
      </c>
    </row>
    <row r="992" spans="2:9" ht="31.5" x14ac:dyDescent="0.25">
      <c r="B992" s="170" t="s">
        <v>7328</v>
      </c>
      <c r="C992" s="986" t="s">
        <v>4876</v>
      </c>
      <c r="D992" s="197" t="s">
        <v>6945</v>
      </c>
      <c r="E992" s="170" t="s">
        <v>6944</v>
      </c>
      <c r="F992" s="197" t="s">
        <v>6911</v>
      </c>
      <c r="G992" s="197" t="s">
        <v>6876</v>
      </c>
      <c r="H992" s="197" t="s">
        <v>6856</v>
      </c>
      <c r="I992" s="197" t="s">
        <v>6910</v>
      </c>
    </row>
    <row r="993" spans="2:9" ht="31.5" x14ac:dyDescent="0.25">
      <c r="B993" s="170" t="s">
        <v>7390</v>
      </c>
      <c r="C993" s="988" t="s">
        <v>4876</v>
      </c>
      <c r="D993" s="197" t="s">
        <v>6945</v>
      </c>
      <c r="E993" s="170" t="s">
        <v>6944</v>
      </c>
      <c r="F993" s="197" t="s">
        <v>6911</v>
      </c>
      <c r="G993" s="197" t="s">
        <v>6876</v>
      </c>
      <c r="H993" s="197" t="s">
        <v>6856</v>
      </c>
      <c r="I993" s="197" t="s">
        <v>6910</v>
      </c>
    </row>
    <row r="994" spans="2:9" ht="31.5" x14ac:dyDescent="0.25">
      <c r="B994" s="170" t="s">
        <v>7382</v>
      </c>
      <c r="C994" s="986" t="s">
        <v>4876</v>
      </c>
      <c r="D994" s="197" t="s">
        <v>6945</v>
      </c>
      <c r="E994" s="170" t="s">
        <v>6944</v>
      </c>
      <c r="F994" s="197" t="s">
        <v>6911</v>
      </c>
      <c r="G994" s="197" t="s">
        <v>6876</v>
      </c>
      <c r="H994" s="197" t="s">
        <v>6856</v>
      </c>
      <c r="I994" s="197" t="s">
        <v>6910</v>
      </c>
    </row>
    <row r="995" spans="2:9" ht="31.5" x14ac:dyDescent="0.25">
      <c r="B995" s="170" t="s">
        <v>7381</v>
      </c>
      <c r="C995" s="988" t="s">
        <v>4876</v>
      </c>
      <c r="D995" s="197" t="s">
        <v>6945</v>
      </c>
      <c r="E995" s="170" t="s">
        <v>6944</v>
      </c>
      <c r="F995" s="197" t="s">
        <v>6911</v>
      </c>
      <c r="G995" s="197" t="s">
        <v>6876</v>
      </c>
      <c r="H995" s="197" t="s">
        <v>6856</v>
      </c>
      <c r="I995" s="197" t="s">
        <v>6910</v>
      </c>
    </row>
    <row r="996" spans="2:9" ht="31.5" x14ac:dyDescent="0.25">
      <c r="B996" s="170" t="s">
        <v>7380</v>
      </c>
      <c r="C996" s="986" t="s">
        <v>4876</v>
      </c>
      <c r="D996" s="197" t="s">
        <v>6945</v>
      </c>
      <c r="E996" s="170" t="s">
        <v>6944</v>
      </c>
      <c r="F996" s="197" t="s">
        <v>6911</v>
      </c>
      <c r="G996" s="197" t="s">
        <v>6876</v>
      </c>
      <c r="H996" s="197" t="s">
        <v>6856</v>
      </c>
      <c r="I996" s="197" t="s">
        <v>6910</v>
      </c>
    </row>
    <row r="997" spans="2:9" ht="31.5" x14ac:dyDescent="0.25">
      <c r="B997" s="170" t="s">
        <v>7390</v>
      </c>
      <c r="C997" s="988" t="s">
        <v>4876</v>
      </c>
      <c r="D997" s="197" t="s">
        <v>6942</v>
      </c>
      <c r="E997" s="170" t="s">
        <v>6941</v>
      </c>
      <c r="F997" s="197" t="s">
        <v>6911</v>
      </c>
      <c r="G997" s="197" t="s">
        <v>6866</v>
      </c>
      <c r="H997" s="197" t="s">
        <v>6856</v>
      </c>
      <c r="I997" s="197" t="s">
        <v>6910</v>
      </c>
    </row>
    <row r="998" spans="2:9" ht="31.5" x14ac:dyDescent="0.25">
      <c r="B998" s="170" t="s">
        <v>7326</v>
      </c>
      <c r="C998" s="986" t="s">
        <v>4876</v>
      </c>
      <c r="D998" s="197" t="s">
        <v>6942</v>
      </c>
      <c r="E998" s="170" t="s">
        <v>6941</v>
      </c>
      <c r="F998" s="197" t="s">
        <v>6911</v>
      </c>
      <c r="G998" s="197" t="s">
        <v>6866</v>
      </c>
      <c r="H998" s="197" t="s">
        <v>6856</v>
      </c>
      <c r="I998" s="197" t="s">
        <v>6910</v>
      </c>
    </row>
    <row r="999" spans="2:9" ht="31.5" x14ac:dyDescent="0.25">
      <c r="B999" s="170" t="s">
        <v>7325</v>
      </c>
      <c r="C999" s="988" t="s">
        <v>4876</v>
      </c>
      <c r="D999" s="197" t="s">
        <v>6942</v>
      </c>
      <c r="E999" s="170" t="s">
        <v>6941</v>
      </c>
      <c r="F999" s="197" t="s">
        <v>6911</v>
      </c>
      <c r="G999" s="197" t="s">
        <v>6866</v>
      </c>
      <c r="H999" s="197" t="s">
        <v>6856</v>
      </c>
      <c r="I999" s="197" t="s">
        <v>6910</v>
      </c>
    </row>
    <row r="1000" spans="2:9" ht="31.5" x14ac:dyDescent="0.25">
      <c r="B1000" s="170" t="s">
        <v>7387</v>
      </c>
      <c r="C1000" s="986" t="s">
        <v>4876</v>
      </c>
      <c r="D1000" s="197" t="s">
        <v>6942</v>
      </c>
      <c r="E1000" s="170" t="s">
        <v>6941</v>
      </c>
      <c r="F1000" s="197" t="s">
        <v>6911</v>
      </c>
      <c r="G1000" s="197" t="s">
        <v>6866</v>
      </c>
      <c r="H1000" s="197" t="s">
        <v>6856</v>
      </c>
      <c r="I1000" s="197" t="s">
        <v>6910</v>
      </c>
    </row>
    <row r="1001" spans="2:9" ht="31.5" x14ac:dyDescent="0.25">
      <c r="B1001" s="170" t="s">
        <v>7323</v>
      </c>
      <c r="C1001" s="988" t="s">
        <v>4876</v>
      </c>
      <c r="D1001" s="197" t="s">
        <v>6942</v>
      </c>
      <c r="E1001" s="170" t="s">
        <v>6941</v>
      </c>
      <c r="F1001" s="197" t="s">
        <v>6911</v>
      </c>
      <c r="G1001" s="197" t="s">
        <v>6866</v>
      </c>
      <c r="H1001" s="197" t="s">
        <v>6856</v>
      </c>
      <c r="I1001" s="197" t="s">
        <v>6910</v>
      </c>
    </row>
    <row r="1002" spans="2:9" ht="31.5" x14ac:dyDescent="0.25">
      <c r="B1002" s="170" t="s">
        <v>7385</v>
      </c>
      <c r="C1002" s="986" t="s">
        <v>4876</v>
      </c>
      <c r="D1002" s="197" t="s">
        <v>6942</v>
      </c>
      <c r="E1002" s="170" t="s">
        <v>6941</v>
      </c>
      <c r="F1002" s="197" t="s">
        <v>6911</v>
      </c>
      <c r="G1002" s="197" t="s">
        <v>6866</v>
      </c>
      <c r="H1002" s="197" t="s">
        <v>6856</v>
      </c>
      <c r="I1002" s="197" t="s">
        <v>6910</v>
      </c>
    </row>
    <row r="1003" spans="2:9" ht="31.5" x14ac:dyDescent="0.25">
      <c r="B1003" s="170" t="s">
        <v>7382</v>
      </c>
      <c r="C1003" s="988" t="s">
        <v>4876</v>
      </c>
      <c r="D1003" s="197" t="s">
        <v>6942</v>
      </c>
      <c r="E1003" s="170" t="s">
        <v>6941</v>
      </c>
      <c r="F1003" s="197" t="s">
        <v>6911</v>
      </c>
      <c r="G1003" s="197" t="s">
        <v>6866</v>
      </c>
      <c r="H1003" s="197" t="s">
        <v>6856</v>
      </c>
      <c r="I1003" s="197" t="s">
        <v>6910</v>
      </c>
    </row>
    <row r="1004" spans="2:9" ht="31.5" x14ac:dyDescent="0.25">
      <c r="B1004" s="170" t="s">
        <v>7394</v>
      </c>
      <c r="C1004" s="986" t="s">
        <v>4876</v>
      </c>
      <c r="D1004" s="197" t="s">
        <v>6940</v>
      </c>
      <c r="E1004" s="170" t="s">
        <v>6939</v>
      </c>
      <c r="F1004" s="197" t="s">
        <v>6911</v>
      </c>
      <c r="G1004" s="197" t="s">
        <v>6866</v>
      </c>
      <c r="H1004" s="197" t="s">
        <v>6856</v>
      </c>
      <c r="I1004" s="197" t="s">
        <v>6910</v>
      </c>
    </row>
    <row r="1005" spans="2:9" ht="31.5" x14ac:dyDescent="0.25">
      <c r="B1005" s="170" t="s">
        <v>7393</v>
      </c>
      <c r="C1005" s="988" t="s">
        <v>4876</v>
      </c>
      <c r="D1005" s="197" t="s">
        <v>6940</v>
      </c>
      <c r="E1005" s="170" t="s">
        <v>6939</v>
      </c>
      <c r="F1005" s="197" t="s">
        <v>6911</v>
      </c>
      <c r="G1005" s="197" t="s">
        <v>6866</v>
      </c>
      <c r="H1005" s="197" t="s">
        <v>6856</v>
      </c>
      <c r="I1005" s="197" t="s">
        <v>6910</v>
      </c>
    </row>
    <row r="1006" spans="2:9" ht="31.5" x14ac:dyDescent="0.25">
      <c r="B1006" s="170" t="s">
        <v>7328</v>
      </c>
      <c r="C1006" s="986" t="s">
        <v>4876</v>
      </c>
      <c r="D1006" s="197" t="s">
        <v>6940</v>
      </c>
      <c r="E1006" s="170" t="s">
        <v>6939</v>
      </c>
      <c r="F1006" s="197" t="s">
        <v>6911</v>
      </c>
      <c r="G1006" s="197" t="s">
        <v>6866</v>
      </c>
      <c r="H1006" s="197" t="s">
        <v>6856</v>
      </c>
      <c r="I1006" s="197" t="s">
        <v>6910</v>
      </c>
    </row>
    <row r="1007" spans="2:9" ht="31.5" x14ac:dyDescent="0.25">
      <c r="B1007" s="170" t="s">
        <v>7385</v>
      </c>
      <c r="C1007" s="988" t="s">
        <v>4876</v>
      </c>
      <c r="D1007" s="197" t="s">
        <v>6940</v>
      </c>
      <c r="E1007" s="170" t="s">
        <v>6939</v>
      </c>
      <c r="F1007" s="197" t="s">
        <v>6911</v>
      </c>
      <c r="G1007" s="197" t="s">
        <v>6866</v>
      </c>
      <c r="H1007" s="197" t="s">
        <v>6856</v>
      </c>
      <c r="I1007" s="197" t="s">
        <v>6910</v>
      </c>
    </row>
    <row r="1008" spans="2:9" ht="31.5" x14ac:dyDescent="0.25">
      <c r="B1008" s="170" t="s">
        <v>7382</v>
      </c>
      <c r="C1008" s="986" t="s">
        <v>4876</v>
      </c>
      <c r="D1008" s="197" t="s">
        <v>6940</v>
      </c>
      <c r="E1008" s="170" t="s">
        <v>6939</v>
      </c>
      <c r="F1008" s="197" t="s">
        <v>6911</v>
      </c>
      <c r="G1008" s="197" t="s">
        <v>6866</v>
      </c>
      <c r="H1008" s="197" t="s">
        <v>6856</v>
      </c>
      <c r="I1008" s="197" t="s">
        <v>6910</v>
      </c>
    </row>
    <row r="1009" spans="2:9" ht="31.5" x14ac:dyDescent="0.25">
      <c r="B1009" s="170" t="s">
        <v>7381</v>
      </c>
      <c r="C1009" s="988" t="s">
        <v>4876</v>
      </c>
      <c r="D1009" s="197" t="s">
        <v>6940</v>
      </c>
      <c r="E1009" s="170" t="s">
        <v>6939</v>
      </c>
      <c r="F1009" s="197" t="s">
        <v>6911</v>
      </c>
      <c r="G1009" s="197" t="s">
        <v>6866</v>
      </c>
      <c r="H1009" s="197" t="s">
        <v>6856</v>
      </c>
      <c r="I1009" s="197" t="s">
        <v>6910</v>
      </c>
    </row>
    <row r="1010" spans="2:9" ht="31.5" x14ac:dyDescent="0.25">
      <c r="B1010" s="170" t="s">
        <v>7380</v>
      </c>
      <c r="C1010" s="986" t="s">
        <v>4876</v>
      </c>
      <c r="D1010" s="197" t="s">
        <v>6940</v>
      </c>
      <c r="E1010" s="170" t="s">
        <v>6939</v>
      </c>
      <c r="F1010" s="197" t="s">
        <v>6911</v>
      </c>
      <c r="G1010" s="197" t="s">
        <v>6866</v>
      </c>
      <c r="H1010" s="197" t="s">
        <v>6856</v>
      </c>
      <c r="I1010" s="197" t="s">
        <v>6910</v>
      </c>
    </row>
    <row r="1011" spans="2:9" ht="31.5" x14ac:dyDescent="0.25">
      <c r="B1011" s="170" t="s">
        <v>7326</v>
      </c>
      <c r="C1011" s="988" t="s">
        <v>4876</v>
      </c>
      <c r="D1011" s="197" t="s">
        <v>6938</v>
      </c>
      <c r="E1011" s="170" t="s">
        <v>6937</v>
      </c>
      <c r="F1011" s="197" t="s">
        <v>6911</v>
      </c>
      <c r="G1011" s="197" t="s">
        <v>6866</v>
      </c>
      <c r="H1011" s="197" t="s">
        <v>6856</v>
      </c>
      <c r="I1011" s="197" t="s">
        <v>6910</v>
      </c>
    </row>
    <row r="1012" spans="2:9" ht="31.5" x14ac:dyDescent="0.25">
      <c r="B1012" s="170" t="s">
        <v>7325</v>
      </c>
      <c r="C1012" s="986" t="s">
        <v>4876</v>
      </c>
      <c r="D1012" s="197" t="s">
        <v>6938</v>
      </c>
      <c r="E1012" s="170" t="s">
        <v>6937</v>
      </c>
      <c r="F1012" s="197" t="s">
        <v>6911</v>
      </c>
      <c r="G1012" s="197" t="s">
        <v>6866</v>
      </c>
      <c r="H1012" s="197" t="s">
        <v>6856</v>
      </c>
      <c r="I1012" s="197" t="s">
        <v>6910</v>
      </c>
    </row>
    <row r="1013" spans="2:9" ht="31.5" x14ac:dyDescent="0.25">
      <c r="B1013" s="170" t="s">
        <v>7387</v>
      </c>
      <c r="C1013" s="988" t="s">
        <v>4876</v>
      </c>
      <c r="D1013" s="197" t="s">
        <v>6938</v>
      </c>
      <c r="E1013" s="170" t="s">
        <v>6937</v>
      </c>
      <c r="F1013" s="197" t="s">
        <v>6911</v>
      </c>
      <c r="G1013" s="197" t="s">
        <v>6866</v>
      </c>
      <c r="H1013" s="197" t="s">
        <v>6856</v>
      </c>
      <c r="I1013" s="197" t="s">
        <v>6910</v>
      </c>
    </row>
    <row r="1014" spans="2:9" ht="31.5" x14ac:dyDescent="0.25">
      <c r="B1014" s="170" t="s">
        <v>7323</v>
      </c>
      <c r="C1014" s="986" t="s">
        <v>4876</v>
      </c>
      <c r="D1014" s="197" t="s">
        <v>6938</v>
      </c>
      <c r="E1014" s="170" t="s">
        <v>6937</v>
      </c>
      <c r="F1014" s="197" t="s">
        <v>6911</v>
      </c>
      <c r="G1014" s="197" t="s">
        <v>6866</v>
      </c>
      <c r="H1014" s="197" t="s">
        <v>6856</v>
      </c>
      <c r="I1014" s="197" t="s">
        <v>6910</v>
      </c>
    </row>
    <row r="1015" spans="2:9" ht="31.5" x14ac:dyDescent="0.25">
      <c r="B1015" s="170" t="s">
        <v>7385</v>
      </c>
      <c r="C1015" s="988" t="s">
        <v>4876</v>
      </c>
      <c r="D1015" s="197" t="s">
        <v>6938</v>
      </c>
      <c r="E1015" s="170" t="s">
        <v>6937</v>
      </c>
      <c r="F1015" s="197" t="s">
        <v>6911</v>
      </c>
      <c r="G1015" s="197" t="s">
        <v>6866</v>
      </c>
      <c r="H1015" s="197" t="s">
        <v>6856</v>
      </c>
      <c r="I1015" s="197" t="s">
        <v>6910</v>
      </c>
    </row>
    <row r="1016" spans="2:9" ht="31.5" x14ac:dyDescent="0.25">
      <c r="B1016" s="170" t="s">
        <v>7382</v>
      </c>
      <c r="C1016" s="986" t="s">
        <v>4876</v>
      </c>
      <c r="D1016" s="197" t="s">
        <v>6938</v>
      </c>
      <c r="E1016" s="170" t="s">
        <v>6937</v>
      </c>
      <c r="F1016" s="197" t="s">
        <v>6911</v>
      </c>
      <c r="G1016" s="197" t="s">
        <v>6866</v>
      </c>
      <c r="H1016" s="197" t="s">
        <v>6856</v>
      </c>
      <c r="I1016" s="197" t="s">
        <v>6910</v>
      </c>
    </row>
    <row r="1017" spans="2:9" ht="31.5" x14ac:dyDescent="0.25">
      <c r="B1017" s="170" t="s">
        <v>7326</v>
      </c>
      <c r="C1017" s="988" t="s">
        <v>4876</v>
      </c>
      <c r="D1017" s="197" t="s">
        <v>6936</v>
      </c>
      <c r="E1017" s="170" t="s">
        <v>6935</v>
      </c>
      <c r="F1017" s="197" t="s">
        <v>6911</v>
      </c>
      <c r="G1017" s="197" t="s">
        <v>6866</v>
      </c>
      <c r="H1017" s="197" t="s">
        <v>6856</v>
      </c>
      <c r="I1017" s="197" t="s">
        <v>6910</v>
      </c>
    </row>
    <row r="1018" spans="2:9" ht="31.5" x14ac:dyDescent="0.25">
      <c r="B1018" s="170" t="s">
        <v>7325</v>
      </c>
      <c r="C1018" s="986" t="s">
        <v>4876</v>
      </c>
      <c r="D1018" s="197" t="s">
        <v>6936</v>
      </c>
      <c r="E1018" s="170" t="s">
        <v>6935</v>
      </c>
      <c r="F1018" s="197" t="s">
        <v>6911</v>
      </c>
      <c r="G1018" s="197" t="s">
        <v>6866</v>
      </c>
      <c r="H1018" s="197" t="s">
        <v>6856</v>
      </c>
      <c r="I1018" s="197" t="s">
        <v>6910</v>
      </c>
    </row>
    <row r="1019" spans="2:9" ht="31.5" x14ac:dyDescent="0.25">
      <c r="B1019" s="170" t="s">
        <v>7387</v>
      </c>
      <c r="C1019" s="988" t="s">
        <v>4876</v>
      </c>
      <c r="D1019" s="197" t="s">
        <v>6936</v>
      </c>
      <c r="E1019" s="170" t="s">
        <v>6935</v>
      </c>
      <c r="F1019" s="197" t="s">
        <v>6911</v>
      </c>
      <c r="G1019" s="197" t="s">
        <v>6866</v>
      </c>
      <c r="H1019" s="197" t="s">
        <v>6856</v>
      </c>
      <c r="I1019" s="197" t="s">
        <v>6910</v>
      </c>
    </row>
    <row r="1020" spans="2:9" ht="31.5" x14ac:dyDescent="0.25">
      <c r="B1020" s="170" t="s">
        <v>7323</v>
      </c>
      <c r="C1020" s="986" t="s">
        <v>4876</v>
      </c>
      <c r="D1020" s="197" t="s">
        <v>6936</v>
      </c>
      <c r="E1020" s="170" t="s">
        <v>6935</v>
      </c>
      <c r="F1020" s="197" t="s">
        <v>6911</v>
      </c>
      <c r="G1020" s="197" t="s">
        <v>6866</v>
      </c>
      <c r="H1020" s="197" t="s">
        <v>6856</v>
      </c>
      <c r="I1020" s="197" t="s">
        <v>6910</v>
      </c>
    </row>
    <row r="1021" spans="2:9" ht="31.5" x14ac:dyDescent="0.25">
      <c r="B1021" s="170" t="s">
        <v>7385</v>
      </c>
      <c r="C1021" s="988" t="s">
        <v>4876</v>
      </c>
      <c r="D1021" s="197" t="s">
        <v>6936</v>
      </c>
      <c r="E1021" s="170" t="s">
        <v>6935</v>
      </c>
      <c r="F1021" s="197" t="s">
        <v>6911</v>
      </c>
      <c r="G1021" s="197" t="s">
        <v>6866</v>
      </c>
      <c r="H1021" s="197" t="s">
        <v>6856</v>
      </c>
      <c r="I1021" s="197" t="s">
        <v>6910</v>
      </c>
    </row>
    <row r="1022" spans="2:9" ht="31.5" x14ac:dyDescent="0.25">
      <c r="B1022" s="170" t="s">
        <v>7382</v>
      </c>
      <c r="C1022" s="986" t="s">
        <v>4876</v>
      </c>
      <c r="D1022" s="197" t="s">
        <v>6936</v>
      </c>
      <c r="E1022" s="170" t="s">
        <v>6935</v>
      </c>
      <c r="F1022" s="197" t="s">
        <v>6911</v>
      </c>
      <c r="G1022" s="197" t="s">
        <v>6866</v>
      </c>
      <c r="H1022" s="197" t="s">
        <v>6856</v>
      </c>
      <c r="I1022" s="197" t="s">
        <v>6910</v>
      </c>
    </row>
    <row r="1023" spans="2:9" ht="31.5" x14ac:dyDescent="0.25">
      <c r="B1023" s="170" t="s">
        <v>7390</v>
      </c>
      <c r="C1023" s="988" t="s">
        <v>4876</v>
      </c>
      <c r="D1023" s="197" t="s">
        <v>6934</v>
      </c>
      <c r="E1023" s="170" t="s">
        <v>6933</v>
      </c>
      <c r="F1023" s="197" t="s">
        <v>6911</v>
      </c>
      <c r="G1023" s="197" t="s">
        <v>6876</v>
      </c>
      <c r="H1023" s="197" t="s">
        <v>6856</v>
      </c>
      <c r="I1023" s="197" t="s">
        <v>6910</v>
      </c>
    </row>
    <row r="1024" spans="2:9" ht="31.5" x14ac:dyDescent="0.25">
      <c r="B1024" s="170" t="s">
        <v>7326</v>
      </c>
      <c r="C1024" s="986" t="s">
        <v>4876</v>
      </c>
      <c r="D1024" s="197" t="s">
        <v>6934</v>
      </c>
      <c r="E1024" s="170" t="s">
        <v>6933</v>
      </c>
      <c r="F1024" s="197" t="s">
        <v>6911</v>
      </c>
      <c r="G1024" s="197" t="s">
        <v>6876</v>
      </c>
      <c r="H1024" s="197" t="s">
        <v>6856</v>
      </c>
      <c r="I1024" s="197" t="s">
        <v>6910</v>
      </c>
    </row>
    <row r="1025" spans="2:9" ht="31.5" x14ac:dyDescent="0.25">
      <c r="B1025" s="170" t="s">
        <v>7325</v>
      </c>
      <c r="C1025" s="988" t="s">
        <v>4876</v>
      </c>
      <c r="D1025" s="197" t="s">
        <v>6934</v>
      </c>
      <c r="E1025" s="170" t="s">
        <v>6933</v>
      </c>
      <c r="F1025" s="197" t="s">
        <v>6911</v>
      </c>
      <c r="G1025" s="197" t="s">
        <v>6876</v>
      </c>
      <c r="H1025" s="197" t="s">
        <v>6856</v>
      </c>
      <c r="I1025" s="197" t="s">
        <v>6910</v>
      </c>
    </row>
    <row r="1026" spans="2:9" ht="31.5" x14ac:dyDescent="0.25">
      <c r="B1026" s="170" t="s">
        <v>7387</v>
      </c>
      <c r="C1026" s="986" t="s">
        <v>4876</v>
      </c>
      <c r="D1026" s="197" t="s">
        <v>6934</v>
      </c>
      <c r="E1026" s="170" t="s">
        <v>6933</v>
      </c>
      <c r="F1026" s="197" t="s">
        <v>6911</v>
      </c>
      <c r="G1026" s="197" t="s">
        <v>6876</v>
      </c>
      <c r="H1026" s="197" t="s">
        <v>6856</v>
      </c>
      <c r="I1026" s="197" t="s">
        <v>6910</v>
      </c>
    </row>
    <row r="1027" spans="2:9" ht="31.5" x14ac:dyDescent="0.25">
      <c r="B1027" s="170" t="s">
        <v>7323</v>
      </c>
      <c r="C1027" s="988" t="s">
        <v>4876</v>
      </c>
      <c r="D1027" s="197" t="s">
        <v>6934</v>
      </c>
      <c r="E1027" s="170" t="s">
        <v>6933</v>
      </c>
      <c r="F1027" s="197" t="s">
        <v>6911</v>
      </c>
      <c r="G1027" s="197" t="s">
        <v>6876</v>
      </c>
      <c r="H1027" s="197" t="s">
        <v>6856</v>
      </c>
      <c r="I1027" s="197" t="s">
        <v>6910</v>
      </c>
    </row>
    <row r="1028" spans="2:9" ht="31.5" x14ac:dyDescent="0.25">
      <c r="B1028" s="170" t="s">
        <v>7385</v>
      </c>
      <c r="C1028" s="986" t="s">
        <v>4876</v>
      </c>
      <c r="D1028" s="197" t="s">
        <v>6934</v>
      </c>
      <c r="E1028" s="170" t="s">
        <v>6933</v>
      </c>
      <c r="F1028" s="197" t="s">
        <v>6911</v>
      </c>
      <c r="G1028" s="197" t="s">
        <v>6876</v>
      </c>
      <c r="H1028" s="197" t="s">
        <v>6856</v>
      </c>
      <c r="I1028" s="197" t="s">
        <v>6910</v>
      </c>
    </row>
    <row r="1029" spans="2:9" ht="31.5" x14ac:dyDescent="0.25">
      <c r="B1029" s="170" t="s">
        <v>7382</v>
      </c>
      <c r="C1029" s="988" t="s">
        <v>4876</v>
      </c>
      <c r="D1029" s="197" t="s">
        <v>6934</v>
      </c>
      <c r="E1029" s="170" t="s">
        <v>6933</v>
      </c>
      <c r="F1029" s="197" t="s">
        <v>6911</v>
      </c>
      <c r="G1029" s="197" t="s">
        <v>6876</v>
      </c>
      <c r="H1029" s="197" t="s">
        <v>6856</v>
      </c>
      <c r="I1029" s="197" t="s">
        <v>6910</v>
      </c>
    </row>
    <row r="1030" spans="2:9" ht="31.5" x14ac:dyDescent="0.25">
      <c r="B1030" s="170" t="s">
        <v>7326</v>
      </c>
      <c r="C1030" s="986" t="s">
        <v>4876</v>
      </c>
      <c r="D1030" s="197" t="s">
        <v>6932</v>
      </c>
      <c r="E1030" s="170" t="s">
        <v>6931</v>
      </c>
      <c r="F1030" s="197" t="s">
        <v>6911</v>
      </c>
      <c r="G1030" s="197" t="s">
        <v>6866</v>
      </c>
      <c r="H1030" s="197" t="s">
        <v>6856</v>
      </c>
      <c r="I1030" s="197" t="s">
        <v>6910</v>
      </c>
    </row>
    <row r="1031" spans="2:9" ht="31.5" x14ac:dyDescent="0.25">
      <c r="B1031" s="170" t="s">
        <v>7325</v>
      </c>
      <c r="C1031" s="988" t="s">
        <v>4876</v>
      </c>
      <c r="D1031" s="197" t="s">
        <v>6932</v>
      </c>
      <c r="E1031" s="170" t="s">
        <v>6931</v>
      </c>
      <c r="F1031" s="197" t="s">
        <v>6911</v>
      </c>
      <c r="G1031" s="197" t="s">
        <v>6866</v>
      </c>
      <c r="H1031" s="197" t="s">
        <v>6856</v>
      </c>
      <c r="I1031" s="197" t="s">
        <v>6910</v>
      </c>
    </row>
    <row r="1032" spans="2:9" ht="31.5" x14ac:dyDescent="0.25">
      <c r="B1032" s="170" t="s">
        <v>7387</v>
      </c>
      <c r="C1032" s="986" t="s">
        <v>4876</v>
      </c>
      <c r="D1032" s="197" t="s">
        <v>6932</v>
      </c>
      <c r="E1032" s="170" t="s">
        <v>6931</v>
      </c>
      <c r="F1032" s="197" t="s">
        <v>6911</v>
      </c>
      <c r="G1032" s="197" t="s">
        <v>6866</v>
      </c>
      <c r="H1032" s="197" t="s">
        <v>6856</v>
      </c>
      <c r="I1032" s="197" t="s">
        <v>6910</v>
      </c>
    </row>
    <row r="1033" spans="2:9" ht="31.5" x14ac:dyDescent="0.25">
      <c r="B1033" s="170" t="s">
        <v>7323</v>
      </c>
      <c r="C1033" s="988" t="s">
        <v>4876</v>
      </c>
      <c r="D1033" s="197" t="s">
        <v>6932</v>
      </c>
      <c r="E1033" s="170" t="s">
        <v>6931</v>
      </c>
      <c r="F1033" s="197" t="s">
        <v>6911</v>
      </c>
      <c r="G1033" s="197" t="s">
        <v>6866</v>
      </c>
      <c r="H1033" s="197" t="s">
        <v>6856</v>
      </c>
      <c r="I1033" s="197" t="s">
        <v>6910</v>
      </c>
    </row>
    <row r="1034" spans="2:9" ht="31.5" x14ac:dyDescent="0.25">
      <c r="B1034" s="170" t="s">
        <v>7385</v>
      </c>
      <c r="C1034" s="986" t="s">
        <v>4876</v>
      </c>
      <c r="D1034" s="197" t="s">
        <v>6932</v>
      </c>
      <c r="E1034" s="170" t="s">
        <v>6931</v>
      </c>
      <c r="F1034" s="197" t="s">
        <v>6911</v>
      </c>
      <c r="G1034" s="197" t="s">
        <v>6866</v>
      </c>
      <c r="H1034" s="197" t="s">
        <v>6856</v>
      </c>
      <c r="I1034" s="197" t="s">
        <v>6910</v>
      </c>
    </row>
    <row r="1035" spans="2:9" ht="31.5" x14ac:dyDescent="0.25">
      <c r="B1035" s="170" t="s">
        <v>7382</v>
      </c>
      <c r="C1035" s="988" t="s">
        <v>4876</v>
      </c>
      <c r="D1035" s="197" t="s">
        <v>6932</v>
      </c>
      <c r="E1035" s="170" t="s">
        <v>6931</v>
      </c>
      <c r="F1035" s="197" t="s">
        <v>6911</v>
      </c>
      <c r="G1035" s="197" t="s">
        <v>6866</v>
      </c>
      <c r="H1035" s="197" t="s">
        <v>6856</v>
      </c>
      <c r="I1035" s="197" t="s">
        <v>6910</v>
      </c>
    </row>
    <row r="1036" spans="2:9" ht="31.5" x14ac:dyDescent="0.25">
      <c r="B1036" s="170" t="s">
        <v>7394</v>
      </c>
      <c r="C1036" s="986" t="s">
        <v>4876</v>
      </c>
      <c r="D1036" s="197" t="s">
        <v>6930</v>
      </c>
      <c r="E1036" s="170" t="s">
        <v>6929</v>
      </c>
      <c r="F1036" s="197" t="s">
        <v>6911</v>
      </c>
      <c r="G1036" s="197" t="s">
        <v>6866</v>
      </c>
      <c r="H1036" s="197" t="s">
        <v>6856</v>
      </c>
      <c r="I1036" s="197" t="s">
        <v>6910</v>
      </c>
    </row>
    <row r="1037" spans="2:9" ht="31.5" x14ac:dyDescent="0.25">
      <c r="B1037" s="170" t="s">
        <v>7393</v>
      </c>
      <c r="C1037" s="988" t="s">
        <v>4876</v>
      </c>
      <c r="D1037" s="197" t="s">
        <v>6930</v>
      </c>
      <c r="E1037" s="170" t="s">
        <v>6929</v>
      </c>
      <c r="F1037" s="197" t="s">
        <v>6911</v>
      </c>
      <c r="G1037" s="197" t="s">
        <v>6866</v>
      </c>
      <c r="H1037" s="197" t="s">
        <v>6856</v>
      </c>
      <c r="I1037" s="197" t="s">
        <v>6910</v>
      </c>
    </row>
    <row r="1038" spans="2:9" ht="31.5" x14ac:dyDescent="0.25">
      <c r="B1038" s="170" t="s">
        <v>7328</v>
      </c>
      <c r="C1038" s="986" t="s">
        <v>4876</v>
      </c>
      <c r="D1038" s="197" t="s">
        <v>6930</v>
      </c>
      <c r="E1038" s="170" t="s">
        <v>6929</v>
      </c>
      <c r="F1038" s="197" t="s">
        <v>6911</v>
      </c>
      <c r="G1038" s="197" t="s">
        <v>6866</v>
      </c>
      <c r="H1038" s="197" t="s">
        <v>6856</v>
      </c>
      <c r="I1038" s="197" t="s">
        <v>6910</v>
      </c>
    </row>
    <row r="1039" spans="2:9" ht="31.5" x14ac:dyDescent="0.25">
      <c r="B1039" s="170" t="s">
        <v>7382</v>
      </c>
      <c r="C1039" s="988" t="s">
        <v>4876</v>
      </c>
      <c r="D1039" s="197" t="s">
        <v>6930</v>
      </c>
      <c r="E1039" s="170" t="s">
        <v>6929</v>
      </c>
      <c r="F1039" s="197" t="s">
        <v>6911</v>
      </c>
      <c r="G1039" s="197" t="s">
        <v>6866</v>
      </c>
      <c r="H1039" s="197" t="s">
        <v>6856</v>
      </c>
      <c r="I1039" s="197" t="s">
        <v>6910</v>
      </c>
    </row>
    <row r="1040" spans="2:9" ht="31.5" x14ac:dyDescent="0.25">
      <c r="B1040" s="170" t="s">
        <v>7381</v>
      </c>
      <c r="C1040" s="986" t="s">
        <v>4876</v>
      </c>
      <c r="D1040" s="197" t="s">
        <v>6930</v>
      </c>
      <c r="E1040" s="170" t="s">
        <v>6929</v>
      </c>
      <c r="F1040" s="197" t="s">
        <v>6911</v>
      </c>
      <c r="G1040" s="197" t="s">
        <v>6866</v>
      </c>
      <c r="H1040" s="197" t="s">
        <v>6856</v>
      </c>
      <c r="I1040" s="197" t="s">
        <v>6910</v>
      </c>
    </row>
    <row r="1041" spans="2:9" ht="31.5" x14ac:dyDescent="0.25">
      <c r="B1041" s="170" t="s">
        <v>7380</v>
      </c>
      <c r="C1041" s="988" t="s">
        <v>4876</v>
      </c>
      <c r="D1041" s="197" t="s">
        <v>6930</v>
      </c>
      <c r="E1041" s="170" t="s">
        <v>6929</v>
      </c>
      <c r="F1041" s="197" t="s">
        <v>6911</v>
      </c>
      <c r="G1041" s="197" t="s">
        <v>6866</v>
      </c>
      <c r="H1041" s="197" t="s">
        <v>6856</v>
      </c>
      <c r="I1041" s="197" t="s">
        <v>6910</v>
      </c>
    </row>
    <row r="1042" spans="2:9" ht="31.5" x14ac:dyDescent="0.25">
      <c r="B1042" s="170" t="s">
        <v>7390</v>
      </c>
      <c r="C1042" s="986" t="s">
        <v>4876</v>
      </c>
      <c r="D1042" s="197" t="s">
        <v>6927</v>
      </c>
      <c r="E1042" s="170" t="s">
        <v>6926</v>
      </c>
      <c r="F1042" s="197" t="s">
        <v>6911</v>
      </c>
      <c r="G1042" s="197" t="s">
        <v>6866</v>
      </c>
      <c r="H1042" s="197" t="s">
        <v>6856</v>
      </c>
      <c r="I1042" s="197" t="s">
        <v>6910</v>
      </c>
    </row>
    <row r="1043" spans="2:9" ht="31.5" x14ac:dyDescent="0.25">
      <c r="B1043" s="170" t="s">
        <v>7326</v>
      </c>
      <c r="C1043" s="988" t="s">
        <v>4876</v>
      </c>
      <c r="D1043" s="197" t="s">
        <v>6927</v>
      </c>
      <c r="E1043" s="170" t="s">
        <v>6926</v>
      </c>
      <c r="F1043" s="197" t="s">
        <v>6911</v>
      </c>
      <c r="G1043" s="197" t="s">
        <v>6866</v>
      </c>
      <c r="H1043" s="197" t="s">
        <v>6856</v>
      </c>
      <c r="I1043" s="197" t="s">
        <v>6910</v>
      </c>
    </row>
    <row r="1044" spans="2:9" ht="31.5" x14ac:dyDescent="0.25">
      <c r="B1044" s="170" t="s">
        <v>7325</v>
      </c>
      <c r="C1044" s="986" t="s">
        <v>4876</v>
      </c>
      <c r="D1044" s="197" t="s">
        <v>6927</v>
      </c>
      <c r="E1044" s="170" t="s">
        <v>6926</v>
      </c>
      <c r="F1044" s="197" t="s">
        <v>6911</v>
      </c>
      <c r="G1044" s="197" t="s">
        <v>6866</v>
      </c>
      <c r="H1044" s="197" t="s">
        <v>6856</v>
      </c>
      <c r="I1044" s="197" t="s">
        <v>6910</v>
      </c>
    </row>
    <row r="1045" spans="2:9" ht="31.5" x14ac:dyDescent="0.25">
      <c r="B1045" s="170" t="s">
        <v>7387</v>
      </c>
      <c r="C1045" s="988" t="s">
        <v>4876</v>
      </c>
      <c r="D1045" s="197" t="s">
        <v>6927</v>
      </c>
      <c r="E1045" s="170" t="s">
        <v>6926</v>
      </c>
      <c r="F1045" s="197" t="s">
        <v>6911</v>
      </c>
      <c r="G1045" s="197" t="s">
        <v>6866</v>
      </c>
      <c r="H1045" s="197" t="s">
        <v>6856</v>
      </c>
      <c r="I1045" s="197" t="s">
        <v>6910</v>
      </c>
    </row>
    <row r="1046" spans="2:9" ht="31.5" x14ac:dyDescent="0.25">
      <c r="B1046" s="170" t="s">
        <v>7323</v>
      </c>
      <c r="C1046" s="986" t="s">
        <v>4876</v>
      </c>
      <c r="D1046" s="197" t="s">
        <v>6927</v>
      </c>
      <c r="E1046" s="170" t="s">
        <v>6926</v>
      </c>
      <c r="F1046" s="197" t="s">
        <v>6911</v>
      </c>
      <c r="G1046" s="197" t="s">
        <v>6866</v>
      </c>
      <c r="H1046" s="197" t="s">
        <v>6856</v>
      </c>
      <c r="I1046" s="197" t="s">
        <v>6910</v>
      </c>
    </row>
    <row r="1047" spans="2:9" ht="31.5" x14ac:dyDescent="0.25">
      <c r="B1047" s="170" t="s">
        <v>7385</v>
      </c>
      <c r="C1047" s="988" t="s">
        <v>4876</v>
      </c>
      <c r="D1047" s="197" t="s">
        <v>6927</v>
      </c>
      <c r="E1047" s="170" t="s">
        <v>6926</v>
      </c>
      <c r="F1047" s="197" t="s">
        <v>6911</v>
      </c>
      <c r="G1047" s="197" t="s">
        <v>6866</v>
      </c>
      <c r="H1047" s="197" t="s">
        <v>6856</v>
      </c>
      <c r="I1047" s="197" t="s">
        <v>6910</v>
      </c>
    </row>
    <row r="1048" spans="2:9" ht="31.5" x14ac:dyDescent="0.25">
      <c r="B1048" s="170" t="s">
        <v>7382</v>
      </c>
      <c r="C1048" s="986" t="s">
        <v>4876</v>
      </c>
      <c r="D1048" s="197" t="s">
        <v>6927</v>
      </c>
      <c r="E1048" s="170" t="s">
        <v>6926</v>
      </c>
      <c r="F1048" s="197" t="s">
        <v>6911</v>
      </c>
      <c r="G1048" s="197" t="s">
        <v>6866</v>
      </c>
      <c r="H1048" s="197" t="s">
        <v>6856</v>
      </c>
      <c r="I1048" s="197" t="s">
        <v>6910</v>
      </c>
    </row>
    <row r="1049" spans="2:9" ht="31.5" x14ac:dyDescent="0.25">
      <c r="B1049" s="170" t="s">
        <v>7328</v>
      </c>
      <c r="C1049" s="988" t="s">
        <v>4876</v>
      </c>
      <c r="D1049" s="197" t="s">
        <v>6924</v>
      </c>
      <c r="E1049" s="170" t="s">
        <v>6923</v>
      </c>
      <c r="F1049" s="197" t="s">
        <v>6911</v>
      </c>
      <c r="G1049" s="197" t="s">
        <v>6866</v>
      </c>
      <c r="H1049" s="197" t="s">
        <v>6856</v>
      </c>
      <c r="I1049" s="197" t="s">
        <v>6910</v>
      </c>
    </row>
    <row r="1050" spans="2:9" ht="31.5" x14ac:dyDescent="0.25">
      <c r="B1050" s="170" t="s">
        <v>7390</v>
      </c>
      <c r="C1050" s="986" t="s">
        <v>4876</v>
      </c>
      <c r="D1050" s="197" t="s">
        <v>6924</v>
      </c>
      <c r="E1050" s="170" t="s">
        <v>6923</v>
      </c>
      <c r="F1050" s="197" t="s">
        <v>6911</v>
      </c>
      <c r="G1050" s="197" t="s">
        <v>6866</v>
      </c>
      <c r="H1050" s="197" t="s">
        <v>6856</v>
      </c>
      <c r="I1050" s="197" t="s">
        <v>6910</v>
      </c>
    </row>
    <row r="1051" spans="2:9" ht="31.5" x14ac:dyDescent="0.25">
      <c r="B1051" s="170" t="s">
        <v>7326</v>
      </c>
      <c r="C1051" s="988" t="s">
        <v>4876</v>
      </c>
      <c r="D1051" s="197" t="s">
        <v>6921</v>
      </c>
      <c r="E1051" s="170" t="s">
        <v>6920</v>
      </c>
      <c r="F1051" s="197" t="s">
        <v>6911</v>
      </c>
      <c r="G1051" s="197" t="s">
        <v>6866</v>
      </c>
      <c r="H1051" s="197" t="s">
        <v>6856</v>
      </c>
      <c r="I1051" s="197" t="s">
        <v>6910</v>
      </c>
    </row>
    <row r="1052" spans="2:9" ht="31.5" x14ac:dyDescent="0.25">
      <c r="B1052" s="170" t="s">
        <v>7325</v>
      </c>
      <c r="C1052" s="986" t="s">
        <v>4876</v>
      </c>
      <c r="D1052" s="197" t="s">
        <v>6921</v>
      </c>
      <c r="E1052" s="170" t="s">
        <v>6920</v>
      </c>
      <c r="F1052" s="197" t="s">
        <v>6911</v>
      </c>
      <c r="G1052" s="197" t="s">
        <v>6866</v>
      </c>
      <c r="H1052" s="197" t="s">
        <v>6856</v>
      </c>
      <c r="I1052" s="197" t="s">
        <v>6910</v>
      </c>
    </row>
    <row r="1053" spans="2:9" ht="31.5" x14ac:dyDescent="0.25">
      <c r="B1053" s="170" t="s">
        <v>7387</v>
      </c>
      <c r="C1053" s="988" t="s">
        <v>4876</v>
      </c>
      <c r="D1053" s="197" t="s">
        <v>6921</v>
      </c>
      <c r="E1053" s="170" t="s">
        <v>6920</v>
      </c>
      <c r="F1053" s="197" t="s">
        <v>6911</v>
      </c>
      <c r="G1053" s="197" t="s">
        <v>6866</v>
      </c>
      <c r="H1053" s="197" t="s">
        <v>6856</v>
      </c>
      <c r="I1053" s="197" t="s">
        <v>6910</v>
      </c>
    </row>
    <row r="1054" spans="2:9" ht="31.5" x14ac:dyDescent="0.25">
      <c r="B1054" s="170" t="s">
        <v>7323</v>
      </c>
      <c r="C1054" s="986" t="s">
        <v>4876</v>
      </c>
      <c r="D1054" s="197" t="s">
        <v>6921</v>
      </c>
      <c r="E1054" s="170" t="s">
        <v>6920</v>
      </c>
      <c r="F1054" s="197" t="s">
        <v>6911</v>
      </c>
      <c r="G1054" s="197" t="s">
        <v>6866</v>
      </c>
      <c r="H1054" s="197" t="s">
        <v>6856</v>
      </c>
      <c r="I1054" s="197" t="s">
        <v>6910</v>
      </c>
    </row>
    <row r="1055" spans="2:9" ht="31.5" x14ac:dyDescent="0.25">
      <c r="B1055" s="170" t="s">
        <v>7385</v>
      </c>
      <c r="C1055" s="988" t="s">
        <v>4876</v>
      </c>
      <c r="D1055" s="197" t="s">
        <v>6921</v>
      </c>
      <c r="E1055" s="170" t="s">
        <v>6920</v>
      </c>
      <c r="F1055" s="197" t="s">
        <v>6911</v>
      </c>
      <c r="G1055" s="197" t="s">
        <v>6866</v>
      </c>
      <c r="H1055" s="197" t="s">
        <v>6856</v>
      </c>
      <c r="I1055" s="197" t="s">
        <v>6910</v>
      </c>
    </row>
    <row r="1056" spans="2:9" ht="31.5" x14ac:dyDescent="0.25">
      <c r="B1056" s="170" t="s">
        <v>7382</v>
      </c>
      <c r="C1056" s="986" t="s">
        <v>4876</v>
      </c>
      <c r="D1056" s="197" t="s">
        <v>6921</v>
      </c>
      <c r="E1056" s="170" t="s">
        <v>6920</v>
      </c>
      <c r="F1056" s="197" t="s">
        <v>6911</v>
      </c>
      <c r="G1056" s="197" t="s">
        <v>6866</v>
      </c>
      <c r="H1056" s="197" t="s">
        <v>6856</v>
      </c>
      <c r="I1056" s="197" t="s">
        <v>6910</v>
      </c>
    </row>
    <row r="1057" spans="2:9" ht="31.5" x14ac:dyDescent="0.25">
      <c r="B1057" s="170" t="s">
        <v>7394</v>
      </c>
      <c r="C1057" s="988" t="s">
        <v>4876</v>
      </c>
      <c r="D1057" s="197" t="s">
        <v>6918</v>
      </c>
      <c r="E1057" s="170" t="s">
        <v>6917</v>
      </c>
      <c r="F1057" s="197" t="s">
        <v>6911</v>
      </c>
      <c r="G1057" s="197" t="s">
        <v>6866</v>
      </c>
      <c r="H1057" s="197" t="s">
        <v>6856</v>
      </c>
      <c r="I1057" s="197" t="s">
        <v>6910</v>
      </c>
    </row>
    <row r="1058" spans="2:9" ht="31.5" x14ac:dyDescent="0.25">
      <c r="B1058" s="170" t="s">
        <v>7393</v>
      </c>
      <c r="C1058" s="986" t="s">
        <v>4876</v>
      </c>
      <c r="D1058" s="197" t="s">
        <v>6918</v>
      </c>
      <c r="E1058" s="170" t="s">
        <v>6917</v>
      </c>
      <c r="F1058" s="197" t="s">
        <v>6911</v>
      </c>
      <c r="G1058" s="197" t="s">
        <v>6866</v>
      </c>
      <c r="H1058" s="197" t="s">
        <v>6856</v>
      </c>
      <c r="I1058" s="197" t="s">
        <v>6910</v>
      </c>
    </row>
    <row r="1059" spans="2:9" ht="31.5" x14ac:dyDescent="0.25">
      <c r="B1059" s="170" t="s">
        <v>7328</v>
      </c>
      <c r="C1059" s="988" t="s">
        <v>4876</v>
      </c>
      <c r="D1059" s="197" t="s">
        <v>6918</v>
      </c>
      <c r="E1059" s="170" t="s">
        <v>6917</v>
      </c>
      <c r="F1059" s="197" t="s">
        <v>6911</v>
      </c>
      <c r="G1059" s="197" t="s">
        <v>6866</v>
      </c>
      <c r="H1059" s="197" t="s">
        <v>6856</v>
      </c>
      <c r="I1059" s="197" t="s">
        <v>6910</v>
      </c>
    </row>
    <row r="1060" spans="2:9" ht="31.5" x14ac:dyDescent="0.25">
      <c r="B1060" s="170" t="s">
        <v>7385</v>
      </c>
      <c r="C1060" s="986" t="s">
        <v>4876</v>
      </c>
      <c r="D1060" s="197" t="s">
        <v>6918</v>
      </c>
      <c r="E1060" s="170" t="s">
        <v>6917</v>
      </c>
      <c r="F1060" s="197" t="s">
        <v>6911</v>
      </c>
      <c r="G1060" s="197" t="s">
        <v>6866</v>
      </c>
      <c r="H1060" s="197" t="s">
        <v>6856</v>
      </c>
      <c r="I1060" s="197" t="s">
        <v>6910</v>
      </c>
    </row>
    <row r="1061" spans="2:9" ht="31.5" x14ac:dyDescent="0.25">
      <c r="B1061" s="170" t="s">
        <v>7382</v>
      </c>
      <c r="C1061" s="988" t="s">
        <v>4876</v>
      </c>
      <c r="D1061" s="197" t="s">
        <v>6918</v>
      </c>
      <c r="E1061" s="170" t="s">
        <v>6917</v>
      </c>
      <c r="F1061" s="197" t="s">
        <v>6911</v>
      </c>
      <c r="G1061" s="197" t="s">
        <v>6866</v>
      </c>
      <c r="H1061" s="197" t="s">
        <v>6856</v>
      </c>
      <c r="I1061" s="197" t="s">
        <v>6910</v>
      </c>
    </row>
    <row r="1062" spans="2:9" ht="31.5" x14ac:dyDescent="0.25">
      <c r="B1062" s="170" t="s">
        <v>7381</v>
      </c>
      <c r="C1062" s="986" t="s">
        <v>4876</v>
      </c>
      <c r="D1062" s="197" t="s">
        <v>6918</v>
      </c>
      <c r="E1062" s="170" t="s">
        <v>6917</v>
      </c>
      <c r="F1062" s="197" t="s">
        <v>6911</v>
      </c>
      <c r="G1062" s="197" t="s">
        <v>6866</v>
      </c>
      <c r="H1062" s="197" t="s">
        <v>6856</v>
      </c>
      <c r="I1062" s="197" t="s">
        <v>6910</v>
      </c>
    </row>
    <row r="1063" spans="2:9" ht="31.5" x14ac:dyDescent="0.25">
      <c r="B1063" s="170" t="s">
        <v>7380</v>
      </c>
      <c r="C1063" s="988" t="s">
        <v>4876</v>
      </c>
      <c r="D1063" s="197" t="s">
        <v>6918</v>
      </c>
      <c r="E1063" s="170" t="s">
        <v>6917</v>
      </c>
      <c r="F1063" s="197" t="s">
        <v>6911</v>
      </c>
      <c r="G1063" s="197" t="s">
        <v>6866</v>
      </c>
      <c r="H1063" s="197" t="s">
        <v>6856</v>
      </c>
      <c r="I1063" s="197" t="s">
        <v>6910</v>
      </c>
    </row>
    <row r="1064" spans="2:9" ht="31.5" x14ac:dyDescent="0.25">
      <c r="B1064" s="170" t="s">
        <v>7394</v>
      </c>
      <c r="C1064" s="986" t="s">
        <v>4876</v>
      </c>
      <c r="D1064" s="197" t="s">
        <v>6913</v>
      </c>
      <c r="E1064" s="170" t="s">
        <v>6912</v>
      </c>
      <c r="F1064" s="197" t="s">
        <v>6911</v>
      </c>
      <c r="G1064" s="197" t="s">
        <v>6866</v>
      </c>
      <c r="H1064" s="197" t="s">
        <v>6856</v>
      </c>
      <c r="I1064" s="197" t="s">
        <v>6910</v>
      </c>
    </row>
    <row r="1065" spans="2:9" ht="31.5" x14ac:dyDescent="0.25">
      <c r="B1065" s="170" t="s">
        <v>7393</v>
      </c>
      <c r="C1065" s="988" t="s">
        <v>4876</v>
      </c>
      <c r="D1065" s="197" t="s">
        <v>6913</v>
      </c>
      <c r="E1065" s="170" t="s">
        <v>6912</v>
      </c>
      <c r="F1065" s="197" t="s">
        <v>6911</v>
      </c>
      <c r="G1065" s="197" t="s">
        <v>6866</v>
      </c>
      <c r="H1065" s="197" t="s">
        <v>6856</v>
      </c>
      <c r="I1065" s="197" t="s">
        <v>6910</v>
      </c>
    </row>
    <row r="1066" spans="2:9" ht="31.5" x14ac:dyDescent="0.25">
      <c r="B1066" s="170" t="s">
        <v>7328</v>
      </c>
      <c r="C1066" s="986" t="s">
        <v>4876</v>
      </c>
      <c r="D1066" s="197" t="s">
        <v>6913</v>
      </c>
      <c r="E1066" s="170" t="s">
        <v>6912</v>
      </c>
      <c r="F1066" s="197" t="s">
        <v>6911</v>
      </c>
      <c r="G1066" s="197" t="s">
        <v>6866</v>
      </c>
      <c r="H1066" s="197" t="s">
        <v>6856</v>
      </c>
      <c r="I1066" s="197" t="s">
        <v>6910</v>
      </c>
    </row>
    <row r="1067" spans="2:9" ht="31.5" x14ac:dyDescent="0.25">
      <c r="B1067" s="170" t="s">
        <v>7382</v>
      </c>
      <c r="C1067" s="988" t="s">
        <v>4876</v>
      </c>
      <c r="D1067" s="197" t="s">
        <v>6913</v>
      </c>
      <c r="E1067" s="170" t="s">
        <v>6912</v>
      </c>
      <c r="F1067" s="197" t="s">
        <v>6911</v>
      </c>
      <c r="G1067" s="197" t="s">
        <v>6866</v>
      </c>
      <c r="H1067" s="197" t="s">
        <v>6856</v>
      </c>
      <c r="I1067" s="197" t="s">
        <v>6910</v>
      </c>
    </row>
    <row r="1068" spans="2:9" ht="31.5" x14ac:dyDescent="0.25">
      <c r="B1068" s="170" t="s">
        <v>7381</v>
      </c>
      <c r="C1068" s="986" t="s">
        <v>4876</v>
      </c>
      <c r="D1068" s="197" t="s">
        <v>6913</v>
      </c>
      <c r="E1068" s="170" t="s">
        <v>6912</v>
      </c>
      <c r="F1068" s="197" t="s">
        <v>6911</v>
      </c>
      <c r="G1068" s="197" t="s">
        <v>6866</v>
      </c>
      <c r="H1068" s="197" t="s">
        <v>6856</v>
      </c>
      <c r="I1068" s="197" t="s">
        <v>6910</v>
      </c>
    </row>
    <row r="1069" spans="2:9" ht="31.5" x14ac:dyDescent="0.25">
      <c r="B1069" s="170" t="s">
        <v>7380</v>
      </c>
      <c r="C1069" s="988" t="s">
        <v>4876</v>
      </c>
      <c r="D1069" s="197" t="s">
        <v>6913</v>
      </c>
      <c r="E1069" s="170" t="s">
        <v>6912</v>
      </c>
      <c r="F1069" s="197" t="s">
        <v>6911</v>
      </c>
      <c r="G1069" s="197" t="s">
        <v>6866</v>
      </c>
      <c r="H1069" s="197" t="s">
        <v>6856</v>
      </c>
      <c r="I1069" s="197" t="s">
        <v>6910</v>
      </c>
    </row>
    <row r="1070" spans="2:9" ht="31.5" x14ac:dyDescent="0.25">
      <c r="B1070" s="170" t="s">
        <v>7394</v>
      </c>
      <c r="C1070" s="986" t="s">
        <v>4876</v>
      </c>
      <c r="D1070" s="197" t="s">
        <v>6909</v>
      </c>
      <c r="E1070" s="170" t="s">
        <v>6908</v>
      </c>
      <c r="F1070" s="197" t="s">
        <v>6860</v>
      </c>
      <c r="G1070" s="197" t="s">
        <v>6902</v>
      </c>
      <c r="H1070" s="197" t="s">
        <v>6856</v>
      </c>
      <c r="I1070" s="197" t="s">
        <v>6851</v>
      </c>
    </row>
    <row r="1071" spans="2:9" ht="31.5" x14ac:dyDescent="0.25">
      <c r="B1071" s="170" t="s">
        <v>7393</v>
      </c>
      <c r="C1071" s="988" t="s">
        <v>4876</v>
      </c>
      <c r="D1071" s="197" t="s">
        <v>6909</v>
      </c>
      <c r="E1071" s="170" t="s">
        <v>6908</v>
      </c>
      <c r="F1071" s="197" t="s">
        <v>6860</v>
      </c>
      <c r="G1071" s="197" t="s">
        <v>6902</v>
      </c>
      <c r="H1071" s="197" t="s">
        <v>6856</v>
      </c>
      <c r="I1071" s="197" t="s">
        <v>6851</v>
      </c>
    </row>
    <row r="1072" spans="2:9" ht="31.5" x14ac:dyDescent="0.25">
      <c r="B1072" s="170" t="s">
        <v>7328</v>
      </c>
      <c r="C1072" s="986" t="s">
        <v>4876</v>
      </c>
      <c r="D1072" s="197" t="s">
        <v>6909</v>
      </c>
      <c r="E1072" s="170" t="s">
        <v>6908</v>
      </c>
      <c r="F1072" s="197" t="s">
        <v>6860</v>
      </c>
      <c r="G1072" s="197" t="s">
        <v>6902</v>
      </c>
      <c r="H1072" s="197" t="s">
        <v>6856</v>
      </c>
      <c r="I1072" s="197" t="s">
        <v>6851</v>
      </c>
    </row>
    <row r="1073" spans="2:9" ht="31.5" x14ac:dyDescent="0.25">
      <c r="B1073" s="170" t="s">
        <v>7382</v>
      </c>
      <c r="C1073" s="988" t="s">
        <v>4876</v>
      </c>
      <c r="D1073" s="197" t="s">
        <v>6909</v>
      </c>
      <c r="E1073" s="170" t="s">
        <v>6908</v>
      </c>
      <c r="F1073" s="197" t="s">
        <v>6860</v>
      </c>
      <c r="G1073" s="197" t="s">
        <v>6902</v>
      </c>
      <c r="H1073" s="197" t="s">
        <v>6856</v>
      </c>
      <c r="I1073" s="197" t="s">
        <v>6851</v>
      </c>
    </row>
    <row r="1074" spans="2:9" ht="31.5" x14ac:dyDescent="0.25">
      <c r="B1074" s="170" t="s">
        <v>7381</v>
      </c>
      <c r="C1074" s="986" t="s">
        <v>4876</v>
      </c>
      <c r="D1074" s="197" t="s">
        <v>6909</v>
      </c>
      <c r="E1074" s="170" t="s">
        <v>6908</v>
      </c>
      <c r="F1074" s="197" t="s">
        <v>6860</v>
      </c>
      <c r="G1074" s="197" t="s">
        <v>6902</v>
      </c>
      <c r="H1074" s="197" t="s">
        <v>6856</v>
      </c>
      <c r="I1074" s="197" t="s">
        <v>6851</v>
      </c>
    </row>
    <row r="1075" spans="2:9" ht="31.5" x14ac:dyDescent="0.25">
      <c r="B1075" s="170" t="s">
        <v>7380</v>
      </c>
      <c r="C1075" s="988" t="s">
        <v>4876</v>
      </c>
      <c r="D1075" s="197" t="s">
        <v>6909</v>
      </c>
      <c r="E1075" s="170" t="s">
        <v>6908</v>
      </c>
      <c r="F1075" s="197" t="s">
        <v>6860</v>
      </c>
      <c r="G1075" s="197" t="s">
        <v>6902</v>
      </c>
      <c r="H1075" s="197" t="s">
        <v>6856</v>
      </c>
      <c r="I1075" s="197" t="s">
        <v>6851</v>
      </c>
    </row>
    <row r="1076" spans="2:9" ht="31.5" x14ac:dyDescent="0.25">
      <c r="B1076" s="170" t="s">
        <v>7394</v>
      </c>
      <c r="C1076" s="986" t="s">
        <v>4876</v>
      </c>
      <c r="D1076" s="197" t="s">
        <v>6904</v>
      </c>
      <c r="E1076" s="170" t="s">
        <v>6903</v>
      </c>
      <c r="F1076" s="197" t="s">
        <v>6860</v>
      </c>
      <c r="G1076" s="197" t="s">
        <v>6902</v>
      </c>
      <c r="H1076" s="197" t="s">
        <v>6856</v>
      </c>
      <c r="I1076" s="197" t="s">
        <v>6851</v>
      </c>
    </row>
    <row r="1077" spans="2:9" ht="31.5" x14ac:dyDescent="0.25">
      <c r="B1077" s="170" t="s">
        <v>7393</v>
      </c>
      <c r="C1077" s="988" t="s">
        <v>4876</v>
      </c>
      <c r="D1077" s="197" t="s">
        <v>6904</v>
      </c>
      <c r="E1077" s="170" t="s">
        <v>6903</v>
      </c>
      <c r="F1077" s="197" t="s">
        <v>6860</v>
      </c>
      <c r="G1077" s="197" t="s">
        <v>6902</v>
      </c>
      <c r="H1077" s="197" t="s">
        <v>6856</v>
      </c>
      <c r="I1077" s="197" t="s">
        <v>6851</v>
      </c>
    </row>
    <row r="1078" spans="2:9" ht="31.5" x14ac:dyDescent="0.25">
      <c r="B1078" s="170" t="s">
        <v>7328</v>
      </c>
      <c r="C1078" s="986" t="s">
        <v>4876</v>
      </c>
      <c r="D1078" s="197" t="s">
        <v>6904</v>
      </c>
      <c r="E1078" s="170" t="s">
        <v>6903</v>
      </c>
      <c r="F1078" s="197" t="s">
        <v>6860</v>
      </c>
      <c r="G1078" s="197" t="s">
        <v>6902</v>
      </c>
      <c r="H1078" s="197" t="s">
        <v>6856</v>
      </c>
      <c r="I1078" s="197" t="s">
        <v>6851</v>
      </c>
    </row>
    <row r="1079" spans="2:9" ht="31.5" x14ac:dyDescent="0.25">
      <c r="B1079" s="170" t="s">
        <v>7382</v>
      </c>
      <c r="C1079" s="988" t="s">
        <v>4876</v>
      </c>
      <c r="D1079" s="197" t="s">
        <v>6904</v>
      </c>
      <c r="E1079" s="170" t="s">
        <v>6903</v>
      </c>
      <c r="F1079" s="197" t="s">
        <v>6860</v>
      </c>
      <c r="G1079" s="197" t="s">
        <v>6902</v>
      </c>
      <c r="H1079" s="197" t="s">
        <v>6856</v>
      </c>
      <c r="I1079" s="197" t="s">
        <v>6851</v>
      </c>
    </row>
    <row r="1080" spans="2:9" ht="31.5" x14ac:dyDescent="0.25">
      <c r="B1080" s="170" t="s">
        <v>7381</v>
      </c>
      <c r="C1080" s="986" t="s">
        <v>4876</v>
      </c>
      <c r="D1080" s="197" t="s">
        <v>6904</v>
      </c>
      <c r="E1080" s="170" t="s">
        <v>6903</v>
      </c>
      <c r="F1080" s="197" t="s">
        <v>6860</v>
      </c>
      <c r="G1080" s="197" t="s">
        <v>6902</v>
      </c>
      <c r="H1080" s="197" t="s">
        <v>6856</v>
      </c>
      <c r="I1080" s="197" t="s">
        <v>6851</v>
      </c>
    </row>
    <row r="1081" spans="2:9" ht="31.5" x14ac:dyDescent="0.25">
      <c r="B1081" s="170" t="s">
        <v>7380</v>
      </c>
      <c r="C1081" s="988" t="s">
        <v>4876</v>
      </c>
      <c r="D1081" s="197" t="s">
        <v>6904</v>
      </c>
      <c r="E1081" s="170" t="s">
        <v>6903</v>
      </c>
      <c r="F1081" s="197" t="s">
        <v>6860</v>
      </c>
      <c r="G1081" s="197" t="s">
        <v>6902</v>
      </c>
      <c r="H1081" s="197" t="s">
        <v>6856</v>
      </c>
      <c r="I1081" s="197" t="s">
        <v>6851</v>
      </c>
    </row>
    <row r="1082" spans="2:9" ht="31.5" x14ac:dyDescent="0.25">
      <c r="B1082" s="170" t="s">
        <v>7394</v>
      </c>
      <c r="C1082" s="170" t="s">
        <v>4904</v>
      </c>
      <c r="D1082" s="197" t="s">
        <v>6899</v>
      </c>
      <c r="E1082" s="170" t="s">
        <v>6898</v>
      </c>
      <c r="F1082" s="197" t="s">
        <v>6894</v>
      </c>
      <c r="G1082" s="197" t="s">
        <v>6897</v>
      </c>
      <c r="H1082" s="197" t="s">
        <v>6890</v>
      </c>
      <c r="I1082" s="197" t="s">
        <v>6888</v>
      </c>
    </row>
    <row r="1083" spans="2:9" ht="31.5" x14ac:dyDescent="0.25">
      <c r="B1083" s="170" t="s">
        <v>7393</v>
      </c>
      <c r="C1083" s="170" t="s">
        <v>4904</v>
      </c>
      <c r="D1083" s="197" t="s">
        <v>6899</v>
      </c>
      <c r="E1083" s="170" t="s">
        <v>6898</v>
      </c>
      <c r="F1083" s="197" t="s">
        <v>6894</v>
      </c>
      <c r="G1083" s="197" t="s">
        <v>6897</v>
      </c>
      <c r="H1083" s="197" t="s">
        <v>6890</v>
      </c>
      <c r="I1083" s="197" t="s">
        <v>6888</v>
      </c>
    </row>
    <row r="1084" spans="2:9" ht="31.5" x14ac:dyDescent="0.25">
      <c r="B1084" s="170" t="s">
        <v>7328</v>
      </c>
      <c r="C1084" s="170" t="s">
        <v>4904</v>
      </c>
      <c r="D1084" s="197" t="s">
        <v>6899</v>
      </c>
      <c r="E1084" s="170" t="s">
        <v>6898</v>
      </c>
      <c r="F1084" s="197" t="s">
        <v>6894</v>
      </c>
      <c r="G1084" s="197" t="s">
        <v>6897</v>
      </c>
      <c r="H1084" s="197" t="s">
        <v>6890</v>
      </c>
      <c r="I1084" s="197" t="s">
        <v>6888</v>
      </c>
    </row>
    <row r="1085" spans="2:9" ht="31.5" x14ac:dyDescent="0.25">
      <c r="B1085" s="170" t="s">
        <v>7390</v>
      </c>
      <c r="C1085" s="170" t="s">
        <v>4904</v>
      </c>
      <c r="D1085" s="197" t="s">
        <v>6899</v>
      </c>
      <c r="E1085" s="170" t="s">
        <v>6898</v>
      </c>
      <c r="F1085" s="197" t="s">
        <v>6894</v>
      </c>
      <c r="G1085" s="197" t="s">
        <v>6897</v>
      </c>
      <c r="H1085" s="197" t="s">
        <v>6890</v>
      </c>
      <c r="I1085" s="197" t="s">
        <v>6888</v>
      </c>
    </row>
    <row r="1086" spans="2:9" ht="31.5" x14ac:dyDescent="0.25">
      <c r="B1086" s="170" t="s">
        <v>7326</v>
      </c>
      <c r="C1086" s="170" t="s">
        <v>4904</v>
      </c>
      <c r="D1086" s="197" t="s">
        <v>6899</v>
      </c>
      <c r="E1086" s="170" t="s">
        <v>6898</v>
      </c>
      <c r="F1086" s="197" t="s">
        <v>6894</v>
      </c>
      <c r="G1086" s="197" t="s">
        <v>6897</v>
      </c>
      <c r="H1086" s="197" t="s">
        <v>6890</v>
      </c>
      <c r="I1086" s="197" t="s">
        <v>6888</v>
      </c>
    </row>
    <row r="1087" spans="2:9" ht="31.5" x14ac:dyDescent="0.25">
      <c r="B1087" s="170" t="s">
        <v>7325</v>
      </c>
      <c r="C1087" s="170" t="s">
        <v>4904</v>
      </c>
      <c r="D1087" s="197" t="s">
        <v>6899</v>
      </c>
      <c r="E1087" s="170" t="s">
        <v>6898</v>
      </c>
      <c r="F1087" s="197" t="s">
        <v>6894</v>
      </c>
      <c r="G1087" s="197" t="s">
        <v>6897</v>
      </c>
      <c r="H1087" s="197" t="s">
        <v>6890</v>
      </c>
      <c r="I1087" s="197" t="s">
        <v>6888</v>
      </c>
    </row>
    <row r="1088" spans="2:9" ht="31.5" x14ac:dyDescent="0.25">
      <c r="B1088" s="170" t="s">
        <v>7387</v>
      </c>
      <c r="C1088" s="170" t="s">
        <v>4904</v>
      </c>
      <c r="D1088" s="197" t="s">
        <v>6899</v>
      </c>
      <c r="E1088" s="170" t="s">
        <v>6898</v>
      </c>
      <c r="F1088" s="197" t="s">
        <v>6894</v>
      </c>
      <c r="G1088" s="197" t="s">
        <v>6897</v>
      </c>
      <c r="H1088" s="197" t="s">
        <v>6890</v>
      </c>
      <c r="I1088" s="197" t="s">
        <v>6888</v>
      </c>
    </row>
    <row r="1089" spans="2:9" ht="31.5" x14ac:dyDescent="0.25">
      <c r="B1089" s="170" t="s">
        <v>7323</v>
      </c>
      <c r="C1089" s="170" t="s">
        <v>4904</v>
      </c>
      <c r="D1089" s="197" t="s">
        <v>6899</v>
      </c>
      <c r="E1089" s="170" t="s">
        <v>6898</v>
      </c>
      <c r="F1089" s="197" t="s">
        <v>6894</v>
      </c>
      <c r="G1089" s="197" t="s">
        <v>6897</v>
      </c>
      <c r="H1089" s="197" t="s">
        <v>6890</v>
      </c>
      <c r="I1089" s="197" t="s">
        <v>6888</v>
      </c>
    </row>
    <row r="1090" spans="2:9" ht="31.5" x14ac:dyDescent="0.25">
      <c r="B1090" s="170" t="s">
        <v>7385</v>
      </c>
      <c r="C1090" s="170" t="s">
        <v>4904</v>
      </c>
      <c r="D1090" s="197" t="s">
        <v>6899</v>
      </c>
      <c r="E1090" s="170" t="s">
        <v>6898</v>
      </c>
      <c r="F1090" s="197" t="s">
        <v>6894</v>
      </c>
      <c r="G1090" s="197" t="s">
        <v>6897</v>
      </c>
      <c r="H1090" s="197" t="s">
        <v>6890</v>
      </c>
      <c r="I1090" s="197" t="s">
        <v>6888</v>
      </c>
    </row>
    <row r="1091" spans="2:9" ht="31.5" x14ac:dyDescent="0.25">
      <c r="B1091" s="170" t="s">
        <v>7382</v>
      </c>
      <c r="C1091" s="170" t="s">
        <v>4904</v>
      </c>
      <c r="D1091" s="197" t="s">
        <v>6899</v>
      </c>
      <c r="E1091" s="170" t="s">
        <v>6898</v>
      </c>
      <c r="F1091" s="197" t="s">
        <v>6894</v>
      </c>
      <c r="G1091" s="197" t="s">
        <v>6897</v>
      </c>
      <c r="H1091" s="197" t="s">
        <v>6890</v>
      </c>
      <c r="I1091" s="197" t="s">
        <v>6888</v>
      </c>
    </row>
    <row r="1092" spans="2:9" ht="31.5" x14ac:dyDescent="0.25">
      <c r="B1092" s="170" t="s">
        <v>7381</v>
      </c>
      <c r="C1092" s="170" t="s">
        <v>4904</v>
      </c>
      <c r="D1092" s="197" t="s">
        <v>6899</v>
      </c>
      <c r="E1092" s="170" t="s">
        <v>6898</v>
      </c>
      <c r="F1092" s="197" t="s">
        <v>6894</v>
      </c>
      <c r="G1092" s="197" t="s">
        <v>6897</v>
      </c>
      <c r="H1092" s="197" t="s">
        <v>6890</v>
      </c>
      <c r="I1092" s="197" t="s">
        <v>6888</v>
      </c>
    </row>
    <row r="1093" spans="2:9" ht="31.5" x14ac:dyDescent="0.25">
      <c r="B1093" s="170" t="s">
        <v>7380</v>
      </c>
      <c r="C1093" s="170" t="s">
        <v>4904</v>
      </c>
      <c r="D1093" s="197" t="s">
        <v>6899</v>
      </c>
      <c r="E1093" s="170" t="s">
        <v>6898</v>
      </c>
      <c r="F1093" s="197" t="s">
        <v>6894</v>
      </c>
      <c r="G1093" s="197" t="s">
        <v>6897</v>
      </c>
      <c r="H1093" s="197" t="s">
        <v>6890</v>
      </c>
      <c r="I1093" s="197" t="s">
        <v>6888</v>
      </c>
    </row>
    <row r="1094" spans="2:9" ht="31.5" x14ac:dyDescent="0.25">
      <c r="B1094" s="170" t="s">
        <v>7394</v>
      </c>
      <c r="C1094" s="170" t="s">
        <v>4904</v>
      </c>
      <c r="D1094" s="197" t="s">
        <v>6896</v>
      </c>
      <c r="E1094" s="170" t="s">
        <v>6895</v>
      </c>
      <c r="F1094" s="197" t="s">
        <v>6894</v>
      </c>
      <c r="G1094" s="197" t="s">
        <v>6893</v>
      </c>
      <c r="H1094" s="197" t="s">
        <v>6890</v>
      </c>
      <c r="I1094" s="197" t="s">
        <v>6888</v>
      </c>
    </row>
    <row r="1095" spans="2:9" ht="31.5" x14ac:dyDescent="0.25">
      <c r="B1095" s="170" t="s">
        <v>7393</v>
      </c>
      <c r="C1095" s="170" t="s">
        <v>4904</v>
      </c>
      <c r="D1095" s="197" t="s">
        <v>6896</v>
      </c>
      <c r="E1095" s="170" t="s">
        <v>6895</v>
      </c>
      <c r="F1095" s="197" t="s">
        <v>6894</v>
      </c>
      <c r="G1095" s="197" t="s">
        <v>6893</v>
      </c>
      <c r="H1095" s="197" t="s">
        <v>6890</v>
      </c>
      <c r="I1095" s="197" t="s">
        <v>6888</v>
      </c>
    </row>
    <row r="1096" spans="2:9" ht="31.5" x14ac:dyDescent="0.25">
      <c r="B1096" s="170" t="s">
        <v>7328</v>
      </c>
      <c r="C1096" s="170" t="s">
        <v>4904</v>
      </c>
      <c r="D1096" s="197" t="s">
        <v>6896</v>
      </c>
      <c r="E1096" s="170" t="s">
        <v>6895</v>
      </c>
      <c r="F1096" s="197" t="s">
        <v>6894</v>
      </c>
      <c r="G1096" s="197" t="s">
        <v>6893</v>
      </c>
      <c r="H1096" s="197" t="s">
        <v>6890</v>
      </c>
      <c r="I1096" s="197" t="s">
        <v>6888</v>
      </c>
    </row>
    <row r="1097" spans="2:9" ht="31.5" x14ac:dyDescent="0.25">
      <c r="B1097" s="170" t="s">
        <v>7390</v>
      </c>
      <c r="C1097" s="170" t="s">
        <v>4904</v>
      </c>
      <c r="D1097" s="197" t="s">
        <v>6896</v>
      </c>
      <c r="E1097" s="170" t="s">
        <v>6895</v>
      </c>
      <c r="F1097" s="197" t="s">
        <v>6894</v>
      </c>
      <c r="G1097" s="197" t="s">
        <v>6893</v>
      </c>
      <c r="H1097" s="197" t="s">
        <v>6890</v>
      </c>
      <c r="I1097" s="197" t="s">
        <v>6888</v>
      </c>
    </row>
    <row r="1098" spans="2:9" ht="31.5" x14ac:dyDescent="0.25">
      <c r="B1098" s="170" t="s">
        <v>7326</v>
      </c>
      <c r="C1098" s="170" t="s">
        <v>4904</v>
      </c>
      <c r="D1098" s="197" t="s">
        <v>6896</v>
      </c>
      <c r="E1098" s="170" t="s">
        <v>6895</v>
      </c>
      <c r="F1098" s="197" t="s">
        <v>6894</v>
      </c>
      <c r="G1098" s="197" t="s">
        <v>6893</v>
      </c>
      <c r="H1098" s="197" t="s">
        <v>6890</v>
      </c>
      <c r="I1098" s="197" t="s">
        <v>6888</v>
      </c>
    </row>
    <row r="1099" spans="2:9" ht="31.5" x14ac:dyDescent="0.25">
      <c r="B1099" s="170" t="s">
        <v>7325</v>
      </c>
      <c r="C1099" s="170" t="s">
        <v>4904</v>
      </c>
      <c r="D1099" s="197" t="s">
        <v>6896</v>
      </c>
      <c r="E1099" s="170" t="s">
        <v>6895</v>
      </c>
      <c r="F1099" s="197" t="s">
        <v>6894</v>
      </c>
      <c r="G1099" s="197" t="s">
        <v>6893</v>
      </c>
      <c r="H1099" s="197" t="s">
        <v>6890</v>
      </c>
      <c r="I1099" s="197" t="s">
        <v>6888</v>
      </c>
    </row>
    <row r="1100" spans="2:9" ht="31.5" x14ac:dyDescent="0.25">
      <c r="B1100" s="170" t="s">
        <v>7387</v>
      </c>
      <c r="C1100" s="170" t="s">
        <v>4904</v>
      </c>
      <c r="D1100" s="197" t="s">
        <v>6896</v>
      </c>
      <c r="E1100" s="170" t="s">
        <v>6895</v>
      </c>
      <c r="F1100" s="197" t="s">
        <v>6894</v>
      </c>
      <c r="G1100" s="197" t="s">
        <v>6893</v>
      </c>
      <c r="H1100" s="197" t="s">
        <v>6890</v>
      </c>
      <c r="I1100" s="197" t="s">
        <v>6888</v>
      </c>
    </row>
    <row r="1101" spans="2:9" ht="31.5" x14ac:dyDescent="0.25">
      <c r="B1101" s="170" t="s">
        <v>7323</v>
      </c>
      <c r="C1101" s="170" t="s">
        <v>4904</v>
      </c>
      <c r="D1101" s="197" t="s">
        <v>6896</v>
      </c>
      <c r="E1101" s="170" t="s">
        <v>6895</v>
      </c>
      <c r="F1101" s="197" t="s">
        <v>6894</v>
      </c>
      <c r="G1101" s="197" t="s">
        <v>6893</v>
      </c>
      <c r="H1101" s="197" t="s">
        <v>6890</v>
      </c>
      <c r="I1101" s="197" t="s">
        <v>6888</v>
      </c>
    </row>
    <row r="1102" spans="2:9" ht="31.5" x14ac:dyDescent="0.25">
      <c r="B1102" s="170" t="s">
        <v>7385</v>
      </c>
      <c r="C1102" s="170" t="s">
        <v>4904</v>
      </c>
      <c r="D1102" s="197" t="s">
        <v>6896</v>
      </c>
      <c r="E1102" s="170" t="s">
        <v>6895</v>
      </c>
      <c r="F1102" s="197" t="s">
        <v>6894</v>
      </c>
      <c r="G1102" s="197" t="s">
        <v>6893</v>
      </c>
      <c r="H1102" s="197" t="s">
        <v>6890</v>
      </c>
      <c r="I1102" s="197" t="s">
        <v>6888</v>
      </c>
    </row>
    <row r="1103" spans="2:9" ht="31.5" x14ac:dyDescent="0.25">
      <c r="B1103" s="170" t="s">
        <v>7382</v>
      </c>
      <c r="C1103" s="170" t="s">
        <v>4904</v>
      </c>
      <c r="D1103" s="197" t="s">
        <v>6896</v>
      </c>
      <c r="E1103" s="170" t="s">
        <v>6895</v>
      </c>
      <c r="F1103" s="197" t="s">
        <v>6894</v>
      </c>
      <c r="G1103" s="197" t="s">
        <v>6893</v>
      </c>
      <c r="H1103" s="197" t="s">
        <v>6890</v>
      </c>
      <c r="I1103" s="197" t="s">
        <v>6888</v>
      </c>
    </row>
    <row r="1104" spans="2:9" ht="31.5" x14ac:dyDescent="0.25">
      <c r="B1104" s="170" t="s">
        <v>7381</v>
      </c>
      <c r="C1104" s="170" t="s">
        <v>4904</v>
      </c>
      <c r="D1104" s="197" t="s">
        <v>6896</v>
      </c>
      <c r="E1104" s="170" t="s">
        <v>6895</v>
      </c>
      <c r="F1104" s="197" t="s">
        <v>6894</v>
      </c>
      <c r="G1104" s="197" t="s">
        <v>6893</v>
      </c>
      <c r="H1104" s="197" t="s">
        <v>6890</v>
      </c>
      <c r="I1104" s="197" t="s">
        <v>6888</v>
      </c>
    </row>
    <row r="1105" spans="2:9" ht="31.5" x14ac:dyDescent="0.25">
      <c r="B1105" s="170" t="s">
        <v>7380</v>
      </c>
      <c r="C1105" s="170" t="s">
        <v>4904</v>
      </c>
      <c r="D1105" s="197" t="s">
        <v>6896</v>
      </c>
      <c r="E1105" s="170" t="s">
        <v>6895</v>
      </c>
      <c r="F1105" s="197" t="s">
        <v>6894</v>
      </c>
      <c r="G1105" s="197" t="s">
        <v>6893</v>
      </c>
      <c r="H1105" s="197" t="s">
        <v>6890</v>
      </c>
      <c r="I1105" s="197" t="s">
        <v>6888</v>
      </c>
    </row>
    <row r="1106" spans="2:9" ht="31.5" x14ac:dyDescent="0.25">
      <c r="B1106" s="170" t="s">
        <v>7325</v>
      </c>
      <c r="C1106" s="986" t="s">
        <v>4876</v>
      </c>
      <c r="D1106" s="197" t="s">
        <v>6887</v>
      </c>
      <c r="E1106" s="170" t="s">
        <v>6886</v>
      </c>
      <c r="F1106" s="197" t="s">
        <v>6860</v>
      </c>
      <c r="G1106" s="197" t="s">
        <v>6866</v>
      </c>
      <c r="H1106" s="197" t="s">
        <v>6856</v>
      </c>
      <c r="I1106" s="197" t="s">
        <v>6851</v>
      </c>
    </row>
    <row r="1107" spans="2:9" ht="31.5" x14ac:dyDescent="0.25">
      <c r="B1107" s="170" t="s">
        <v>7387</v>
      </c>
      <c r="C1107" s="988" t="s">
        <v>4876</v>
      </c>
      <c r="D1107" s="197" t="s">
        <v>6887</v>
      </c>
      <c r="E1107" s="170" t="s">
        <v>6886</v>
      </c>
      <c r="F1107" s="197" t="s">
        <v>6860</v>
      </c>
      <c r="G1107" s="197" t="s">
        <v>6866</v>
      </c>
      <c r="H1107" s="197" t="s">
        <v>6856</v>
      </c>
      <c r="I1107" s="197" t="s">
        <v>6851</v>
      </c>
    </row>
    <row r="1108" spans="2:9" ht="31.5" x14ac:dyDescent="0.25">
      <c r="B1108" s="170" t="s">
        <v>7323</v>
      </c>
      <c r="C1108" s="986" t="s">
        <v>4876</v>
      </c>
      <c r="D1108" s="197" t="s">
        <v>6887</v>
      </c>
      <c r="E1108" s="170" t="s">
        <v>6886</v>
      </c>
      <c r="F1108" s="197" t="s">
        <v>6860</v>
      </c>
      <c r="G1108" s="197" t="s">
        <v>6866</v>
      </c>
      <c r="H1108" s="197" t="s">
        <v>6856</v>
      </c>
      <c r="I1108" s="197" t="s">
        <v>6851</v>
      </c>
    </row>
    <row r="1109" spans="2:9" ht="31.5" x14ac:dyDescent="0.25">
      <c r="B1109" s="170" t="s">
        <v>7385</v>
      </c>
      <c r="C1109" s="988" t="s">
        <v>4876</v>
      </c>
      <c r="D1109" s="197" t="s">
        <v>6887</v>
      </c>
      <c r="E1109" s="170" t="s">
        <v>6886</v>
      </c>
      <c r="F1109" s="197" t="s">
        <v>6860</v>
      </c>
      <c r="G1109" s="197" t="s">
        <v>6866</v>
      </c>
      <c r="H1109" s="197" t="s">
        <v>6856</v>
      </c>
      <c r="I1109" s="197" t="s">
        <v>6851</v>
      </c>
    </row>
    <row r="1110" spans="2:9" ht="31.5" x14ac:dyDescent="0.25">
      <c r="B1110" s="170" t="s">
        <v>7382</v>
      </c>
      <c r="C1110" s="986" t="s">
        <v>4876</v>
      </c>
      <c r="D1110" s="197" t="s">
        <v>6887</v>
      </c>
      <c r="E1110" s="170" t="s">
        <v>6886</v>
      </c>
      <c r="F1110" s="197" t="s">
        <v>6860</v>
      </c>
      <c r="G1110" s="197" t="s">
        <v>6866</v>
      </c>
      <c r="H1110" s="197" t="s">
        <v>6856</v>
      </c>
      <c r="I1110" s="197" t="s">
        <v>6851</v>
      </c>
    </row>
    <row r="1111" spans="2:9" ht="31.5" x14ac:dyDescent="0.25">
      <c r="B1111" s="170" t="s">
        <v>7325</v>
      </c>
      <c r="C1111" s="988" t="s">
        <v>4876</v>
      </c>
      <c r="D1111" s="197" t="s">
        <v>6884</v>
      </c>
      <c r="E1111" s="170" t="s">
        <v>6883</v>
      </c>
      <c r="F1111" s="197" t="s">
        <v>6867</v>
      </c>
      <c r="G1111" s="197" t="s">
        <v>6876</v>
      </c>
      <c r="H1111" s="197" t="s">
        <v>6856</v>
      </c>
      <c r="I1111" s="197" t="s">
        <v>6863</v>
      </c>
    </row>
    <row r="1112" spans="2:9" ht="31.5" x14ac:dyDescent="0.25">
      <c r="B1112" s="170" t="s">
        <v>7387</v>
      </c>
      <c r="C1112" s="986" t="s">
        <v>4876</v>
      </c>
      <c r="D1112" s="197" t="s">
        <v>6884</v>
      </c>
      <c r="E1112" s="170" t="s">
        <v>6883</v>
      </c>
      <c r="F1112" s="197" t="s">
        <v>6867</v>
      </c>
      <c r="G1112" s="197" t="s">
        <v>6876</v>
      </c>
      <c r="H1112" s="197" t="s">
        <v>6856</v>
      </c>
      <c r="I1112" s="197" t="s">
        <v>6863</v>
      </c>
    </row>
    <row r="1113" spans="2:9" ht="31.5" x14ac:dyDescent="0.25">
      <c r="B1113" s="170" t="s">
        <v>7323</v>
      </c>
      <c r="C1113" s="988" t="s">
        <v>4876</v>
      </c>
      <c r="D1113" s="197" t="s">
        <v>6884</v>
      </c>
      <c r="E1113" s="170" t="s">
        <v>6883</v>
      </c>
      <c r="F1113" s="197" t="s">
        <v>6867</v>
      </c>
      <c r="G1113" s="197" t="s">
        <v>6876</v>
      </c>
      <c r="H1113" s="197" t="s">
        <v>6856</v>
      </c>
      <c r="I1113" s="197" t="s">
        <v>6863</v>
      </c>
    </row>
    <row r="1114" spans="2:9" ht="31.5" x14ac:dyDescent="0.25">
      <c r="B1114" s="170" t="s">
        <v>7385</v>
      </c>
      <c r="C1114" s="986" t="s">
        <v>4876</v>
      </c>
      <c r="D1114" s="197" t="s">
        <v>6884</v>
      </c>
      <c r="E1114" s="170" t="s">
        <v>6883</v>
      </c>
      <c r="F1114" s="197" t="s">
        <v>6867</v>
      </c>
      <c r="G1114" s="197" t="s">
        <v>6876</v>
      </c>
      <c r="H1114" s="197" t="s">
        <v>6856</v>
      </c>
      <c r="I1114" s="197" t="s">
        <v>6863</v>
      </c>
    </row>
    <row r="1115" spans="2:9" ht="31.5" x14ac:dyDescent="0.25">
      <c r="B1115" s="170" t="s">
        <v>7382</v>
      </c>
      <c r="C1115" s="988" t="s">
        <v>4876</v>
      </c>
      <c r="D1115" s="197" t="s">
        <v>6884</v>
      </c>
      <c r="E1115" s="170" t="s">
        <v>6883</v>
      </c>
      <c r="F1115" s="197" t="s">
        <v>6867</v>
      </c>
      <c r="G1115" s="197" t="s">
        <v>6876</v>
      </c>
      <c r="H1115" s="197" t="s">
        <v>6856</v>
      </c>
      <c r="I1115" s="197" t="s">
        <v>6863</v>
      </c>
    </row>
    <row r="1116" spans="2:9" ht="31.5" x14ac:dyDescent="0.25">
      <c r="B1116" s="170" t="s">
        <v>7325</v>
      </c>
      <c r="C1116" s="986" t="s">
        <v>4876</v>
      </c>
      <c r="D1116" s="197" t="s">
        <v>6882</v>
      </c>
      <c r="E1116" s="170" t="s">
        <v>6881</v>
      </c>
      <c r="F1116" s="197" t="s">
        <v>6867</v>
      </c>
      <c r="G1116" s="197" t="s">
        <v>6876</v>
      </c>
      <c r="H1116" s="197" t="s">
        <v>6856</v>
      </c>
      <c r="I1116" s="197" t="s">
        <v>6863</v>
      </c>
    </row>
    <row r="1117" spans="2:9" ht="31.5" x14ac:dyDescent="0.25">
      <c r="B1117" s="170" t="s">
        <v>7387</v>
      </c>
      <c r="C1117" s="988" t="s">
        <v>4876</v>
      </c>
      <c r="D1117" s="197" t="s">
        <v>6882</v>
      </c>
      <c r="E1117" s="170" t="s">
        <v>6881</v>
      </c>
      <c r="F1117" s="197" t="s">
        <v>6867</v>
      </c>
      <c r="G1117" s="197" t="s">
        <v>6876</v>
      </c>
      <c r="H1117" s="197" t="s">
        <v>6856</v>
      </c>
      <c r="I1117" s="197" t="s">
        <v>6863</v>
      </c>
    </row>
    <row r="1118" spans="2:9" ht="31.5" x14ac:dyDescent="0.25">
      <c r="B1118" s="170" t="s">
        <v>7323</v>
      </c>
      <c r="C1118" s="986" t="s">
        <v>4876</v>
      </c>
      <c r="D1118" s="197" t="s">
        <v>6882</v>
      </c>
      <c r="E1118" s="170" t="s">
        <v>6881</v>
      </c>
      <c r="F1118" s="197" t="s">
        <v>6867</v>
      </c>
      <c r="G1118" s="197" t="s">
        <v>6876</v>
      </c>
      <c r="H1118" s="197" t="s">
        <v>6856</v>
      </c>
      <c r="I1118" s="197" t="s">
        <v>6863</v>
      </c>
    </row>
    <row r="1119" spans="2:9" ht="31.5" x14ac:dyDescent="0.25">
      <c r="B1119" s="170" t="s">
        <v>7385</v>
      </c>
      <c r="C1119" s="988" t="s">
        <v>4876</v>
      </c>
      <c r="D1119" s="197" t="s">
        <v>6882</v>
      </c>
      <c r="E1119" s="170" t="s">
        <v>6881</v>
      </c>
      <c r="F1119" s="197" t="s">
        <v>6867</v>
      </c>
      <c r="G1119" s="197" t="s">
        <v>6876</v>
      </c>
      <c r="H1119" s="197" t="s">
        <v>6856</v>
      </c>
      <c r="I1119" s="197" t="s">
        <v>6863</v>
      </c>
    </row>
    <row r="1120" spans="2:9" ht="31.5" x14ac:dyDescent="0.25">
      <c r="B1120" s="170" t="s">
        <v>7382</v>
      </c>
      <c r="C1120" s="986" t="s">
        <v>4876</v>
      </c>
      <c r="D1120" s="197" t="s">
        <v>6882</v>
      </c>
      <c r="E1120" s="170" t="s">
        <v>6881</v>
      </c>
      <c r="F1120" s="197" t="s">
        <v>6867</v>
      </c>
      <c r="G1120" s="197" t="s">
        <v>6876</v>
      </c>
      <c r="H1120" s="197" t="s">
        <v>6856</v>
      </c>
      <c r="I1120" s="197" t="s">
        <v>6863</v>
      </c>
    </row>
    <row r="1121" spans="2:9" ht="31.5" x14ac:dyDescent="0.25">
      <c r="B1121" s="170" t="s">
        <v>7325</v>
      </c>
      <c r="C1121" s="988" t="s">
        <v>4876</v>
      </c>
      <c r="D1121" s="197" t="s">
        <v>6880</v>
      </c>
      <c r="E1121" s="170" t="s">
        <v>6879</v>
      </c>
      <c r="F1121" s="197" t="s">
        <v>6867</v>
      </c>
      <c r="G1121" s="197" t="s">
        <v>6876</v>
      </c>
      <c r="H1121" s="197" t="s">
        <v>6856</v>
      </c>
      <c r="I1121" s="197" t="s">
        <v>6863</v>
      </c>
    </row>
    <row r="1122" spans="2:9" ht="31.5" x14ac:dyDescent="0.25">
      <c r="B1122" s="170" t="s">
        <v>7387</v>
      </c>
      <c r="C1122" s="986" t="s">
        <v>4876</v>
      </c>
      <c r="D1122" s="197" t="s">
        <v>6880</v>
      </c>
      <c r="E1122" s="170" t="s">
        <v>6879</v>
      </c>
      <c r="F1122" s="197" t="s">
        <v>6867</v>
      </c>
      <c r="G1122" s="197" t="s">
        <v>6876</v>
      </c>
      <c r="H1122" s="197" t="s">
        <v>6856</v>
      </c>
      <c r="I1122" s="197" t="s">
        <v>6863</v>
      </c>
    </row>
    <row r="1123" spans="2:9" ht="31.5" x14ac:dyDescent="0.25">
      <c r="B1123" s="170" t="s">
        <v>7323</v>
      </c>
      <c r="C1123" s="988" t="s">
        <v>4876</v>
      </c>
      <c r="D1123" s="197" t="s">
        <v>6880</v>
      </c>
      <c r="E1123" s="170" t="s">
        <v>6879</v>
      </c>
      <c r="F1123" s="197" t="s">
        <v>6867</v>
      </c>
      <c r="G1123" s="197" t="s">
        <v>6876</v>
      </c>
      <c r="H1123" s="197" t="s">
        <v>6856</v>
      </c>
      <c r="I1123" s="197" t="s">
        <v>6863</v>
      </c>
    </row>
    <row r="1124" spans="2:9" ht="31.5" x14ac:dyDescent="0.25">
      <c r="B1124" s="170" t="s">
        <v>7385</v>
      </c>
      <c r="C1124" s="986" t="s">
        <v>4876</v>
      </c>
      <c r="D1124" s="197" t="s">
        <v>6880</v>
      </c>
      <c r="E1124" s="170" t="s">
        <v>6879</v>
      </c>
      <c r="F1124" s="197" t="s">
        <v>6867</v>
      </c>
      <c r="G1124" s="197" t="s">
        <v>6876</v>
      </c>
      <c r="H1124" s="197" t="s">
        <v>6856</v>
      </c>
      <c r="I1124" s="197" t="s">
        <v>6863</v>
      </c>
    </row>
    <row r="1125" spans="2:9" ht="31.5" x14ac:dyDescent="0.25">
      <c r="B1125" s="170" t="s">
        <v>7382</v>
      </c>
      <c r="C1125" s="988" t="s">
        <v>4876</v>
      </c>
      <c r="D1125" s="197" t="s">
        <v>6880</v>
      </c>
      <c r="E1125" s="170" t="s">
        <v>6879</v>
      </c>
      <c r="F1125" s="197" t="s">
        <v>6867</v>
      </c>
      <c r="G1125" s="197" t="s">
        <v>6876</v>
      </c>
      <c r="H1125" s="197" t="s">
        <v>6856</v>
      </c>
      <c r="I1125" s="197" t="s">
        <v>6863</v>
      </c>
    </row>
    <row r="1126" spans="2:9" ht="31.5" x14ac:dyDescent="0.25">
      <c r="B1126" s="170" t="s">
        <v>7325</v>
      </c>
      <c r="C1126" s="986" t="s">
        <v>4876</v>
      </c>
      <c r="D1126" s="197" t="s">
        <v>6878</v>
      </c>
      <c r="E1126" s="170" t="s">
        <v>6877</v>
      </c>
      <c r="F1126" s="197" t="s">
        <v>6867</v>
      </c>
      <c r="G1126" s="197" t="s">
        <v>6876</v>
      </c>
      <c r="H1126" s="197" t="s">
        <v>6856</v>
      </c>
      <c r="I1126" s="197" t="s">
        <v>6863</v>
      </c>
    </row>
    <row r="1127" spans="2:9" ht="31.5" x14ac:dyDescent="0.25">
      <c r="B1127" s="170" t="s">
        <v>7387</v>
      </c>
      <c r="C1127" s="988" t="s">
        <v>4876</v>
      </c>
      <c r="D1127" s="197" t="s">
        <v>6878</v>
      </c>
      <c r="E1127" s="170" t="s">
        <v>6877</v>
      </c>
      <c r="F1127" s="197" t="s">
        <v>6867</v>
      </c>
      <c r="G1127" s="197" t="s">
        <v>6876</v>
      </c>
      <c r="H1127" s="197" t="s">
        <v>6856</v>
      </c>
      <c r="I1127" s="197" t="s">
        <v>6863</v>
      </c>
    </row>
    <row r="1128" spans="2:9" ht="31.5" x14ac:dyDescent="0.25">
      <c r="B1128" s="170" t="s">
        <v>7323</v>
      </c>
      <c r="C1128" s="986" t="s">
        <v>4876</v>
      </c>
      <c r="D1128" s="197" t="s">
        <v>6878</v>
      </c>
      <c r="E1128" s="170" t="s">
        <v>6877</v>
      </c>
      <c r="F1128" s="197" t="s">
        <v>6867</v>
      </c>
      <c r="G1128" s="197" t="s">
        <v>6876</v>
      </c>
      <c r="H1128" s="197" t="s">
        <v>6856</v>
      </c>
      <c r="I1128" s="197" t="s">
        <v>6863</v>
      </c>
    </row>
    <row r="1129" spans="2:9" ht="31.5" x14ac:dyDescent="0.25">
      <c r="B1129" s="170" t="s">
        <v>7385</v>
      </c>
      <c r="C1129" s="988" t="s">
        <v>4876</v>
      </c>
      <c r="D1129" s="197" t="s">
        <v>6878</v>
      </c>
      <c r="E1129" s="170" t="s">
        <v>6877</v>
      </c>
      <c r="F1129" s="197" t="s">
        <v>6867</v>
      </c>
      <c r="G1129" s="197" t="s">
        <v>6876</v>
      </c>
      <c r="H1129" s="197" t="s">
        <v>6856</v>
      </c>
      <c r="I1129" s="197" t="s">
        <v>6863</v>
      </c>
    </row>
    <row r="1130" spans="2:9" ht="31.5" x14ac:dyDescent="0.25">
      <c r="B1130" s="170" t="s">
        <v>7382</v>
      </c>
      <c r="C1130" s="986" t="s">
        <v>4876</v>
      </c>
      <c r="D1130" s="197" t="s">
        <v>6878</v>
      </c>
      <c r="E1130" s="170" t="s">
        <v>6877</v>
      </c>
      <c r="F1130" s="197" t="s">
        <v>6867</v>
      </c>
      <c r="G1130" s="197" t="s">
        <v>6876</v>
      </c>
      <c r="H1130" s="197" t="s">
        <v>6856</v>
      </c>
      <c r="I1130" s="197" t="s">
        <v>6863</v>
      </c>
    </row>
    <row r="1131" spans="2:9" ht="31.5" x14ac:dyDescent="0.25">
      <c r="B1131" s="170" t="s">
        <v>7325</v>
      </c>
      <c r="C1131" s="988" t="s">
        <v>4876</v>
      </c>
      <c r="D1131" s="197" t="s">
        <v>6873</v>
      </c>
      <c r="E1131" s="170" t="s">
        <v>6872</v>
      </c>
      <c r="F1131" s="197" t="s">
        <v>6867</v>
      </c>
      <c r="G1131" s="197" t="s">
        <v>6871</v>
      </c>
      <c r="H1131" s="197" t="s">
        <v>6856</v>
      </c>
      <c r="I1131" s="197" t="s">
        <v>6863</v>
      </c>
    </row>
    <row r="1132" spans="2:9" ht="31.5" x14ac:dyDescent="0.25">
      <c r="B1132" s="170" t="s">
        <v>7387</v>
      </c>
      <c r="C1132" s="986" t="s">
        <v>4876</v>
      </c>
      <c r="D1132" s="197" t="s">
        <v>6873</v>
      </c>
      <c r="E1132" s="170" t="s">
        <v>6872</v>
      </c>
      <c r="F1132" s="197" t="s">
        <v>6867</v>
      </c>
      <c r="G1132" s="197" t="s">
        <v>6871</v>
      </c>
      <c r="H1132" s="197" t="s">
        <v>6856</v>
      </c>
      <c r="I1132" s="197" t="s">
        <v>6863</v>
      </c>
    </row>
    <row r="1133" spans="2:9" ht="31.5" x14ac:dyDescent="0.25">
      <c r="B1133" s="170" t="s">
        <v>7323</v>
      </c>
      <c r="C1133" s="988" t="s">
        <v>4876</v>
      </c>
      <c r="D1133" s="197" t="s">
        <v>6873</v>
      </c>
      <c r="E1133" s="170" t="s">
        <v>6872</v>
      </c>
      <c r="F1133" s="197" t="s">
        <v>6867</v>
      </c>
      <c r="G1133" s="197" t="s">
        <v>6871</v>
      </c>
      <c r="H1133" s="197" t="s">
        <v>6856</v>
      </c>
      <c r="I1133" s="197" t="s">
        <v>6863</v>
      </c>
    </row>
    <row r="1134" spans="2:9" ht="31.5" x14ac:dyDescent="0.25">
      <c r="B1134" s="170" t="s">
        <v>7385</v>
      </c>
      <c r="C1134" s="986" t="s">
        <v>4876</v>
      </c>
      <c r="D1134" s="197" t="s">
        <v>6873</v>
      </c>
      <c r="E1134" s="170" t="s">
        <v>6872</v>
      </c>
      <c r="F1134" s="197" t="s">
        <v>6867</v>
      </c>
      <c r="G1134" s="197" t="s">
        <v>6871</v>
      </c>
      <c r="H1134" s="197" t="s">
        <v>6856</v>
      </c>
      <c r="I1134" s="197" t="s">
        <v>6863</v>
      </c>
    </row>
    <row r="1135" spans="2:9" ht="31.5" x14ac:dyDescent="0.25">
      <c r="B1135" s="170" t="s">
        <v>7382</v>
      </c>
      <c r="C1135" s="988" t="s">
        <v>4876</v>
      </c>
      <c r="D1135" s="197" t="s">
        <v>6873</v>
      </c>
      <c r="E1135" s="170" t="s">
        <v>6872</v>
      </c>
      <c r="F1135" s="197" t="s">
        <v>6867</v>
      </c>
      <c r="G1135" s="197" t="s">
        <v>6871</v>
      </c>
      <c r="H1135" s="197" t="s">
        <v>6856</v>
      </c>
      <c r="I1135" s="197" t="s">
        <v>6863</v>
      </c>
    </row>
    <row r="1136" spans="2:9" ht="31.5" x14ac:dyDescent="0.25">
      <c r="B1136" s="170" t="s">
        <v>7325</v>
      </c>
      <c r="C1136" s="986" t="s">
        <v>4876</v>
      </c>
      <c r="D1136" s="197" t="s">
        <v>6869</v>
      </c>
      <c r="E1136" s="170" t="s">
        <v>6868</v>
      </c>
      <c r="F1136" s="197" t="s">
        <v>6867</v>
      </c>
      <c r="G1136" s="197" t="s">
        <v>6866</v>
      </c>
      <c r="H1136" s="197" t="s">
        <v>6856</v>
      </c>
      <c r="I1136" s="197" t="s">
        <v>6863</v>
      </c>
    </row>
    <row r="1137" spans="2:9" ht="31.5" x14ac:dyDescent="0.25">
      <c r="B1137" s="170" t="s">
        <v>7387</v>
      </c>
      <c r="C1137" s="988" t="s">
        <v>4876</v>
      </c>
      <c r="D1137" s="197" t="s">
        <v>6869</v>
      </c>
      <c r="E1137" s="170" t="s">
        <v>6868</v>
      </c>
      <c r="F1137" s="197" t="s">
        <v>6867</v>
      </c>
      <c r="G1137" s="197" t="s">
        <v>6866</v>
      </c>
      <c r="H1137" s="197" t="s">
        <v>6856</v>
      </c>
      <c r="I1137" s="197" t="s">
        <v>6863</v>
      </c>
    </row>
    <row r="1138" spans="2:9" ht="31.5" x14ac:dyDescent="0.25">
      <c r="B1138" s="170" t="s">
        <v>7323</v>
      </c>
      <c r="C1138" s="986" t="s">
        <v>4876</v>
      </c>
      <c r="D1138" s="197" t="s">
        <v>6869</v>
      </c>
      <c r="E1138" s="170" t="s">
        <v>6868</v>
      </c>
      <c r="F1138" s="197" t="s">
        <v>6867</v>
      </c>
      <c r="G1138" s="197" t="s">
        <v>6866</v>
      </c>
      <c r="H1138" s="197" t="s">
        <v>6856</v>
      </c>
      <c r="I1138" s="197" t="s">
        <v>6863</v>
      </c>
    </row>
    <row r="1139" spans="2:9" ht="31.5" x14ac:dyDescent="0.25">
      <c r="B1139" s="170" t="s">
        <v>7385</v>
      </c>
      <c r="C1139" s="988" t="s">
        <v>4876</v>
      </c>
      <c r="D1139" s="197" t="s">
        <v>6869</v>
      </c>
      <c r="E1139" s="170" t="s">
        <v>6868</v>
      </c>
      <c r="F1139" s="197" t="s">
        <v>6867</v>
      </c>
      <c r="G1139" s="197" t="s">
        <v>6866</v>
      </c>
      <c r="H1139" s="197" t="s">
        <v>6856</v>
      </c>
      <c r="I1139" s="197" t="s">
        <v>6863</v>
      </c>
    </row>
    <row r="1140" spans="2:9" ht="31.5" x14ac:dyDescent="0.25">
      <c r="B1140" s="170" t="s">
        <v>7382</v>
      </c>
      <c r="C1140" s="986" t="s">
        <v>4876</v>
      </c>
      <c r="D1140" s="197" t="s">
        <v>6869</v>
      </c>
      <c r="E1140" s="170" t="s">
        <v>6868</v>
      </c>
      <c r="F1140" s="197" t="s">
        <v>6867</v>
      </c>
      <c r="G1140" s="197" t="s">
        <v>6866</v>
      </c>
      <c r="H1140" s="197" t="s">
        <v>6856</v>
      </c>
      <c r="I1140" s="197" t="s">
        <v>6863</v>
      </c>
    </row>
    <row r="1141" spans="2:9" ht="31.5" x14ac:dyDescent="0.25">
      <c r="B1141" s="170" t="s">
        <v>7394</v>
      </c>
      <c r="C1141" s="988" t="s">
        <v>4876</v>
      </c>
      <c r="D1141" s="197" t="s">
        <v>6862</v>
      </c>
      <c r="E1141" s="170" t="s">
        <v>6861</v>
      </c>
      <c r="F1141" s="197" t="s">
        <v>6860</v>
      </c>
      <c r="G1141" s="197" t="s">
        <v>6859</v>
      </c>
      <c r="H1141" s="197" t="s">
        <v>6856</v>
      </c>
      <c r="I1141" s="197" t="s">
        <v>6851</v>
      </c>
    </row>
    <row r="1142" spans="2:9" ht="31.5" x14ac:dyDescent="0.25">
      <c r="B1142" s="170" t="s">
        <v>7393</v>
      </c>
      <c r="C1142" s="986" t="s">
        <v>4876</v>
      </c>
      <c r="D1142" s="197" t="s">
        <v>6862</v>
      </c>
      <c r="E1142" s="170" t="s">
        <v>6861</v>
      </c>
      <c r="F1142" s="197" t="s">
        <v>6860</v>
      </c>
      <c r="G1142" s="197" t="s">
        <v>6859</v>
      </c>
      <c r="H1142" s="197" t="s">
        <v>6856</v>
      </c>
      <c r="I1142" s="197" t="s">
        <v>6851</v>
      </c>
    </row>
    <row r="1143" spans="2:9" ht="31.5" x14ac:dyDescent="0.25">
      <c r="B1143" s="170" t="s">
        <v>7328</v>
      </c>
      <c r="C1143" s="988" t="s">
        <v>4876</v>
      </c>
      <c r="D1143" s="197" t="s">
        <v>6862</v>
      </c>
      <c r="E1143" s="170" t="s">
        <v>6861</v>
      </c>
      <c r="F1143" s="197" t="s">
        <v>6860</v>
      </c>
      <c r="G1143" s="197" t="s">
        <v>6859</v>
      </c>
      <c r="H1143" s="197" t="s">
        <v>6856</v>
      </c>
      <c r="I1143" s="197" t="s">
        <v>6851</v>
      </c>
    </row>
    <row r="1144" spans="2:9" ht="31.5" x14ac:dyDescent="0.25">
      <c r="B1144" s="170" t="s">
        <v>7381</v>
      </c>
      <c r="C1144" s="986" t="s">
        <v>4876</v>
      </c>
      <c r="D1144" s="197" t="s">
        <v>6862</v>
      </c>
      <c r="E1144" s="170" t="s">
        <v>6861</v>
      </c>
      <c r="F1144" s="197" t="s">
        <v>6860</v>
      </c>
      <c r="G1144" s="197" t="s">
        <v>6859</v>
      </c>
      <c r="H1144" s="197" t="s">
        <v>6856</v>
      </c>
      <c r="I1144" s="197" t="s">
        <v>6851</v>
      </c>
    </row>
    <row r="1145" spans="2:9" ht="31.5" x14ac:dyDescent="0.25">
      <c r="B1145" s="170" t="s">
        <v>7380</v>
      </c>
      <c r="C1145" s="988" t="s">
        <v>4876</v>
      </c>
      <c r="D1145" s="197" t="s">
        <v>6862</v>
      </c>
      <c r="E1145" s="170" t="s">
        <v>6861</v>
      </c>
      <c r="F1145" s="197" t="s">
        <v>6860</v>
      </c>
      <c r="G1145" s="197" t="s">
        <v>6859</v>
      </c>
      <c r="H1145" s="197" t="s">
        <v>6856</v>
      </c>
      <c r="I1145" s="197" t="s">
        <v>6851</v>
      </c>
    </row>
  </sheetData>
  <pageMargins left="0.7" right="0.7" top="0.75" bottom="0.75" header="0.3" footer="0.3"/>
  <pageSetup paperSize="9"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08581-9B7A-46B9-A72F-8C148573302A}">
  <dimension ref="B1:O202"/>
  <sheetViews>
    <sheetView showZeros="0" workbookViewId="0">
      <selection activeCell="A2" sqref="A2"/>
    </sheetView>
  </sheetViews>
  <sheetFormatPr baseColWidth="10" defaultRowHeight="15" x14ac:dyDescent="0.25"/>
  <cols>
    <col min="1" max="1" width="4.625" style="1018" customWidth="1"/>
    <col min="2" max="2" width="7.875" style="1018" customWidth="1"/>
    <col min="3" max="3" width="24.5" style="1018" customWidth="1"/>
    <col min="4" max="6" width="10.5" style="1020" customWidth="1"/>
    <col min="7" max="7" width="14" style="1020" customWidth="1"/>
    <col min="8" max="9" width="11.375" style="1020" customWidth="1"/>
    <col min="10" max="10" width="16" style="1020" customWidth="1"/>
    <col min="11" max="11" width="19.625" style="1020" customWidth="1"/>
    <col min="12" max="12" width="14.875" style="1020" customWidth="1"/>
    <col min="13" max="13" width="16.875" style="1020" customWidth="1"/>
    <col min="14" max="14" width="19.375" style="1020" customWidth="1"/>
    <col min="15" max="15" width="24.5" style="1019" customWidth="1"/>
    <col min="16" max="16384" width="11" style="1018"/>
  </cols>
  <sheetData>
    <row r="1" spans="2:15" ht="21.95" customHeight="1" thickBot="1" x14ac:dyDescent="0.25">
      <c r="B1" s="1112"/>
      <c r="C1" s="1112"/>
      <c r="D1" s="1112"/>
      <c r="E1" s="1112"/>
      <c r="F1" s="1112"/>
      <c r="G1" s="1112"/>
      <c r="H1" s="1112"/>
      <c r="I1" s="1112"/>
      <c r="J1" s="1112"/>
      <c r="K1" s="1112"/>
      <c r="L1" s="1112"/>
      <c r="M1" s="1112"/>
      <c r="N1" s="1112"/>
      <c r="O1" s="1112"/>
    </row>
    <row r="2" spans="2:15" ht="27.95" customHeight="1" x14ac:dyDescent="0.2">
      <c r="B2" s="1111"/>
      <c r="C2" s="1110" t="s">
        <v>7397</v>
      </c>
      <c r="D2" s="1110"/>
      <c r="E2" s="1110"/>
      <c r="F2" s="1110"/>
      <c r="G2" s="1110"/>
      <c r="H2" s="1110"/>
      <c r="I2" s="1110"/>
      <c r="J2" s="1110"/>
      <c r="K2" s="1110"/>
      <c r="L2" s="1110"/>
      <c r="M2" s="1110"/>
      <c r="N2" s="1110"/>
      <c r="O2" s="1109" t="s">
        <v>7396</v>
      </c>
    </row>
    <row r="3" spans="2:15" ht="21.95" customHeight="1" x14ac:dyDescent="0.2">
      <c r="B3" s="1108"/>
      <c r="C3" s="1052" t="s">
        <v>7394</v>
      </c>
      <c r="D3" s="1052"/>
      <c r="E3" s="1052" t="s">
        <v>7395</v>
      </c>
      <c r="F3" s="1052" t="s">
        <v>7394</v>
      </c>
      <c r="G3" s="1052" t="s">
        <v>7393</v>
      </c>
      <c r="H3" s="1052" t="s">
        <v>7328</v>
      </c>
      <c r="I3" s="1053" t="s">
        <v>7392</v>
      </c>
      <c r="J3" s="1031"/>
      <c r="K3" s="1031"/>
      <c r="L3" s="1031"/>
      <c r="M3" s="1031"/>
      <c r="N3" s="1031"/>
      <c r="O3" s="1107"/>
    </row>
    <row r="4" spans="2:15" ht="21.95" customHeight="1" x14ac:dyDescent="0.2">
      <c r="B4" s="1108"/>
      <c r="C4" s="1052" t="s">
        <v>7390</v>
      </c>
      <c r="D4" s="1052"/>
      <c r="E4" s="1052" t="s">
        <v>7391</v>
      </c>
      <c r="F4" s="1052" t="s">
        <v>7390</v>
      </c>
      <c r="G4" s="1052" t="s">
        <v>7326</v>
      </c>
      <c r="H4" s="1052" t="s">
        <v>7325</v>
      </c>
      <c r="I4" s="1053" t="s">
        <v>7389</v>
      </c>
      <c r="J4" s="1031"/>
      <c r="K4" s="1031"/>
      <c r="L4" s="1031"/>
      <c r="M4" s="1031"/>
      <c r="N4" s="1031"/>
      <c r="O4" s="1107"/>
    </row>
    <row r="5" spans="2:15" ht="21.95" customHeight="1" x14ac:dyDescent="0.2">
      <c r="B5" s="1108"/>
      <c r="C5" s="1052" t="s">
        <v>7387</v>
      </c>
      <c r="D5" s="1052"/>
      <c r="E5" s="1052" t="s">
        <v>7388</v>
      </c>
      <c r="F5" s="1052" t="s">
        <v>7387</v>
      </c>
      <c r="G5" s="1052" t="s">
        <v>7386</v>
      </c>
      <c r="H5" s="1052" t="s">
        <v>7385</v>
      </c>
      <c r="I5" s="1053" t="s">
        <v>7384</v>
      </c>
      <c r="J5" s="1031"/>
      <c r="K5" s="1031"/>
      <c r="L5" s="1031"/>
      <c r="M5" s="1031"/>
      <c r="N5" s="1031"/>
      <c r="O5" s="1107"/>
    </row>
    <row r="6" spans="2:15" ht="21.95" customHeight="1" thickBot="1" x14ac:dyDescent="0.25">
      <c r="B6" s="1106"/>
      <c r="C6" s="1105" t="s">
        <v>7382</v>
      </c>
      <c r="D6" s="1105"/>
      <c r="E6" s="1105" t="s">
        <v>7383</v>
      </c>
      <c r="F6" s="1105" t="s">
        <v>7382</v>
      </c>
      <c r="G6" s="1105" t="s">
        <v>7381</v>
      </c>
      <c r="H6" s="1105" t="s">
        <v>7380</v>
      </c>
      <c r="I6" s="1104" t="s">
        <v>7379</v>
      </c>
      <c r="J6" s="1103"/>
      <c r="K6" s="1103"/>
      <c r="L6" s="1103"/>
      <c r="M6" s="1103"/>
      <c r="N6" s="1103"/>
      <c r="O6" s="1102"/>
    </row>
    <row r="7" spans="2:15" ht="18" customHeight="1" x14ac:dyDescent="0.2">
      <c r="B7" s="1031"/>
      <c r="C7" s="1100" t="s">
        <v>7378</v>
      </c>
      <c r="D7" s="1052"/>
      <c r="E7" s="1052"/>
      <c r="F7" s="1052"/>
      <c r="G7" s="1052"/>
      <c r="H7" s="1052"/>
      <c r="I7" s="1052"/>
      <c r="J7" s="1052"/>
      <c r="K7" s="1052"/>
      <c r="L7" s="1052"/>
      <c r="M7" s="1052"/>
      <c r="N7" s="1052"/>
      <c r="O7" s="1052"/>
    </row>
    <row r="8" spans="2:15" ht="18" customHeight="1" x14ac:dyDescent="0.2">
      <c r="B8" s="1031"/>
      <c r="C8" s="1101" t="s">
        <v>7377</v>
      </c>
      <c r="D8" s="1031"/>
      <c r="E8" s="1031"/>
      <c r="F8" s="1031"/>
      <c r="G8" s="1031"/>
      <c r="H8" s="1031"/>
      <c r="I8" s="1031"/>
      <c r="J8" s="1031"/>
      <c r="K8" s="1031"/>
      <c r="L8" s="1031"/>
      <c r="M8" s="1031"/>
      <c r="N8" s="1031"/>
      <c r="O8" s="1031"/>
    </row>
    <row r="9" spans="2:15" ht="18" customHeight="1" x14ac:dyDescent="0.2">
      <c r="B9" s="1031"/>
      <c r="C9" s="1101" t="s">
        <v>7376</v>
      </c>
      <c r="D9" s="1031"/>
      <c r="E9" s="1031"/>
      <c r="F9" s="1031"/>
      <c r="G9" s="1031"/>
      <c r="H9" s="1031"/>
      <c r="I9" s="1031"/>
      <c r="J9" s="1031"/>
      <c r="K9" s="1031"/>
      <c r="L9" s="1031"/>
      <c r="M9" s="1031"/>
      <c r="N9" s="1031"/>
      <c r="O9" s="1031"/>
    </row>
    <row r="10" spans="2:15" ht="18" customHeight="1" x14ac:dyDescent="0.2">
      <c r="B10" s="1031"/>
      <c r="C10" s="1100" t="s">
        <v>7375</v>
      </c>
      <c r="D10" s="1052"/>
      <c r="E10" s="1052"/>
      <c r="F10" s="1052"/>
      <c r="G10" s="1052"/>
      <c r="H10" s="1052"/>
      <c r="I10" s="1052"/>
      <c r="J10" s="1052"/>
      <c r="K10" s="1052"/>
      <c r="L10" s="1052"/>
      <c r="M10" s="1052"/>
      <c r="N10" s="1052"/>
      <c r="O10" s="1052"/>
    </row>
    <row r="11" spans="2:15" ht="26.1" customHeight="1" x14ac:dyDescent="0.2">
      <c r="B11" s="1099" t="s">
        <v>7374</v>
      </c>
      <c r="C11" s="1097" t="s">
        <v>7373</v>
      </c>
      <c r="D11" s="1041" t="s">
        <v>7372</v>
      </c>
      <c r="E11" s="1045" t="s">
        <v>7371</v>
      </c>
      <c r="F11" s="1036" t="s">
        <v>7370</v>
      </c>
      <c r="G11" s="1097" t="s">
        <v>7369</v>
      </c>
      <c r="H11" s="1097" t="s">
        <v>7368</v>
      </c>
      <c r="I11" s="1098" t="s">
        <v>4750</v>
      </c>
      <c r="J11" s="1097" t="s">
        <v>154</v>
      </c>
      <c r="K11" s="1097" t="s">
        <v>325</v>
      </c>
      <c r="L11" s="1097" t="s">
        <v>570</v>
      </c>
      <c r="M11" s="1097" t="s">
        <v>205</v>
      </c>
      <c r="N11" s="1097" t="s">
        <v>7367</v>
      </c>
      <c r="O11" s="1097" t="s">
        <v>7366</v>
      </c>
    </row>
    <row r="12" spans="2:15" ht="21.95" customHeight="1" x14ac:dyDescent="0.2">
      <c r="B12" s="1031"/>
      <c r="C12" s="1052"/>
      <c r="D12" s="1096" t="s">
        <v>7365</v>
      </c>
      <c r="E12" s="1095"/>
      <c r="F12" s="1094"/>
      <c r="G12" s="1052"/>
      <c r="H12" s="1052"/>
      <c r="I12" s="1093"/>
      <c r="J12" s="1031"/>
      <c r="K12" s="1031"/>
      <c r="L12" s="1031"/>
      <c r="M12" s="1031"/>
      <c r="N12" s="1031"/>
      <c r="O12" s="1031"/>
    </row>
    <row r="13" spans="2:15" ht="21.95" customHeight="1" x14ac:dyDescent="0.2">
      <c r="B13" s="1089" t="s">
        <v>7364</v>
      </c>
      <c r="C13" s="1089">
        <v>0</v>
      </c>
      <c r="D13" s="1092" t="s">
        <v>7348</v>
      </c>
      <c r="E13" s="1089" t="s">
        <v>7349</v>
      </c>
      <c r="F13" s="1091" t="s">
        <v>7346</v>
      </c>
      <c r="G13" s="1089" t="s">
        <v>7347</v>
      </c>
      <c r="H13" s="1089" t="s">
        <v>7345</v>
      </c>
      <c r="I13" s="1090" t="s">
        <v>7351</v>
      </c>
      <c r="J13" s="1089">
        <v>0</v>
      </c>
      <c r="K13" s="1089">
        <v>0</v>
      </c>
      <c r="L13" s="1089">
        <v>0</v>
      </c>
      <c r="M13" s="1089">
        <v>0</v>
      </c>
      <c r="N13" s="1089" t="s">
        <v>7363</v>
      </c>
      <c r="O13" s="1089" t="s">
        <v>7362</v>
      </c>
    </row>
    <row r="14" spans="2:15" ht="21.95" customHeight="1" x14ac:dyDescent="0.25">
      <c r="B14" s="1074">
        <v>1</v>
      </c>
      <c r="C14" s="1073" t="s">
        <v>7316</v>
      </c>
      <c r="E14" s="1045" t="s">
        <v>7349</v>
      </c>
      <c r="F14" s="1034">
        <v>0</v>
      </c>
      <c r="G14" s="1035">
        <v>0</v>
      </c>
      <c r="H14" s="1035">
        <v>0</v>
      </c>
      <c r="I14" s="1034" t="s">
        <v>7351</v>
      </c>
      <c r="J14" s="1032">
        <v>0</v>
      </c>
      <c r="K14" s="1032" t="s">
        <v>325</v>
      </c>
      <c r="L14" s="1032" t="s">
        <v>570</v>
      </c>
      <c r="M14" s="1032">
        <v>0</v>
      </c>
      <c r="N14" s="1072" t="s">
        <v>6981</v>
      </c>
      <c r="O14" s="1032">
        <v>0</v>
      </c>
    </row>
    <row r="15" spans="2:15" ht="21.95" customHeight="1" x14ac:dyDescent="0.2">
      <c r="B15" s="1039">
        <v>1</v>
      </c>
      <c r="C15" s="1038" t="s">
        <v>7314</v>
      </c>
      <c r="D15" s="1041" t="s">
        <v>7348</v>
      </c>
      <c r="E15" s="1035">
        <v>0</v>
      </c>
      <c r="F15" s="1034">
        <v>0</v>
      </c>
      <c r="G15" s="1035" t="s">
        <v>7347</v>
      </c>
      <c r="H15" s="1035" t="s">
        <v>7345</v>
      </c>
      <c r="I15" s="1034">
        <v>0</v>
      </c>
      <c r="J15" s="1032" t="s">
        <v>7354</v>
      </c>
      <c r="K15" s="1032" t="s">
        <v>7355</v>
      </c>
      <c r="L15" s="1032" t="s">
        <v>7356</v>
      </c>
      <c r="M15" s="1032" t="s">
        <v>7353</v>
      </c>
      <c r="N15" s="1033" t="s">
        <v>6858</v>
      </c>
      <c r="O15" s="1032" t="s">
        <v>7076</v>
      </c>
    </row>
    <row r="16" spans="2:15" ht="21.95" customHeight="1" x14ac:dyDescent="0.2">
      <c r="B16" s="1043">
        <v>1</v>
      </c>
      <c r="C16" s="1042" t="s">
        <v>7311</v>
      </c>
      <c r="D16" s="1041" t="s">
        <v>7348</v>
      </c>
      <c r="E16" s="1045" t="s">
        <v>7349</v>
      </c>
      <c r="F16" s="1034">
        <v>0</v>
      </c>
      <c r="G16" s="1035" t="s">
        <v>7347</v>
      </c>
      <c r="H16" s="1035">
        <v>0</v>
      </c>
      <c r="I16" s="1034" t="s">
        <v>7351</v>
      </c>
      <c r="J16" s="1032" t="s">
        <v>7354</v>
      </c>
      <c r="K16" s="1032" t="s">
        <v>7355</v>
      </c>
      <c r="L16" s="1032" t="s">
        <v>7356</v>
      </c>
      <c r="M16" s="1032" t="s">
        <v>7353</v>
      </c>
      <c r="N16" s="1040" t="s">
        <v>6865</v>
      </c>
      <c r="O16" s="1032">
        <v>0</v>
      </c>
    </row>
    <row r="17" spans="2:15" ht="21.95" customHeight="1" x14ac:dyDescent="0.2">
      <c r="B17" s="1082">
        <v>1</v>
      </c>
      <c r="C17" s="1081" t="s">
        <v>7309</v>
      </c>
      <c r="D17" s="1041" t="s">
        <v>7348</v>
      </c>
      <c r="E17" s="1045" t="s">
        <v>7349</v>
      </c>
      <c r="F17" s="1034">
        <v>0</v>
      </c>
      <c r="G17" s="1035">
        <v>0</v>
      </c>
      <c r="H17" s="1035">
        <v>0</v>
      </c>
      <c r="I17" s="1034" t="s">
        <v>7351</v>
      </c>
      <c r="J17" s="1032">
        <v>0</v>
      </c>
      <c r="K17" s="1032">
        <v>0</v>
      </c>
      <c r="L17" s="1032">
        <v>0</v>
      </c>
      <c r="M17" s="1032">
        <v>0</v>
      </c>
      <c r="N17" s="1080" t="s">
        <v>7358</v>
      </c>
      <c r="O17" s="1032">
        <v>0</v>
      </c>
    </row>
    <row r="18" spans="2:15" ht="21.95" customHeight="1" x14ac:dyDescent="0.2">
      <c r="B18" s="1078">
        <v>1</v>
      </c>
      <c r="C18" s="1077" t="s">
        <v>7307</v>
      </c>
      <c r="D18" s="1037">
        <v>0</v>
      </c>
      <c r="E18" s="1045" t="s">
        <v>7349</v>
      </c>
      <c r="F18" s="1034">
        <v>0</v>
      </c>
      <c r="G18" s="1035" t="s">
        <v>7347</v>
      </c>
      <c r="H18" s="1035" t="s">
        <v>7345</v>
      </c>
      <c r="I18" s="1034">
        <v>0</v>
      </c>
      <c r="J18" s="1032">
        <v>0</v>
      </c>
      <c r="K18" s="1032" t="s">
        <v>325</v>
      </c>
      <c r="L18" s="1032" t="s">
        <v>570</v>
      </c>
      <c r="M18" s="1032" t="s">
        <v>205</v>
      </c>
      <c r="N18" s="1079" t="s">
        <v>7018</v>
      </c>
      <c r="O18" s="1032" t="s">
        <v>7361</v>
      </c>
    </row>
    <row r="19" spans="2:15" ht="21.95" customHeight="1" x14ac:dyDescent="0.2">
      <c r="B19" s="1039">
        <v>1</v>
      </c>
      <c r="C19" s="1038" t="s">
        <v>7304</v>
      </c>
      <c r="D19" s="1037">
        <v>0</v>
      </c>
      <c r="E19" s="1045" t="s">
        <v>7349</v>
      </c>
      <c r="F19" s="1034">
        <v>0</v>
      </c>
      <c r="G19" s="1035" t="s">
        <v>7347</v>
      </c>
      <c r="H19" s="1035">
        <v>0</v>
      </c>
      <c r="I19" s="1034">
        <v>0</v>
      </c>
      <c r="J19" s="1032">
        <v>0</v>
      </c>
      <c r="K19" s="1032" t="s">
        <v>7359</v>
      </c>
      <c r="L19" s="1032">
        <v>0</v>
      </c>
      <c r="M19" s="1032">
        <v>0</v>
      </c>
      <c r="N19" s="1033" t="s">
        <v>6858</v>
      </c>
      <c r="O19" s="1032" t="s">
        <v>7195</v>
      </c>
    </row>
    <row r="20" spans="2:15" ht="21.95" customHeight="1" x14ac:dyDescent="0.2">
      <c r="B20" s="1078">
        <v>1</v>
      </c>
      <c r="C20" s="1077" t="s">
        <v>7302</v>
      </c>
      <c r="D20" s="1037">
        <v>0</v>
      </c>
      <c r="E20" s="1045" t="s">
        <v>7349</v>
      </c>
      <c r="F20" s="1034">
        <v>0</v>
      </c>
      <c r="G20" s="1035" t="s">
        <v>7347</v>
      </c>
      <c r="H20" s="1035">
        <v>0</v>
      </c>
      <c r="I20" s="1034">
        <v>0</v>
      </c>
      <c r="J20" s="1032">
        <v>0</v>
      </c>
      <c r="K20" s="1032" t="s">
        <v>325</v>
      </c>
      <c r="L20" s="1032">
        <v>0</v>
      </c>
      <c r="M20" s="1032">
        <v>0</v>
      </c>
      <c r="N20" s="1079" t="s">
        <v>7018</v>
      </c>
      <c r="O20" s="1032" t="s">
        <v>7195</v>
      </c>
    </row>
    <row r="21" spans="2:15" ht="21.95" customHeight="1" x14ac:dyDescent="0.2">
      <c r="B21" s="1074">
        <v>1</v>
      </c>
      <c r="C21" s="1073" t="s">
        <v>7299</v>
      </c>
      <c r="D21" s="1037">
        <v>0</v>
      </c>
      <c r="E21" s="1045" t="s">
        <v>7349</v>
      </c>
      <c r="F21" s="1034">
        <v>0</v>
      </c>
      <c r="G21" s="1035">
        <v>0</v>
      </c>
      <c r="H21" s="1035" t="s">
        <v>7345</v>
      </c>
      <c r="I21" s="1034">
        <v>0</v>
      </c>
      <c r="J21" s="1032">
        <v>0</v>
      </c>
      <c r="K21" s="1032">
        <v>0</v>
      </c>
      <c r="L21" s="1032" t="s">
        <v>570</v>
      </c>
      <c r="M21" s="1032" t="s">
        <v>205</v>
      </c>
      <c r="N21" s="1072" t="s">
        <v>6981</v>
      </c>
      <c r="O21" s="1032" t="s">
        <v>6870</v>
      </c>
    </row>
    <row r="22" spans="2:15" ht="21.95" customHeight="1" x14ac:dyDescent="0.2">
      <c r="B22" s="1078">
        <v>1</v>
      </c>
      <c r="C22" s="1077" t="s">
        <v>7297</v>
      </c>
      <c r="D22" s="1041" t="s">
        <v>7348</v>
      </c>
      <c r="E22" s="1035">
        <v>0</v>
      </c>
      <c r="F22" s="1034">
        <v>0</v>
      </c>
      <c r="G22" s="1035" t="s">
        <v>7347</v>
      </c>
      <c r="H22" s="1035">
        <v>0</v>
      </c>
      <c r="I22" s="1034">
        <v>0</v>
      </c>
      <c r="J22" s="1032" t="s">
        <v>7354</v>
      </c>
      <c r="K22" s="1032" t="s">
        <v>7355</v>
      </c>
      <c r="L22" s="1032" t="s">
        <v>7356</v>
      </c>
      <c r="M22" s="1032" t="s">
        <v>7353</v>
      </c>
      <c r="N22" s="1079" t="s">
        <v>7018</v>
      </c>
      <c r="O22" s="1032">
        <v>0</v>
      </c>
    </row>
    <row r="23" spans="2:15" ht="21.95" customHeight="1" x14ac:dyDescent="0.2">
      <c r="B23" s="1039">
        <v>1</v>
      </c>
      <c r="C23" s="1038" t="s">
        <v>7295</v>
      </c>
      <c r="D23" s="1037">
        <v>0</v>
      </c>
      <c r="E23" s="1045" t="s">
        <v>7349</v>
      </c>
      <c r="F23" s="1034">
        <v>0</v>
      </c>
      <c r="G23" s="1035" t="s">
        <v>7347</v>
      </c>
      <c r="H23" s="1035">
        <v>0</v>
      </c>
      <c r="I23" s="1034">
        <v>0</v>
      </c>
      <c r="J23" s="1032">
        <v>0</v>
      </c>
      <c r="K23" s="1032">
        <v>0</v>
      </c>
      <c r="L23" s="1032">
        <v>0</v>
      </c>
      <c r="M23" s="1032">
        <v>0</v>
      </c>
      <c r="N23" s="1033" t="s">
        <v>6858</v>
      </c>
      <c r="O23" s="1032">
        <v>0</v>
      </c>
    </row>
    <row r="24" spans="2:15" ht="21.95" customHeight="1" x14ac:dyDescent="0.2">
      <c r="B24" s="1039">
        <v>1</v>
      </c>
      <c r="C24" s="1038" t="s">
        <v>7293</v>
      </c>
      <c r="D24" s="1037">
        <v>0</v>
      </c>
      <c r="E24" s="1035">
        <v>0</v>
      </c>
      <c r="F24" s="1036" t="s">
        <v>7346</v>
      </c>
      <c r="G24" s="1035">
        <v>0</v>
      </c>
      <c r="H24" s="1035">
        <v>0</v>
      </c>
      <c r="I24" s="1034" t="s">
        <v>7351</v>
      </c>
      <c r="J24" s="1032" t="s">
        <v>7354</v>
      </c>
      <c r="K24" s="1032" t="s">
        <v>7355</v>
      </c>
      <c r="L24" s="1032" t="s">
        <v>7356</v>
      </c>
      <c r="M24" s="1032" t="s">
        <v>7353</v>
      </c>
      <c r="N24" s="1033" t="s">
        <v>6858</v>
      </c>
      <c r="O24" s="1032">
        <v>0</v>
      </c>
    </row>
    <row r="25" spans="2:15" ht="21.95" customHeight="1" x14ac:dyDescent="0.2">
      <c r="B25" s="1043">
        <v>1</v>
      </c>
      <c r="C25" s="1042" t="s">
        <v>7290</v>
      </c>
      <c r="D25" s="1037">
        <v>0</v>
      </c>
      <c r="E25" s="1045" t="s">
        <v>7349</v>
      </c>
      <c r="F25" s="1034">
        <v>0</v>
      </c>
      <c r="G25" s="1035">
        <v>0</v>
      </c>
      <c r="H25" s="1035" t="s">
        <v>7345</v>
      </c>
      <c r="I25" s="1034">
        <v>0</v>
      </c>
      <c r="J25" s="1032">
        <v>0</v>
      </c>
      <c r="K25" s="1032">
        <v>0</v>
      </c>
      <c r="L25" s="1032">
        <v>0</v>
      </c>
      <c r="M25" s="1032">
        <v>0</v>
      </c>
      <c r="N25" s="1040" t="s">
        <v>6865</v>
      </c>
      <c r="O25" s="1032" t="s">
        <v>6870</v>
      </c>
    </row>
    <row r="26" spans="2:15" ht="21.95" customHeight="1" x14ac:dyDescent="0.2">
      <c r="B26" s="1047">
        <v>1</v>
      </c>
      <c r="C26" s="1046" t="s">
        <v>7288</v>
      </c>
      <c r="D26" s="1041" t="s">
        <v>7348</v>
      </c>
      <c r="E26" s="1045" t="s">
        <v>7349</v>
      </c>
      <c r="F26" s="1034">
        <v>0</v>
      </c>
      <c r="G26" s="1035" t="s">
        <v>7347</v>
      </c>
      <c r="H26" s="1035">
        <v>0</v>
      </c>
      <c r="I26" s="1034">
        <v>0</v>
      </c>
      <c r="J26" s="1032" t="s">
        <v>7354</v>
      </c>
      <c r="K26" s="1032" t="s">
        <v>7355</v>
      </c>
      <c r="L26" s="1032">
        <v>0</v>
      </c>
      <c r="M26" s="1032" t="s">
        <v>7353</v>
      </c>
      <c r="N26" s="1044" t="s">
        <v>6875</v>
      </c>
      <c r="O26" s="1032" t="s">
        <v>6901</v>
      </c>
    </row>
    <row r="27" spans="2:15" ht="21.95" customHeight="1" x14ac:dyDescent="0.2">
      <c r="B27" s="1064">
        <v>1</v>
      </c>
      <c r="C27" s="1063" t="s">
        <v>7285</v>
      </c>
      <c r="D27" s="1037">
        <v>0</v>
      </c>
      <c r="E27" s="1045" t="s">
        <v>7349</v>
      </c>
      <c r="F27" s="1034">
        <v>0</v>
      </c>
      <c r="G27" s="1035">
        <v>0</v>
      </c>
      <c r="H27" s="1035" t="s">
        <v>7345</v>
      </c>
      <c r="I27" s="1034">
        <v>0</v>
      </c>
      <c r="J27" s="1032">
        <v>0</v>
      </c>
      <c r="K27" s="1032" t="s">
        <v>325</v>
      </c>
      <c r="L27" s="1032">
        <v>0</v>
      </c>
      <c r="M27" s="1032">
        <v>0</v>
      </c>
      <c r="N27" s="1062" t="s">
        <v>6916</v>
      </c>
      <c r="O27" s="1051" t="s">
        <v>7261</v>
      </c>
    </row>
    <row r="28" spans="2:15" ht="21.95" customHeight="1" x14ac:dyDescent="0.2">
      <c r="B28" s="1050">
        <v>1</v>
      </c>
      <c r="C28" s="1049" t="s">
        <v>7281</v>
      </c>
      <c r="D28" s="1037">
        <v>0</v>
      </c>
      <c r="E28" s="1045" t="s">
        <v>7349</v>
      </c>
      <c r="F28" s="1034">
        <v>0</v>
      </c>
      <c r="G28" s="1035">
        <v>0</v>
      </c>
      <c r="H28" s="1035" t="s">
        <v>7345</v>
      </c>
      <c r="I28" s="1034">
        <v>0</v>
      </c>
      <c r="J28" s="1032" t="s">
        <v>154</v>
      </c>
      <c r="K28" s="1032" t="s">
        <v>325</v>
      </c>
      <c r="L28" s="1032">
        <v>0</v>
      </c>
      <c r="M28" s="1032" t="s">
        <v>205</v>
      </c>
      <c r="N28" s="1048" t="s">
        <v>6928</v>
      </c>
      <c r="O28" s="1032" t="s">
        <v>6885</v>
      </c>
    </row>
    <row r="29" spans="2:15" ht="21.95" customHeight="1" x14ac:dyDescent="0.2">
      <c r="B29" s="1047">
        <v>1</v>
      </c>
      <c r="C29" s="1046" t="s">
        <v>7279</v>
      </c>
      <c r="D29" s="1041" t="s">
        <v>7348</v>
      </c>
      <c r="E29" s="1045" t="s">
        <v>7349</v>
      </c>
      <c r="F29" s="1034">
        <v>0</v>
      </c>
      <c r="G29" s="1035">
        <v>0</v>
      </c>
      <c r="H29" s="1035">
        <v>0</v>
      </c>
      <c r="I29" s="1034" t="s">
        <v>7351</v>
      </c>
      <c r="J29" s="1032">
        <v>0</v>
      </c>
      <c r="K29" s="1032">
        <v>0</v>
      </c>
      <c r="L29" s="1032">
        <v>0</v>
      </c>
      <c r="M29" s="1032">
        <v>0</v>
      </c>
      <c r="N29" s="1044" t="s">
        <v>6875</v>
      </c>
      <c r="O29" s="1032">
        <v>0</v>
      </c>
    </row>
    <row r="30" spans="2:15" ht="21.95" customHeight="1" x14ac:dyDescent="0.2">
      <c r="B30" s="1039">
        <v>1</v>
      </c>
      <c r="C30" s="1038" t="s">
        <v>7277</v>
      </c>
      <c r="D30" s="1037">
        <v>0</v>
      </c>
      <c r="E30" s="1035">
        <v>0</v>
      </c>
      <c r="F30" s="1036" t="s">
        <v>7346</v>
      </c>
      <c r="G30" s="1035" t="s">
        <v>7347</v>
      </c>
      <c r="H30" s="1035" t="s">
        <v>7345</v>
      </c>
      <c r="I30" s="1034">
        <v>0</v>
      </c>
      <c r="J30" s="1032">
        <v>0</v>
      </c>
      <c r="K30" s="1032">
        <v>0</v>
      </c>
      <c r="L30" s="1032">
        <v>0</v>
      </c>
      <c r="M30" s="1032">
        <v>0</v>
      </c>
      <c r="N30" s="1033" t="s">
        <v>6858</v>
      </c>
      <c r="O30" s="1032" t="s">
        <v>6891</v>
      </c>
    </row>
    <row r="31" spans="2:15" ht="21.95" customHeight="1" x14ac:dyDescent="0.2">
      <c r="B31" s="1039">
        <v>1</v>
      </c>
      <c r="C31" s="1038" t="s">
        <v>7275</v>
      </c>
      <c r="D31" s="1037">
        <v>0</v>
      </c>
      <c r="E31" s="1035">
        <v>0</v>
      </c>
      <c r="F31" s="1036" t="s">
        <v>7346</v>
      </c>
      <c r="G31" s="1035" t="s">
        <v>7347</v>
      </c>
      <c r="H31" s="1035" t="s">
        <v>7345</v>
      </c>
      <c r="I31" s="1034">
        <v>0</v>
      </c>
      <c r="J31" s="1032">
        <v>0</v>
      </c>
      <c r="K31" s="1032">
        <v>0</v>
      </c>
      <c r="L31" s="1032">
        <v>0</v>
      </c>
      <c r="M31" s="1032">
        <v>0</v>
      </c>
      <c r="N31" s="1033" t="s">
        <v>6858</v>
      </c>
      <c r="O31" s="1032">
        <v>0</v>
      </c>
    </row>
    <row r="32" spans="2:15" ht="21.95" customHeight="1" x14ac:dyDescent="0.2">
      <c r="B32" s="1050">
        <v>1</v>
      </c>
      <c r="C32" s="1049" t="s">
        <v>7273</v>
      </c>
      <c r="D32" s="1037">
        <v>0</v>
      </c>
      <c r="E32" s="1045" t="s">
        <v>7349</v>
      </c>
      <c r="F32" s="1034">
        <v>0</v>
      </c>
      <c r="G32" s="1035">
        <v>0</v>
      </c>
      <c r="H32" s="1035" t="s">
        <v>7345</v>
      </c>
      <c r="I32" s="1034">
        <v>0</v>
      </c>
      <c r="J32" s="1032">
        <v>0</v>
      </c>
      <c r="K32" s="1032">
        <v>0</v>
      </c>
      <c r="L32" s="1032" t="s">
        <v>570</v>
      </c>
      <c r="M32" s="1032">
        <v>0</v>
      </c>
      <c r="N32" s="1048" t="s">
        <v>6928</v>
      </c>
      <c r="O32" s="1032">
        <v>0</v>
      </c>
    </row>
    <row r="33" spans="2:15" ht="21.95" customHeight="1" x14ac:dyDescent="0.2">
      <c r="B33" s="1039">
        <v>1</v>
      </c>
      <c r="C33" s="1038" t="s">
        <v>7271</v>
      </c>
      <c r="D33" s="1041" t="s">
        <v>7348</v>
      </c>
      <c r="E33" s="1045" t="s">
        <v>7349</v>
      </c>
      <c r="F33" s="1034">
        <v>0</v>
      </c>
      <c r="G33" s="1035">
        <v>0</v>
      </c>
      <c r="H33" s="1035">
        <v>0</v>
      </c>
      <c r="I33" s="1034" t="s">
        <v>7351</v>
      </c>
      <c r="J33" s="1032">
        <v>0</v>
      </c>
      <c r="K33" s="1032">
        <v>0</v>
      </c>
      <c r="L33" s="1032">
        <v>0</v>
      </c>
      <c r="M33" s="1032">
        <v>0</v>
      </c>
      <c r="N33" s="1033" t="s">
        <v>7047</v>
      </c>
      <c r="O33" s="1032">
        <v>0</v>
      </c>
    </row>
    <row r="34" spans="2:15" ht="21.95" customHeight="1" x14ac:dyDescent="0.2">
      <c r="B34" s="1064">
        <v>1</v>
      </c>
      <c r="C34" s="1063" t="s">
        <v>7269</v>
      </c>
      <c r="D34" s="1037">
        <v>0</v>
      </c>
      <c r="E34" s="1045" t="s">
        <v>7349</v>
      </c>
      <c r="F34" s="1034">
        <v>0</v>
      </c>
      <c r="G34" s="1035">
        <v>0</v>
      </c>
      <c r="H34" s="1035" t="s">
        <v>7345</v>
      </c>
      <c r="I34" s="1034">
        <v>0</v>
      </c>
      <c r="J34" s="1032" t="s">
        <v>154</v>
      </c>
      <c r="K34" s="1032">
        <v>0</v>
      </c>
      <c r="L34" s="1032">
        <v>0</v>
      </c>
      <c r="M34" s="1032">
        <v>0</v>
      </c>
      <c r="N34" s="1062" t="s">
        <v>6916</v>
      </c>
      <c r="O34" s="1051" t="s">
        <v>7261</v>
      </c>
    </row>
    <row r="35" spans="2:15" ht="21.95" customHeight="1" x14ac:dyDescent="0.2">
      <c r="B35" s="1082">
        <v>1</v>
      </c>
      <c r="C35" s="1081" t="s">
        <v>7267</v>
      </c>
      <c r="D35" s="1041" t="s">
        <v>7348</v>
      </c>
      <c r="E35" s="1045" t="s">
        <v>7349</v>
      </c>
      <c r="F35" s="1034">
        <v>0</v>
      </c>
      <c r="G35" s="1035" t="s">
        <v>7347</v>
      </c>
      <c r="H35" s="1035" t="s">
        <v>7345</v>
      </c>
      <c r="I35" s="1034">
        <v>0</v>
      </c>
      <c r="J35" s="1032" t="s">
        <v>154</v>
      </c>
      <c r="K35" s="1032" t="s">
        <v>7359</v>
      </c>
      <c r="L35" s="1032" t="s">
        <v>570</v>
      </c>
      <c r="M35" s="1032" t="s">
        <v>205</v>
      </c>
      <c r="N35" s="1080" t="s">
        <v>7358</v>
      </c>
      <c r="O35" s="1032" t="s">
        <v>6901</v>
      </c>
    </row>
    <row r="36" spans="2:15" ht="21.95" customHeight="1" x14ac:dyDescent="0.2">
      <c r="B36" s="1068">
        <v>1</v>
      </c>
      <c r="C36" s="1067" t="s">
        <v>7264</v>
      </c>
      <c r="D36" s="1041" t="s">
        <v>7348</v>
      </c>
      <c r="E36" s="1045" t="s">
        <v>7349</v>
      </c>
      <c r="F36" s="1034">
        <v>0</v>
      </c>
      <c r="G36" s="1035">
        <v>0</v>
      </c>
      <c r="H36" s="1035">
        <v>0</v>
      </c>
      <c r="I36" s="1034" t="s">
        <v>7351</v>
      </c>
      <c r="J36" s="1032">
        <v>0</v>
      </c>
      <c r="K36" s="1032">
        <v>0</v>
      </c>
      <c r="L36" s="1032">
        <v>0</v>
      </c>
      <c r="M36" s="1032">
        <v>0</v>
      </c>
      <c r="N36" s="1066" t="s">
        <v>6961</v>
      </c>
      <c r="O36" s="1032">
        <v>0</v>
      </c>
    </row>
    <row r="37" spans="2:15" ht="21.95" customHeight="1" x14ac:dyDescent="0.2">
      <c r="B37" s="1064">
        <v>1</v>
      </c>
      <c r="C37" s="1063" t="s">
        <v>7262</v>
      </c>
      <c r="D37" s="1041" t="s">
        <v>7348</v>
      </c>
      <c r="E37" s="1045" t="s">
        <v>7349</v>
      </c>
      <c r="F37" s="1034">
        <v>0</v>
      </c>
      <c r="G37" s="1035" t="s">
        <v>7347</v>
      </c>
      <c r="H37" s="1035" t="s">
        <v>7345</v>
      </c>
      <c r="I37" s="1034">
        <v>0</v>
      </c>
      <c r="J37" s="1032" t="s">
        <v>154</v>
      </c>
      <c r="K37" s="1032">
        <v>0</v>
      </c>
      <c r="L37" s="1032" t="s">
        <v>570</v>
      </c>
      <c r="M37" s="1032" t="s">
        <v>205</v>
      </c>
      <c r="N37" s="1062" t="s">
        <v>6916</v>
      </c>
      <c r="O37" s="1051" t="s">
        <v>7261</v>
      </c>
    </row>
    <row r="38" spans="2:15" ht="21.95" customHeight="1" x14ac:dyDescent="0.2">
      <c r="B38" s="1039">
        <v>1</v>
      </c>
      <c r="C38" s="1038" t="s">
        <v>7257</v>
      </c>
      <c r="D38" s="1041" t="s">
        <v>7348</v>
      </c>
      <c r="E38" s="1035">
        <v>0</v>
      </c>
      <c r="F38" s="1034">
        <v>0</v>
      </c>
      <c r="G38" s="1035" t="s">
        <v>7347</v>
      </c>
      <c r="H38" s="1035" t="s">
        <v>7345</v>
      </c>
      <c r="I38" s="1034">
        <v>0</v>
      </c>
      <c r="J38" s="1032" t="s">
        <v>154</v>
      </c>
      <c r="K38" s="1032">
        <v>0</v>
      </c>
      <c r="L38" s="1032">
        <v>0</v>
      </c>
      <c r="M38" s="1032" t="s">
        <v>205</v>
      </c>
      <c r="N38" s="1033" t="s">
        <v>6858</v>
      </c>
      <c r="O38" s="1032" t="s">
        <v>6901</v>
      </c>
    </row>
    <row r="39" spans="2:15" ht="21.95" customHeight="1" x14ac:dyDescent="0.2">
      <c r="B39" s="1061">
        <v>1</v>
      </c>
      <c r="C39" s="1060" t="s">
        <v>7255</v>
      </c>
      <c r="D39" s="1041" t="s">
        <v>7348</v>
      </c>
      <c r="E39" s="1045" t="s">
        <v>7349</v>
      </c>
      <c r="F39" s="1056">
        <v>0</v>
      </c>
      <c r="G39" s="1035">
        <v>0</v>
      </c>
      <c r="H39" s="1035">
        <v>0</v>
      </c>
      <c r="I39" s="1034" t="s">
        <v>7351</v>
      </c>
      <c r="J39" s="1032">
        <v>0</v>
      </c>
      <c r="K39" s="1032" t="s">
        <v>7359</v>
      </c>
      <c r="L39" s="1032">
        <v>0</v>
      </c>
      <c r="M39" s="1032">
        <v>0</v>
      </c>
      <c r="N39" s="1059" t="s">
        <v>7090</v>
      </c>
      <c r="O39" s="1032">
        <v>0</v>
      </c>
    </row>
    <row r="40" spans="2:15" ht="21.95" customHeight="1" x14ac:dyDescent="0.2">
      <c r="B40" s="1074">
        <v>1</v>
      </c>
      <c r="C40" s="1073" t="s">
        <v>7253</v>
      </c>
      <c r="D40" s="1041" t="s">
        <v>7348</v>
      </c>
      <c r="E40" s="1045" t="s">
        <v>7349</v>
      </c>
      <c r="F40" s="1034">
        <v>0</v>
      </c>
      <c r="G40" s="1035" t="s">
        <v>7347</v>
      </c>
      <c r="H40" s="1035" t="s">
        <v>7345</v>
      </c>
      <c r="I40" s="1034">
        <v>0</v>
      </c>
      <c r="J40" s="1032" t="s">
        <v>7354</v>
      </c>
      <c r="K40" s="1032" t="s">
        <v>7355</v>
      </c>
      <c r="L40" s="1032" t="s">
        <v>7356</v>
      </c>
      <c r="M40" s="1032" t="s">
        <v>7353</v>
      </c>
      <c r="N40" s="1072" t="s">
        <v>6981</v>
      </c>
      <c r="O40" s="1032" t="s">
        <v>7155</v>
      </c>
    </row>
    <row r="41" spans="2:15" ht="21.95" customHeight="1" x14ac:dyDescent="0.2">
      <c r="B41" s="1064">
        <v>1</v>
      </c>
      <c r="C41" s="1063" t="s">
        <v>7250</v>
      </c>
      <c r="D41" s="1037">
        <v>0</v>
      </c>
      <c r="E41" s="1035">
        <v>0</v>
      </c>
      <c r="F41" s="1036" t="s">
        <v>7346</v>
      </c>
      <c r="G41" s="1035" t="s">
        <v>7347</v>
      </c>
      <c r="H41" s="1035" t="s">
        <v>7345</v>
      </c>
      <c r="I41" s="1034">
        <v>0</v>
      </c>
      <c r="J41" s="1032">
        <v>0</v>
      </c>
      <c r="K41" s="1032">
        <v>0</v>
      </c>
      <c r="L41" s="1032">
        <v>0</v>
      </c>
      <c r="M41" s="1032">
        <v>0</v>
      </c>
      <c r="N41" s="1062" t="s">
        <v>6916</v>
      </c>
      <c r="O41" s="1032">
        <v>0</v>
      </c>
    </row>
    <row r="42" spans="2:15" ht="21.95" customHeight="1" x14ac:dyDescent="0.2">
      <c r="B42" s="1039">
        <v>1</v>
      </c>
      <c r="C42" s="1038" t="s">
        <v>7247</v>
      </c>
      <c r="D42" s="1037">
        <v>0</v>
      </c>
      <c r="E42" s="1045" t="s">
        <v>7349</v>
      </c>
      <c r="F42" s="1034">
        <v>0</v>
      </c>
      <c r="G42" s="1035">
        <v>0</v>
      </c>
      <c r="H42" s="1035" t="s">
        <v>7345</v>
      </c>
      <c r="I42" s="1034">
        <v>0</v>
      </c>
      <c r="J42" s="1032">
        <v>0</v>
      </c>
      <c r="K42" s="1032">
        <v>0</v>
      </c>
      <c r="L42" s="1032">
        <v>0</v>
      </c>
      <c r="M42" s="1032">
        <v>0</v>
      </c>
      <c r="N42" s="1033" t="s">
        <v>6858</v>
      </c>
      <c r="O42" s="1032">
        <v>0</v>
      </c>
    </row>
    <row r="43" spans="2:15" ht="21.95" customHeight="1" x14ac:dyDescent="0.2">
      <c r="B43" s="1039">
        <v>1</v>
      </c>
      <c r="C43" s="1038" t="s">
        <v>7245</v>
      </c>
      <c r="D43" s="1041" t="s">
        <v>7348</v>
      </c>
      <c r="E43" s="1045" t="s">
        <v>7349</v>
      </c>
      <c r="F43" s="1034">
        <v>0</v>
      </c>
      <c r="G43" s="1035" t="s">
        <v>7347</v>
      </c>
      <c r="H43" s="1035" t="s">
        <v>7345</v>
      </c>
      <c r="I43" s="1034">
        <v>0</v>
      </c>
      <c r="J43" s="1032">
        <v>0</v>
      </c>
      <c r="K43" s="1032">
        <v>0</v>
      </c>
      <c r="L43" s="1032">
        <v>0</v>
      </c>
      <c r="M43" s="1032">
        <v>0</v>
      </c>
      <c r="N43" s="1033" t="s">
        <v>6858</v>
      </c>
      <c r="O43" s="1032" t="s">
        <v>6885</v>
      </c>
    </row>
    <row r="44" spans="2:15" ht="21.95" customHeight="1" x14ac:dyDescent="0.2">
      <c r="B44" s="1050">
        <v>1</v>
      </c>
      <c r="C44" s="1049" t="s">
        <v>7243</v>
      </c>
      <c r="D44" s="1037">
        <v>0</v>
      </c>
      <c r="E44" s="1045" t="s">
        <v>7349</v>
      </c>
      <c r="F44" s="1034">
        <v>0</v>
      </c>
      <c r="G44" s="1035" t="s">
        <v>7347</v>
      </c>
      <c r="H44" s="1035" t="s">
        <v>7345</v>
      </c>
      <c r="I44" s="1034">
        <v>0</v>
      </c>
      <c r="J44" s="1032">
        <v>0</v>
      </c>
      <c r="K44" s="1032">
        <v>0</v>
      </c>
      <c r="L44" s="1032">
        <v>0</v>
      </c>
      <c r="M44" s="1032">
        <v>0</v>
      </c>
      <c r="N44" s="1048" t="s">
        <v>6928</v>
      </c>
      <c r="O44" s="1051" t="s">
        <v>7361</v>
      </c>
    </row>
    <row r="45" spans="2:15" ht="21.95" customHeight="1" x14ac:dyDescent="0.2">
      <c r="B45" s="1050">
        <v>1</v>
      </c>
      <c r="C45" s="1049" t="s">
        <v>7241</v>
      </c>
      <c r="D45" s="1037">
        <v>0</v>
      </c>
      <c r="E45" s="1045" t="s">
        <v>7349</v>
      </c>
      <c r="F45" s="1034">
        <v>0</v>
      </c>
      <c r="G45" s="1035">
        <v>0</v>
      </c>
      <c r="H45" s="1035" t="s">
        <v>7345</v>
      </c>
      <c r="I45" s="1034">
        <v>0</v>
      </c>
      <c r="J45" s="1032" t="s">
        <v>7350</v>
      </c>
      <c r="K45" s="1032">
        <v>0</v>
      </c>
      <c r="L45" s="1032">
        <v>0</v>
      </c>
      <c r="M45" s="1032" t="s">
        <v>205</v>
      </c>
      <c r="N45" s="1048" t="s">
        <v>6928</v>
      </c>
      <c r="O45" s="1051" t="s">
        <v>7361</v>
      </c>
    </row>
    <row r="46" spans="2:15" ht="21.95" customHeight="1" x14ac:dyDescent="0.2">
      <c r="B46" s="1064">
        <v>1</v>
      </c>
      <c r="C46" s="1063" t="s">
        <v>7239</v>
      </c>
      <c r="D46" s="1041" t="s">
        <v>7348</v>
      </c>
      <c r="E46" s="1045" t="s">
        <v>7349</v>
      </c>
      <c r="F46" s="1034">
        <v>0</v>
      </c>
      <c r="G46" s="1035" t="s">
        <v>7347</v>
      </c>
      <c r="H46" s="1035" t="s">
        <v>7345</v>
      </c>
      <c r="I46" s="1034">
        <v>0</v>
      </c>
      <c r="J46" s="1032">
        <v>0</v>
      </c>
      <c r="K46" s="1032">
        <v>0</v>
      </c>
      <c r="L46" s="1032">
        <v>0</v>
      </c>
      <c r="M46" s="1032">
        <v>0</v>
      </c>
      <c r="N46" s="1062" t="s">
        <v>6916</v>
      </c>
      <c r="O46" s="1032" t="s">
        <v>6885</v>
      </c>
    </row>
    <row r="47" spans="2:15" ht="21.95" customHeight="1" x14ac:dyDescent="0.2">
      <c r="B47" s="1039">
        <v>1</v>
      </c>
      <c r="C47" s="1038" t="s">
        <v>7237</v>
      </c>
      <c r="D47" s="1037">
        <v>0</v>
      </c>
      <c r="E47" s="1045" t="s">
        <v>7349</v>
      </c>
      <c r="F47" s="1034">
        <v>0</v>
      </c>
      <c r="G47" s="1035" t="s">
        <v>7347</v>
      </c>
      <c r="H47" s="1035" t="s">
        <v>7345</v>
      </c>
      <c r="I47" s="1034">
        <v>0</v>
      </c>
      <c r="J47" s="1032" t="s">
        <v>154</v>
      </c>
      <c r="K47" s="1032" t="s">
        <v>325</v>
      </c>
      <c r="L47" s="1032" t="s">
        <v>570</v>
      </c>
      <c r="M47" s="1032" t="s">
        <v>205</v>
      </c>
      <c r="N47" s="1033" t="s">
        <v>6858</v>
      </c>
      <c r="O47" s="1051" t="s">
        <v>7361</v>
      </c>
    </row>
    <row r="48" spans="2:15" ht="21.95" customHeight="1" x14ac:dyDescent="0.2">
      <c r="B48" s="1064">
        <v>1</v>
      </c>
      <c r="C48" s="1063" t="s">
        <v>7235</v>
      </c>
      <c r="D48" s="1041" t="s">
        <v>7348</v>
      </c>
      <c r="E48" s="1035">
        <v>0</v>
      </c>
      <c r="F48" s="1034">
        <v>0</v>
      </c>
      <c r="G48" s="1035" t="s">
        <v>7347</v>
      </c>
      <c r="H48" s="1035" t="s">
        <v>7345</v>
      </c>
      <c r="I48" s="1034">
        <v>0</v>
      </c>
      <c r="J48" s="1032" t="s">
        <v>154</v>
      </c>
      <c r="K48" s="1032" t="s">
        <v>325</v>
      </c>
      <c r="L48" s="1032" t="s">
        <v>570</v>
      </c>
      <c r="M48" s="1032" t="s">
        <v>205</v>
      </c>
      <c r="N48" s="1062" t="s">
        <v>6916</v>
      </c>
      <c r="O48" s="1051">
        <v>0</v>
      </c>
    </row>
    <row r="49" spans="2:15" ht="21.95" customHeight="1" x14ac:dyDescent="0.2">
      <c r="B49" s="1064">
        <v>1</v>
      </c>
      <c r="C49" s="1063" t="s">
        <v>7233</v>
      </c>
      <c r="D49" s="1037">
        <v>0</v>
      </c>
      <c r="E49" s="1045" t="s">
        <v>7349</v>
      </c>
      <c r="F49" s="1034">
        <v>0</v>
      </c>
      <c r="G49" s="1035">
        <v>0</v>
      </c>
      <c r="H49" s="1035" t="s">
        <v>7345</v>
      </c>
      <c r="I49" s="1034">
        <v>0</v>
      </c>
      <c r="J49" s="1032">
        <v>0</v>
      </c>
      <c r="K49" s="1032">
        <v>0</v>
      </c>
      <c r="L49" s="1032">
        <v>0</v>
      </c>
      <c r="M49" s="1032">
        <v>0</v>
      </c>
      <c r="N49" s="1062" t="s">
        <v>6916</v>
      </c>
      <c r="O49" s="1051" t="s">
        <v>7361</v>
      </c>
    </row>
    <row r="50" spans="2:15" ht="21.95" customHeight="1" x14ac:dyDescent="0.2">
      <c r="B50" s="1061">
        <v>1</v>
      </c>
      <c r="C50" s="1060" t="s">
        <v>7231</v>
      </c>
      <c r="D50" s="1041" t="s">
        <v>7348</v>
      </c>
      <c r="E50" s="1045" t="s">
        <v>7349</v>
      </c>
      <c r="F50" s="1056">
        <v>0</v>
      </c>
      <c r="G50" s="1035" t="s">
        <v>7347</v>
      </c>
      <c r="H50" s="1035" t="s">
        <v>7345</v>
      </c>
      <c r="I50" s="1034">
        <v>0</v>
      </c>
      <c r="J50" s="1032">
        <v>0</v>
      </c>
      <c r="K50" s="1032">
        <v>0</v>
      </c>
      <c r="L50" s="1032">
        <v>0</v>
      </c>
      <c r="M50" s="1032">
        <v>0</v>
      </c>
      <c r="N50" s="1059" t="s">
        <v>7090</v>
      </c>
      <c r="O50" s="1032" t="s">
        <v>6885</v>
      </c>
    </row>
    <row r="51" spans="2:15" ht="21.95" customHeight="1" x14ac:dyDescent="0.2">
      <c r="B51" s="1050">
        <v>1</v>
      </c>
      <c r="C51" s="1049" t="s">
        <v>7229</v>
      </c>
      <c r="D51" s="1041" t="s">
        <v>7348</v>
      </c>
      <c r="E51" s="1045" t="s">
        <v>7349</v>
      </c>
      <c r="F51" s="1034">
        <v>0</v>
      </c>
      <c r="G51" s="1035" t="s">
        <v>7347</v>
      </c>
      <c r="H51" s="1035" t="s">
        <v>7345</v>
      </c>
      <c r="I51" s="1034">
        <v>0</v>
      </c>
      <c r="J51" s="1032" t="s">
        <v>154</v>
      </c>
      <c r="K51" s="1032">
        <v>0</v>
      </c>
      <c r="L51" s="1032">
        <v>0</v>
      </c>
      <c r="M51" s="1032" t="s">
        <v>205</v>
      </c>
      <c r="N51" s="1048" t="s">
        <v>6928</v>
      </c>
      <c r="O51" s="1032" t="s">
        <v>6885</v>
      </c>
    </row>
    <row r="52" spans="2:15" ht="21.95" customHeight="1" x14ac:dyDescent="0.2">
      <c r="B52" s="1064">
        <v>1</v>
      </c>
      <c r="C52" s="1063" t="s">
        <v>7227</v>
      </c>
      <c r="D52" s="1037">
        <v>0</v>
      </c>
      <c r="E52" s="1045" t="s">
        <v>7349</v>
      </c>
      <c r="F52" s="1034">
        <v>0</v>
      </c>
      <c r="G52" s="1035">
        <v>0</v>
      </c>
      <c r="H52" s="1035" t="s">
        <v>7345</v>
      </c>
      <c r="I52" s="1034">
        <v>0</v>
      </c>
      <c r="J52" s="1032">
        <v>0</v>
      </c>
      <c r="K52" s="1032">
        <v>0</v>
      </c>
      <c r="L52" s="1032">
        <v>0</v>
      </c>
      <c r="M52" s="1032">
        <v>0</v>
      </c>
      <c r="N52" s="1062" t="s">
        <v>6916</v>
      </c>
      <c r="O52" s="1032" t="s">
        <v>6870</v>
      </c>
    </row>
    <row r="53" spans="2:15" ht="21.95" customHeight="1" x14ac:dyDescent="0.2">
      <c r="B53" s="1043">
        <v>1</v>
      </c>
      <c r="C53" s="1042" t="s">
        <v>7225</v>
      </c>
      <c r="D53" s="1041" t="s">
        <v>7348</v>
      </c>
      <c r="E53" s="1035">
        <v>0</v>
      </c>
      <c r="F53" s="1034">
        <v>0</v>
      </c>
      <c r="G53" s="1035" t="s">
        <v>7347</v>
      </c>
      <c r="H53" s="1035">
        <v>0</v>
      </c>
      <c r="I53" s="1034" t="s">
        <v>7351</v>
      </c>
      <c r="J53" s="1032" t="s">
        <v>7354</v>
      </c>
      <c r="K53" s="1032" t="s">
        <v>7355</v>
      </c>
      <c r="L53" s="1032" t="s">
        <v>570</v>
      </c>
      <c r="M53" s="1032" t="s">
        <v>7353</v>
      </c>
      <c r="N53" s="1040" t="s">
        <v>6865</v>
      </c>
      <c r="O53" s="1032">
        <v>0</v>
      </c>
    </row>
    <row r="54" spans="2:15" ht="21.95" customHeight="1" x14ac:dyDescent="0.2">
      <c r="B54" s="1082">
        <v>1</v>
      </c>
      <c r="C54" s="1081" t="s">
        <v>7222</v>
      </c>
      <c r="D54" s="1037">
        <v>0</v>
      </c>
      <c r="E54" s="1045" t="s">
        <v>7349</v>
      </c>
      <c r="F54" s="1034">
        <v>0</v>
      </c>
      <c r="G54" s="1035">
        <v>0</v>
      </c>
      <c r="H54" s="1035" t="s">
        <v>7345</v>
      </c>
      <c r="I54" s="1034">
        <v>0</v>
      </c>
      <c r="J54" s="1032">
        <v>0</v>
      </c>
      <c r="K54" s="1032">
        <v>0</v>
      </c>
      <c r="L54" s="1032">
        <v>0</v>
      </c>
      <c r="M54" s="1032">
        <v>0</v>
      </c>
      <c r="N54" s="1080" t="s">
        <v>7067</v>
      </c>
      <c r="O54" s="1032" t="s">
        <v>6870</v>
      </c>
    </row>
    <row r="55" spans="2:15" ht="21.95" customHeight="1" x14ac:dyDescent="0.2">
      <c r="B55" s="1082">
        <v>1</v>
      </c>
      <c r="C55" s="1081" t="s">
        <v>7220</v>
      </c>
      <c r="D55" s="1041" t="s">
        <v>7348</v>
      </c>
      <c r="E55" s="1045" t="s">
        <v>7349</v>
      </c>
      <c r="F55" s="1034">
        <v>0</v>
      </c>
      <c r="G55" s="1035">
        <v>0</v>
      </c>
      <c r="H55" s="1035">
        <v>0</v>
      </c>
      <c r="I55" s="1034" t="s">
        <v>7351</v>
      </c>
      <c r="J55" s="1032" t="s">
        <v>7350</v>
      </c>
      <c r="K55" s="1032">
        <v>0</v>
      </c>
      <c r="L55" s="1032">
        <v>0</v>
      </c>
      <c r="M55" s="1032">
        <v>0</v>
      </c>
      <c r="N55" s="1080" t="s">
        <v>7358</v>
      </c>
      <c r="O55" s="1032">
        <v>0</v>
      </c>
    </row>
    <row r="56" spans="2:15" ht="21.95" customHeight="1" x14ac:dyDescent="0.2">
      <c r="B56" s="1039">
        <v>1</v>
      </c>
      <c r="C56" s="1038" t="s">
        <v>7218</v>
      </c>
      <c r="D56" s="1037">
        <v>0</v>
      </c>
      <c r="E56" s="1035">
        <v>0</v>
      </c>
      <c r="F56" s="1036" t="s">
        <v>7346</v>
      </c>
      <c r="G56" s="1035" t="s">
        <v>7347</v>
      </c>
      <c r="H56" s="1035" t="s">
        <v>7345</v>
      </c>
      <c r="I56" s="1034">
        <v>0</v>
      </c>
      <c r="J56" s="1032">
        <v>0</v>
      </c>
      <c r="K56" s="1032">
        <v>0</v>
      </c>
      <c r="L56" s="1032">
        <v>0</v>
      </c>
      <c r="M56" s="1032">
        <v>0</v>
      </c>
      <c r="N56" s="1033" t="s">
        <v>6858</v>
      </c>
      <c r="O56" s="1032">
        <v>0</v>
      </c>
    </row>
    <row r="57" spans="2:15" ht="21.95" customHeight="1" x14ac:dyDescent="0.2">
      <c r="B57" s="1039">
        <v>1</v>
      </c>
      <c r="C57" s="1038" t="s">
        <v>7216</v>
      </c>
      <c r="D57" s="1037">
        <v>0</v>
      </c>
      <c r="E57" s="1045" t="s">
        <v>7349</v>
      </c>
      <c r="F57" s="1034">
        <v>0</v>
      </c>
      <c r="G57" s="1035" t="s">
        <v>7347</v>
      </c>
      <c r="H57" s="1035">
        <v>0</v>
      </c>
      <c r="I57" s="1034">
        <v>0</v>
      </c>
      <c r="J57" s="1032">
        <v>0</v>
      </c>
      <c r="K57" s="1032">
        <v>0</v>
      </c>
      <c r="L57" s="1032">
        <v>0</v>
      </c>
      <c r="M57" s="1032">
        <v>0</v>
      </c>
      <c r="N57" s="1033" t="s">
        <v>6858</v>
      </c>
      <c r="O57" s="1032">
        <v>0</v>
      </c>
    </row>
    <row r="58" spans="2:15" ht="21.95" customHeight="1" x14ac:dyDescent="0.2">
      <c r="B58" s="1064">
        <v>1</v>
      </c>
      <c r="C58" s="1063" t="s">
        <v>7211</v>
      </c>
      <c r="D58" s="1041" t="s">
        <v>7348</v>
      </c>
      <c r="E58" s="1045" t="s">
        <v>7349</v>
      </c>
      <c r="F58" s="1034">
        <v>0</v>
      </c>
      <c r="G58" s="1035" t="s">
        <v>7347</v>
      </c>
      <c r="H58" s="1035" t="s">
        <v>7345</v>
      </c>
      <c r="I58" s="1034">
        <v>0</v>
      </c>
      <c r="J58" s="1032">
        <v>0</v>
      </c>
      <c r="K58" s="1032" t="s">
        <v>325</v>
      </c>
      <c r="L58" s="1032" t="s">
        <v>570</v>
      </c>
      <c r="M58" s="1032" t="s">
        <v>205</v>
      </c>
      <c r="N58" s="1062" t="s">
        <v>6916</v>
      </c>
      <c r="O58" s="1032" t="s">
        <v>6870</v>
      </c>
    </row>
    <row r="59" spans="2:15" ht="21.95" customHeight="1" x14ac:dyDescent="0.2">
      <c r="B59" s="1050">
        <v>1</v>
      </c>
      <c r="C59" s="1049" t="s">
        <v>7209</v>
      </c>
      <c r="D59" s="1037">
        <v>0</v>
      </c>
      <c r="E59" s="1045" t="s">
        <v>7349</v>
      </c>
      <c r="F59" s="1034">
        <v>0</v>
      </c>
      <c r="G59" s="1032" t="s">
        <v>7360</v>
      </c>
      <c r="H59" s="1032" t="s">
        <v>7360</v>
      </c>
      <c r="I59" s="1034">
        <v>0</v>
      </c>
      <c r="J59" s="1032">
        <v>0</v>
      </c>
      <c r="K59" s="1032">
        <v>0</v>
      </c>
      <c r="L59" s="1032">
        <v>0</v>
      </c>
      <c r="M59" s="1032">
        <v>0</v>
      </c>
      <c r="N59" s="1048" t="s">
        <v>6928</v>
      </c>
      <c r="O59" s="1032" t="s">
        <v>6870</v>
      </c>
    </row>
    <row r="60" spans="2:15" ht="21.95" customHeight="1" x14ac:dyDescent="0.2">
      <c r="B60" s="1074">
        <v>1</v>
      </c>
      <c r="C60" s="1073" t="s">
        <v>7207</v>
      </c>
      <c r="D60" s="1037">
        <v>0</v>
      </c>
      <c r="E60" s="1045" t="s">
        <v>7349</v>
      </c>
      <c r="F60" s="1034">
        <v>0</v>
      </c>
      <c r="G60" s="1035">
        <v>0</v>
      </c>
      <c r="H60" s="1035" t="s">
        <v>7345</v>
      </c>
      <c r="I60" s="1034">
        <v>0</v>
      </c>
      <c r="J60" s="1032">
        <v>0</v>
      </c>
      <c r="K60" s="1032">
        <v>0</v>
      </c>
      <c r="L60" s="1032">
        <v>0</v>
      </c>
      <c r="M60" s="1032" t="s">
        <v>7352</v>
      </c>
      <c r="N60" s="1072" t="s">
        <v>6981</v>
      </c>
      <c r="O60" s="1032" t="s">
        <v>6870</v>
      </c>
    </row>
    <row r="61" spans="2:15" ht="21.95" customHeight="1" x14ac:dyDescent="0.2">
      <c r="B61" s="1074">
        <v>1</v>
      </c>
      <c r="C61" s="1073" t="s">
        <v>7205</v>
      </c>
      <c r="D61" s="1037">
        <v>0</v>
      </c>
      <c r="E61" s="1045" t="s">
        <v>7349</v>
      </c>
      <c r="F61" s="1034">
        <v>0</v>
      </c>
      <c r="G61" s="1035">
        <v>0</v>
      </c>
      <c r="H61" s="1035" t="s">
        <v>7345</v>
      </c>
      <c r="I61" s="1034">
        <v>0</v>
      </c>
      <c r="J61" s="1032">
        <v>0</v>
      </c>
      <c r="K61" s="1032">
        <v>0</v>
      </c>
      <c r="L61" s="1032" t="s">
        <v>570</v>
      </c>
      <c r="M61" s="1032" t="s">
        <v>205</v>
      </c>
      <c r="N61" s="1072" t="s">
        <v>6981</v>
      </c>
      <c r="O61" s="1032" t="s">
        <v>6870</v>
      </c>
    </row>
    <row r="62" spans="2:15" ht="21.95" customHeight="1" x14ac:dyDescent="0.2">
      <c r="B62" s="1039">
        <v>1</v>
      </c>
      <c r="C62" s="1038" t="s">
        <v>7203</v>
      </c>
      <c r="D62" s="1037">
        <v>0</v>
      </c>
      <c r="E62" s="1045" t="s">
        <v>7349</v>
      </c>
      <c r="F62" s="1034">
        <v>0</v>
      </c>
      <c r="G62" s="1035">
        <v>0</v>
      </c>
      <c r="H62" s="1035" t="s">
        <v>7345</v>
      </c>
      <c r="I62" s="1034">
        <v>0</v>
      </c>
      <c r="J62" s="1032">
        <v>0</v>
      </c>
      <c r="K62" s="1032">
        <v>0</v>
      </c>
      <c r="L62" s="1032">
        <v>0</v>
      </c>
      <c r="M62" s="1032">
        <v>0</v>
      </c>
      <c r="N62" s="1033" t="s">
        <v>6858</v>
      </c>
      <c r="O62" s="1032" t="s">
        <v>6857</v>
      </c>
    </row>
    <row r="63" spans="2:15" ht="21.95" customHeight="1" x14ac:dyDescent="0.2">
      <c r="B63" s="1082">
        <v>1</v>
      </c>
      <c r="C63" s="1081" t="s">
        <v>7201</v>
      </c>
      <c r="D63" s="1041" t="s">
        <v>7348</v>
      </c>
      <c r="E63" s="1035">
        <v>0</v>
      </c>
      <c r="F63" s="1034">
        <v>0</v>
      </c>
      <c r="G63" s="1035">
        <v>0</v>
      </c>
      <c r="H63" s="1035">
        <v>0</v>
      </c>
      <c r="I63" s="1034" t="s">
        <v>7351</v>
      </c>
      <c r="J63" s="1032">
        <v>0</v>
      </c>
      <c r="K63" s="1032">
        <v>0</v>
      </c>
      <c r="L63" s="1032">
        <v>0</v>
      </c>
      <c r="M63" s="1032">
        <v>0</v>
      </c>
      <c r="N63" s="1080" t="s">
        <v>7358</v>
      </c>
      <c r="O63" s="1032">
        <v>0</v>
      </c>
    </row>
    <row r="64" spans="2:15" ht="21.95" customHeight="1" x14ac:dyDescent="0.2">
      <c r="B64" s="1039">
        <v>1</v>
      </c>
      <c r="C64" s="1038" t="s">
        <v>7199</v>
      </c>
      <c r="D64" s="1041" t="s">
        <v>7348</v>
      </c>
      <c r="E64" s="1035">
        <v>0</v>
      </c>
      <c r="F64" s="1034">
        <v>0</v>
      </c>
      <c r="G64" s="1035" t="s">
        <v>7347</v>
      </c>
      <c r="H64" s="1035" t="s">
        <v>7345</v>
      </c>
      <c r="I64" s="1034">
        <v>0</v>
      </c>
      <c r="J64" s="1032" t="s">
        <v>7354</v>
      </c>
      <c r="K64" s="1032">
        <v>0</v>
      </c>
      <c r="L64" s="1032" t="s">
        <v>7356</v>
      </c>
      <c r="M64" s="1032" t="s">
        <v>7353</v>
      </c>
      <c r="N64" s="1033" t="s">
        <v>6858</v>
      </c>
      <c r="O64" s="1032" t="s">
        <v>7076</v>
      </c>
    </row>
    <row r="65" spans="2:15" ht="21.95" customHeight="1" x14ac:dyDescent="0.2">
      <c r="B65" s="1039">
        <v>1</v>
      </c>
      <c r="C65" s="1038" t="s">
        <v>7196</v>
      </c>
      <c r="D65" s="1041" t="s">
        <v>7348</v>
      </c>
      <c r="E65" s="1035">
        <v>0</v>
      </c>
      <c r="F65" s="1034">
        <v>0</v>
      </c>
      <c r="G65" s="1035" t="s">
        <v>7347</v>
      </c>
      <c r="H65" s="1035" t="s">
        <v>7345</v>
      </c>
      <c r="I65" s="1034">
        <v>0</v>
      </c>
      <c r="J65" s="1032" t="s">
        <v>7350</v>
      </c>
      <c r="K65" s="1032">
        <v>0</v>
      </c>
      <c r="L65" s="1032">
        <v>0</v>
      </c>
      <c r="M65" s="1032" t="s">
        <v>205</v>
      </c>
      <c r="N65" s="1033" t="s">
        <v>6858</v>
      </c>
      <c r="O65" s="1032" t="s">
        <v>7195</v>
      </c>
    </row>
    <row r="66" spans="2:15" ht="21.95" customHeight="1" x14ac:dyDescent="0.2">
      <c r="B66" s="1050">
        <v>1</v>
      </c>
      <c r="C66" s="1049" t="s">
        <v>7192</v>
      </c>
      <c r="D66" s="1037">
        <v>0</v>
      </c>
      <c r="E66" s="1045" t="s">
        <v>7349</v>
      </c>
      <c r="F66" s="1034">
        <v>0</v>
      </c>
      <c r="G66" s="1035">
        <v>0</v>
      </c>
      <c r="H66" s="1035" t="s">
        <v>7345</v>
      </c>
      <c r="I66" s="1034">
        <v>0</v>
      </c>
      <c r="J66" s="1032" t="s">
        <v>154</v>
      </c>
      <c r="K66" s="1032" t="s">
        <v>325</v>
      </c>
      <c r="L66" s="1032">
        <v>0</v>
      </c>
      <c r="M66" s="1032" t="s">
        <v>205</v>
      </c>
      <c r="N66" s="1048" t="s">
        <v>6928</v>
      </c>
      <c r="O66" s="1032" t="s">
        <v>6885</v>
      </c>
    </row>
    <row r="67" spans="2:15" ht="21.95" customHeight="1" x14ac:dyDescent="0.2">
      <c r="B67" s="1064">
        <v>1</v>
      </c>
      <c r="C67" s="1063" t="s">
        <v>7189</v>
      </c>
      <c r="D67" s="1037">
        <v>0</v>
      </c>
      <c r="E67" s="1045" t="s">
        <v>7349</v>
      </c>
      <c r="F67" s="1034">
        <v>0</v>
      </c>
      <c r="G67" s="1035">
        <v>0</v>
      </c>
      <c r="H67" s="1035" t="s">
        <v>7345</v>
      </c>
      <c r="I67" s="1034">
        <v>0</v>
      </c>
      <c r="J67" s="1032" t="s">
        <v>154</v>
      </c>
      <c r="K67" s="1032">
        <v>0</v>
      </c>
      <c r="L67" s="1032">
        <v>0</v>
      </c>
      <c r="M67" s="1032" t="s">
        <v>205</v>
      </c>
      <c r="N67" s="1062" t="s">
        <v>6916</v>
      </c>
      <c r="O67" s="1032" t="s">
        <v>7076</v>
      </c>
    </row>
    <row r="68" spans="2:15" ht="21.95" customHeight="1" x14ac:dyDescent="0.2">
      <c r="B68" s="1064">
        <v>1</v>
      </c>
      <c r="C68" s="1063" t="s">
        <v>7186</v>
      </c>
      <c r="D68" s="1037">
        <v>0</v>
      </c>
      <c r="E68" s="1045" t="s">
        <v>7349</v>
      </c>
      <c r="F68" s="1034">
        <v>0</v>
      </c>
      <c r="G68" s="1035">
        <v>0</v>
      </c>
      <c r="H68" s="1035" t="s">
        <v>7345</v>
      </c>
      <c r="I68" s="1034">
        <v>0</v>
      </c>
      <c r="J68" s="1032">
        <v>0</v>
      </c>
      <c r="K68" s="1032">
        <v>0</v>
      </c>
      <c r="L68" s="1032">
        <v>0</v>
      </c>
      <c r="M68" s="1032">
        <v>0</v>
      </c>
      <c r="N68" s="1062" t="s">
        <v>6916</v>
      </c>
      <c r="O68" s="1051" t="s">
        <v>7183</v>
      </c>
    </row>
    <row r="69" spans="2:15" ht="21.95" customHeight="1" x14ac:dyDescent="0.2">
      <c r="B69" s="1064">
        <v>1</v>
      </c>
      <c r="C69" s="1063" t="s">
        <v>7184</v>
      </c>
      <c r="D69" s="1037">
        <v>0</v>
      </c>
      <c r="E69" s="1035">
        <v>0</v>
      </c>
      <c r="F69" s="1036" t="s">
        <v>7346</v>
      </c>
      <c r="G69" s="1035" t="s">
        <v>7347</v>
      </c>
      <c r="H69" s="1035" t="s">
        <v>7345</v>
      </c>
      <c r="I69" s="1034">
        <v>0</v>
      </c>
      <c r="J69" s="1032">
        <v>0</v>
      </c>
      <c r="K69" s="1032">
        <v>0</v>
      </c>
      <c r="L69" s="1032">
        <v>0</v>
      </c>
      <c r="M69" s="1032">
        <v>0</v>
      </c>
      <c r="N69" s="1062" t="s">
        <v>6916</v>
      </c>
      <c r="O69" s="1051" t="s">
        <v>7183</v>
      </c>
    </row>
    <row r="70" spans="2:15" ht="21.95" customHeight="1" x14ac:dyDescent="0.2">
      <c r="B70" s="1068">
        <v>1</v>
      </c>
      <c r="C70" s="1067" t="s">
        <v>7181</v>
      </c>
      <c r="D70" s="1041" t="s">
        <v>7348</v>
      </c>
      <c r="E70" s="1035">
        <v>0</v>
      </c>
      <c r="F70" s="1034">
        <v>0</v>
      </c>
      <c r="G70" s="1035">
        <v>0</v>
      </c>
      <c r="H70" s="1035">
        <v>0</v>
      </c>
      <c r="I70" s="1034" t="s">
        <v>7351</v>
      </c>
      <c r="J70" s="1032">
        <v>0</v>
      </c>
      <c r="K70" s="1032">
        <v>0</v>
      </c>
      <c r="L70" s="1032">
        <v>0</v>
      </c>
      <c r="M70" s="1032">
        <v>0</v>
      </c>
      <c r="N70" s="1066" t="s">
        <v>6961</v>
      </c>
      <c r="O70" s="1032">
        <v>0</v>
      </c>
    </row>
    <row r="71" spans="2:15" ht="21.95" customHeight="1" x14ac:dyDescent="0.2">
      <c r="B71" s="1064">
        <v>1</v>
      </c>
      <c r="C71" s="1063" t="s">
        <v>7179</v>
      </c>
      <c r="D71" s="1037">
        <v>0</v>
      </c>
      <c r="E71" s="1035">
        <v>0</v>
      </c>
      <c r="F71" s="1036" t="s">
        <v>7346</v>
      </c>
      <c r="G71" s="1035" t="s">
        <v>7347</v>
      </c>
      <c r="H71" s="1035" t="s">
        <v>7345</v>
      </c>
      <c r="I71" s="1034">
        <v>0</v>
      </c>
      <c r="J71" s="1032">
        <v>0</v>
      </c>
      <c r="K71" s="1032">
        <v>0</v>
      </c>
      <c r="L71" s="1032">
        <v>0</v>
      </c>
      <c r="M71" s="1032">
        <v>0</v>
      </c>
      <c r="N71" s="1062" t="s">
        <v>6916</v>
      </c>
      <c r="O71" s="1032">
        <v>0</v>
      </c>
    </row>
    <row r="72" spans="2:15" ht="21.95" customHeight="1" x14ac:dyDescent="0.2">
      <c r="B72" s="1054">
        <v>1</v>
      </c>
      <c r="C72" s="1053" t="s">
        <v>7177</v>
      </c>
      <c r="D72" s="1037">
        <v>0</v>
      </c>
      <c r="E72" s="1045" t="s">
        <v>7349</v>
      </c>
      <c r="F72" s="1034">
        <v>0</v>
      </c>
      <c r="G72" s="1035">
        <v>0</v>
      </c>
      <c r="H72" s="1035">
        <v>0</v>
      </c>
      <c r="I72" s="1034" t="s">
        <v>7351</v>
      </c>
      <c r="J72" s="1032">
        <v>0</v>
      </c>
      <c r="K72" s="1032">
        <v>0</v>
      </c>
      <c r="L72" s="1032">
        <v>0</v>
      </c>
      <c r="M72" s="1032">
        <v>0</v>
      </c>
      <c r="N72" s="1052" t="s">
        <v>6892</v>
      </c>
      <c r="O72" s="1051" t="s">
        <v>7361</v>
      </c>
    </row>
    <row r="73" spans="2:15" ht="21.95" customHeight="1" x14ac:dyDescent="0.2">
      <c r="B73" s="1082">
        <v>1</v>
      </c>
      <c r="C73" s="1081" t="s">
        <v>7175</v>
      </c>
      <c r="D73" s="1037">
        <v>0</v>
      </c>
      <c r="E73" s="1045" t="s">
        <v>7349</v>
      </c>
      <c r="F73" s="1034">
        <v>0</v>
      </c>
      <c r="G73" s="1035">
        <v>0</v>
      </c>
      <c r="H73" s="1035">
        <v>0</v>
      </c>
      <c r="I73" s="1034" t="s">
        <v>7351</v>
      </c>
      <c r="J73" s="1032">
        <v>0</v>
      </c>
      <c r="K73" s="1032">
        <v>0</v>
      </c>
      <c r="L73" s="1032">
        <v>0</v>
      </c>
      <c r="M73" s="1032">
        <v>0</v>
      </c>
      <c r="N73" s="1080" t="s">
        <v>7067</v>
      </c>
      <c r="O73" s="1051" t="s">
        <v>7361</v>
      </c>
    </row>
    <row r="74" spans="2:15" ht="21.95" customHeight="1" x14ac:dyDescent="0.2">
      <c r="B74" s="1043">
        <v>1</v>
      </c>
      <c r="C74" s="1042" t="s">
        <v>7173</v>
      </c>
      <c r="D74" s="1037">
        <v>0</v>
      </c>
      <c r="E74" s="1045" t="s">
        <v>7349</v>
      </c>
      <c r="F74" s="1034">
        <v>0</v>
      </c>
      <c r="G74" s="1035">
        <v>0</v>
      </c>
      <c r="H74" s="1035" t="s">
        <v>7345</v>
      </c>
      <c r="I74" s="1034">
        <v>0</v>
      </c>
      <c r="J74" s="1032">
        <v>0</v>
      </c>
      <c r="K74" s="1032">
        <v>0</v>
      </c>
      <c r="L74" s="1032">
        <v>0</v>
      </c>
      <c r="M74" s="1032">
        <v>0</v>
      </c>
      <c r="N74" s="1040" t="s">
        <v>6865</v>
      </c>
      <c r="O74" s="1051" t="s">
        <v>7361</v>
      </c>
    </row>
    <row r="75" spans="2:15" ht="21.95" customHeight="1" x14ac:dyDescent="0.2">
      <c r="B75" s="1043">
        <v>1</v>
      </c>
      <c r="C75" s="1042" t="s">
        <v>7171</v>
      </c>
      <c r="D75" s="1037">
        <v>0</v>
      </c>
      <c r="E75" s="1045" t="s">
        <v>7349</v>
      </c>
      <c r="F75" s="1034">
        <v>0</v>
      </c>
      <c r="G75" s="1035">
        <v>0</v>
      </c>
      <c r="H75" s="1035" t="s">
        <v>7345</v>
      </c>
      <c r="I75" s="1034">
        <v>0</v>
      </c>
      <c r="J75" s="1032">
        <v>0</v>
      </c>
      <c r="K75" s="1032">
        <v>0</v>
      </c>
      <c r="L75" s="1032">
        <v>0</v>
      </c>
      <c r="M75" s="1032">
        <v>0</v>
      </c>
      <c r="N75" s="1040" t="s">
        <v>6865</v>
      </c>
      <c r="O75" s="1051" t="s">
        <v>7361</v>
      </c>
    </row>
    <row r="76" spans="2:15" ht="21.95" customHeight="1" x14ac:dyDescent="0.2">
      <c r="B76" s="1054">
        <v>1</v>
      </c>
      <c r="C76" s="1053" t="s">
        <v>7169</v>
      </c>
      <c r="D76" s="1037">
        <v>0</v>
      </c>
      <c r="E76" s="1045" t="s">
        <v>7349</v>
      </c>
      <c r="F76" s="1034">
        <v>0</v>
      </c>
      <c r="G76" s="1035">
        <v>0</v>
      </c>
      <c r="H76" s="1035">
        <v>0</v>
      </c>
      <c r="I76" s="1034" t="s">
        <v>7351</v>
      </c>
      <c r="J76" s="1032">
        <v>0</v>
      </c>
      <c r="K76" s="1032">
        <v>0</v>
      </c>
      <c r="L76" s="1032">
        <v>0</v>
      </c>
      <c r="M76" s="1032">
        <v>0</v>
      </c>
      <c r="N76" s="1052" t="s">
        <v>6892</v>
      </c>
      <c r="O76" s="1051" t="s">
        <v>7361</v>
      </c>
    </row>
    <row r="77" spans="2:15" ht="21.95" customHeight="1" x14ac:dyDescent="0.2">
      <c r="B77" s="1047">
        <v>1</v>
      </c>
      <c r="C77" s="1046" t="s">
        <v>7163</v>
      </c>
      <c r="D77" s="1041" t="s">
        <v>7348</v>
      </c>
      <c r="E77" s="1035">
        <v>0</v>
      </c>
      <c r="F77" s="1034">
        <v>0</v>
      </c>
      <c r="G77" s="1035">
        <v>0</v>
      </c>
      <c r="H77" s="1035">
        <v>0</v>
      </c>
      <c r="I77" s="1034" t="s">
        <v>7351</v>
      </c>
      <c r="J77" s="1032">
        <v>0</v>
      </c>
      <c r="K77" s="1032" t="s">
        <v>7359</v>
      </c>
      <c r="L77" s="1032">
        <v>0</v>
      </c>
      <c r="M77" s="1032">
        <v>0</v>
      </c>
      <c r="N77" s="1044" t="s">
        <v>6875</v>
      </c>
      <c r="O77" s="1032">
        <v>0</v>
      </c>
    </row>
    <row r="78" spans="2:15" ht="21.95" customHeight="1" x14ac:dyDescent="0.2">
      <c r="B78" s="1047">
        <v>1</v>
      </c>
      <c r="C78" s="1046" t="s">
        <v>7161</v>
      </c>
      <c r="D78" s="1041" t="s">
        <v>7348</v>
      </c>
      <c r="E78" s="1035">
        <v>0</v>
      </c>
      <c r="F78" s="1034">
        <v>0</v>
      </c>
      <c r="G78" s="1035">
        <v>0</v>
      </c>
      <c r="H78" s="1035">
        <v>0</v>
      </c>
      <c r="I78" s="1034" t="s">
        <v>7351</v>
      </c>
      <c r="J78" s="1032">
        <v>0</v>
      </c>
      <c r="K78" s="1032">
        <v>0</v>
      </c>
      <c r="L78" s="1032" t="s">
        <v>570</v>
      </c>
      <c r="M78" s="1032" t="s">
        <v>205</v>
      </c>
      <c r="N78" s="1044" t="s">
        <v>6875</v>
      </c>
      <c r="O78" s="1032">
        <v>0</v>
      </c>
    </row>
    <row r="79" spans="2:15" ht="21.95" customHeight="1" x14ac:dyDescent="0.2">
      <c r="B79" s="1064">
        <v>1</v>
      </c>
      <c r="C79" s="1063" t="s">
        <v>7159</v>
      </c>
      <c r="D79" s="1037">
        <v>0</v>
      </c>
      <c r="E79" s="1045" t="s">
        <v>7349</v>
      </c>
      <c r="F79" s="1034">
        <v>0</v>
      </c>
      <c r="G79" s="1035">
        <v>0</v>
      </c>
      <c r="H79" s="1035" t="s">
        <v>7345</v>
      </c>
      <c r="I79" s="1034">
        <v>0</v>
      </c>
      <c r="J79" s="1032">
        <v>0</v>
      </c>
      <c r="K79" s="1032">
        <v>0</v>
      </c>
      <c r="L79" s="1032">
        <v>0</v>
      </c>
      <c r="M79" s="1032">
        <v>0</v>
      </c>
      <c r="N79" s="1062" t="s">
        <v>6916</v>
      </c>
      <c r="O79" s="1032" t="s">
        <v>6870</v>
      </c>
    </row>
    <row r="80" spans="2:15" ht="21.95" customHeight="1" x14ac:dyDescent="0.2">
      <c r="B80" s="1043">
        <v>1</v>
      </c>
      <c r="C80" s="1042" t="s">
        <v>7157</v>
      </c>
      <c r="D80" s="1037">
        <v>0</v>
      </c>
      <c r="E80" s="1045" t="s">
        <v>7349</v>
      </c>
      <c r="F80" s="1034">
        <v>0</v>
      </c>
      <c r="G80" s="1035">
        <v>0</v>
      </c>
      <c r="H80" s="1035" t="s">
        <v>7345</v>
      </c>
      <c r="I80" s="1034">
        <v>0</v>
      </c>
      <c r="J80" s="1032">
        <v>0</v>
      </c>
      <c r="K80" s="1032">
        <v>0</v>
      </c>
      <c r="L80" s="1032">
        <v>0</v>
      </c>
      <c r="M80" s="1032">
        <v>0</v>
      </c>
      <c r="N80" s="1040" t="s">
        <v>6865</v>
      </c>
      <c r="O80" s="1032" t="s">
        <v>7155</v>
      </c>
    </row>
    <row r="81" spans="2:15" ht="21.95" customHeight="1" x14ac:dyDescent="0.2">
      <c r="B81" s="1050">
        <v>1</v>
      </c>
      <c r="C81" s="1049" t="s">
        <v>7152</v>
      </c>
      <c r="D81" s="1037">
        <v>0</v>
      </c>
      <c r="E81" s="1045" t="s">
        <v>7349</v>
      </c>
      <c r="F81" s="1034">
        <v>0</v>
      </c>
      <c r="G81" s="1035">
        <v>0</v>
      </c>
      <c r="H81" s="1035" t="s">
        <v>7345</v>
      </c>
      <c r="I81" s="1034">
        <v>0</v>
      </c>
      <c r="J81" s="1032">
        <v>0</v>
      </c>
      <c r="K81" s="1032">
        <v>0</v>
      </c>
      <c r="L81" s="1032">
        <v>0</v>
      </c>
      <c r="M81" s="1032">
        <v>0</v>
      </c>
      <c r="N81" s="1048" t="s">
        <v>6928</v>
      </c>
      <c r="O81" s="1032" t="s">
        <v>6870</v>
      </c>
    </row>
    <row r="82" spans="2:15" ht="21.95" customHeight="1" x14ac:dyDescent="0.2">
      <c r="B82" s="1047">
        <v>1</v>
      </c>
      <c r="C82" s="1046" t="s">
        <v>7150</v>
      </c>
      <c r="D82" s="1041" t="s">
        <v>7348</v>
      </c>
      <c r="E82" s="1035">
        <v>0</v>
      </c>
      <c r="F82" s="1034">
        <v>0</v>
      </c>
      <c r="G82" s="1035">
        <v>0</v>
      </c>
      <c r="H82" s="1035">
        <v>0</v>
      </c>
      <c r="I82" s="1034" t="s">
        <v>7351</v>
      </c>
      <c r="J82" s="1032">
        <v>0</v>
      </c>
      <c r="K82" s="1032">
        <v>0</v>
      </c>
      <c r="L82" s="1032" t="s">
        <v>7357</v>
      </c>
      <c r="M82" s="1032">
        <v>0</v>
      </c>
      <c r="N82" s="1044" t="s">
        <v>6875</v>
      </c>
      <c r="O82" s="1032">
        <v>0</v>
      </c>
    </row>
    <row r="83" spans="2:15" ht="21.95" customHeight="1" x14ac:dyDescent="0.2">
      <c r="B83" s="1054">
        <v>1</v>
      </c>
      <c r="C83" s="1053" t="s">
        <v>7147</v>
      </c>
      <c r="D83" s="1037">
        <v>0</v>
      </c>
      <c r="E83" s="1035">
        <v>0</v>
      </c>
      <c r="F83" s="1036" t="s">
        <v>7346</v>
      </c>
      <c r="G83" s="1035" t="s">
        <v>7347</v>
      </c>
      <c r="H83" s="1035" t="s">
        <v>7345</v>
      </c>
      <c r="I83" s="1034">
        <v>0</v>
      </c>
      <c r="J83" s="1032">
        <v>0</v>
      </c>
      <c r="K83" s="1032">
        <v>0</v>
      </c>
      <c r="L83" s="1032" t="s">
        <v>570</v>
      </c>
      <c r="M83" s="1032" t="s">
        <v>205</v>
      </c>
      <c r="N83" s="1052" t="s">
        <v>6892</v>
      </c>
      <c r="O83" s="1032">
        <v>0</v>
      </c>
    </row>
    <row r="84" spans="2:15" ht="21.95" customHeight="1" x14ac:dyDescent="0.2">
      <c r="B84" s="1039">
        <v>1</v>
      </c>
      <c r="C84" s="1038" t="s">
        <v>7145</v>
      </c>
      <c r="D84" s="1037">
        <v>0</v>
      </c>
      <c r="E84" s="1045" t="s">
        <v>7349</v>
      </c>
      <c r="F84" s="1034">
        <v>0</v>
      </c>
      <c r="G84" s="1035">
        <v>0</v>
      </c>
      <c r="H84" s="1035" t="s">
        <v>7345</v>
      </c>
      <c r="I84" s="1034">
        <v>0</v>
      </c>
      <c r="J84" s="1032">
        <v>0</v>
      </c>
      <c r="K84" s="1032">
        <v>0</v>
      </c>
      <c r="L84" s="1032">
        <v>0</v>
      </c>
      <c r="M84" s="1032">
        <v>0</v>
      </c>
      <c r="N84" s="1033" t="s">
        <v>7047</v>
      </c>
      <c r="O84" s="1032">
        <v>0</v>
      </c>
    </row>
    <row r="85" spans="2:15" ht="21.95" customHeight="1" x14ac:dyDescent="0.2">
      <c r="B85" s="1054">
        <v>1</v>
      </c>
      <c r="C85" s="1053" t="s">
        <v>7142</v>
      </c>
      <c r="D85" s="1037">
        <v>0</v>
      </c>
      <c r="E85" s="1035">
        <v>0</v>
      </c>
      <c r="F85" s="1036" t="s">
        <v>7346</v>
      </c>
      <c r="G85" s="1035" t="s">
        <v>7347</v>
      </c>
      <c r="H85" s="1035" t="s">
        <v>7345</v>
      </c>
      <c r="I85" s="1034">
        <v>0</v>
      </c>
      <c r="J85" s="1032">
        <v>0</v>
      </c>
      <c r="K85" s="1032">
        <v>0</v>
      </c>
      <c r="L85" s="1032">
        <v>0</v>
      </c>
      <c r="M85" s="1032">
        <v>0</v>
      </c>
      <c r="N85" s="1052" t="s">
        <v>6892</v>
      </c>
      <c r="O85" s="1032">
        <v>0</v>
      </c>
    </row>
    <row r="86" spans="2:15" ht="21.95" customHeight="1" x14ac:dyDescent="0.2">
      <c r="B86" s="1088">
        <v>1</v>
      </c>
      <c r="C86" s="1087" t="s">
        <v>7140</v>
      </c>
      <c r="D86" s="1037">
        <v>0</v>
      </c>
      <c r="E86" s="1035">
        <v>0</v>
      </c>
      <c r="F86" s="1036" t="s">
        <v>7346</v>
      </c>
      <c r="G86" s="1035" t="s">
        <v>7347</v>
      </c>
      <c r="H86" s="1035" t="s">
        <v>7345</v>
      </c>
      <c r="I86" s="1034">
        <v>0</v>
      </c>
      <c r="J86" s="1032">
        <v>0</v>
      </c>
      <c r="K86" s="1032">
        <v>0</v>
      </c>
      <c r="L86" s="1032">
        <v>0</v>
      </c>
      <c r="M86" s="1032">
        <v>0</v>
      </c>
      <c r="N86" s="1086" t="s">
        <v>7139</v>
      </c>
      <c r="O86" s="1032">
        <v>0</v>
      </c>
    </row>
    <row r="87" spans="2:15" ht="21.95" customHeight="1" x14ac:dyDescent="0.2">
      <c r="B87" s="1078">
        <v>1</v>
      </c>
      <c r="C87" s="1077" t="s">
        <v>7137</v>
      </c>
      <c r="D87" s="1037">
        <v>0</v>
      </c>
      <c r="E87" s="1045" t="s">
        <v>7349</v>
      </c>
      <c r="F87" s="1034">
        <v>0</v>
      </c>
      <c r="G87" s="1035">
        <v>0</v>
      </c>
      <c r="H87" s="1035" t="s">
        <v>7345</v>
      </c>
      <c r="I87" s="1034">
        <v>0</v>
      </c>
      <c r="J87" s="1032">
        <v>0</v>
      </c>
      <c r="K87" s="1032">
        <v>0</v>
      </c>
      <c r="L87" s="1032" t="s">
        <v>570</v>
      </c>
      <c r="M87" s="1032" t="s">
        <v>205</v>
      </c>
      <c r="N87" s="1079" t="s">
        <v>7018</v>
      </c>
      <c r="O87" s="1032">
        <v>0</v>
      </c>
    </row>
    <row r="88" spans="2:15" ht="21.95" customHeight="1" x14ac:dyDescent="0.2">
      <c r="B88" s="1071">
        <v>1</v>
      </c>
      <c r="C88" s="1070" t="s">
        <v>7135</v>
      </c>
      <c r="D88" s="1037">
        <v>0</v>
      </c>
      <c r="E88" s="1035">
        <v>0</v>
      </c>
      <c r="F88" s="1036" t="s">
        <v>7346</v>
      </c>
      <c r="G88" s="1035" t="s">
        <v>7347</v>
      </c>
      <c r="H88" s="1035" t="s">
        <v>7345</v>
      </c>
      <c r="I88" s="1034">
        <v>0</v>
      </c>
      <c r="J88" s="1032">
        <v>0</v>
      </c>
      <c r="K88" s="1032">
        <v>0</v>
      </c>
      <c r="L88" s="1032">
        <v>0</v>
      </c>
      <c r="M88" s="1032">
        <v>0</v>
      </c>
      <c r="N88" s="1069" t="s">
        <v>6970</v>
      </c>
      <c r="O88" s="1032">
        <v>0</v>
      </c>
    </row>
    <row r="89" spans="2:15" ht="21.95" customHeight="1" x14ac:dyDescent="0.2">
      <c r="B89" s="1082">
        <v>1</v>
      </c>
      <c r="C89" s="1081" t="s">
        <v>7133</v>
      </c>
      <c r="D89" s="1037">
        <v>0</v>
      </c>
      <c r="E89" s="1035">
        <v>0</v>
      </c>
      <c r="F89" s="1036" t="s">
        <v>7346</v>
      </c>
      <c r="G89" s="1035" t="s">
        <v>7347</v>
      </c>
      <c r="H89" s="1035" t="s">
        <v>7345</v>
      </c>
      <c r="I89" s="1034">
        <v>0</v>
      </c>
      <c r="J89" s="1032">
        <v>0</v>
      </c>
      <c r="K89" s="1032">
        <v>0</v>
      </c>
      <c r="L89" s="1032">
        <v>0</v>
      </c>
      <c r="M89" s="1032">
        <v>0</v>
      </c>
      <c r="N89" s="1080" t="s">
        <v>7358</v>
      </c>
      <c r="O89" s="1032">
        <v>0</v>
      </c>
    </row>
    <row r="90" spans="2:15" ht="21.95" customHeight="1" x14ac:dyDescent="0.2">
      <c r="B90" s="1050">
        <v>1</v>
      </c>
      <c r="C90" s="1049" t="s">
        <v>7131</v>
      </c>
      <c r="D90" s="1037">
        <v>0</v>
      </c>
      <c r="E90" s="1045" t="s">
        <v>7349</v>
      </c>
      <c r="F90" s="1034">
        <v>0</v>
      </c>
      <c r="G90" s="1035" t="s">
        <v>7347</v>
      </c>
      <c r="H90" s="1035">
        <v>0</v>
      </c>
      <c r="I90" s="1034">
        <v>0</v>
      </c>
      <c r="J90" s="1032">
        <v>0</v>
      </c>
      <c r="K90" s="1032">
        <v>0</v>
      </c>
      <c r="L90" s="1032" t="s">
        <v>570</v>
      </c>
      <c r="M90" s="1032" t="s">
        <v>205</v>
      </c>
      <c r="N90" s="1048" t="s">
        <v>6928</v>
      </c>
      <c r="O90" s="1032" t="s">
        <v>6870</v>
      </c>
    </row>
    <row r="91" spans="2:15" ht="21.95" customHeight="1" x14ac:dyDescent="0.2">
      <c r="B91" s="1039">
        <v>1</v>
      </c>
      <c r="C91" s="1038" t="s">
        <v>7129</v>
      </c>
      <c r="D91" s="1037">
        <v>0</v>
      </c>
      <c r="E91" s="1045" t="s">
        <v>7349</v>
      </c>
      <c r="F91" s="1034">
        <v>0</v>
      </c>
      <c r="G91" s="1035">
        <v>0</v>
      </c>
      <c r="H91" s="1035" t="s">
        <v>7345</v>
      </c>
      <c r="I91" s="1034">
        <v>0</v>
      </c>
      <c r="J91" s="1032">
        <v>0</v>
      </c>
      <c r="K91" s="1032">
        <v>0</v>
      </c>
      <c r="L91" s="1032">
        <v>0</v>
      </c>
      <c r="M91" s="1032">
        <v>0</v>
      </c>
      <c r="N91" s="1033" t="s">
        <v>6858</v>
      </c>
      <c r="O91" s="1032" t="s">
        <v>6901</v>
      </c>
    </row>
    <row r="92" spans="2:15" ht="21.95" customHeight="1" x14ac:dyDescent="0.2">
      <c r="B92" s="1074">
        <v>1</v>
      </c>
      <c r="C92" s="1073" t="s">
        <v>7127</v>
      </c>
      <c r="D92" s="1041" t="s">
        <v>7348</v>
      </c>
      <c r="E92" s="1035">
        <v>0</v>
      </c>
      <c r="F92" s="1034">
        <v>0</v>
      </c>
      <c r="G92" s="1035">
        <v>0</v>
      </c>
      <c r="H92" s="1035">
        <v>0</v>
      </c>
      <c r="I92" s="1034" t="s">
        <v>7351</v>
      </c>
      <c r="J92" s="1032">
        <v>0</v>
      </c>
      <c r="K92" s="1032">
        <v>0</v>
      </c>
      <c r="L92" s="1032">
        <v>0</v>
      </c>
      <c r="M92" s="1032">
        <v>0</v>
      </c>
      <c r="N92" s="1072" t="s">
        <v>6981</v>
      </c>
      <c r="O92" s="1032">
        <v>0</v>
      </c>
    </row>
    <row r="93" spans="2:15" ht="21.95" customHeight="1" x14ac:dyDescent="0.2">
      <c r="B93" s="1078">
        <v>1</v>
      </c>
      <c r="C93" s="1077" t="s">
        <v>7124</v>
      </c>
      <c r="D93" s="1041" t="s">
        <v>7348</v>
      </c>
      <c r="E93" s="1035">
        <v>0</v>
      </c>
      <c r="F93" s="1034">
        <v>0</v>
      </c>
      <c r="G93" s="1035">
        <v>0</v>
      </c>
      <c r="H93" s="1035">
        <v>0</v>
      </c>
      <c r="I93" s="1034" t="s">
        <v>7351</v>
      </c>
      <c r="J93" s="1032" t="s">
        <v>154</v>
      </c>
      <c r="K93" s="1032">
        <v>0</v>
      </c>
      <c r="L93" s="1032">
        <v>0</v>
      </c>
      <c r="M93" s="1032">
        <v>0</v>
      </c>
      <c r="N93" s="1079" t="s">
        <v>7018</v>
      </c>
      <c r="O93" s="1032">
        <v>0</v>
      </c>
    </row>
    <row r="94" spans="2:15" ht="21.95" customHeight="1" x14ac:dyDescent="0.2">
      <c r="B94" s="1085">
        <v>1</v>
      </c>
      <c r="C94" s="1084" t="s">
        <v>7120</v>
      </c>
      <c r="D94" s="1037">
        <v>0</v>
      </c>
      <c r="E94" s="1035">
        <v>0</v>
      </c>
      <c r="F94" s="1056" t="s">
        <v>7346</v>
      </c>
      <c r="G94" s="1035" t="s">
        <v>7347</v>
      </c>
      <c r="H94" s="1035" t="s">
        <v>7345</v>
      </c>
      <c r="I94" s="1034">
        <v>0</v>
      </c>
      <c r="J94" s="1032">
        <v>0</v>
      </c>
      <c r="K94" s="1032">
        <v>0</v>
      </c>
      <c r="L94" s="1032">
        <v>0</v>
      </c>
      <c r="M94" s="1032">
        <v>0</v>
      </c>
      <c r="N94" s="1083" t="s">
        <v>7097</v>
      </c>
      <c r="O94" s="1051" t="s">
        <v>6891</v>
      </c>
    </row>
    <row r="95" spans="2:15" ht="21.95" customHeight="1" x14ac:dyDescent="0.2">
      <c r="B95" s="1058">
        <v>1</v>
      </c>
      <c r="C95" s="1057" t="s">
        <v>7118</v>
      </c>
      <c r="D95" s="1037">
        <v>0</v>
      </c>
      <c r="E95" s="1045" t="s">
        <v>7349</v>
      </c>
      <c r="F95" s="1056">
        <v>0</v>
      </c>
      <c r="G95" s="1035" t="s">
        <v>7347</v>
      </c>
      <c r="H95" s="1035" t="s">
        <v>7345</v>
      </c>
      <c r="I95" s="1034">
        <v>0</v>
      </c>
      <c r="J95" s="1032">
        <v>0</v>
      </c>
      <c r="K95" s="1032">
        <v>0</v>
      </c>
      <c r="L95" s="1032">
        <v>0</v>
      </c>
      <c r="M95" s="1032">
        <v>0</v>
      </c>
      <c r="N95" s="1055" t="s">
        <v>7015</v>
      </c>
      <c r="O95" s="1051" t="s">
        <v>6891</v>
      </c>
    </row>
    <row r="96" spans="2:15" ht="21.95" customHeight="1" x14ac:dyDescent="0.2">
      <c r="B96" s="1043">
        <v>1</v>
      </c>
      <c r="C96" s="1042" t="s">
        <v>7116</v>
      </c>
      <c r="D96" s="1037">
        <v>0</v>
      </c>
      <c r="E96" s="1045" t="s">
        <v>7349</v>
      </c>
      <c r="F96" s="1034">
        <v>0</v>
      </c>
      <c r="G96" s="1035" t="s">
        <v>7347</v>
      </c>
      <c r="H96" s="1035" t="s">
        <v>7345</v>
      </c>
      <c r="I96" s="1034">
        <v>0</v>
      </c>
      <c r="J96" s="1032">
        <v>0</v>
      </c>
      <c r="K96" s="1032">
        <v>0</v>
      </c>
      <c r="L96" s="1032">
        <v>0</v>
      </c>
      <c r="M96" s="1032">
        <v>0</v>
      </c>
      <c r="N96" s="1040" t="s">
        <v>6865</v>
      </c>
      <c r="O96" s="1051" t="s">
        <v>6891</v>
      </c>
    </row>
    <row r="97" spans="2:15" ht="21.95" customHeight="1" x14ac:dyDescent="0.2">
      <c r="B97" s="1064">
        <v>1</v>
      </c>
      <c r="C97" s="1063" t="s">
        <v>7114</v>
      </c>
      <c r="D97" s="1037">
        <v>0</v>
      </c>
      <c r="E97" s="1045" t="s">
        <v>7349</v>
      </c>
      <c r="F97" s="1034">
        <v>0</v>
      </c>
      <c r="G97" s="1035" t="s">
        <v>7347</v>
      </c>
      <c r="H97" s="1035" t="s">
        <v>7345</v>
      </c>
      <c r="I97" s="1034">
        <v>0</v>
      </c>
      <c r="J97" s="1032">
        <v>0</v>
      </c>
      <c r="K97" s="1032">
        <v>0</v>
      </c>
      <c r="L97" s="1032">
        <v>0</v>
      </c>
      <c r="M97" s="1032">
        <v>0</v>
      </c>
      <c r="N97" s="1062" t="s">
        <v>6916</v>
      </c>
      <c r="O97" s="1051" t="s">
        <v>6891</v>
      </c>
    </row>
    <row r="98" spans="2:15" ht="21.95" customHeight="1" x14ac:dyDescent="0.2">
      <c r="B98" s="1054">
        <v>1</v>
      </c>
      <c r="C98" s="1053" t="s">
        <v>7112</v>
      </c>
      <c r="D98" s="1037">
        <v>0</v>
      </c>
      <c r="E98" s="1035">
        <v>0</v>
      </c>
      <c r="F98" s="1036" t="s">
        <v>7346</v>
      </c>
      <c r="G98" s="1035" t="s">
        <v>7347</v>
      </c>
      <c r="H98" s="1035" t="s">
        <v>7345</v>
      </c>
      <c r="I98" s="1034">
        <v>0</v>
      </c>
      <c r="J98" s="1032">
        <v>0</v>
      </c>
      <c r="K98" s="1032">
        <v>0</v>
      </c>
      <c r="L98" s="1032">
        <v>0</v>
      </c>
      <c r="M98" s="1032">
        <v>0</v>
      </c>
      <c r="N98" s="1052" t="s">
        <v>6892</v>
      </c>
      <c r="O98" s="1032">
        <v>0</v>
      </c>
    </row>
    <row r="99" spans="2:15" ht="21.95" customHeight="1" x14ac:dyDescent="0.2">
      <c r="B99" s="1043">
        <v>1</v>
      </c>
      <c r="C99" s="1042" t="s">
        <v>7110</v>
      </c>
      <c r="D99" s="1037">
        <v>0</v>
      </c>
      <c r="E99" s="1035">
        <v>0</v>
      </c>
      <c r="F99" s="1036" t="s">
        <v>7346</v>
      </c>
      <c r="G99" s="1035" t="s">
        <v>7347</v>
      </c>
      <c r="H99" s="1035" t="s">
        <v>7345</v>
      </c>
      <c r="I99" s="1034">
        <v>0</v>
      </c>
      <c r="J99" s="1032">
        <v>0</v>
      </c>
      <c r="K99" s="1032">
        <v>0</v>
      </c>
      <c r="L99" s="1032">
        <v>0</v>
      </c>
      <c r="M99" s="1032" t="s">
        <v>7352</v>
      </c>
      <c r="N99" s="1040" t="s">
        <v>6865</v>
      </c>
      <c r="O99" s="1032">
        <v>0</v>
      </c>
    </row>
    <row r="100" spans="2:15" ht="21.95" customHeight="1" x14ac:dyDescent="0.2">
      <c r="B100" s="1074">
        <v>1</v>
      </c>
      <c r="C100" s="1073" t="s">
        <v>7108</v>
      </c>
      <c r="D100" s="1041" t="s">
        <v>7348</v>
      </c>
      <c r="E100" s="1035">
        <v>0</v>
      </c>
      <c r="F100" s="1034">
        <v>0</v>
      </c>
      <c r="G100" s="1035">
        <v>0</v>
      </c>
      <c r="H100" s="1035">
        <v>0</v>
      </c>
      <c r="I100" s="1034" t="s">
        <v>7351</v>
      </c>
      <c r="J100" s="1032" t="s">
        <v>154</v>
      </c>
      <c r="K100" s="1032">
        <v>0</v>
      </c>
      <c r="L100" s="1032">
        <v>0</v>
      </c>
      <c r="M100" s="1032" t="s">
        <v>205</v>
      </c>
      <c r="N100" s="1072" t="s">
        <v>6981</v>
      </c>
      <c r="O100" s="1032">
        <v>0</v>
      </c>
    </row>
    <row r="101" spans="2:15" ht="21.95" customHeight="1" x14ac:dyDescent="0.2">
      <c r="B101" s="1074">
        <v>1</v>
      </c>
      <c r="C101" s="1073" t="s">
        <v>7105</v>
      </c>
      <c r="D101" s="1041" t="s">
        <v>7348</v>
      </c>
      <c r="E101" s="1045" t="s">
        <v>7349</v>
      </c>
      <c r="F101" s="1034">
        <v>0</v>
      </c>
      <c r="G101" s="1035">
        <v>0</v>
      </c>
      <c r="H101" s="1035">
        <v>0</v>
      </c>
      <c r="I101" s="1034" t="s">
        <v>7351</v>
      </c>
      <c r="J101" s="1032">
        <v>0</v>
      </c>
      <c r="K101" s="1032">
        <v>0</v>
      </c>
      <c r="L101" s="1032">
        <v>0</v>
      </c>
      <c r="M101" s="1032">
        <v>0</v>
      </c>
      <c r="N101" s="1072" t="s">
        <v>6981</v>
      </c>
      <c r="O101" s="1032">
        <v>0</v>
      </c>
    </row>
    <row r="102" spans="2:15" ht="21.95" customHeight="1" x14ac:dyDescent="0.2">
      <c r="B102" s="1085">
        <v>1</v>
      </c>
      <c r="C102" s="1084" t="s">
        <v>7098</v>
      </c>
      <c r="D102" s="1037">
        <v>0</v>
      </c>
      <c r="E102" s="1035">
        <v>0</v>
      </c>
      <c r="F102" s="1056" t="s">
        <v>7346</v>
      </c>
      <c r="G102" s="1035" t="s">
        <v>7347</v>
      </c>
      <c r="H102" s="1035" t="s">
        <v>7345</v>
      </c>
      <c r="I102" s="1034">
        <v>0</v>
      </c>
      <c r="J102" s="1032" t="s">
        <v>154</v>
      </c>
      <c r="K102" s="1032">
        <v>0</v>
      </c>
      <c r="L102" s="1032">
        <v>0</v>
      </c>
      <c r="M102" s="1032" t="s">
        <v>205</v>
      </c>
      <c r="N102" s="1083" t="s">
        <v>7097</v>
      </c>
      <c r="O102" s="1032">
        <v>0</v>
      </c>
    </row>
    <row r="103" spans="2:15" ht="21.95" customHeight="1" x14ac:dyDescent="0.2">
      <c r="B103" s="1074">
        <v>1</v>
      </c>
      <c r="C103" s="1073" t="s">
        <v>7095</v>
      </c>
      <c r="D103" s="1041" t="s">
        <v>7348</v>
      </c>
      <c r="E103" s="1035">
        <v>0</v>
      </c>
      <c r="F103" s="1034">
        <v>0</v>
      </c>
      <c r="G103" s="1035">
        <v>0</v>
      </c>
      <c r="H103" s="1035">
        <v>0</v>
      </c>
      <c r="I103" s="1034" t="s">
        <v>7351</v>
      </c>
      <c r="J103" s="1032">
        <v>0</v>
      </c>
      <c r="K103" s="1032" t="s">
        <v>325</v>
      </c>
      <c r="L103" s="1032" t="s">
        <v>570</v>
      </c>
      <c r="M103" s="1032" t="s">
        <v>205</v>
      </c>
      <c r="N103" s="1072" t="s">
        <v>6981</v>
      </c>
      <c r="O103" s="1032">
        <v>0</v>
      </c>
    </row>
    <row r="104" spans="2:15" ht="21.95" customHeight="1" x14ac:dyDescent="0.2">
      <c r="B104" s="1039">
        <v>1</v>
      </c>
      <c r="C104" s="1038" t="s">
        <v>7093</v>
      </c>
      <c r="D104" s="1041" t="s">
        <v>7348</v>
      </c>
      <c r="E104" s="1045" t="s">
        <v>7349</v>
      </c>
      <c r="F104" s="1034">
        <v>0</v>
      </c>
      <c r="G104" s="1035">
        <v>0</v>
      </c>
      <c r="H104" s="1035">
        <v>0</v>
      </c>
      <c r="I104" s="1034" t="s">
        <v>7351</v>
      </c>
      <c r="J104" s="1032">
        <v>0</v>
      </c>
      <c r="K104" s="1032">
        <v>0</v>
      </c>
      <c r="L104" s="1032">
        <v>0</v>
      </c>
      <c r="M104" s="1032">
        <v>0</v>
      </c>
      <c r="N104" s="1033" t="s">
        <v>7047</v>
      </c>
      <c r="O104" s="1032">
        <v>0</v>
      </c>
    </row>
    <row r="105" spans="2:15" ht="21.95" customHeight="1" x14ac:dyDescent="0.2">
      <c r="B105" s="1061">
        <v>1</v>
      </c>
      <c r="C105" s="1060" t="s">
        <v>7091</v>
      </c>
      <c r="D105" s="1041" t="s">
        <v>7348</v>
      </c>
      <c r="E105" s="1035">
        <v>0</v>
      </c>
      <c r="F105" s="1056">
        <v>0</v>
      </c>
      <c r="G105" s="1035">
        <v>0</v>
      </c>
      <c r="H105" s="1035">
        <v>0</v>
      </c>
      <c r="I105" s="1034" t="s">
        <v>7351</v>
      </c>
      <c r="J105" s="1032">
        <v>0</v>
      </c>
      <c r="K105" s="1032">
        <v>0</v>
      </c>
      <c r="L105" s="1032">
        <v>0</v>
      </c>
      <c r="M105" s="1032">
        <v>0</v>
      </c>
      <c r="N105" s="1059" t="s">
        <v>7090</v>
      </c>
      <c r="O105" s="1032">
        <v>0</v>
      </c>
    </row>
    <row r="106" spans="2:15" ht="21.95" customHeight="1" x14ac:dyDescent="0.2">
      <c r="B106" s="1054">
        <v>1</v>
      </c>
      <c r="C106" s="1053" t="s">
        <v>7087</v>
      </c>
      <c r="D106" s="1037">
        <v>0</v>
      </c>
      <c r="E106" s="1045" t="s">
        <v>7349</v>
      </c>
      <c r="F106" s="1034">
        <v>0</v>
      </c>
      <c r="G106" s="1035">
        <v>0</v>
      </c>
      <c r="H106" s="1035" t="s">
        <v>7345</v>
      </c>
      <c r="I106" s="1034">
        <v>0</v>
      </c>
      <c r="J106" s="1032" t="s">
        <v>154</v>
      </c>
      <c r="K106" s="1032" t="s">
        <v>7359</v>
      </c>
      <c r="L106" s="1032">
        <v>0</v>
      </c>
      <c r="M106" s="1032" t="s">
        <v>205</v>
      </c>
      <c r="N106" s="1052" t="s">
        <v>6892</v>
      </c>
      <c r="O106" s="1032" t="s">
        <v>6901</v>
      </c>
    </row>
    <row r="107" spans="2:15" ht="21.95" customHeight="1" x14ac:dyDescent="0.2">
      <c r="B107" s="1043">
        <v>1</v>
      </c>
      <c r="C107" s="1042" t="s">
        <v>7083</v>
      </c>
      <c r="D107" s="1041" t="s">
        <v>7348</v>
      </c>
      <c r="E107" s="1035">
        <v>0</v>
      </c>
      <c r="F107" s="1034">
        <v>0</v>
      </c>
      <c r="G107" s="1035">
        <v>0</v>
      </c>
      <c r="H107" s="1035">
        <v>0</v>
      </c>
      <c r="I107" s="1034" t="s">
        <v>7351</v>
      </c>
      <c r="J107" s="1032">
        <v>0</v>
      </c>
      <c r="K107" s="1032" t="s">
        <v>325</v>
      </c>
      <c r="L107" s="1032" t="s">
        <v>570</v>
      </c>
      <c r="M107" s="1032">
        <v>0</v>
      </c>
      <c r="N107" s="1040" t="s">
        <v>6865</v>
      </c>
      <c r="O107" s="1032">
        <v>0</v>
      </c>
    </row>
    <row r="108" spans="2:15" ht="21.95" customHeight="1" x14ac:dyDescent="0.2">
      <c r="B108" s="1058">
        <v>1</v>
      </c>
      <c r="C108" s="1057" t="s">
        <v>7081</v>
      </c>
      <c r="D108" s="1041" t="s">
        <v>7348</v>
      </c>
      <c r="E108" s="1035">
        <v>0</v>
      </c>
      <c r="F108" s="1056">
        <v>0</v>
      </c>
      <c r="G108" s="1035" t="s">
        <v>7347</v>
      </c>
      <c r="H108" s="1035">
        <v>0</v>
      </c>
      <c r="I108" s="1034" t="s">
        <v>7351</v>
      </c>
      <c r="J108" s="1032" t="s">
        <v>154</v>
      </c>
      <c r="K108" s="1032">
        <v>0</v>
      </c>
      <c r="L108" s="1032">
        <v>0</v>
      </c>
      <c r="M108" s="1032" t="s">
        <v>7352</v>
      </c>
      <c r="N108" s="1055" t="s">
        <v>7015</v>
      </c>
      <c r="O108" s="1032">
        <v>0</v>
      </c>
    </row>
    <row r="109" spans="2:15" ht="21.95" customHeight="1" x14ac:dyDescent="0.2">
      <c r="B109" s="1054">
        <v>1</v>
      </c>
      <c r="C109" s="1053" t="s">
        <v>7077</v>
      </c>
      <c r="D109" s="1041" t="s">
        <v>7348</v>
      </c>
      <c r="E109" s="1035">
        <v>0</v>
      </c>
      <c r="F109" s="1034">
        <v>0</v>
      </c>
      <c r="G109" s="1032" t="s">
        <v>7360</v>
      </c>
      <c r="H109" s="1035" t="s">
        <v>7345</v>
      </c>
      <c r="I109" s="1034">
        <v>0</v>
      </c>
      <c r="J109" s="1032">
        <v>0</v>
      </c>
      <c r="K109" s="1032" t="s">
        <v>7355</v>
      </c>
      <c r="L109" s="1032" t="s">
        <v>7356</v>
      </c>
      <c r="M109" s="1032" t="s">
        <v>7353</v>
      </c>
      <c r="N109" s="1052" t="s">
        <v>6892</v>
      </c>
      <c r="O109" s="1032" t="s">
        <v>7076</v>
      </c>
    </row>
    <row r="110" spans="2:15" ht="21.95" customHeight="1" x14ac:dyDescent="0.2">
      <c r="B110" s="1054">
        <v>1</v>
      </c>
      <c r="C110" s="1053" t="s">
        <v>7073</v>
      </c>
      <c r="D110" s="1041" t="s">
        <v>7348</v>
      </c>
      <c r="E110" s="1035">
        <v>0</v>
      </c>
      <c r="F110" s="1034">
        <v>0</v>
      </c>
      <c r="G110" s="1035" t="s">
        <v>7347</v>
      </c>
      <c r="H110" s="1035">
        <v>0</v>
      </c>
      <c r="I110" s="1034">
        <v>0</v>
      </c>
      <c r="J110" s="1032">
        <v>0</v>
      </c>
      <c r="K110" s="1032" t="s">
        <v>7359</v>
      </c>
      <c r="L110" s="1032">
        <v>0</v>
      </c>
      <c r="M110" s="1032">
        <v>0</v>
      </c>
      <c r="N110" s="1052" t="s">
        <v>6892</v>
      </c>
      <c r="O110" s="1032">
        <v>0</v>
      </c>
    </row>
    <row r="111" spans="2:15" ht="21.95" customHeight="1" x14ac:dyDescent="0.2">
      <c r="B111" s="1082">
        <v>1</v>
      </c>
      <c r="C111" s="1081" t="s">
        <v>7068</v>
      </c>
      <c r="D111" s="1041" t="s">
        <v>7348</v>
      </c>
      <c r="E111" s="1035">
        <v>0</v>
      </c>
      <c r="F111" s="1034">
        <v>0</v>
      </c>
      <c r="G111" s="1035">
        <v>0</v>
      </c>
      <c r="H111" s="1035">
        <v>0</v>
      </c>
      <c r="I111" s="1034" t="s">
        <v>7351</v>
      </c>
      <c r="J111" s="1032" t="s">
        <v>7354</v>
      </c>
      <c r="K111" s="1032" t="s">
        <v>7355</v>
      </c>
      <c r="L111" s="1032" t="s">
        <v>7356</v>
      </c>
      <c r="M111" s="1032">
        <v>0</v>
      </c>
      <c r="N111" s="1080" t="s">
        <v>7358</v>
      </c>
      <c r="O111" s="1032">
        <v>0</v>
      </c>
    </row>
    <row r="112" spans="2:15" ht="21.95" customHeight="1" x14ac:dyDescent="0.2">
      <c r="B112" s="1039">
        <v>1</v>
      </c>
      <c r="C112" s="1038" t="s">
        <v>7064</v>
      </c>
      <c r="D112" s="1041" t="s">
        <v>7348</v>
      </c>
      <c r="E112" s="1035">
        <v>0</v>
      </c>
      <c r="F112" s="1034">
        <v>0</v>
      </c>
      <c r="G112" s="1035" t="s">
        <v>7347</v>
      </c>
      <c r="H112" s="1035">
        <v>0</v>
      </c>
      <c r="I112" s="1034" t="s">
        <v>7351</v>
      </c>
      <c r="J112" s="1032">
        <v>0</v>
      </c>
      <c r="K112" s="1032" t="s">
        <v>7355</v>
      </c>
      <c r="L112" s="1032" t="s">
        <v>7356</v>
      </c>
      <c r="M112" s="1032" t="s">
        <v>7353</v>
      </c>
      <c r="N112" s="1033" t="s">
        <v>7047</v>
      </c>
      <c r="O112" s="1032">
        <v>0</v>
      </c>
    </row>
    <row r="113" spans="2:15" ht="21.95" customHeight="1" x14ac:dyDescent="0.2">
      <c r="B113" s="1054">
        <v>1</v>
      </c>
      <c r="C113" s="1053" t="s">
        <v>7061</v>
      </c>
      <c r="D113" s="1037">
        <v>0</v>
      </c>
      <c r="E113" s="1045" t="s">
        <v>7349</v>
      </c>
      <c r="F113" s="1034">
        <v>0</v>
      </c>
      <c r="G113" s="1035">
        <v>0</v>
      </c>
      <c r="H113" s="1035" t="s">
        <v>7345</v>
      </c>
      <c r="I113" s="1034">
        <v>0</v>
      </c>
      <c r="J113" s="1032">
        <v>0</v>
      </c>
      <c r="K113" s="1032">
        <v>0</v>
      </c>
      <c r="L113" s="1032">
        <v>0</v>
      </c>
      <c r="M113" s="1032">
        <v>0</v>
      </c>
      <c r="N113" s="1052" t="s">
        <v>6892</v>
      </c>
      <c r="O113" s="1032" t="s">
        <v>6901</v>
      </c>
    </row>
    <row r="114" spans="2:15" ht="21.95" customHeight="1" x14ac:dyDescent="0.2">
      <c r="B114" s="1039">
        <v>1</v>
      </c>
      <c r="C114" s="1038" t="s">
        <v>7059</v>
      </c>
      <c r="D114" s="1041" t="s">
        <v>7348</v>
      </c>
      <c r="E114" s="1035">
        <v>0</v>
      </c>
      <c r="F114" s="1034">
        <v>0</v>
      </c>
      <c r="G114" s="1035">
        <v>0</v>
      </c>
      <c r="H114" s="1035">
        <v>0</v>
      </c>
      <c r="I114" s="1034" t="s">
        <v>7351</v>
      </c>
      <c r="J114" s="1032" t="s">
        <v>7350</v>
      </c>
      <c r="K114" s="1032">
        <v>0</v>
      </c>
      <c r="L114" s="1032">
        <v>0</v>
      </c>
      <c r="M114" s="1032">
        <v>0</v>
      </c>
      <c r="N114" s="1033" t="s">
        <v>6858</v>
      </c>
      <c r="O114" s="1032">
        <v>0</v>
      </c>
    </row>
    <row r="115" spans="2:15" ht="21.95" customHeight="1" x14ac:dyDescent="0.2">
      <c r="B115" s="1047">
        <v>1</v>
      </c>
      <c r="C115" s="1046" t="s">
        <v>7056</v>
      </c>
      <c r="D115" s="1041" t="s">
        <v>7348</v>
      </c>
      <c r="E115" s="1035">
        <v>0</v>
      </c>
      <c r="F115" s="1034">
        <v>0</v>
      </c>
      <c r="G115" s="1035">
        <v>0</v>
      </c>
      <c r="H115" s="1035">
        <v>0</v>
      </c>
      <c r="I115" s="1034" t="s">
        <v>7351</v>
      </c>
      <c r="J115" s="1032">
        <v>0</v>
      </c>
      <c r="K115" s="1032">
        <v>0</v>
      </c>
      <c r="L115" s="1032">
        <v>0</v>
      </c>
      <c r="M115" s="1032">
        <v>0</v>
      </c>
      <c r="N115" s="1044" t="s">
        <v>6875</v>
      </c>
      <c r="O115" s="1032">
        <v>0</v>
      </c>
    </row>
    <row r="116" spans="2:15" ht="21.95" customHeight="1" x14ac:dyDescent="0.2">
      <c r="B116" s="1082">
        <v>1</v>
      </c>
      <c r="C116" s="1081" t="s">
        <v>7054</v>
      </c>
      <c r="D116" s="1037">
        <v>0</v>
      </c>
      <c r="E116" s="1045" t="s">
        <v>7349</v>
      </c>
      <c r="F116" s="1034">
        <v>0</v>
      </c>
      <c r="G116" s="1035">
        <v>0</v>
      </c>
      <c r="H116" s="1035" t="s">
        <v>7345</v>
      </c>
      <c r="I116" s="1034">
        <v>0</v>
      </c>
      <c r="J116" s="1032">
        <v>0</v>
      </c>
      <c r="K116" s="1032">
        <v>0</v>
      </c>
      <c r="L116" s="1032">
        <v>0</v>
      </c>
      <c r="M116" s="1032">
        <v>0</v>
      </c>
      <c r="N116" s="1080" t="s">
        <v>7067</v>
      </c>
      <c r="O116" s="1032" t="s">
        <v>6857</v>
      </c>
    </row>
    <row r="117" spans="2:15" ht="21.95" customHeight="1" x14ac:dyDescent="0.2">
      <c r="B117" s="1054">
        <v>1</v>
      </c>
      <c r="C117" s="1053" t="s">
        <v>7052</v>
      </c>
      <c r="D117" s="1037">
        <v>0</v>
      </c>
      <c r="E117" s="1035">
        <v>0</v>
      </c>
      <c r="F117" s="1036" t="s">
        <v>7346</v>
      </c>
      <c r="G117" s="1035" t="s">
        <v>7347</v>
      </c>
      <c r="H117" s="1035" t="s">
        <v>7345</v>
      </c>
      <c r="I117" s="1034">
        <v>0</v>
      </c>
      <c r="J117" s="1032">
        <v>0</v>
      </c>
      <c r="K117" s="1032">
        <v>0</v>
      </c>
      <c r="L117" s="1032">
        <v>0</v>
      </c>
      <c r="M117" s="1032">
        <v>0</v>
      </c>
      <c r="N117" s="1065" t="s">
        <v>6892</v>
      </c>
      <c r="O117" s="1032">
        <v>0</v>
      </c>
    </row>
    <row r="118" spans="2:15" ht="21.95" customHeight="1" x14ac:dyDescent="0.2">
      <c r="B118" s="1064">
        <v>1</v>
      </c>
      <c r="C118" s="1063" t="s">
        <v>7050</v>
      </c>
      <c r="D118" s="1037">
        <v>0</v>
      </c>
      <c r="E118" s="1045" t="s">
        <v>7349</v>
      </c>
      <c r="F118" s="1034">
        <v>0</v>
      </c>
      <c r="G118" s="1035">
        <v>0</v>
      </c>
      <c r="H118" s="1035" t="s">
        <v>7345</v>
      </c>
      <c r="I118" s="1034">
        <v>0</v>
      </c>
      <c r="J118" s="1032">
        <v>0</v>
      </c>
      <c r="K118" s="1032">
        <v>0</v>
      </c>
      <c r="L118" s="1032">
        <v>0</v>
      </c>
      <c r="M118" s="1032">
        <v>0</v>
      </c>
      <c r="N118" s="1062" t="s">
        <v>6916</v>
      </c>
      <c r="O118" s="1032" t="s">
        <v>6870</v>
      </c>
    </row>
    <row r="119" spans="2:15" ht="21.95" customHeight="1" x14ac:dyDescent="0.2">
      <c r="B119" s="1039">
        <v>1</v>
      </c>
      <c r="C119" s="1038" t="s">
        <v>7048</v>
      </c>
      <c r="D119" s="1041" t="s">
        <v>7348</v>
      </c>
      <c r="E119" s="1045" t="s">
        <v>7349</v>
      </c>
      <c r="F119" s="1034">
        <v>0</v>
      </c>
      <c r="G119" s="1035">
        <v>0</v>
      </c>
      <c r="H119" s="1035">
        <v>0</v>
      </c>
      <c r="I119" s="1034" t="s">
        <v>7351</v>
      </c>
      <c r="J119" s="1032">
        <v>0</v>
      </c>
      <c r="K119" s="1032">
        <v>0</v>
      </c>
      <c r="L119" s="1032">
        <v>0</v>
      </c>
      <c r="M119" s="1032">
        <v>0</v>
      </c>
      <c r="N119" s="1033" t="s">
        <v>7047</v>
      </c>
      <c r="O119" s="1032">
        <v>0</v>
      </c>
    </row>
    <row r="120" spans="2:15" ht="21.95" customHeight="1" x14ac:dyDescent="0.2">
      <c r="B120" s="1078">
        <v>1</v>
      </c>
      <c r="C120" s="1077" t="s">
        <v>7044</v>
      </c>
      <c r="D120" s="1037">
        <v>0</v>
      </c>
      <c r="E120" s="1035">
        <v>0</v>
      </c>
      <c r="F120" s="1036" t="s">
        <v>7346</v>
      </c>
      <c r="G120" s="1035">
        <v>0</v>
      </c>
      <c r="H120" s="1035" t="s">
        <v>7345</v>
      </c>
      <c r="I120" s="1034">
        <v>0</v>
      </c>
      <c r="J120" s="1032">
        <v>0</v>
      </c>
      <c r="K120" s="1032" t="s">
        <v>325</v>
      </c>
      <c r="L120" s="1032" t="s">
        <v>570</v>
      </c>
      <c r="M120" s="1032">
        <v>0</v>
      </c>
      <c r="N120" s="1079" t="s">
        <v>7018</v>
      </c>
      <c r="O120" s="1032">
        <v>0</v>
      </c>
    </row>
    <row r="121" spans="2:15" ht="21.95" customHeight="1" x14ac:dyDescent="0.2">
      <c r="B121" s="1054">
        <v>1</v>
      </c>
      <c r="C121" s="1053" t="s">
        <v>7040</v>
      </c>
      <c r="D121" s="1037">
        <v>0</v>
      </c>
      <c r="E121" s="1045" t="s">
        <v>7349</v>
      </c>
      <c r="F121" s="1034">
        <v>0</v>
      </c>
      <c r="G121" s="1035" t="s">
        <v>7347</v>
      </c>
      <c r="H121" s="1035" t="s">
        <v>7345</v>
      </c>
      <c r="I121" s="1034">
        <v>0</v>
      </c>
      <c r="J121" s="1032" t="s">
        <v>154</v>
      </c>
      <c r="K121" s="1032" t="s">
        <v>325</v>
      </c>
      <c r="L121" s="1032" t="s">
        <v>570</v>
      </c>
      <c r="M121" s="1032" t="s">
        <v>205</v>
      </c>
      <c r="N121" s="1052" t="s">
        <v>6892</v>
      </c>
      <c r="O121" s="1032">
        <v>0</v>
      </c>
    </row>
    <row r="122" spans="2:15" ht="21.95" customHeight="1" x14ac:dyDescent="0.2">
      <c r="B122" s="1078">
        <v>1</v>
      </c>
      <c r="C122" s="1077" t="s">
        <v>7038</v>
      </c>
      <c r="D122" s="1037">
        <v>0</v>
      </c>
      <c r="E122" s="1045" t="s">
        <v>7349</v>
      </c>
      <c r="F122" s="1034">
        <v>0</v>
      </c>
      <c r="G122" s="1035" t="s">
        <v>7347</v>
      </c>
      <c r="H122" s="1035">
        <v>0</v>
      </c>
      <c r="I122" s="1034">
        <v>0</v>
      </c>
      <c r="J122" s="1032" t="s">
        <v>154</v>
      </c>
      <c r="K122" s="1032" t="s">
        <v>325</v>
      </c>
      <c r="L122" s="1032" t="s">
        <v>570</v>
      </c>
      <c r="M122" s="1032" t="s">
        <v>205</v>
      </c>
      <c r="N122" s="1079" t="s">
        <v>7018</v>
      </c>
      <c r="O122" s="1032">
        <v>0</v>
      </c>
    </row>
    <row r="123" spans="2:15" ht="21.95" customHeight="1" x14ac:dyDescent="0.2">
      <c r="B123" s="1039">
        <v>1</v>
      </c>
      <c r="C123" s="1038" t="s">
        <v>7034</v>
      </c>
      <c r="D123" s="1041" t="s">
        <v>7348</v>
      </c>
      <c r="E123" s="1045" t="s">
        <v>7349</v>
      </c>
      <c r="F123" s="1034">
        <v>0</v>
      </c>
      <c r="G123" s="1035" t="s">
        <v>7347</v>
      </c>
      <c r="H123" s="1035">
        <v>0</v>
      </c>
      <c r="I123" s="1034" t="s">
        <v>7351</v>
      </c>
      <c r="J123" s="1032" t="s">
        <v>7350</v>
      </c>
      <c r="K123" s="1032">
        <v>0</v>
      </c>
      <c r="L123" s="1032">
        <v>0</v>
      </c>
      <c r="M123" s="1032">
        <v>0</v>
      </c>
      <c r="N123" s="1033" t="s">
        <v>6858</v>
      </c>
      <c r="O123" s="1032">
        <v>0</v>
      </c>
    </row>
    <row r="124" spans="2:15" ht="21.95" customHeight="1" x14ac:dyDescent="0.2">
      <c r="B124" s="1039">
        <v>1</v>
      </c>
      <c r="C124" s="1038" t="s">
        <v>7031</v>
      </c>
      <c r="D124" s="1041" t="s">
        <v>7348</v>
      </c>
      <c r="E124" s="1035">
        <v>0</v>
      </c>
      <c r="F124" s="1034">
        <v>0</v>
      </c>
      <c r="G124" s="1035">
        <v>0</v>
      </c>
      <c r="H124" s="1035">
        <v>0</v>
      </c>
      <c r="I124" s="1034" t="s">
        <v>7351</v>
      </c>
      <c r="J124" s="1032">
        <v>0</v>
      </c>
      <c r="K124" s="1032">
        <v>0</v>
      </c>
      <c r="L124" s="1032">
        <v>0</v>
      </c>
      <c r="M124" s="1032" t="s">
        <v>7352</v>
      </c>
      <c r="N124" s="1033" t="s">
        <v>6858</v>
      </c>
      <c r="O124" s="1032">
        <v>0</v>
      </c>
    </row>
    <row r="125" spans="2:15" ht="21.95" customHeight="1" x14ac:dyDescent="0.2">
      <c r="B125" s="1039">
        <v>1</v>
      </c>
      <c r="C125" s="1038" t="s">
        <v>7028</v>
      </c>
      <c r="D125" s="1041" t="s">
        <v>7348</v>
      </c>
      <c r="E125" s="1035">
        <v>0</v>
      </c>
      <c r="F125" s="1034">
        <v>0</v>
      </c>
      <c r="G125" s="1035">
        <v>0</v>
      </c>
      <c r="H125" s="1035">
        <v>0</v>
      </c>
      <c r="I125" s="1034" t="s">
        <v>7351</v>
      </c>
      <c r="J125" s="1032">
        <v>0</v>
      </c>
      <c r="K125" s="1032">
        <v>0</v>
      </c>
      <c r="L125" s="1032" t="s">
        <v>7357</v>
      </c>
      <c r="M125" s="1032">
        <v>0</v>
      </c>
      <c r="N125" s="1033" t="s">
        <v>6858</v>
      </c>
      <c r="O125" s="1032">
        <v>0</v>
      </c>
    </row>
    <row r="126" spans="2:15" ht="21.95" customHeight="1" x14ac:dyDescent="0.2">
      <c r="B126" s="1039">
        <v>1</v>
      </c>
      <c r="C126" s="1038" t="s">
        <v>7024</v>
      </c>
      <c r="D126" s="1041" t="s">
        <v>7348</v>
      </c>
      <c r="E126" s="1035">
        <v>0</v>
      </c>
      <c r="F126" s="1034">
        <v>0</v>
      </c>
      <c r="G126" s="1035">
        <v>0</v>
      </c>
      <c r="H126" s="1035">
        <v>0</v>
      </c>
      <c r="I126" s="1034" t="s">
        <v>7351</v>
      </c>
      <c r="J126" s="1032" t="s">
        <v>154</v>
      </c>
      <c r="K126" s="1032">
        <v>0</v>
      </c>
      <c r="L126" s="1032">
        <v>0</v>
      </c>
      <c r="M126" s="1032" t="s">
        <v>205</v>
      </c>
      <c r="N126" s="1033" t="s">
        <v>6858</v>
      </c>
      <c r="O126" s="1032">
        <v>0</v>
      </c>
    </row>
    <row r="127" spans="2:15" ht="21.95" customHeight="1" x14ac:dyDescent="0.2">
      <c r="B127" s="1039">
        <v>1</v>
      </c>
      <c r="C127" s="1038" t="s">
        <v>7021</v>
      </c>
      <c r="D127" s="1041" t="s">
        <v>7348</v>
      </c>
      <c r="E127" s="1035">
        <v>0</v>
      </c>
      <c r="F127" s="1034">
        <v>0</v>
      </c>
      <c r="G127" s="1035">
        <v>0</v>
      </c>
      <c r="H127" s="1035">
        <v>0</v>
      </c>
      <c r="I127" s="1034" t="s">
        <v>7351</v>
      </c>
      <c r="J127" s="1032">
        <v>0</v>
      </c>
      <c r="K127" s="1032">
        <v>0</v>
      </c>
      <c r="L127" s="1032" t="s">
        <v>570</v>
      </c>
      <c r="M127" s="1032" t="s">
        <v>205</v>
      </c>
      <c r="N127" s="1033" t="s">
        <v>6858</v>
      </c>
      <c r="O127" s="1032">
        <v>0</v>
      </c>
    </row>
    <row r="128" spans="2:15" ht="21.95" customHeight="1" x14ac:dyDescent="0.2">
      <c r="B128" s="1078">
        <v>1</v>
      </c>
      <c r="C128" s="1077" t="s">
        <v>7019</v>
      </c>
      <c r="D128" s="1037">
        <v>0</v>
      </c>
      <c r="E128" s="1035">
        <v>0</v>
      </c>
      <c r="F128" s="1036" t="s">
        <v>7346</v>
      </c>
      <c r="G128" s="1035">
        <v>0</v>
      </c>
      <c r="H128" s="1035" t="s">
        <v>7345</v>
      </c>
      <c r="I128" s="1034">
        <v>0</v>
      </c>
      <c r="J128" s="1032">
        <v>0</v>
      </c>
      <c r="K128" s="1032">
        <v>0</v>
      </c>
      <c r="L128" s="1032">
        <v>0</v>
      </c>
      <c r="M128" s="1032">
        <v>0</v>
      </c>
      <c r="N128" s="1076" t="s">
        <v>7018</v>
      </c>
      <c r="O128" s="1032">
        <v>0</v>
      </c>
    </row>
    <row r="129" spans="2:15" ht="21.95" customHeight="1" x14ac:dyDescent="0.2">
      <c r="B129" s="1058">
        <v>1</v>
      </c>
      <c r="C129" s="1057" t="s">
        <v>7016</v>
      </c>
      <c r="D129" s="1037">
        <v>0</v>
      </c>
      <c r="E129" s="1035">
        <v>0</v>
      </c>
      <c r="F129" s="1056" t="s">
        <v>7346</v>
      </c>
      <c r="G129" s="1035" t="s">
        <v>7347</v>
      </c>
      <c r="H129" s="1035" t="s">
        <v>7345</v>
      </c>
      <c r="I129" s="1034">
        <v>0</v>
      </c>
      <c r="J129" s="1032">
        <v>0</v>
      </c>
      <c r="K129" s="1032">
        <v>0</v>
      </c>
      <c r="L129" s="1032">
        <v>0</v>
      </c>
      <c r="M129" s="1032">
        <v>0</v>
      </c>
      <c r="N129" s="1055" t="s">
        <v>7015</v>
      </c>
      <c r="O129" s="1032">
        <v>0</v>
      </c>
    </row>
    <row r="130" spans="2:15" ht="21.95" customHeight="1" x14ac:dyDescent="0.2">
      <c r="B130" s="1043">
        <v>1</v>
      </c>
      <c r="C130" s="1042" t="s">
        <v>7013</v>
      </c>
      <c r="D130" s="1041" t="s">
        <v>7348</v>
      </c>
      <c r="E130" s="1035">
        <v>0</v>
      </c>
      <c r="F130" s="1034">
        <v>0</v>
      </c>
      <c r="G130" s="1035" t="s">
        <v>7347</v>
      </c>
      <c r="H130" s="1035" t="s">
        <v>7345</v>
      </c>
      <c r="I130" s="1034">
        <v>0</v>
      </c>
      <c r="J130" s="1032">
        <v>0</v>
      </c>
      <c r="K130" s="1032">
        <v>0</v>
      </c>
      <c r="L130" s="1032" t="s">
        <v>570</v>
      </c>
      <c r="M130" s="1032" t="s">
        <v>205</v>
      </c>
      <c r="N130" s="1040" t="s">
        <v>6865</v>
      </c>
      <c r="O130" s="1032" t="s">
        <v>6870</v>
      </c>
    </row>
    <row r="131" spans="2:15" ht="21.95" customHeight="1" x14ac:dyDescent="0.2">
      <c r="B131" s="1047">
        <v>1</v>
      </c>
      <c r="C131" s="1046" t="s">
        <v>7011</v>
      </c>
      <c r="D131" s="1041" t="s">
        <v>7348</v>
      </c>
      <c r="E131" s="1045" t="s">
        <v>7349</v>
      </c>
      <c r="F131" s="1034">
        <v>0</v>
      </c>
      <c r="G131" s="1035">
        <v>0</v>
      </c>
      <c r="H131" s="1035" t="s">
        <v>7345</v>
      </c>
      <c r="I131" s="1034">
        <v>0</v>
      </c>
      <c r="J131" s="1032">
        <v>0</v>
      </c>
      <c r="K131" s="1032">
        <v>0</v>
      </c>
      <c r="L131" s="1032" t="s">
        <v>570</v>
      </c>
      <c r="M131" s="1032" t="s">
        <v>205</v>
      </c>
      <c r="N131" s="1044" t="s">
        <v>6875</v>
      </c>
      <c r="O131" s="1032" t="s">
        <v>6870</v>
      </c>
    </row>
    <row r="132" spans="2:15" ht="21.95" customHeight="1" x14ac:dyDescent="0.2">
      <c r="B132" s="1050">
        <v>1</v>
      </c>
      <c r="C132" s="1049" t="s">
        <v>7008</v>
      </c>
      <c r="D132" s="1041" t="s">
        <v>7348</v>
      </c>
      <c r="E132" s="1045" t="s">
        <v>7349</v>
      </c>
      <c r="F132" s="1034">
        <v>0</v>
      </c>
      <c r="G132" s="1035" t="s">
        <v>7347</v>
      </c>
      <c r="H132" s="1035" t="s">
        <v>7345</v>
      </c>
      <c r="I132" s="1034">
        <v>0</v>
      </c>
      <c r="J132" s="1032">
        <v>0</v>
      </c>
      <c r="K132" s="1032">
        <v>0</v>
      </c>
      <c r="L132" s="1032" t="s">
        <v>570</v>
      </c>
      <c r="M132" s="1032" t="s">
        <v>205</v>
      </c>
      <c r="N132" s="1048" t="s">
        <v>6928</v>
      </c>
      <c r="O132" s="1032" t="s">
        <v>6870</v>
      </c>
    </row>
    <row r="133" spans="2:15" ht="21.95" customHeight="1" x14ac:dyDescent="0.2">
      <c r="B133" s="1039">
        <v>1</v>
      </c>
      <c r="C133" s="1038" t="s">
        <v>7005</v>
      </c>
      <c r="D133" s="1037">
        <v>0</v>
      </c>
      <c r="E133" s="1035">
        <v>0</v>
      </c>
      <c r="F133" s="1036" t="s">
        <v>7346</v>
      </c>
      <c r="G133" s="1035">
        <v>0</v>
      </c>
      <c r="H133" s="1035" t="s">
        <v>7345</v>
      </c>
      <c r="I133" s="1034">
        <v>0</v>
      </c>
      <c r="J133" s="1032">
        <v>0</v>
      </c>
      <c r="K133" s="1032">
        <v>0</v>
      </c>
      <c r="L133" s="1032">
        <v>0</v>
      </c>
      <c r="M133" s="1032">
        <v>0</v>
      </c>
      <c r="N133" s="1075" t="s">
        <v>6858</v>
      </c>
      <c r="O133" s="1032">
        <v>0</v>
      </c>
    </row>
    <row r="134" spans="2:15" ht="21.95" customHeight="1" x14ac:dyDescent="0.2">
      <c r="B134" s="1039">
        <v>1</v>
      </c>
      <c r="C134" s="1038" t="s">
        <v>7003</v>
      </c>
      <c r="D134" s="1041" t="s">
        <v>7348</v>
      </c>
      <c r="E134" s="1045" t="s">
        <v>7349</v>
      </c>
      <c r="F134" s="1034">
        <v>0</v>
      </c>
      <c r="G134" s="1035" t="s">
        <v>7347</v>
      </c>
      <c r="H134" s="1035">
        <v>0</v>
      </c>
      <c r="I134" s="1034" t="s">
        <v>7351</v>
      </c>
      <c r="J134" s="1032" t="s">
        <v>7354</v>
      </c>
      <c r="K134" s="1032" t="s">
        <v>7355</v>
      </c>
      <c r="L134" s="1032" t="s">
        <v>7356</v>
      </c>
      <c r="M134" s="1032" t="s">
        <v>7353</v>
      </c>
      <c r="N134" s="1033" t="s">
        <v>6858</v>
      </c>
      <c r="O134" s="1032">
        <v>0</v>
      </c>
    </row>
    <row r="135" spans="2:15" ht="21.95" customHeight="1" x14ac:dyDescent="0.2">
      <c r="B135" s="1039">
        <v>1</v>
      </c>
      <c r="C135" s="1038" t="s">
        <v>6998</v>
      </c>
      <c r="D135" s="1041" t="s">
        <v>7348</v>
      </c>
      <c r="E135" s="1035">
        <v>0</v>
      </c>
      <c r="F135" s="1034">
        <v>0</v>
      </c>
      <c r="G135" s="1035">
        <v>0</v>
      </c>
      <c r="H135" s="1035">
        <v>0</v>
      </c>
      <c r="I135" s="1034" t="s">
        <v>7351</v>
      </c>
      <c r="J135" s="1032" t="s">
        <v>154</v>
      </c>
      <c r="K135" s="1032">
        <v>0</v>
      </c>
      <c r="L135" s="1032">
        <v>0</v>
      </c>
      <c r="M135" s="1032" t="s">
        <v>205</v>
      </c>
      <c r="N135" s="1033" t="s">
        <v>6858</v>
      </c>
      <c r="O135" s="1032">
        <v>0</v>
      </c>
    </row>
    <row r="136" spans="2:15" ht="21.95" customHeight="1" x14ac:dyDescent="0.2">
      <c r="B136" s="1039">
        <v>1</v>
      </c>
      <c r="C136" s="1038" t="s">
        <v>6995</v>
      </c>
      <c r="D136" s="1037">
        <v>0</v>
      </c>
      <c r="E136" s="1035">
        <v>0</v>
      </c>
      <c r="F136" s="1036" t="s">
        <v>7346</v>
      </c>
      <c r="G136" s="1035" t="s">
        <v>7347</v>
      </c>
      <c r="H136" s="1035" t="s">
        <v>7345</v>
      </c>
      <c r="I136" s="1034">
        <v>0</v>
      </c>
      <c r="J136" s="1032" t="s">
        <v>7354</v>
      </c>
      <c r="K136" s="1032" t="s">
        <v>325</v>
      </c>
      <c r="L136" s="1032" t="s">
        <v>570</v>
      </c>
      <c r="M136" s="1032" t="s">
        <v>7353</v>
      </c>
      <c r="N136" s="1033" t="s">
        <v>6858</v>
      </c>
      <c r="O136" s="1032" t="s">
        <v>6857</v>
      </c>
    </row>
    <row r="137" spans="2:15" ht="21.95" customHeight="1" x14ac:dyDescent="0.2">
      <c r="B137" s="1039">
        <v>1</v>
      </c>
      <c r="C137" s="1038" t="s">
        <v>6992</v>
      </c>
      <c r="D137" s="1041" t="s">
        <v>7348</v>
      </c>
      <c r="E137" s="1035">
        <v>0</v>
      </c>
      <c r="F137" s="1034">
        <v>0</v>
      </c>
      <c r="G137" s="1035" t="s">
        <v>7347</v>
      </c>
      <c r="H137" s="1035">
        <v>0</v>
      </c>
      <c r="I137" s="1034" t="s">
        <v>7351</v>
      </c>
      <c r="J137" s="1032" t="s">
        <v>7354</v>
      </c>
      <c r="K137" s="1032" t="s">
        <v>7355</v>
      </c>
      <c r="L137" s="1032">
        <v>0</v>
      </c>
      <c r="M137" s="1032" t="s">
        <v>7353</v>
      </c>
      <c r="N137" s="1033" t="s">
        <v>6858</v>
      </c>
      <c r="O137" s="1032">
        <v>0</v>
      </c>
    </row>
    <row r="138" spans="2:15" ht="21.95" customHeight="1" x14ac:dyDescent="0.2">
      <c r="B138" s="1064">
        <v>1</v>
      </c>
      <c r="C138" s="1063" t="s">
        <v>6988</v>
      </c>
      <c r="D138" s="1041" t="s">
        <v>7348</v>
      </c>
      <c r="E138" s="1035">
        <v>0</v>
      </c>
      <c r="F138" s="1034">
        <v>0</v>
      </c>
      <c r="G138" s="1035">
        <v>0</v>
      </c>
      <c r="H138" s="1035">
        <v>0</v>
      </c>
      <c r="I138" s="1034" t="s">
        <v>7351</v>
      </c>
      <c r="J138" s="1032" t="s">
        <v>7354</v>
      </c>
      <c r="K138" s="1032">
        <v>0</v>
      </c>
      <c r="L138" s="1032">
        <v>0</v>
      </c>
      <c r="M138" s="1032" t="s">
        <v>7353</v>
      </c>
      <c r="N138" s="1062" t="s">
        <v>6916</v>
      </c>
      <c r="O138" s="1032">
        <v>0</v>
      </c>
    </row>
    <row r="139" spans="2:15" ht="21.95" customHeight="1" x14ac:dyDescent="0.2">
      <c r="B139" s="1039">
        <v>1</v>
      </c>
      <c r="C139" s="1038" t="s">
        <v>6985</v>
      </c>
      <c r="D139" s="1041" t="s">
        <v>7348</v>
      </c>
      <c r="E139" s="1035">
        <v>0</v>
      </c>
      <c r="F139" s="1034">
        <v>0</v>
      </c>
      <c r="G139" s="1035">
        <v>0</v>
      </c>
      <c r="H139" s="1035">
        <v>0</v>
      </c>
      <c r="I139" s="1034" t="s">
        <v>7351</v>
      </c>
      <c r="J139" s="1032">
        <v>0</v>
      </c>
      <c r="K139" s="1032">
        <v>0</v>
      </c>
      <c r="L139" s="1032">
        <v>0</v>
      </c>
      <c r="M139" s="1032" t="s">
        <v>7352</v>
      </c>
      <c r="N139" s="1033" t="s">
        <v>6858</v>
      </c>
      <c r="O139" s="1032">
        <v>0</v>
      </c>
    </row>
    <row r="140" spans="2:15" ht="21.95" customHeight="1" x14ac:dyDescent="0.2">
      <c r="B140" s="1074">
        <v>1</v>
      </c>
      <c r="C140" s="1073" t="s">
        <v>6983</v>
      </c>
      <c r="D140" s="1037">
        <v>0</v>
      </c>
      <c r="E140" s="1045" t="s">
        <v>7349</v>
      </c>
      <c r="F140" s="1034">
        <v>0</v>
      </c>
      <c r="G140" s="1035" t="s">
        <v>7347</v>
      </c>
      <c r="H140" s="1035" t="s">
        <v>7345</v>
      </c>
      <c r="I140" s="1034">
        <v>0</v>
      </c>
      <c r="J140" s="1032">
        <v>0</v>
      </c>
      <c r="K140" s="1032">
        <v>0</v>
      </c>
      <c r="L140" s="1032">
        <v>0</v>
      </c>
      <c r="M140" s="1032" t="s">
        <v>7352</v>
      </c>
      <c r="N140" s="1072" t="s">
        <v>6981</v>
      </c>
      <c r="O140" s="1032" t="s">
        <v>6870</v>
      </c>
    </row>
    <row r="141" spans="2:15" ht="21.95" customHeight="1" x14ac:dyDescent="0.2">
      <c r="B141" s="1068">
        <v>1</v>
      </c>
      <c r="C141" s="1067" t="s">
        <v>6975</v>
      </c>
      <c r="D141" s="1041" t="s">
        <v>7348</v>
      </c>
      <c r="E141" s="1045" t="s">
        <v>7349</v>
      </c>
      <c r="F141" s="1034">
        <v>0</v>
      </c>
      <c r="G141" s="1035">
        <v>0</v>
      </c>
      <c r="H141" s="1035">
        <v>0</v>
      </c>
      <c r="I141" s="1034" t="s">
        <v>7351</v>
      </c>
      <c r="J141" s="1032">
        <v>0</v>
      </c>
      <c r="K141" s="1032">
        <v>0</v>
      </c>
      <c r="L141" s="1032" t="s">
        <v>570</v>
      </c>
      <c r="M141" s="1032">
        <v>0</v>
      </c>
      <c r="N141" s="1066" t="s">
        <v>6961</v>
      </c>
      <c r="O141" s="1032">
        <v>0</v>
      </c>
    </row>
    <row r="142" spans="2:15" ht="21.95" customHeight="1" x14ac:dyDescent="0.2">
      <c r="B142" s="1071">
        <v>1</v>
      </c>
      <c r="C142" s="1070" t="s">
        <v>6971</v>
      </c>
      <c r="D142" s="1041" t="s">
        <v>7348</v>
      </c>
      <c r="E142" s="1035">
        <v>0</v>
      </c>
      <c r="F142" s="1034">
        <v>0</v>
      </c>
      <c r="G142" s="1035" t="s">
        <v>7347</v>
      </c>
      <c r="H142" s="1035">
        <v>0</v>
      </c>
      <c r="I142" s="1034">
        <v>0</v>
      </c>
      <c r="J142" s="1032" t="s">
        <v>154</v>
      </c>
      <c r="K142" s="1032" t="s">
        <v>325</v>
      </c>
      <c r="L142" s="1032">
        <v>0</v>
      </c>
      <c r="M142" s="1032" t="s">
        <v>205</v>
      </c>
      <c r="N142" s="1069" t="s">
        <v>6970</v>
      </c>
      <c r="O142" s="1032" t="s">
        <v>6901</v>
      </c>
    </row>
    <row r="143" spans="2:15" ht="21.95" customHeight="1" x14ac:dyDescent="0.2">
      <c r="B143" s="1039">
        <v>1</v>
      </c>
      <c r="C143" s="1038" t="s">
        <v>6966</v>
      </c>
      <c r="D143" s="1041" t="s">
        <v>7348</v>
      </c>
      <c r="E143" s="1035">
        <v>0</v>
      </c>
      <c r="F143" s="1034">
        <v>0</v>
      </c>
      <c r="G143" s="1035">
        <v>0</v>
      </c>
      <c r="H143" s="1035">
        <v>0</v>
      </c>
      <c r="I143" s="1034" t="s">
        <v>7351</v>
      </c>
      <c r="J143" s="1032">
        <v>0</v>
      </c>
      <c r="K143" s="1032">
        <v>0</v>
      </c>
      <c r="L143" s="1032" t="s">
        <v>570</v>
      </c>
      <c r="M143" s="1032" t="s">
        <v>7352</v>
      </c>
      <c r="N143" s="1033" t="s">
        <v>6858</v>
      </c>
      <c r="O143" s="1032">
        <v>0</v>
      </c>
    </row>
    <row r="144" spans="2:15" ht="21.95" customHeight="1" x14ac:dyDescent="0.2">
      <c r="B144" s="1068">
        <v>1</v>
      </c>
      <c r="C144" s="1067" t="s">
        <v>6963</v>
      </c>
      <c r="D144" s="1041" t="s">
        <v>7348</v>
      </c>
      <c r="E144" s="1035">
        <v>0</v>
      </c>
      <c r="F144" s="1034">
        <v>0</v>
      </c>
      <c r="G144" s="1035">
        <v>0</v>
      </c>
      <c r="H144" s="1035">
        <v>0</v>
      </c>
      <c r="I144" s="1034" t="s">
        <v>7351</v>
      </c>
      <c r="J144" s="1032">
        <v>0</v>
      </c>
      <c r="K144" s="1032">
        <v>0</v>
      </c>
      <c r="L144" s="1032" t="s">
        <v>570</v>
      </c>
      <c r="M144" s="1032">
        <v>0</v>
      </c>
      <c r="N144" s="1066" t="s">
        <v>6961</v>
      </c>
      <c r="O144" s="1032">
        <v>0</v>
      </c>
    </row>
    <row r="145" spans="2:15" ht="21.95" customHeight="1" x14ac:dyDescent="0.2">
      <c r="B145" s="1054">
        <v>1</v>
      </c>
      <c r="C145" s="1053" t="s">
        <v>6957</v>
      </c>
      <c r="D145" s="1037">
        <v>0</v>
      </c>
      <c r="E145" s="1035">
        <v>0</v>
      </c>
      <c r="F145" s="1036" t="s">
        <v>7346</v>
      </c>
      <c r="G145" s="1035" t="s">
        <v>7347</v>
      </c>
      <c r="H145" s="1035" t="s">
        <v>7345</v>
      </c>
      <c r="I145" s="1034">
        <v>0</v>
      </c>
      <c r="J145" s="1032">
        <v>0</v>
      </c>
      <c r="K145" s="1032">
        <v>0</v>
      </c>
      <c r="L145" s="1032">
        <v>0</v>
      </c>
      <c r="M145" s="1032">
        <v>0</v>
      </c>
      <c r="N145" s="1065" t="s">
        <v>6892</v>
      </c>
      <c r="O145" s="1032">
        <v>0</v>
      </c>
    </row>
    <row r="146" spans="2:15" ht="21.95" customHeight="1" x14ac:dyDescent="0.2">
      <c r="B146" s="1039">
        <v>1</v>
      </c>
      <c r="C146" s="1038" t="s">
        <v>6955</v>
      </c>
      <c r="D146" s="1037">
        <v>0</v>
      </c>
      <c r="E146" s="1045" t="s">
        <v>7349</v>
      </c>
      <c r="F146" s="1034">
        <v>0</v>
      </c>
      <c r="G146" s="1035">
        <v>0</v>
      </c>
      <c r="H146" s="1035" t="s">
        <v>7345</v>
      </c>
      <c r="I146" s="1034">
        <v>0</v>
      </c>
      <c r="J146" s="1032">
        <v>0</v>
      </c>
      <c r="K146" s="1032">
        <v>0</v>
      </c>
      <c r="L146" s="1032">
        <v>0</v>
      </c>
      <c r="M146" s="1032">
        <v>0</v>
      </c>
      <c r="N146" s="1033" t="s">
        <v>6858</v>
      </c>
      <c r="O146" s="1032" t="s">
        <v>6901</v>
      </c>
    </row>
    <row r="147" spans="2:15" ht="21.95" customHeight="1" x14ac:dyDescent="0.2">
      <c r="B147" s="1064">
        <v>1</v>
      </c>
      <c r="C147" s="1063" t="s">
        <v>6953</v>
      </c>
      <c r="D147" s="1041" t="s">
        <v>7348</v>
      </c>
      <c r="E147" s="1045" t="s">
        <v>7349</v>
      </c>
      <c r="F147" s="1034">
        <v>0</v>
      </c>
      <c r="G147" s="1035" t="s">
        <v>7347</v>
      </c>
      <c r="H147" s="1035" t="s">
        <v>7345</v>
      </c>
      <c r="I147" s="1034">
        <v>0</v>
      </c>
      <c r="J147" s="1032">
        <v>0</v>
      </c>
      <c r="K147" s="1032">
        <v>0</v>
      </c>
      <c r="L147" s="1032">
        <v>0</v>
      </c>
      <c r="M147" s="1032">
        <v>0</v>
      </c>
      <c r="N147" s="1062" t="s">
        <v>6916</v>
      </c>
      <c r="O147" s="1032" t="s">
        <v>6885</v>
      </c>
    </row>
    <row r="148" spans="2:15" ht="21.95" customHeight="1" x14ac:dyDescent="0.2">
      <c r="B148" s="1064">
        <v>1</v>
      </c>
      <c r="C148" s="1063" t="s">
        <v>6951</v>
      </c>
      <c r="D148" s="1041" t="s">
        <v>7348</v>
      </c>
      <c r="E148" s="1035">
        <v>0</v>
      </c>
      <c r="F148" s="1034">
        <v>0</v>
      </c>
      <c r="G148" s="1035">
        <v>0</v>
      </c>
      <c r="H148" s="1035">
        <v>0</v>
      </c>
      <c r="I148" s="1034">
        <v>0</v>
      </c>
      <c r="J148" s="1032">
        <v>0</v>
      </c>
      <c r="K148" s="1032">
        <v>0</v>
      </c>
      <c r="L148" s="1032">
        <v>0</v>
      </c>
      <c r="M148" s="1032">
        <v>0</v>
      </c>
      <c r="N148" s="1062" t="s">
        <v>6916</v>
      </c>
      <c r="O148" s="1032" t="s">
        <v>6885</v>
      </c>
    </row>
    <row r="149" spans="2:15" ht="21.95" customHeight="1" x14ac:dyDescent="0.2">
      <c r="B149" s="1050">
        <v>1</v>
      </c>
      <c r="C149" s="1049" t="s">
        <v>6948</v>
      </c>
      <c r="D149" s="1041" t="s">
        <v>7348</v>
      </c>
      <c r="E149" s="1035">
        <v>0</v>
      </c>
      <c r="F149" s="1034">
        <v>0</v>
      </c>
      <c r="G149" s="1035" t="s">
        <v>7347</v>
      </c>
      <c r="H149" s="1035">
        <v>0</v>
      </c>
      <c r="I149" s="1034">
        <v>0</v>
      </c>
      <c r="J149" s="1032">
        <v>0</v>
      </c>
      <c r="K149" s="1032" t="s">
        <v>325</v>
      </c>
      <c r="L149" s="1032">
        <v>0</v>
      </c>
      <c r="M149" s="1032" t="s">
        <v>205</v>
      </c>
      <c r="N149" s="1048" t="s">
        <v>6928</v>
      </c>
      <c r="O149" s="1032" t="s">
        <v>6885</v>
      </c>
    </row>
    <row r="150" spans="2:15" ht="21.95" customHeight="1" x14ac:dyDescent="0.2">
      <c r="B150" s="1039">
        <v>1</v>
      </c>
      <c r="C150" s="1038" t="s">
        <v>6944</v>
      </c>
      <c r="D150" s="1041" t="s">
        <v>7348</v>
      </c>
      <c r="E150" s="1045" t="s">
        <v>7349</v>
      </c>
      <c r="F150" s="1034">
        <v>0</v>
      </c>
      <c r="G150" s="1035" t="s">
        <v>7347</v>
      </c>
      <c r="H150" s="1035" t="s">
        <v>7345</v>
      </c>
      <c r="I150" s="1034">
        <v>0</v>
      </c>
      <c r="J150" s="1032">
        <v>0</v>
      </c>
      <c r="K150" s="1032">
        <v>0</v>
      </c>
      <c r="L150" s="1032">
        <v>0</v>
      </c>
      <c r="M150" s="1032">
        <v>0</v>
      </c>
      <c r="N150" s="1033" t="s">
        <v>6858</v>
      </c>
      <c r="O150" s="1032" t="s">
        <v>6885</v>
      </c>
    </row>
    <row r="151" spans="2:15" ht="21.95" customHeight="1" x14ac:dyDescent="0.2">
      <c r="B151" s="1064">
        <v>1</v>
      </c>
      <c r="C151" s="1063" t="s">
        <v>6941</v>
      </c>
      <c r="D151" s="1041" t="s">
        <v>7348</v>
      </c>
      <c r="E151" s="1035">
        <v>0</v>
      </c>
      <c r="F151" s="1034">
        <v>0</v>
      </c>
      <c r="G151" s="1035" t="s">
        <v>7347</v>
      </c>
      <c r="H151" s="1035">
        <v>0</v>
      </c>
      <c r="I151" s="1034">
        <v>0</v>
      </c>
      <c r="J151" s="1032">
        <v>0</v>
      </c>
      <c r="K151" s="1032">
        <v>0</v>
      </c>
      <c r="L151" s="1032">
        <v>0</v>
      </c>
      <c r="M151" s="1032">
        <v>0</v>
      </c>
      <c r="N151" s="1062" t="s">
        <v>6916</v>
      </c>
      <c r="O151" s="1032" t="s">
        <v>6885</v>
      </c>
    </row>
    <row r="152" spans="2:15" ht="21.95" customHeight="1" x14ac:dyDescent="0.2">
      <c r="B152" s="1064">
        <v>1</v>
      </c>
      <c r="C152" s="1063" t="s">
        <v>6939</v>
      </c>
      <c r="D152" s="1041" t="s">
        <v>7348</v>
      </c>
      <c r="E152" s="1035">
        <v>0</v>
      </c>
      <c r="F152" s="1034">
        <v>0</v>
      </c>
      <c r="G152" s="1035" t="s">
        <v>7347</v>
      </c>
      <c r="H152" s="1035">
        <v>0</v>
      </c>
      <c r="I152" s="1034">
        <v>0</v>
      </c>
      <c r="J152" s="1032" t="s">
        <v>154</v>
      </c>
      <c r="K152" s="1032" t="s">
        <v>325</v>
      </c>
      <c r="L152" s="1032" t="s">
        <v>570</v>
      </c>
      <c r="M152" s="1032" t="s">
        <v>205</v>
      </c>
      <c r="N152" s="1062" t="s">
        <v>6916</v>
      </c>
      <c r="O152" s="1032" t="s">
        <v>6885</v>
      </c>
    </row>
    <row r="153" spans="2:15" ht="21.95" customHeight="1" x14ac:dyDescent="0.2">
      <c r="B153" s="1064">
        <v>1</v>
      </c>
      <c r="C153" s="1063" t="s">
        <v>6937</v>
      </c>
      <c r="D153" s="1041" t="s">
        <v>7348</v>
      </c>
      <c r="E153" s="1035">
        <v>0</v>
      </c>
      <c r="F153" s="1034">
        <v>0</v>
      </c>
      <c r="G153" s="1035" t="s">
        <v>7347</v>
      </c>
      <c r="H153" s="1035">
        <v>0</v>
      </c>
      <c r="I153" s="1034">
        <v>0</v>
      </c>
      <c r="J153" s="1032">
        <v>0</v>
      </c>
      <c r="K153" s="1032">
        <v>0</v>
      </c>
      <c r="L153" s="1032">
        <v>0</v>
      </c>
      <c r="M153" s="1032">
        <v>0</v>
      </c>
      <c r="N153" s="1062" t="s">
        <v>6916</v>
      </c>
      <c r="O153" s="1032" t="s">
        <v>6885</v>
      </c>
    </row>
    <row r="154" spans="2:15" ht="21.95" customHeight="1" x14ac:dyDescent="0.2">
      <c r="B154" s="1064">
        <v>1</v>
      </c>
      <c r="C154" s="1063" t="s">
        <v>6935</v>
      </c>
      <c r="D154" s="1041" t="s">
        <v>7348</v>
      </c>
      <c r="E154" s="1035">
        <v>0</v>
      </c>
      <c r="F154" s="1034">
        <v>0</v>
      </c>
      <c r="G154" s="1035" t="s">
        <v>7347</v>
      </c>
      <c r="H154" s="1035">
        <v>0</v>
      </c>
      <c r="I154" s="1034">
        <v>0</v>
      </c>
      <c r="J154" s="1032">
        <v>0</v>
      </c>
      <c r="K154" s="1032">
        <v>0</v>
      </c>
      <c r="L154" s="1032">
        <v>0</v>
      </c>
      <c r="M154" s="1032">
        <v>0</v>
      </c>
      <c r="N154" s="1062" t="s">
        <v>6916</v>
      </c>
      <c r="O154" s="1032" t="s">
        <v>6885</v>
      </c>
    </row>
    <row r="155" spans="2:15" ht="21.95" customHeight="1" x14ac:dyDescent="0.2">
      <c r="B155" s="1064">
        <v>1</v>
      </c>
      <c r="C155" s="1063" t="s">
        <v>6933</v>
      </c>
      <c r="D155" s="1041" t="s">
        <v>7348</v>
      </c>
      <c r="E155" s="1045" t="s">
        <v>7349</v>
      </c>
      <c r="F155" s="1034">
        <v>0</v>
      </c>
      <c r="G155" s="1035" t="s">
        <v>7347</v>
      </c>
      <c r="H155" s="1035" t="s">
        <v>7345</v>
      </c>
      <c r="I155" s="1034">
        <v>0</v>
      </c>
      <c r="J155" s="1032" t="s">
        <v>154</v>
      </c>
      <c r="K155" s="1032" t="s">
        <v>325</v>
      </c>
      <c r="L155" s="1032" t="s">
        <v>570</v>
      </c>
      <c r="M155" s="1032" t="s">
        <v>205</v>
      </c>
      <c r="N155" s="1062" t="s">
        <v>6916</v>
      </c>
      <c r="O155" s="1032" t="s">
        <v>6885</v>
      </c>
    </row>
    <row r="156" spans="2:15" ht="21.95" customHeight="1" x14ac:dyDescent="0.2">
      <c r="B156" s="1047">
        <v>1</v>
      </c>
      <c r="C156" s="1046" t="s">
        <v>6931</v>
      </c>
      <c r="D156" s="1041" t="s">
        <v>7348</v>
      </c>
      <c r="E156" s="1035">
        <v>0</v>
      </c>
      <c r="F156" s="1034">
        <v>0</v>
      </c>
      <c r="G156" s="1035" t="s">
        <v>7347</v>
      </c>
      <c r="H156" s="1035">
        <v>0</v>
      </c>
      <c r="I156" s="1034">
        <v>0</v>
      </c>
      <c r="J156" s="1032">
        <v>0</v>
      </c>
      <c r="K156" s="1032">
        <v>0</v>
      </c>
      <c r="L156" s="1032">
        <v>0</v>
      </c>
      <c r="M156" s="1032">
        <v>0</v>
      </c>
      <c r="N156" s="1044" t="s">
        <v>6875</v>
      </c>
      <c r="O156" s="1032" t="s">
        <v>6885</v>
      </c>
    </row>
    <row r="157" spans="2:15" ht="21.95" customHeight="1" x14ac:dyDescent="0.2">
      <c r="B157" s="1050">
        <v>1</v>
      </c>
      <c r="C157" s="1049" t="s">
        <v>6929</v>
      </c>
      <c r="D157" s="1041" t="s">
        <v>7348</v>
      </c>
      <c r="E157" s="1035">
        <v>0</v>
      </c>
      <c r="F157" s="1034">
        <v>0</v>
      </c>
      <c r="G157" s="1035" t="s">
        <v>7347</v>
      </c>
      <c r="H157" s="1035">
        <v>0</v>
      </c>
      <c r="I157" s="1034">
        <v>0</v>
      </c>
      <c r="J157" s="1032" t="s">
        <v>7350</v>
      </c>
      <c r="K157" s="1032">
        <v>0</v>
      </c>
      <c r="L157" s="1032">
        <v>0</v>
      </c>
      <c r="M157" s="1032">
        <v>0</v>
      </c>
      <c r="N157" s="1048" t="s">
        <v>6928</v>
      </c>
      <c r="O157" s="1032" t="s">
        <v>6885</v>
      </c>
    </row>
    <row r="158" spans="2:15" ht="21.95" customHeight="1" x14ac:dyDescent="0.2">
      <c r="B158" s="1064">
        <v>1</v>
      </c>
      <c r="C158" s="1063" t="s">
        <v>6926</v>
      </c>
      <c r="D158" s="1041" t="s">
        <v>7348</v>
      </c>
      <c r="E158" s="1035">
        <v>0</v>
      </c>
      <c r="F158" s="1034">
        <v>0</v>
      </c>
      <c r="G158" s="1035" t="s">
        <v>7347</v>
      </c>
      <c r="H158" s="1035">
        <v>0</v>
      </c>
      <c r="I158" s="1034">
        <v>0</v>
      </c>
      <c r="J158" s="1032">
        <v>0</v>
      </c>
      <c r="K158" s="1032">
        <v>0</v>
      </c>
      <c r="L158" s="1032">
        <v>0</v>
      </c>
      <c r="M158" s="1032">
        <v>0</v>
      </c>
      <c r="N158" s="1062" t="s">
        <v>6916</v>
      </c>
      <c r="O158" s="1032" t="s">
        <v>6885</v>
      </c>
    </row>
    <row r="159" spans="2:15" ht="21.95" customHeight="1" x14ac:dyDescent="0.2">
      <c r="B159" s="1050">
        <v>1</v>
      </c>
      <c r="C159" s="1049" t="s">
        <v>6923</v>
      </c>
      <c r="D159" s="1041" t="s">
        <v>7348</v>
      </c>
      <c r="E159" s="1035">
        <v>0</v>
      </c>
      <c r="F159" s="1034">
        <v>0</v>
      </c>
      <c r="G159" s="1035" t="s">
        <v>7347</v>
      </c>
      <c r="H159" s="1035">
        <v>0</v>
      </c>
      <c r="I159" s="1034">
        <v>0</v>
      </c>
      <c r="J159" s="1032">
        <v>0</v>
      </c>
      <c r="K159" s="1032">
        <v>0</v>
      </c>
      <c r="L159" s="1032">
        <v>0</v>
      </c>
      <c r="M159" s="1032">
        <v>0</v>
      </c>
      <c r="N159" s="1048" t="s">
        <v>6928</v>
      </c>
      <c r="O159" s="1032" t="s">
        <v>6885</v>
      </c>
    </row>
    <row r="160" spans="2:15" ht="21.95" customHeight="1" x14ac:dyDescent="0.2">
      <c r="B160" s="1050">
        <v>1</v>
      </c>
      <c r="C160" s="1049" t="s">
        <v>6920</v>
      </c>
      <c r="D160" s="1041" t="s">
        <v>7348</v>
      </c>
      <c r="E160" s="1035">
        <v>0</v>
      </c>
      <c r="F160" s="1034">
        <v>0</v>
      </c>
      <c r="G160" s="1035" t="s">
        <v>7347</v>
      </c>
      <c r="H160" s="1035">
        <v>0</v>
      </c>
      <c r="I160" s="1034">
        <v>0</v>
      </c>
      <c r="J160" s="1032">
        <v>0</v>
      </c>
      <c r="K160" s="1032">
        <v>0</v>
      </c>
      <c r="L160" s="1032">
        <v>0</v>
      </c>
      <c r="M160" s="1032">
        <v>0</v>
      </c>
      <c r="N160" s="1048" t="s">
        <v>6928</v>
      </c>
      <c r="O160" s="1032" t="s">
        <v>6885</v>
      </c>
    </row>
    <row r="161" spans="2:15" ht="21.95" customHeight="1" x14ac:dyDescent="0.2">
      <c r="B161" s="1064">
        <v>1</v>
      </c>
      <c r="C161" s="1063" t="s">
        <v>6917</v>
      </c>
      <c r="D161" s="1041" t="s">
        <v>7348</v>
      </c>
      <c r="E161" s="1035">
        <v>0</v>
      </c>
      <c r="F161" s="1034">
        <v>0</v>
      </c>
      <c r="G161" s="1035" t="s">
        <v>7347</v>
      </c>
      <c r="H161" s="1035">
        <v>0</v>
      </c>
      <c r="I161" s="1034">
        <v>0</v>
      </c>
      <c r="J161" s="1032" t="s">
        <v>154</v>
      </c>
      <c r="K161" s="1032" t="s">
        <v>325</v>
      </c>
      <c r="L161" s="1032" t="s">
        <v>570</v>
      </c>
      <c r="M161" s="1032" t="s">
        <v>205</v>
      </c>
      <c r="N161" s="1062" t="s">
        <v>6916</v>
      </c>
      <c r="O161" s="1032">
        <v>0</v>
      </c>
    </row>
    <row r="162" spans="2:15" ht="21.95" customHeight="1" x14ac:dyDescent="0.2">
      <c r="B162" s="1061">
        <v>1</v>
      </c>
      <c r="C162" s="1060" t="s">
        <v>6912</v>
      </c>
      <c r="D162" s="1041" t="s">
        <v>7348</v>
      </c>
      <c r="E162" s="1035">
        <v>0</v>
      </c>
      <c r="F162" s="1056">
        <v>0</v>
      </c>
      <c r="G162" s="1035" t="s">
        <v>7347</v>
      </c>
      <c r="H162" s="1035">
        <v>0</v>
      </c>
      <c r="I162" s="1034">
        <v>0</v>
      </c>
      <c r="J162" s="1032">
        <v>0</v>
      </c>
      <c r="K162" s="1032">
        <v>0</v>
      </c>
      <c r="L162" s="1032">
        <v>0</v>
      </c>
      <c r="M162" s="1032">
        <v>0</v>
      </c>
      <c r="N162" s="1059" t="s">
        <v>7090</v>
      </c>
      <c r="O162" s="1032" t="s">
        <v>6885</v>
      </c>
    </row>
    <row r="163" spans="2:15" ht="21.95" customHeight="1" x14ac:dyDescent="0.2">
      <c r="B163" s="1039">
        <v>1</v>
      </c>
      <c r="C163" s="1038" t="s">
        <v>6908</v>
      </c>
      <c r="D163" s="1037">
        <v>0</v>
      </c>
      <c r="E163" s="1045" t="s">
        <v>7349</v>
      </c>
      <c r="F163" s="1034">
        <v>0</v>
      </c>
      <c r="G163" s="1035">
        <v>0</v>
      </c>
      <c r="H163" s="1035" t="s">
        <v>7345</v>
      </c>
      <c r="I163" s="1034">
        <v>0</v>
      </c>
      <c r="J163" s="1032" t="s">
        <v>7350</v>
      </c>
      <c r="K163" s="1032">
        <v>0</v>
      </c>
      <c r="L163" s="1032">
        <v>0</v>
      </c>
      <c r="M163" s="1032">
        <v>0</v>
      </c>
      <c r="N163" s="1033" t="s">
        <v>6858</v>
      </c>
      <c r="O163" s="1032" t="s">
        <v>6901</v>
      </c>
    </row>
    <row r="164" spans="2:15" ht="21.95" customHeight="1" x14ac:dyDescent="0.2">
      <c r="B164" s="1058">
        <v>1</v>
      </c>
      <c r="C164" s="1057" t="s">
        <v>6903</v>
      </c>
      <c r="D164" s="1037">
        <v>0</v>
      </c>
      <c r="E164" s="1045" t="s">
        <v>7349</v>
      </c>
      <c r="F164" s="1056">
        <v>0</v>
      </c>
      <c r="G164" s="1035">
        <v>0</v>
      </c>
      <c r="H164" s="1035" t="s">
        <v>7345</v>
      </c>
      <c r="I164" s="1034">
        <v>0</v>
      </c>
      <c r="J164" s="1032">
        <v>0</v>
      </c>
      <c r="K164" s="1032">
        <v>0</v>
      </c>
      <c r="L164" s="1032">
        <v>0</v>
      </c>
      <c r="M164" s="1032">
        <v>0</v>
      </c>
      <c r="N164" s="1055" t="s">
        <v>7015</v>
      </c>
      <c r="O164" s="1032" t="s">
        <v>6901</v>
      </c>
    </row>
    <row r="165" spans="2:15" ht="21.95" customHeight="1" x14ac:dyDescent="0.2">
      <c r="B165" s="1039">
        <v>1</v>
      </c>
      <c r="C165" s="1038" t="s">
        <v>6898</v>
      </c>
      <c r="D165" s="1037">
        <v>0</v>
      </c>
      <c r="E165" s="1035">
        <v>0</v>
      </c>
      <c r="F165" s="1036" t="s">
        <v>7346</v>
      </c>
      <c r="G165" s="1035" t="s">
        <v>7347</v>
      </c>
      <c r="H165" s="1035" t="s">
        <v>7345</v>
      </c>
      <c r="I165" s="1034">
        <v>0</v>
      </c>
      <c r="J165" s="1032">
        <v>0</v>
      </c>
      <c r="K165" s="1032">
        <v>0</v>
      </c>
      <c r="L165" s="1032">
        <v>0</v>
      </c>
      <c r="M165" s="1032">
        <v>0</v>
      </c>
      <c r="N165" s="1033" t="s">
        <v>6858</v>
      </c>
      <c r="O165" s="1032">
        <v>0</v>
      </c>
    </row>
    <row r="166" spans="2:15" ht="21.95" customHeight="1" x14ac:dyDescent="0.2">
      <c r="B166" s="1054">
        <v>1</v>
      </c>
      <c r="C166" s="1053" t="s">
        <v>6895</v>
      </c>
      <c r="D166" s="1041" t="s">
        <v>7348</v>
      </c>
      <c r="E166" s="1035">
        <v>0</v>
      </c>
      <c r="F166" s="1034">
        <v>0</v>
      </c>
      <c r="G166" s="1035" t="s">
        <v>7347</v>
      </c>
      <c r="H166" s="1035" t="s">
        <v>7345</v>
      </c>
      <c r="I166" s="1034">
        <v>0</v>
      </c>
      <c r="J166" s="1032">
        <v>0</v>
      </c>
      <c r="K166" s="1032">
        <v>0</v>
      </c>
      <c r="L166" s="1032">
        <v>0</v>
      </c>
      <c r="M166" s="1032">
        <v>0</v>
      </c>
      <c r="N166" s="1052" t="s">
        <v>6892</v>
      </c>
      <c r="O166" s="1051" t="s">
        <v>6891</v>
      </c>
    </row>
    <row r="167" spans="2:15" ht="21.95" customHeight="1" x14ac:dyDescent="0.2">
      <c r="B167" s="1050">
        <v>1</v>
      </c>
      <c r="C167" s="1049" t="s">
        <v>6886</v>
      </c>
      <c r="D167" s="1041" t="s">
        <v>7348</v>
      </c>
      <c r="E167" s="1035">
        <v>0</v>
      </c>
      <c r="F167" s="1034">
        <v>0</v>
      </c>
      <c r="G167" s="1035" t="s">
        <v>7347</v>
      </c>
      <c r="H167" s="1035">
        <v>0</v>
      </c>
      <c r="I167" s="1034">
        <v>0</v>
      </c>
      <c r="J167" s="1032">
        <v>0</v>
      </c>
      <c r="K167" s="1032">
        <v>0</v>
      </c>
      <c r="L167" s="1032">
        <v>0</v>
      </c>
      <c r="M167" s="1032">
        <v>0</v>
      </c>
      <c r="N167" s="1048" t="s">
        <v>6928</v>
      </c>
      <c r="O167" s="1032" t="s">
        <v>6885</v>
      </c>
    </row>
    <row r="168" spans="2:15" ht="21.95" customHeight="1" x14ac:dyDescent="0.2">
      <c r="B168" s="1047">
        <v>1</v>
      </c>
      <c r="C168" s="1046" t="s">
        <v>6883</v>
      </c>
      <c r="D168" s="1041" t="s">
        <v>7348</v>
      </c>
      <c r="E168" s="1045" t="s">
        <v>7349</v>
      </c>
      <c r="F168" s="1034">
        <v>0</v>
      </c>
      <c r="G168" s="1035" t="s">
        <v>7347</v>
      </c>
      <c r="H168" s="1035" t="s">
        <v>7345</v>
      </c>
      <c r="I168" s="1034">
        <v>0</v>
      </c>
      <c r="J168" s="1032">
        <v>0</v>
      </c>
      <c r="K168" s="1032">
        <v>0</v>
      </c>
      <c r="L168" s="1032">
        <v>0</v>
      </c>
      <c r="M168" s="1032">
        <v>0</v>
      </c>
      <c r="N168" s="1044" t="s">
        <v>6875</v>
      </c>
      <c r="O168" s="1032" t="s">
        <v>6870</v>
      </c>
    </row>
    <row r="169" spans="2:15" ht="21.95" customHeight="1" x14ac:dyDescent="0.2">
      <c r="B169" s="1047">
        <v>1</v>
      </c>
      <c r="C169" s="1046" t="s">
        <v>6881</v>
      </c>
      <c r="D169" s="1041" t="s">
        <v>7348</v>
      </c>
      <c r="E169" s="1045" t="s">
        <v>7349</v>
      </c>
      <c r="F169" s="1034">
        <v>0</v>
      </c>
      <c r="G169" s="1035" t="s">
        <v>7347</v>
      </c>
      <c r="H169" s="1035" t="s">
        <v>7345</v>
      </c>
      <c r="I169" s="1034">
        <v>0</v>
      </c>
      <c r="J169" s="1032">
        <v>0</v>
      </c>
      <c r="K169" s="1032">
        <v>0</v>
      </c>
      <c r="L169" s="1032">
        <v>0</v>
      </c>
      <c r="M169" s="1032">
        <v>0</v>
      </c>
      <c r="N169" s="1044" t="s">
        <v>6875</v>
      </c>
      <c r="O169" s="1032" t="s">
        <v>6870</v>
      </c>
    </row>
    <row r="170" spans="2:15" ht="21.95" customHeight="1" x14ac:dyDescent="0.2">
      <c r="B170" s="1047">
        <v>1</v>
      </c>
      <c r="C170" s="1046" t="s">
        <v>6879</v>
      </c>
      <c r="D170" s="1041" t="s">
        <v>7348</v>
      </c>
      <c r="E170" s="1045" t="s">
        <v>7349</v>
      </c>
      <c r="F170" s="1034">
        <v>0</v>
      </c>
      <c r="G170" s="1035" t="s">
        <v>7347</v>
      </c>
      <c r="H170" s="1035" t="s">
        <v>7345</v>
      </c>
      <c r="I170" s="1034">
        <v>0</v>
      </c>
      <c r="J170" s="1032">
        <v>0</v>
      </c>
      <c r="K170" s="1032">
        <v>0</v>
      </c>
      <c r="L170" s="1032">
        <v>0</v>
      </c>
      <c r="M170" s="1032">
        <v>0</v>
      </c>
      <c r="N170" s="1044" t="s">
        <v>6875</v>
      </c>
      <c r="O170" s="1032" t="s">
        <v>6870</v>
      </c>
    </row>
    <row r="171" spans="2:15" ht="21.95" customHeight="1" x14ac:dyDescent="0.2">
      <c r="B171" s="1047">
        <v>1</v>
      </c>
      <c r="C171" s="1046" t="s">
        <v>6877</v>
      </c>
      <c r="D171" s="1041" t="s">
        <v>7348</v>
      </c>
      <c r="E171" s="1045" t="s">
        <v>7349</v>
      </c>
      <c r="F171" s="1034">
        <v>0</v>
      </c>
      <c r="G171" s="1035" t="s">
        <v>7347</v>
      </c>
      <c r="H171" s="1035" t="s">
        <v>7345</v>
      </c>
      <c r="I171" s="1034">
        <v>0</v>
      </c>
      <c r="J171" s="1032">
        <v>0</v>
      </c>
      <c r="K171" s="1032" t="s">
        <v>325</v>
      </c>
      <c r="L171" s="1032" t="s">
        <v>570</v>
      </c>
      <c r="M171" s="1032" t="s">
        <v>205</v>
      </c>
      <c r="N171" s="1044" t="s">
        <v>6875</v>
      </c>
      <c r="O171" s="1032">
        <v>0</v>
      </c>
    </row>
    <row r="172" spans="2:15" ht="21.95" customHeight="1" x14ac:dyDescent="0.2">
      <c r="B172" s="1047">
        <v>1</v>
      </c>
      <c r="C172" s="1046" t="s">
        <v>6872</v>
      </c>
      <c r="D172" s="1041" t="s">
        <v>7348</v>
      </c>
      <c r="E172" s="1045" t="s">
        <v>7349</v>
      </c>
      <c r="F172" s="1034">
        <v>0</v>
      </c>
      <c r="G172" s="1035" t="s">
        <v>7347</v>
      </c>
      <c r="H172" s="1035">
        <v>0</v>
      </c>
      <c r="I172" s="1034">
        <v>0</v>
      </c>
      <c r="J172" s="1032">
        <v>0</v>
      </c>
      <c r="K172" s="1032">
        <v>0</v>
      </c>
      <c r="L172" s="1032">
        <v>0</v>
      </c>
      <c r="M172" s="1032">
        <v>0</v>
      </c>
      <c r="N172" s="1044" t="s">
        <v>6875</v>
      </c>
      <c r="O172" s="1032" t="s">
        <v>6870</v>
      </c>
    </row>
    <row r="173" spans="2:15" ht="21.95" customHeight="1" x14ac:dyDescent="0.2">
      <c r="B173" s="1043">
        <v>1</v>
      </c>
      <c r="C173" s="1042" t="s">
        <v>6868</v>
      </c>
      <c r="D173" s="1041" t="s">
        <v>7348</v>
      </c>
      <c r="E173" s="1035">
        <v>0</v>
      </c>
      <c r="F173" s="1034">
        <v>0</v>
      </c>
      <c r="G173" s="1035" t="s">
        <v>7347</v>
      </c>
      <c r="H173" s="1035">
        <v>0</v>
      </c>
      <c r="I173" s="1034">
        <v>0</v>
      </c>
      <c r="J173" s="1032">
        <v>0</v>
      </c>
      <c r="K173" s="1032">
        <v>0</v>
      </c>
      <c r="L173" s="1032">
        <v>0</v>
      </c>
      <c r="M173" s="1032">
        <v>0</v>
      </c>
      <c r="N173" s="1040" t="s">
        <v>6865</v>
      </c>
      <c r="O173" s="1032">
        <v>0</v>
      </c>
    </row>
    <row r="174" spans="2:15" ht="21.95" customHeight="1" x14ac:dyDescent="0.2">
      <c r="B174" s="1039">
        <v>1</v>
      </c>
      <c r="C174" s="1038" t="s">
        <v>6861</v>
      </c>
      <c r="D174" s="1037">
        <v>0</v>
      </c>
      <c r="E174" s="1035">
        <v>0</v>
      </c>
      <c r="F174" s="1036" t="s">
        <v>7346</v>
      </c>
      <c r="G174" s="1035">
        <v>0</v>
      </c>
      <c r="H174" s="1035" t="s">
        <v>7345</v>
      </c>
      <c r="I174" s="1034">
        <v>0</v>
      </c>
      <c r="J174" s="1032">
        <v>0</v>
      </c>
      <c r="K174" s="1032">
        <v>0</v>
      </c>
      <c r="L174" s="1032">
        <v>0</v>
      </c>
      <c r="M174" s="1032">
        <v>0</v>
      </c>
      <c r="N174" s="1033" t="s">
        <v>6858</v>
      </c>
      <c r="O174" s="1032" t="s">
        <v>6857</v>
      </c>
    </row>
    <row r="175" spans="2:15" ht="21.95" customHeight="1" x14ac:dyDescent="0.2">
      <c r="B175" s="1027"/>
      <c r="C175" s="1024"/>
      <c r="D175" s="1029"/>
      <c r="E175" s="1031"/>
      <c r="F175" s="1031"/>
      <c r="G175" s="1031"/>
      <c r="H175" s="1031"/>
      <c r="I175" s="1031"/>
      <c r="J175" s="1031"/>
      <c r="K175" s="1031"/>
      <c r="L175" s="1031"/>
      <c r="M175" s="1031"/>
      <c r="N175" s="1031"/>
      <c r="O175" s="1030"/>
    </row>
    <row r="176" spans="2:15" ht="21.95" customHeight="1" x14ac:dyDescent="0.2">
      <c r="B176" s="1027"/>
      <c r="C176" s="1024"/>
      <c r="D176" s="1025"/>
      <c r="E176" s="1025"/>
      <c r="F176" s="1025"/>
      <c r="G176" s="1025"/>
      <c r="H176" s="1025"/>
      <c r="I176" s="1025"/>
      <c r="J176" s="1029"/>
      <c r="K176" s="1029"/>
      <c r="L176" s="1029"/>
      <c r="M176" s="1029"/>
      <c r="N176" s="1029"/>
      <c r="O176" s="1028"/>
    </row>
    <row r="177" spans="2:15" ht="21.95" customHeight="1" x14ac:dyDescent="0.2">
      <c r="B177" s="1027"/>
      <c r="C177" s="1024"/>
      <c r="D177" s="1025"/>
      <c r="E177" s="1025"/>
      <c r="F177" s="1025"/>
      <c r="G177" s="1025"/>
      <c r="H177" s="1025"/>
      <c r="I177" s="1025"/>
      <c r="J177" s="1025"/>
      <c r="K177" s="1025"/>
      <c r="L177" s="1025"/>
      <c r="M177" s="1025"/>
      <c r="N177" s="1025"/>
      <c r="O177" s="1024"/>
    </row>
    <row r="178" spans="2:15" ht="21.95" customHeight="1" x14ac:dyDescent="0.2">
      <c r="B178" s="1027"/>
      <c r="C178" s="1024"/>
      <c r="D178" s="1025"/>
      <c r="E178" s="1025"/>
      <c r="F178" s="1025"/>
      <c r="G178" s="1025"/>
      <c r="H178" s="1025"/>
      <c r="I178" s="1025"/>
      <c r="J178" s="1025"/>
      <c r="K178" s="1025"/>
      <c r="L178" s="1025"/>
      <c r="M178" s="1025"/>
      <c r="N178" s="1025"/>
      <c r="O178" s="1024"/>
    </row>
    <row r="179" spans="2:15" ht="21.95" customHeight="1" x14ac:dyDescent="0.2">
      <c r="B179" s="1027"/>
      <c r="C179" s="1024"/>
      <c r="D179" s="1025"/>
      <c r="E179" s="1025"/>
      <c r="F179" s="1025"/>
      <c r="G179" s="1025"/>
      <c r="H179" s="1025"/>
      <c r="I179" s="1025"/>
      <c r="J179" s="1025"/>
      <c r="K179" s="1025"/>
      <c r="L179" s="1025"/>
      <c r="M179" s="1025"/>
      <c r="N179" s="1025"/>
      <c r="O179" s="1024"/>
    </row>
    <row r="180" spans="2:15" ht="21.95" customHeight="1" x14ac:dyDescent="0.2">
      <c r="B180" s="1027"/>
      <c r="C180" s="1024"/>
      <c r="D180" s="1025"/>
      <c r="E180" s="1025"/>
      <c r="F180" s="1025"/>
      <c r="G180" s="1025"/>
      <c r="H180" s="1025"/>
      <c r="I180" s="1025"/>
      <c r="J180" s="1025"/>
      <c r="K180" s="1025"/>
      <c r="L180" s="1025"/>
      <c r="M180" s="1025"/>
      <c r="N180" s="1025"/>
      <c r="O180" s="1024"/>
    </row>
    <row r="181" spans="2:15" ht="21.95" customHeight="1" x14ac:dyDescent="0.2">
      <c r="B181" s="1027"/>
      <c r="C181" s="1024"/>
      <c r="D181" s="1025"/>
      <c r="E181" s="1025"/>
      <c r="F181" s="1025"/>
      <c r="G181" s="1025"/>
      <c r="H181" s="1025"/>
      <c r="I181" s="1025"/>
      <c r="J181" s="1025"/>
      <c r="K181" s="1025"/>
      <c r="L181" s="1025"/>
      <c r="M181" s="1025"/>
      <c r="N181" s="1025"/>
      <c r="O181" s="1024"/>
    </row>
    <row r="182" spans="2:15" ht="21.95" customHeight="1" x14ac:dyDescent="0.2">
      <c r="B182" s="1027"/>
      <c r="C182" s="1024"/>
      <c r="D182" s="1025"/>
      <c r="E182" s="1025"/>
      <c r="F182" s="1025"/>
      <c r="G182" s="1025"/>
      <c r="H182" s="1025"/>
      <c r="I182" s="1025"/>
      <c r="J182" s="1025"/>
      <c r="K182" s="1025"/>
      <c r="L182" s="1025"/>
      <c r="M182" s="1025"/>
      <c r="N182" s="1025"/>
      <c r="O182" s="1024"/>
    </row>
    <row r="183" spans="2:15" ht="21.95" customHeight="1" x14ac:dyDescent="0.2">
      <c r="B183" s="1027"/>
      <c r="C183" s="1024"/>
      <c r="D183" s="1025"/>
      <c r="E183" s="1025"/>
      <c r="F183" s="1025"/>
      <c r="G183" s="1025"/>
      <c r="H183" s="1025"/>
      <c r="I183" s="1025"/>
      <c r="J183" s="1025"/>
      <c r="K183" s="1025"/>
      <c r="L183" s="1025"/>
      <c r="M183" s="1025"/>
      <c r="N183" s="1025"/>
      <c r="O183" s="1024"/>
    </row>
    <row r="184" spans="2:15" ht="21.95" customHeight="1" x14ac:dyDescent="0.2">
      <c r="B184" s="1027"/>
      <c r="C184" s="1024"/>
      <c r="D184" s="1025"/>
      <c r="E184" s="1025"/>
      <c r="F184" s="1025"/>
      <c r="G184" s="1025"/>
      <c r="H184" s="1025"/>
      <c r="I184" s="1025"/>
      <c r="J184" s="1025"/>
      <c r="K184" s="1025"/>
      <c r="L184" s="1025"/>
      <c r="M184" s="1025"/>
      <c r="N184" s="1025"/>
      <c r="O184" s="1024"/>
    </row>
    <row r="185" spans="2:15" ht="21.95" customHeight="1" x14ac:dyDescent="0.2">
      <c r="B185" s="1027"/>
      <c r="C185" s="1024"/>
      <c r="D185" s="1025"/>
      <c r="E185" s="1025"/>
      <c r="F185" s="1025"/>
      <c r="G185" s="1025"/>
      <c r="H185" s="1025"/>
      <c r="I185" s="1025"/>
      <c r="J185" s="1025"/>
      <c r="K185" s="1025"/>
      <c r="L185" s="1025"/>
      <c r="M185" s="1025"/>
      <c r="N185" s="1025"/>
      <c r="O185" s="1024"/>
    </row>
    <row r="186" spans="2:15" ht="21.95" customHeight="1" x14ac:dyDescent="0.2">
      <c r="B186" s="1027"/>
      <c r="C186" s="1024"/>
      <c r="D186" s="1025"/>
      <c r="E186" s="1025"/>
      <c r="F186" s="1025"/>
      <c r="G186" s="1025"/>
      <c r="H186" s="1025"/>
      <c r="I186" s="1025"/>
      <c r="J186" s="1025"/>
      <c r="K186" s="1025"/>
      <c r="L186" s="1025"/>
      <c r="M186" s="1025"/>
      <c r="N186" s="1025"/>
      <c r="O186" s="1024"/>
    </row>
    <row r="187" spans="2:15" ht="21.95" customHeight="1" x14ac:dyDescent="0.2">
      <c r="B187" s="1027"/>
      <c r="C187" s="1024"/>
      <c r="D187" s="1025"/>
      <c r="E187" s="1025"/>
      <c r="F187" s="1025"/>
      <c r="G187" s="1025"/>
      <c r="H187" s="1025"/>
      <c r="I187" s="1025"/>
      <c r="J187" s="1025"/>
      <c r="K187" s="1025"/>
      <c r="L187" s="1025"/>
      <c r="M187" s="1025"/>
      <c r="N187" s="1025"/>
      <c r="O187" s="1024"/>
    </row>
    <row r="188" spans="2:15" ht="21.95" customHeight="1" x14ac:dyDescent="0.2">
      <c r="B188" s="1027"/>
      <c r="C188" s="1024"/>
      <c r="D188" s="1025"/>
      <c r="E188" s="1025"/>
      <c r="F188" s="1025"/>
      <c r="G188" s="1025"/>
      <c r="H188" s="1025"/>
      <c r="I188" s="1025"/>
      <c r="J188" s="1025"/>
      <c r="K188" s="1025"/>
      <c r="L188" s="1025"/>
      <c r="M188" s="1025"/>
      <c r="N188" s="1025"/>
      <c r="O188" s="1024"/>
    </row>
    <row r="189" spans="2:15" ht="21.95" customHeight="1" x14ac:dyDescent="0.2">
      <c r="B189" s="1027"/>
      <c r="C189" s="1024"/>
      <c r="D189" s="1025"/>
      <c r="E189" s="1025"/>
      <c r="F189" s="1025"/>
      <c r="G189" s="1025"/>
      <c r="H189" s="1025"/>
      <c r="I189" s="1025"/>
      <c r="J189" s="1025"/>
      <c r="K189" s="1025"/>
      <c r="L189" s="1025"/>
      <c r="M189" s="1025"/>
      <c r="N189" s="1025"/>
      <c r="O189" s="1024"/>
    </row>
    <row r="190" spans="2:15" ht="21.95" customHeight="1" x14ac:dyDescent="0.2">
      <c r="B190" s="1027"/>
      <c r="C190" s="1024"/>
      <c r="D190" s="1025"/>
      <c r="E190" s="1025"/>
      <c r="F190" s="1025"/>
      <c r="G190" s="1025"/>
      <c r="H190" s="1025"/>
      <c r="I190" s="1025"/>
      <c r="J190" s="1025"/>
      <c r="K190" s="1025"/>
      <c r="L190" s="1025"/>
      <c r="M190" s="1025"/>
      <c r="N190" s="1025"/>
      <c r="O190" s="1024"/>
    </row>
    <row r="191" spans="2:15" ht="21.95" customHeight="1" x14ac:dyDescent="0.2">
      <c r="B191" s="1026"/>
      <c r="C191" s="1024"/>
      <c r="D191" s="1025"/>
      <c r="E191" s="1025"/>
      <c r="F191" s="1025"/>
      <c r="G191" s="1025"/>
      <c r="H191" s="1025"/>
      <c r="I191" s="1025"/>
      <c r="J191" s="1025"/>
      <c r="K191" s="1025"/>
      <c r="L191" s="1025"/>
      <c r="M191" s="1025"/>
      <c r="N191" s="1025"/>
      <c r="O191" s="1024"/>
    </row>
    <row r="192" spans="2:15" ht="21.95" customHeight="1" x14ac:dyDescent="0.2">
      <c r="B192" s="1026"/>
      <c r="C192" s="1024"/>
      <c r="D192" s="1025"/>
      <c r="E192" s="1025"/>
      <c r="F192" s="1025"/>
      <c r="G192" s="1025"/>
      <c r="H192" s="1025"/>
      <c r="I192" s="1025"/>
      <c r="J192" s="1025"/>
      <c r="K192" s="1025"/>
      <c r="L192" s="1025"/>
      <c r="M192" s="1025"/>
      <c r="N192" s="1025"/>
      <c r="O192" s="1024"/>
    </row>
    <row r="193" spans="2:15" ht="21.95" customHeight="1" x14ac:dyDescent="0.2">
      <c r="B193" s="1026"/>
      <c r="C193" s="1024"/>
      <c r="D193" s="1025"/>
      <c r="E193" s="1025"/>
      <c r="F193" s="1025"/>
      <c r="G193" s="1025"/>
      <c r="H193" s="1025"/>
      <c r="I193" s="1025"/>
      <c r="J193" s="1025"/>
      <c r="K193" s="1025"/>
      <c r="L193" s="1025"/>
      <c r="M193" s="1025"/>
      <c r="N193" s="1025"/>
      <c r="O193" s="1024"/>
    </row>
    <row r="194" spans="2:15" ht="21.95" customHeight="1" x14ac:dyDescent="0.2">
      <c r="B194" s="1026"/>
      <c r="C194" s="1024"/>
      <c r="D194" s="1025"/>
      <c r="E194" s="1025"/>
      <c r="F194" s="1025"/>
      <c r="G194" s="1025"/>
      <c r="H194" s="1025"/>
      <c r="I194" s="1025"/>
      <c r="J194" s="1025"/>
      <c r="K194" s="1025"/>
      <c r="L194" s="1025"/>
      <c r="M194" s="1025"/>
      <c r="N194" s="1025"/>
      <c r="O194" s="1024"/>
    </row>
    <row r="195" spans="2:15" ht="21.95" customHeight="1" x14ac:dyDescent="0.2">
      <c r="B195" s="1026"/>
      <c r="C195" s="1024"/>
      <c r="D195" s="1025"/>
      <c r="E195" s="1025"/>
      <c r="F195" s="1025"/>
      <c r="G195" s="1025"/>
      <c r="H195" s="1025"/>
      <c r="I195" s="1025"/>
      <c r="J195" s="1025"/>
      <c r="K195" s="1025"/>
      <c r="L195" s="1025"/>
      <c r="M195" s="1025"/>
      <c r="N195" s="1025"/>
      <c r="O195" s="1024"/>
    </row>
    <row r="196" spans="2:15" ht="21.95" customHeight="1" x14ac:dyDescent="0.2">
      <c r="B196" s="1026"/>
      <c r="C196" s="1024"/>
      <c r="D196" s="1025"/>
      <c r="E196" s="1025"/>
      <c r="F196" s="1025"/>
      <c r="G196" s="1025"/>
      <c r="H196" s="1025"/>
      <c r="I196" s="1025"/>
      <c r="J196" s="1025"/>
      <c r="K196" s="1025"/>
      <c r="L196" s="1025"/>
      <c r="M196" s="1025"/>
      <c r="N196" s="1025"/>
      <c r="O196" s="1024"/>
    </row>
    <row r="197" spans="2:15" ht="21.95" customHeight="1" x14ac:dyDescent="0.2">
      <c r="B197" s="1026"/>
      <c r="C197" s="1024"/>
      <c r="D197" s="1025"/>
      <c r="E197" s="1025"/>
      <c r="F197" s="1025"/>
      <c r="G197" s="1025"/>
      <c r="H197" s="1025"/>
      <c r="I197" s="1025"/>
      <c r="J197" s="1025"/>
      <c r="K197" s="1025"/>
      <c r="L197" s="1025"/>
      <c r="M197" s="1025"/>
      <c r="N197" s="1025"/>
      <c r="O197" s="1024"/>
    </row>
    <row r="198" spans="2:15" ht="21.95" customHeight="1" x14ac:dyDescent="0.2">
      <c r="B198" s="1026"/>
      <c r="C198" s="1024"/>
      <c r="D198" s="1025"/>
      <c r="E198" s="1025"/>
      <c r="F198" s="1025"/>
      <c r="G198" s="1025"/>
      <c r="H198" s="1025"/>
      <c r="I198" s="1025"/>
      <c r="J198" s="1025"/>
      <c r="K198" s="1025"/>
      <c r="L198" s="1025"/>
      <c r="M198" s="1025"/>
      <c r="N198" s="1025"/>
      <c r="O198" s="1024"/>
    </row>
    <row r="199" spans="2:15" ht="21.95" customHeight="1" x14ac:dyDescent="0.2">
      <c r="B199" s="1026"/>
      <c r="C199" s="1024"/>
      <c r="D199" s="1025"/>
      <c r="E199" s="1025"/>
      <c r="F199" s="1025"/>
      <c r="G199" s="1025"/>
      <c r="H199" s="1025"/>
      <c r="I199" s="1025"/>
      <c r="J199" s="1025"/>
      <c r="K199" s="1025"/>
      <c r="L199" s="1025"/>
      <c r="M199" s="1025"/>
      <c r="N199" s="1025"/>
      <c r="O199" s="1024"/>
    </row>
    <row r="200" spans="2:15" ht="21.95" customHeight="1" x14ac:dyDescent="0.2">
      <c r="B200" s="1026"/>
      <c r="C200" s="1024"/>
      <c r="D200" s="1025"/>
      <c r="E200" s="1025"/>
      <c r="F200" s="1025"/>
      <c r="G200" s="1025"/>
      <c r="H200" s="1025"/>
      <c r="I200" s="1025"/>
      <c r="J200" s="1025"/>
      <c r="K200" s="1025"/>
      <c r="L200" s="1025"/>
      <c r="M200" s="1025"/>
      <c r="N200" s="1025"/>
      <c r="O200" s="1024"/>
    </row>
    <row r="201" spans="2:15" ht="21.95" customHeight="1" x14ac:dyDescent="0.2">
      <c r="B201" s="1026"/>
      <c r="C201" s="1024" t="s">
        <v>7344</v>
      </c>
      <c r="D201" s="1025"/>
      <c r="E201" s="1025"/>
      <c r="F201" s="1025"/>
      <c r="G201" s="1025"/>
      <c r="H201" s="1025"/>
      <c r="I201" s="1025"/>
      <c r="J201" s="1025"/>
      <c r="K201" s="1025"/>
      <c r="L201" s="1025"/>
      <c r="M201" s="1025"/>
      <c r="N201" s="1025"/>
      <c r="O201" s="1024"/>
    </row>
    <row r="202" spans="2:15" ht="13.5" thickBot="1" x14ac:dyDescent="0.25">
      <c r="B202" s="1023"/>
      <c r="C202" s="1022"/>
      <c r="D202" s="1021"/>
      <c r="E202" s="1021"/>
      <c r="F202" s="1021"/>
      <c r="G202" s="1021"/>
      <c r="H202" s="1021"/>
      <c r="I202" s="1021"/>
      <c r="J202" s="1022"/>
      <c r="K202" s="1022"/>
      <c r="L202" s="1022"/>
      <c r="M202" s="1022"/>
      <c r="N202" s="1022"/>
      <c r="O202" s="1021"/>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CE8E8-08DD-4C06-AEAB-B61A6EAE17D8}">
  <dimension ref="A1:CG226"/>
  <sheetViews>
    <sheetView workbookViewId="0">
      <selection activeCell="A7" sqref="A7"/>
    </sheetView>
  </sheetViews>
  <sheetFormatPr baseColWidth="10" defaultColWidth="10.125" defaultRowHeight="15" x14ac:dyDescent="0.25"/>
  <cols>
    <col min="1" max="1" width="5.875" style="890" customWidth="1"/>
    <col min="2" max="2" width="28.625" style="890" customWidth="1"/>
    <col min="3" max="3" width="1.875" style="890" customWidth="1"/>
    <col min="4" max="4" width="28.625" style="890" customWidth="1"/>
    <col min="5" max="5" width="1.875" style="890" customWidth="1"/>
    <col min="6" max="6" width="28.625" style="890" customWidth="1"/>
    <col min="7" max="7" width="1.875" style="890" customWidth="1"/>
    <col min="8" max="8" width="28.625" style="890" customWidth="1"/>
    <col min="9" max="9" width="1.875" style="890" customWidth="1"/>
    <col min="10" max="10" width="28.625" style="890" customWidth="1"/>
    <col min="11" max="11" width="1.875" style="890" customWidth="1"/>
    <col min="12" max="12" width="28.625" style="890" customWidth="1"/>
    <col min="13" max="13" width="1.875" style="890" customWidth="1"/>
    <col min="14" max="14" width="28.625" style="890" customWidth="1"/>
    <col min="15" max="15" width="1.875" style="890" customWidth="1"/>
    <col min="16" max="16" width="28.625" style="890" customWidth="1"/>
    <col min="17" max="18" width="1.875" style="890" customWidth="1"/>
    <col min="19" max="19" width="28.625" style="890" customWidth="1"/>
    <col min="20" max="20" width="4.25" style="891" customWidth="1"/>
    <col min="21" max="21" width="28.625" style="890" customWidth="1"/>
    <col min="22" max="22" width="4.25" style="891" customWidth="1"/>
    <col min="23" max="23" width="28.625" style="890" customWidth="1"/>
    <col min="24" max="24" width="4.25" style="891" customWidth="1"/>
    <col min="25" max="25" width="28.625" style="890" customWidth="1"/>
    <col min="26" max="26" width="4" style="890" customWidth="1"/>
    <col min="27" max="27" width="28.625" style="890" customWidth="1"/>
    <col min="28" max="28" width="1.875" style="890" customWidth="1"/>
    <col min="29" max="29" width="12.5" style="890" customWidth="1"/>
    <col min="30" max="30" width="28.625" style="890" customWidth="1"/>
    <col min="31" max="31" width="1.875" style="890" customWidth="1"/>
    <col min="32" max="32" width="28.625" style="890" customWidth="1"/>
    <col min="33" max="33" width="1.875" style="890" customWidth="1"/>
    <col min="34" max="34" width="28.625" style="890" customWidth="1"/>
    <col min="35" max="35" width="1.875" style="890" customWidth="1"/>
    <col min="36" max="36" width="28.625" style="890" customWidth="1"/>
    <col min="37" max="37" width="1.875" style="890" customWidth="1"/>
    <col min="38" max="38" width="28.625" style="890" customWidth="1"/>
    <col min="39" max="39" width="1.875" style="890" customWidth="1"/>
    <col min="40" max="40" width="28.625" style="890" customWidth="1"/>
    <col min="41" max="41" width="1.875" style="890" customWidth="1"/>
    <col min="42" max="42" width="28.625" style="890" customWidth="1"/>
    <col min="43" max="43" width="1.875" style="890" customWidth="1"/>
    <col min="44" max="44" width="28.625" style="890" customWidth="1"/>
    <col min="45" max="45" width="1.875" style="890" customWidth="1"/>
    <col min="46" max="46" width="28.625" style="890" customWidth="1"/>
    <col min="47" max="47" width="1.875" style="890" customWidth="1"/>
    <col min="48" max="48" width="28.625" style="890" customWidth="1"/>
    <col min="49" max="49" width="1.875" style="890" customWidth="1"/>
    <col min="50" max="50" width="28.625" style="890" customWidth="1"/>
    <col min="51" max="51" width="1.875" style="890" customWidth="1"/>
    <col min="52" max="52" width="28.625" style="890" customWidth="1"/>
    <col min="53" max="53" width="3.875" style="890" customWidth="1"/>
    <col min="54" max="54" width="28.625" style="890" customWidth="1"/>
    <col min="55" max="55" width="10.375" style="890" customWidth="1"/>
    <col min="56" max="56" width="28.625" style="890" customWidth="1"/>
    <col min="57" max="57" width="1.875" style="890" customWidth="1"/>
    <col min="58" max="58" width="28.625" style="890" customWidth="1"/>
    <col min="59" max="59" width="1.875" style="890" customWidth="1"/>
    <col min="60" max="60" width="28.625" style="890" customWidth="1"/>
    <col min="61" max="61" width="1.875" style="890" customWidth="1"/>
    <col min="62" max="62" width="28.625" style="890" customWidth="1"/>
    <col min="63" max="63" width="1.875" style="890" customWidth="1"/>
    <col min="64" max="64" width="28.625" style="890" customWidth="1"/>
    <col min="65" max="65" width="1.875" style="890" customWidth="1"/>
    <col min="66" max="66" width="28.625" style="890" customWidth="1"/>
    <col min="67" max="67" width="1.875" style="890" customWidth="1"/>
    <col min="68" max="68" width="28.625" style="890" customWidth="1"/>
    <col min="69" max="69" width="1.875" style="890" customWidth="1"/>
    <col min="70" max="70" width="28.625" style="890" customWidth="1"/>
    <col min="71" max="71" width="1.875" style="890" customWidth="1"/>
    <col min="72" max="72" width="28.625" style="890" customWidth="1"/>
    <col min="73" max="73" width="3.875" style="890" customWidth="1"/>
    <col min="74" max="74" width="28.625" style="890" customWidth="1"/>
    <col min="75" max="75" width="1.875" style="890" customWidth="1"/>
    <col min="76" max="76" width="28.625" style="890" customWidth="1"/>
    <col min="77" max="77" width="4.25" style="891" customWidth="1"/>
    <col min="78" max="78" width="28.625" style="890" customWidth="1"/>
    <col min="79" max="79" width="4" style="890" customWidth="1"/>
    <col min="80" max="80" width="28.625" style="890" customWidth="1"/>
    <col min="81" max="81" width="3.875" style="890" customWidth="1"/>
    <col min="82" max="82" width="15.375" style="890" customWidth="1"/>
    <col min="83" max="83" width="7.625" style="890" customWidth="1"/>
    <col min="84" max="84" width="10.125" style="904"/>
    <col min="85" max="85" width="38.125" style="904" customWidth="1"/>
    <col min="86" max="16384" width="10.125" style="890"/>
  </cols>
  <sheetData>
    <row r="1" spans="1:85" ht="21" customHeight="1" x14ac:dyDescent="0.25">
      <c r="A1" s="888" t="str">
        <f>ADDRESS(ROW(),COLUMN(),4)</f>
        <v>A1</v>
      </c>
      <c r="B1" s="889" t="str">
        <f t="shared" ref="B1" si="0">SUBSTITUTE(ADDRESS(1,COLUMN(),4),"1","")</f>
        <v>B</v>
      </c>
      <c r="D1" s="889" t="str">
        <f>SUBSTITUTE(ADDRESS(1,COLUMN(),4),"1","")</f>
        <v>D</v>
      </c>
      <c r="F1" s="889" t="str">
        <f>SUBSTITUTE(ADDRESS(1,COLUMN(),4),"1","")</f>
        <v>F</v>
      </c>
      <c r="H1" s="889" t="str">
        <f>SUBSTITUTE(ADDRESS(1,COLUMN(),4),"1","")</f>
        <v>H</v>
      </c>
      <c r="J1" s="889" t="str">
        <f>SUBSTITUTE(ADDRESS(1,COLUMN(),4),"1","")</f>
        <v>J</v>
      </c>
      <c r="L1" s="889" t="str">
        <f>SUBSTITUTE(ADDRESS(1,COLUMN(),4),"1","")</f>
        <v>L</v>
      </c>
      <c r="N1" s="889" t="str">
        <f>SUBSTITUTE(ADDRESS(1,COLUMN(),4),"1","")</f>
        <v>N</v>
      </c>
      <c r="P1" s="889" t="str">
        <f>SUBSTITUTE(ADDRESS(1,COLUMN(),4),"1","")</f>
        <v>P</v>
      </c>
      <c r="S1" s="889" t="str">
        <f>SUBSTITUTE(ADDRESS(1,COLUMN(),4),"1","")</f>
        <v>S</v>
      </c>
      <c r="U1" s="889" t="str">
        <f>SUBSTITUTE(ADDRESS(1,COLUMN(),4),"1","")</f>
        <v>U</v>
      </c>
      <c r="W1" s="889" t="str">
        <f>SUBSTITUTE(ADDRESS(1,COLUMN(),4),"1","")</f>
        <v>W</v>
      </c>
      <c r="Y1" s="889" t="str">
        <f>SUBSTITUTE(ADDRESS(1,COLUMN(),4),"1","")</f>
        <v>Y</v>
      </c>
      <c r="AA1" s="889" t="str">
        <f>SUBSTITUTE(ADDRESS(1,COLUMN(),4),"1","")</f>
        <v>AA</v>
      </c>
      <c r="AC1" s="916" t="s">
        <v>5596</v>
      </c>
      <c r="AD1" s="889" t="str">
        <f>SUBSTITUTE(ADDRESS(1,COLUMN(),4),"1","")</f>
        <v>AD</v>
      </c>
      <c r="AF1" s="889" t="str">
        <f>SUBSTITUTE(ADDRESS(1,COLUMN(),4),"1","")</f>
        <v>AF</v>
      </c>
      <c r="AH1" s="889" t="str">
        <f>SUBSTITUTE(ADDRESS(1,COLUMN(),4),"1","")</f>
        <v>AH</v>
      </c>
      <c r="AJ1" s="889" t="str">
        <f>SUBSTITUTE(ADDRESS(1,COLUMN(),4),"1","")</f>
        <v>AJ</v>
      </c>
      <c r="AL1" s="889" t="str">
        <f>SUBSTITUTE(ADDRESS(1,COLUMN(),4),"1","")</f>
        <v>AL</v>
      </c>
      <c r="AN1" s="889" t="str">
        <f>SUBSTITUTE(ADDRESS(1,COLUMN(),4),"1","")</f>
        <v>AN</v>
      </c>
      <c r="AP1" s="889" t="str">
        <f>SUBSTITUTE(ADDRESS(1,COLUMN(),4),"1","")</f>
        <v>AP</v>
      </c>
      <c r="AR1" s="889" t="str">
        <f>SUBSTITUTE(ADDRESS(1,COLUMN(),4),"1","")</f>
        <v>AR</v>
      </c>
      <c r="AT1" s="889" t="str">
        <f>SUBSTITUTE(ADDRESS(1,COLUMN(),4),"1","")</f>
        <v>AT</v>
      </c>
      <c r="AV1" s="889" t="str">
        <f>SUBSTITUTE(ADDRESS(1,COLUMN(),4),"1","")</f>
        <v>AV</v>
      </c>
      <c r="AX1" s="889" t="str">
        <f>SUBSTITUTE(ADDRESS(1,COLUMN(),4),"1","")</f>
        <v>AX</v>
      </c>
      <c r="AZ1" s="889" t="str">
        <f>SUBSTITUTE(ADDRESS(1,COLUMN(),4),"1","")</f>
        <v>AZ</v>
      </c>
      <c r="BA1" s="918"/>
      <c r="BB1" s="918"/>
      <c r="BD1" s="889" t="str">
        <f>SUBSTITUTE(ADDRESS(1,COLUMN(),4),"1","")</f>
        <v>BD</v>
      </c>
      <c r="BF1" s="889" t="str">
        <f>SUBSTITUTE(ADDRESS(1,COLUMN(),4),"1","")</f>
        <v>BF</v>
      </c>
      <c r="BH1" s="889" t="str">
        <f>SUBSTITUTE(ADDRESS(1,COLUMN(),4),"1","")</f>
        <v>BH</v>
      </c>
      <c r="BJ1" s="889" t="str">
        <f>SUBSTITUTE(ADDRESS(1,COLUMN(),4),"1","")</f>
        <v>BJ</v>
      </c>
      <c r="BL1" s="889" t="str">
        <f>SUBSTITUTE(ADDRESS(1,COLUMN(),4),"1","")</f>
        <v>BL</v>
      </c>
      <c r="BN1" s="889" t="str">
        <f>SUBSTITUTE(ADDRESS(1,COLUMN(),4),"1","")</f>
        <v>BN</v>
      </c>
      <c r="BP1" s="889" t="str">
        <f>SUBSTITUTE(ADDRESS(1,COLUMN(),4),"1","")</f>
        <v>BP</v>
      </c>
      <c r="BR1" s="889" t="str">
        <f>SUBSTITUTE(ADDRESS(1,COLUMN(),4),"1","")</f>
        <v>BR</v>
      </c>
      <c r="BT1" s="889" t="str">
        <f>SUBSTITUTE(ADDRESS(1,COLUMN(),4),"1","")</f>
        <v>BT</v>
      </c>
      <c r="BV1" s="889" t="str">
        <f>SUBSTITUTE(ADDRESS(1,COLUMN(),4),"1","")</f>
        <v>BV</v>
      </c>
      <c r="BX1" s="889" t="str">
        <f>SUBSTITUTE(ADDRESS(1,COLUMN(),4),"1","")</f>
        <v>BX</v>
      </c>
      <c r="BZ1" s="889" t="str">
        <f>SUBSTITUTE(ADDRESS(1,COLUMN(),4),"1","")</f>
        <v>BZ</v>
      </c>
      <c r="CB1" s="889" t="str">
        <f>SUBSTITUTE(ADDRESS(1,COLUMN(),4),"1","")</f>
        <v>CB</v>
      </c>
      <c r="CD1" s="917" t="s">
        <v>5596</v>
      </c>
      <c r="CE1" s="893">
        <v>1</v>
      </c>
      <c r="CF1" s="889" t="str">
        <f>SUBSTITUTE(ADDRESS(1,COLUMN(),4),"1","")</f>
        <v>CF</v>
      </c>
      <c r="CG1" s="894" t="str">
        <f>SUBSTITUTE(ADDRESS(1,COLUMN(),4),"1","")</f>
        <v>CG</v>
      </c>
    </row>
    <row r="2" spans="1:85" ht="21" customHeight="1" x14ac:dyDescent="0.25">
      <c r="A2" s="895"/>
      <c r="B2" s="896">
        <f t="shared" ref="B2:D3" ca="1" si="1">CELL("largeur",B2)</f>
        <v>28</v>
      </c>
      <c r="D2" s="896">
        <f ca="1">CELL("largeur",D2)</f>
        <v>28</v>
      </c>
      <c r="F2" s="896">
        <f ca="1">CELL("largeur",F2)</f>
        <v>28</v>
      </c>
      <c r="H2" s="896">
        <f ca="1">CELL("largeur",H2)</f>
        <v>28</v>
      </c>
      <c r="J2" s="896">
        <f ca="1">CELL("largeur",J2)</f>
        <v>28</v>
      </c>
      <c r="L2" s="896">
        <f ca="1">CELL("largeur",L2)</f>
        <v>28</v>
      </c>
      <c r="N2" s="896">
        <f ca="1">CELL("largeur",N2)</f>
        <v>28</v>
      </c>
      <c r="P2" s="896">
        <f ca="1">CELL("largeur",P2)</f>
        <v>28</v>
      </c>
      <c r="S2" s="896">
        <f ca="1">CELL("largeur",S2)</f>
        <v>28</v>
      </c>
      <c r="U2" s="896">
        <f ca="1">CELL("largeur",U2)</f>
        <v>28</v>
      </c>
      <c r="W2" s="896">
        <f ca="1">CELL("largeur",W2)</f>
        <v>28</v>
      </c>
      <c r="Y2" s="896">
        <f ca="1">CELL("largeur",Y2)</f>
        <v>28</v>
      </c>
      <c r="AA2" s="896">
        <f ca="1">CELL("largeur",AA2)</f>
        <v>28</v>
      </c>
      <c r="AC2" s="916"/>
      <c r="AD2" s="896">
        <f ca="1">CELL("largeur",AD2)</f>
        <v>28</v>
      </c>
      <c r="AF2" s="896">
        <f ca="1">CELL("largeur",AF2)</f>
        <v>28</v>
      </c>
      <c r="AH2" s="896">
        <f ca="1">CELL("largeur",AH2)</f>
        <v>28</v>
      </c>
      <c r="AJ2" s="896">
        <f ca="1">CELL("largeur",AJ2)</f>
        <v>28</v>
      </c>
      <c r="AL2" s="896">
        <f ca="1">CELL("largeur",AL2)</f>
        <v>28</v>
      </c>
      <c r="AN2" s="896">
        <f ca="1">CELL("largeur",AN2)</f>
        <v>28</v>
      </c>
      <c r="AP2" s="896">
        <f ca="1">CELL("largeur",AP2)</f>
        <v>28</v>
      </c>
      <c r="AR2" s="896">
        <f ca="1">CELL("largeur",AR2)</f>
        <v>28</v>
      </c>
      <c r="AT2" s="896">
        <f ca="1">CELL("largeur",AT2)</f>
        <v>28</v>
      </c>
      <c r="AV2" s="896">
        <f ca="1">CELL("largeur",AV2)</f>
        <v>28</v>
      </c>
      <c r="AX2" s="896">
        <f ca="1">CELL("largeur",AX2)</f>
        <v>28</v>
      </c>
      <c r="AZ2" s="896">
        <f ca="1">CELL("largeur",AZ2)</f>
        <v>28</v>
      </c>
      <c r="BA2" s="896"/>
      <c r="BB2" s="896"/>
      <c r="BD2" s="896">
        <f ca="1">CELL("largeur",BD2)</f>
        <v>28</v>
      </c>
      <c r="BF2" s="896">
        <f ca="1">CELL("largeur",BF2)</f>
        <v>28</v>
      </c>
      <c r="BH2" s="896">
        <f ca="1">CELL("largeur",BH2)</f>
        <v>28</v>
      </c>
      <c r="BJ2" s="896">
        <f ca="1">CELL("largeur",BJ2)</f>
        <v>28</v>
      </c>
      <c r="BL2" s="896">
        <f ca="1">CELL("largeur",BL2)</f>
        <v>28</v>
      </c>
      <c r="BN2" s="896">
        <f ca="1">CELL("largeur",BN2)</f>
        <v>28</v>
      </c>
      <c r="BP2" s="896">
        <f ca="1">CELL("largeur",BP2)</f>
        <v>28</v>
      </c>
      <c r="BR2" s="896">
        <f ca="1">CELL("largeur",BR2)</f>
        <v>28</v>
      </c>
      <c r="BT2" s="896">
        <f ca="1">CELL("largeur",BT2)</f>
        <v>28</v>
      </c>
      <c r="BV2" s="896">
        <f ca="1">CELL("largeur",BV2)</f>
        <v>28</v>
      </c>
      <c r="BX2" s="896">
        <f ca="1">CELL("largeur",BX2)</f>
        <v>28</v>
      </c>
      <c r="BZ2" s="896">
        <f ca="1">CELL("largeur",BZ2)</f>
        <v>28</v>
      </c>
      <c r="CB2" s="896">
        <f ca="1">CELL("largeur",CB2)</f>
        <v>28</v>
      </c>
      <c r="CD2" s="917"/>
      <c r="CE2" s="893">
        <v>1</v>
      </c>
      <c r="CF2" s="897"/>
      <c r="CG2" s="897" t="s">
        <v>5597</v>
      </c>
    </row>
    <row r="3" spans="1:85" ht="21" customHeight="1" x14ac:dyDescent="0.25">
      <c r="A3" s="895"/>
      <c r="B3" s="898">
        <f t="shared" ca="1" si="1"/>
        <v>28</v>
      </c>
      <c r="D3" s="898">
        <f t="shared" ca="1" si="1"/>
        <v>28</v>
      </c>
      <c r="F3" s="898">
        <v>13</v>
      </c>
      <c r="H3" s="898">
        <v>13</v>
      </c>
      <c r="J3" s="898">
        <v>13</v>
      </c>
      <c r="L3" s="898">
        <v>13</v>
      </c>
      <c r="N3" s="898">
        <v>13</v>
      </c>
      <c r="P3" s="898">
        <v>13</v>
      </c>
      <c r="S3" s="898">
        <v>13</v>
      </c>
      <c r="U3" s="898">
        <v>13</v>
      </c>
      <c r="W3" s="898">
        <v>13</v>
      </c>
      <c r="Y3" s="898">
        <v>11</v>
      </c>
      <c r="AA3" s="898">
        <v>11</v>
      </c>
      <c r="AC3" s="899" t="s">
        <v>5598</v>
      </c>
      <c r="AD3" s="898">
        <v>13</v>
      </c>
      <c r="AF3" s="898">
        <v>13</v>
      </c>
      <c r="AH3" s="898">
        <v>13</v>
      </c>
      <c r="AJ3" s="898">
        <v>13</v>
      </c>
      <c r="AL3" s="898">
        <v>13</v>
      </c>
      <c r="AN3" s="898">
        <v>13</v>
      </c>
      <c r="AP3" s="898">
        <v>13</v>
      </c>
      <c r="AR3" s="898">
        <v>13</v>
      </c>
      <c r="AT3" s="898">
        <v>13</v>
      </c>
      <c r="AV3" s="898">
        <v>13</v>
      </c>
      <c r="AX3" s="898">
        <v>13</v>
      </c>
      <c r="AZ3" s="898">
        <v>11</v>
      </c>
      <c r="BA3" s="898"/>
      <c r="BB3" s="898"/>
      <c r="BD3" s="898">
        <v>13</v>
      </c>
      <c r="BF3" s="898">
        <v>13</v>
      </c>
      <c r="BH3" s="898">
        <v>13</v>
      </c>
      <c r="BJ3" s="898">
        <v>13</v>
      </c>
      <c r="BL3" s="898">
        <v>13</v>
      </c>
      <c r="BN3" s="898">
        <v>13</v>
      </c>
      <c r="BP3" s="898">
        <v>13</v>
      </c>
      <c r="BR3" s="898">
        <v>13</v>
      </c>
      <c r="BT3" s="898">
        <v>13</v>
      </c>
      <c r="BV3" s="898">
        <v>13</v>
      </c>
      <c r="BX3" s="898">
        <v>13</v>
      </c>
      <c r="BZ3" s="898">
        <v>11</v>
      </c>
      <c r="CB3" s="898">
        <v>11</v>
      </c>
      <c r="CD3" s="900" t="s">
        <v>5598</v>
      </c>
      <c r="CE3" s="893">
        <v>1</v>
      </c>
      <c r="CF3" s="901">
        <f ca="1">COUNTA(A1:CE226)+COUNTBLANK(A1:CE226)</f>
        <v>20076</v>
      </c>
      <c r="CG3" s="902" t="str">
        <f>"cellules entre"&amp;" " &amp;A1&amp;" et  "&amp;CE226</f>
        <v>cellules entre A1 et  CE226</v>
      </c>
    </row>
    <row r="4" spans="1:85" ht="15.75" x14ac:dyDescent="0.25">
      <c r="B4" s="892" t="s">
        <v>6577</v>
      </c>
      <c r="C4" s="892"/>
      <c r="D4" s="892"/>
      <c r="E4" s="892"/>
      <c r="F4" s="892"/>
      <c r="G4" s="892"/>
      <c r="H4" s="892"/>
      <c r="I4" s="892"/>
      <c r="J4" s="892"/>
      <c r="K4" s="892"/>
      <c r="L4" s="892"/>
      <c r="M4" s="892"/>
      <c r="N4" s="892"/>
      <c r="O4" s="892"/>
      <c r="P4" s="892"/>
      <c r="Q4" s="892"/>
      <c r="R4" s="892"/>
      <c r="S4" s="892"/>
      <c r="T4" s="892"/>
      <c r="U4" s="892"/>
      <c r="V4" s="892"/>
      <c r="W4" s="892"/>
      <c r="X4" s="892"/>
      <c r="Y4" s="892"/>
      <c r="Z4" s="892"/>
      <c r="AA4" s="892"/>
      <c r="AB4" s="892"/>
      <c r="AC4" s="892"/>
      <c r="AD4" s="892"/>
      <c r="AE4" s="892"/>
      <c r="AF4" s="892"/>
      <c r="AG4" s="892"/>
      <c r="AH4" s="892"/>
      <c r="AI4" s="892"/>
      <c r="AJ4" s="892"/>
      <c r="AK4" s="892"/>
      <c r="AL4" s="892"/>
      <c r="AM4" s="892"/>
      <c r="AN4" s="892"/>
      <c r="AO4" s="892"/>
      <c r="AP4" s="892"/>
      <c r="AQ4" s="892"/>
      <c r="AR4" s="892"/>
      <c r="AS4" s="892"/>
      <c r="AT4" s="892"/>
      <c r="AU4" s="892"/>
      <c r="AV4" s="892"/>
      <c r="AW4" s="892"/>
      <c r="AX4" s="892"/>
      <c r="AY4" s="892"/>
      <c r="AZ4" s="892"/>
      <c r="BA4" s="892"/>
      <c r="BB4" s="892"/>
      <c r="BC4" s="892"/>
      <c r="BD4" s="892"/>
      <c r="BE4" s="892"/>
      <c r="BF4" s="892"/>
      <c r="BG4" s="892"/>
      <c r="BH4" s="892"/>
      <c r="BI4" s="892"/>
      <c r="BJ4" s="892"/>
      <c r="BK4" s="892"/>
      <c r="BL4" s="892"/>
      <c r="BM4" s="892"/>
      <c r="BN4" s="892"/>
      <c r="BO4" s="892"/>
      <c r="BP4" s="892"/>
      <c r="BQ4" s="892"/>
      <c r="BR4" s="892"/>
      <c r="BS4" s="892"/>
      <c r="BT4" s="892"/>
      <c r="BU4" s="892"/>
      <c r="BV4" s="892"/>
      <c r="BW4" s="892"/>
      <c r="BX4" s="892"/>
      <c r="BY4" s="892"/>
      <c r="BZ4" s="892"/>
      <c r="CA4" s="892"/>
      <c r="CB4" s="892"/>
      <c r="CC4" s="892"/>
      <c r="CD4" s="892"/>
      <c r="CE4" s="893">
        <v>1</v>
      </c>
      <c r="CF4" s="901">
        <f ca="1">COUNTA(A1:CE226)</f>
        <v>2787</v>
      </c>
      <c r="CG4" s="902" t="s">
        <v>5599</v>
      </c>
    </row>
    <row r="5" spans="1:85" ht="21.75" customHeight="1" x14ac:dyDescent="0.25">
      <c r="B5" s="892"/>
      <c r="C5" s="892"/>
      <c r="D5" s="892"/>
      <c r="E5" s="892"/>
      <c r="F5" s="892"/>
      <c r="G5" s="892"/>
      <c r="H5" s="892"/>
      <c r="I5" s="892"/>
      <c r="J5" s="892"/>
      <c r="K5" s="892"/>
      <c r="L5" s="892"/>
      <c r="M5" s="892"/>
      <c r="N5" s="892"/>
      <c r="O5" s="892"/>
      <c r="P5" s="892"/>
      <c r="Q5" s="892"/>
      <c r="R5" s="892"/>
      <c r="S5" s="892"/>
      <c r="T5" s="903"/>
      <c r="U5" s="892"/>
      <c r="V5" s="903"/>
      <c r="W5" s="892"/>
      <c r="X5" s="903"/>
      <c r="Y5" s="892"/>
      <c r="Z5" s="892"/>
      <c r="AA5" s="892"/>
      <c r="AB5" s="892"/>
      <c r="AC5" s="892"/>
      <c r="AD5" s="892"/>
      <c r="AE5" s="892"/>
      <c r="AF5" s="892"/>
      <c r="AG5" s="892"/>
      <c r="AH5" s="892"/>
      <c r="AI5" s="892"/>
      <c r="AJ5" s="892"/>
      <c r="AK5" s="892"/>
      <c r="AL5" s="892"/>
      <c r="AM5" s="892"/>
      <c r="AN5" s="892"/>
      <c r="AO5" s="892"/>
      <c r="AP5" s="892"/>
      <c r="AQ5" s="892"/>
      <c r="AR5" s="892"/>
      <c r="AS5" s="892"/>
      <c r="AT5" s="892"/>
      <c r="AU5" s="892"/>
      <c r="AV5" s="892"/>
      <c r="AW5" s="892"/>
      <c r="AX5" s="892"/>
      <c r="AY5" s="892"/>
      <c r="AZ5" s="892"/>
      <c r="BA5" s="892"/>
      <c r="BB5" s="892"/>
      <c r="BC5" s="892"/>
      <c r="BD5" s="892"/>
      <c r="BE5" s="892"/>
      <c r="BF5" s="892"/>
      <c r="BG5" s="892"/>
      <c r="BH5" s="892"/>
      <c r="BI5" s="892"/>
      <c r="BJ5" s="892"/>
      <c r="BK5" s="892"/>
      <c r="BL5" s="892"/>
      <c r="BM5" s="892"/>
      <c r="BN5" s="892"/>
      <c r="BO5" s="892"/>
      <c r="BP5" s="892"/>
      <c r="BQ5" s="892"/>
      <c r="BR5" s="892"/>
      <c r="BS5" s="892"/>
      <c r="BT5" s="892"/>
      <c r="BU5" s="892"/>
      <c r="BV5" s="892"/>
      <c r="BW5" s="892"/>
      <c r="BX5" s="892"/>
      <c r="BY5" s="903"/>
      <c r="BZ5" s="892"/>
      <c r="CA5" s="892"/>
      <c r="CB5" s="892"/>
      <c r="CC5" s="892"/>
      <c r="CD5" s="892"/>
      <c r="CE5" s="893">
        <v>1</v>
      </c>
      <c r="CF5" s="901">
        <f ca="1">COUNTBLANK(A1:CE226)</f>
        <v>17289</v>
      </c>
      <c r="CG5" s="902" t="s">
        <v>5600</v>
      </c>
    </row>
    <row r="6" spans="1:85" ht="22.5" customHeight="1" x14ac:dyDescent="0.25">
      <c r="A6" s="892"/>
      <c r="B6" s="922" t="s">
        <v>6576</v>
      </c>
      <c r="C6" s="892"/>
      <c r="D6" s="892"/>
      <c r="E6" s="892"/>
      <c r="F6" s="892"/>
      <c r="G6" s="892"/>
      <c r="H6" s="892"/>
      <c r="I6" s="892"/>
      <c r="J6" s="892"/>
      <c r="K6" s="892"/>
      <c r="L6" s="892"/>
      <c r="M6" s="892"/>
      <c r="N6" s="892"/>
      <c r="O6" s="892"/>
      <c r="P6" s="892"/>
      <c r="Q6" s="892"/>
      <c r="R6" s="892"/>
      <c r="S6" s="892"/>
      <c r="T6" s="892"/>
      <c r="U6" s="892"/>
      <c r="V6" s="892"/>
      <c r="W6" s="892"/>
      <c r="X6" s="903"/>
      <c r="Y6" s="892"/>
      <c r="Z6" s="892"/>
      <c r="AA6" s="892"/>
      <c r="AB6" s="892"/>
      <c r="AC6" s="892"/>
      <c r="AD6" s="892" t="s">
        <v>5603</v>
      </c>
      <c r="AE6" s="892"/>
      <c r="AF6" s="892"/>
      <c r="AG6" s="892"/>
      <c r="AH6" s="892"/>
      <c r="AI6" s="892"/>
      <c r="AJ6" s="892"/>
      <c r="AK6" s="892"/>
      <c r="AL6" s="892"/>
      <c r="AM6" s="892"/>
      <c r="AN6" s="892"/>
      <c r="AO6" s="892"/>
      <c r="AP6" s="892"/>
      <c r="AQ6" s="892"/>
      <c r="AR6" s="892"/>
      <c r="AS6" s="892"/>
      <c r="AT6" s="892"/>
      <c r="AU6" s="892"/>
      <c r="AV6" s="892"/>
      <c r="AW6" s="892"/>
      <c r="AX6" s="892"/>
      <c r="AY6" s="892"/>
      <c r="AZ6" s="892"/>
      <c r="BA6" s="892"/>
      <c r="BB6" s="892"/>
      <c r="BC6" s="892"/>
      <c r="BD6" s="892" t="s">
        <v>5604</v>
      </c>
      <c r="BE6" s="892"/>
      <c r="BF6" s="892"/>
      <c r="BG6" s="892"/>
      <c r="BH6" s="892"/>
      <c r="BI6" s="892"/>
      <c r="BJ6" s="892"/>
      <c r="BK6" s="892"/>
      <c r="BL6" s="892"/>
      <c r="BM6" s="892"/>
      <c r="BN6" s="892"/>
      <c r="BO6" s="892"/>
      <c r="BP6" s="892"/>
      <c r="BQ6" s="892"/>
      <c r="BR6" s="892"/>
      <c r="BS6" s="892"/>
      <c r="BT6" s="892"/>
      <c r="BU6" s="892"/>
      <c r="BV6" s="892"/>
      <c r="BW6" s="892"/>
      <c r="BX6" s="892"/>
      <c r="BY6" s="903"/>
      <c r="BZ6" s="892"/>
      <c r="CA6" s="892"/>
      <c r="CB6" s="892"/>
      <c r="CC6" s="892"/>
      <c r="CD6" s="892"/>
      <c r="CE6" s="893">
        <v>1</v>
      </c>
      <c r="CG6" s="906" t="s">
        <v>5605</v>
      </c>
    </row>
    <row r="7" spans="1:85" ht="22.5" customHeight="1" x14ac:dyDescent="0.25">
      <c r="A7" s="892"/>
      <c r="B7" s="892"/>
      <c r="C7" s="892"/>
      <c r="D7" s="892"/>
      <c r="E7" s="892"/>
      <c r="F7" s="892"/>
      <c r="G7" s="892"/>
      <c r="H7" s="892"/>
      <c r="I7" s="892"/>
      <c r="J7" s="892"/>
      <c r="K7" s="892"/>
      <c r="L7" s="892"/>
      <c r="M7" s="892"/>
      <c r="N7" s="892"/>
      <c r="O7" s="892"/>
      <c r="P7" s="892"/>
      <c r="Q7" s="892"/>
      <c r="R7" s="892"/>
      <c r="S7" s="892"/>
      <c r="T7" s="905"/>
      <c r="U7" s="892"/>
      <c r="V7" s="905"/>
      <c r="W7" s="892"/>
      <c r="X7" s="903"/>
      <c r="Y7" s="892"/>
      <c r="Z7" s="892"/>
      <c r="AA7" s="892"/>
      <c r="AB7" s="892"/>
      <c r="AC7" s="892"/>
      <c r="AD7" s="892" t="s">
        <v>5606</v>
      </c>
      <c r="AE7" s="892"/>
      <c r="AF7" s="892"/>
      <c r="AG7" s="892"/>
      <c r="AH7" s="892"/>
      <c r="AI7" s="892"/>
      <c r="AJ7" s="892"/>
      <c r="AK7" s="892"/>
      <c r="AL7" s="892"/>
      <c r="AM7" s="892"/>
      <c r="AN7" s="892"/>
      <c r="AO7" s="892"/>
      <c r="AP7" s="892"/>
      <c r="AQ7" s="892"/>
      <c r="AR7" s="892"/>
      <c r="AS7" s="892"/>
      <c r="AT7" s="892"/>
      <c r="AU7" s="892"/>
      <c r="AV7" s="892"/>
      <c r="AW7" s="892"/>
      <c r="AX7" s="892"/>
      <c r="AY7" s="892"/>
      <c r="AZ7" s="892"/>
      <c r="BA7" s="892"/>
      <c r="BB7" s="892"/>
      <c r="BC7" s="892"/>
      <c r="BD7" s="892" t="s">
        <v>5607</v>
      </c>
      <c r="BE7" s="892"/>
      <c r="BF7" s="892"/>
      <c r="BG7" s="892"/>
      <c r="BH7" s="892"/>
      <c r="BI7" s="892"/>
      <c r="BJ7" s="892"/>
      <c r="BK7" s="892"/>
      <c r="BL7" s="892"/>
      <c r="BM7" s="892"/>
      <c r="BN7" s="892"/>
      <c r="BO7" s="892"/>
      <c r="BP7" s="892"/>
      <c r="BQ7" s="892"/>
      <c r="BR7" s="892"/>
      <c r="BS7" s="892"/>
      <c r="BT7" s="892"/>
      <c r="BU7" s="892"/>
      <c r="BV7" s="892"/>
      <c r="BW7" s="892"/>
      <c r="BX7" s="892"/>
      <c r="BY7" s="903"/>
      <c r="BZ7" s="892"/>
      <c r="CA7" s="892"/>
      <c r="CB7" s="892"/>
      <c r="CC7" s="892"/>
      <c r="CD7" s="892"/>
      <c r="CE7" s="893">
        <v>1</v>
      </c>
      <c r="CG7" s="906"/>
    </row>
    <row r="8" spans="1:85" ht="22.5" customHeight="1" x14ac:dyDescent="0.25">
      <c r="A8" s="892"/>
      <c r="B8" s="892" t="s">
        <v>5608</v>
      </c>
      <c r="C8" s="892"/>
      <c r="D8" s="892"/>
      <c r="E8" s="892"/>
      <c r="F8" s="892"/>
      <c r="G8" s="892"/>
      <c r="H8" s="892"/>
      <c r="I8" s="892"/>
      <c r="J8" s="892"/>
      <c r="K8" s="892"/>
      <c r="L8" s="892"/>
      <c r="M8" s="892"/>
      <c r="N8" s="892"/>
      <c r="O8" s="892"/>
      <c r="P8" s="892"/>
      <c r="Q8" s="892"/>
      <c r="R8" s="892"/>
      <c r="S8" s="892"/>
      <c r="T8" s="903"/>
      <c r="U8" s="892"/>
      <c r="V8" s="903"/>
      <c r="W8" s="892"/>
      <c r="X8" s="903"/>
      <c r="Y8" s="892"/>
      <c r="Z8" s="892"/>
      <c r="AA8" s="892"/>
      <c r="AB8" s="892"/>
      <c r="AC8" s="892"/>
      <c r="AD8" s="892" t="s">
        <v>5609</v>
      </c>
      <c r="AE8" s="892"/>
      <c r="AF8" s="892"/>
      <c r="AG8" s="892"/>
      <c r="AH8" s="892"/>
      <c r="AI8" s="892"/>
      <c r="AJ8" s="892"/>
      <c r="AK8" s="892"/>
      <c r="AL8" s="892"/>
      <c r="AM8" s="892"/>
      <c r="AN8" s="892"/>
      <c r="AO8" s="892"/>
      <c r="AP8" s="892"/>
      <c r="AQ8" s="892"/>
      <c r="AR8" s="892"/>
      <c r="AS8" s="892"/>
      <c r="AT8" s="892"/>
      <c r="AU8" s="892"/>
      <c r="AV8" s="892"/>
      <c r="AW8" s="892"/>
      <c r="AX8" s="892"/>
      <c r="AY8" s="892"/>
      <c r="AZ8" s="892"/>
      <c r="BA8" s="892"/>
      <c r="BB8" s="892"/>
      <c r="BC8" s="892"/>
      <c r="BD8" s="892" t="s">
        <v>5610</v>
      </c>
      <c r="BE8" s="892"/>
      <c r="BF8" s="892"/>
      <c r="BG8" s="892"/>
      <c r="BH8" s="892"/>
      <c r="BI8" s="892"/>
      <c r="BJ8" s="892"/>
      <c r="BK8" s="892"/>
      <c r="BL8" s="892"/>
      <c r="BM8" s="892"/>
      <c r="BN8" s="892"/>
      <c r="BO8" s="892"/>
      <c r="BP8" s="892"/>
      <c r="BQ8" s="892"/>
      <c r="BR8" s="892"/>
      <c r="BS8" s="892"/>
      <c r="BT8" s="892"/>
      <c r="BU8" s="892"/>
      <c r="BV8" s="892"/>
      <c r="BW8" s="892"/>
      <c r="BX8" s="892"/>
      <c r="BY8" s="903"/>
      <c r="BZ8" s="892"/>
      <c r="CA8" s="892"/>
      <c r="CB8" s="892"/>
      <c r="CC8" s="892"/>
      <c r="CD8" s="892"/>
      <c r="CE8" s="893">
        <v>1</v>
      </c>
      <c r="CG8" s="906" t="s">
        <v>5611</v>
      </c>
    </row>
    <row r="9" spans="1:85" ht="22.5" customHeight="1" x14ac:dyDescent="0.25">
      <c r="A9" s="892"/>
      <c r="B9" s="892" t="s">
        <v>5612</v>
      </c>
      <c r="C9" s="892"/>
      <c r="D9" s="892"/>
      <c r="E9" s="892"/>
      <c r="F9" s="892"/>
      <c r="G9" s="892"/>
      <c r="H9" s="892"/>
      <c r="I9" s="892"/>
      <c r="J9" s="892"/>
      <c r="K9" s="892"/>
      <c r="L9" s="892"/>
      <c r="M9" s="892"/>
      <c r="N9" s="892"/>
      <c r="O9" s="892"/>
      <c r="P9" s="892"/>
      <c r="Q9" s="892"/>
      <c r="R9" s="892"/>
      <c r="S9" s="892"/>
      <c r="T9" s="903"/>
      <c r="U9" s="892"/>
      <c r="V9" s="903"/>
      <c r="W9" s="892"/>
      <c r="X9" s="903"/>
      <c r="Y9" s="892"/>
      <c r="Z9" s="892"/>
      <c r="AA9" s="892"/>
      <c r="AB9" s="892"/>
      <c r="AC9" s="892"/>
      <c r="AD9" s="892" t="s">
        <v>5613</v>
      </c>
      <c r="AE9" s="892"/>
      <c r="AF9" s="892"/>
      <c r="AG9" s="892"/>
      <c r="AH9" s="892"/>
      <c r="AI9" s="892"/>
      <c r="AJ9" s="892"/>
      <c r="AK9" s="892"/>
      <c r="AL9" s="892"/>
      <c r="AM9" s="892"/>
      <c r="AN9" s="892"/>
      <c r="AO9" s="892"/>
      <c r="AP9" s="892"/>
      <c r="AQ9" s="892"/>
      <c r="AR9" s="892"/>
      <c r="AS9" s="892"/>
      <c r="AT9" s="892"/>
      <c r="AU9" s="892"/>
      <c r="AV9" s="892"/>
      <c r="AW9" s="892"/>
      <c r="AX9" s="892"/>
      <c r="AY9" s="892"/>
      <c r="AZ9" s="892"/>
      <c r="BA9" s="892"/>
      <c r="BB9" s="892"/>
      <c r="BC9" s="892"/>
      <c r="BD9" s="892" t="s">
        <v>5614</v>
      </c>
      <c r="BE9" s="892"/>
      <c r="BF9" s="892"/>
      <c r="BG9" s="892"/>
      <c r="BH9" s="892"/>
      <c r="BI9" s="892"/>
      <c r="BJ9" s="892"/>
      <c r="BK9" s="892"/>
      <c r="BL9" s="892"/>
      <c r="BM9" s="892"/>
      <c r="BN9" s="892"/>
      <c r="BO9" s="892"/>
      <c r="BP9" s="892"/>
      <c r="BQ9" s="892"/>
      <c r="BR9" s="892"/>
      <c r="BS9" s="892"/>
      <c r="BT9" s="892"/>
      <c r="BU9" s="892"/>
      <c r="BV9" s="892"/>
      <c r="BW9" s="892"/>
      <c r="BX9" s="892"/>
      <c r="BY9" s="903"/>
      <c r="BZ9" s="892"/>
      <c r="CA9" s="892"/>
      <c r="CB9" s="892"/>
      <c r="CC9" s="892"/>
      <c r="CD9" s="892"/>
      <c r="CE9" s="893">
        <v>1</v>
      </c>
      <c r="CG9" s="906" t="s">
        <v>5615</v>
      </c>
    </row>
    <row r="10" spans="1:85" ht="22.5" customHeight="1" x14ac:dyDescent="0.25">
      <c r="A10" s="892"/>
      <c r="B10" s="892" t="s">
        <v>5616</v>
      </c>
      <c r="C10" s="892"/>
      <c r="D10" s="892"/>
      <c r="E10" s="892"/>
      <c r="F10" s="892"/>
      <c r="G10" s="892"/>
      <c r="H10" s="892"/>
      <c r="I10" s="892"/>
      <c r="J10" s="892"/>
      <c r="K10" s="892"/>
      <c r="L10" s="892"/>
      <c r="M10" s="892"/>
      <c r="N10" s="892"/>
      <c r="O10" s="892"/>
      <c r="P10" s="892"/>
      <c r="Q10" s="892"/>
      <c r="R10" s="892"/>
      <c r="S10" s="892"/>
      <c r="T10" s="892"/>
      <c r="U10" s="892"/>
      <c r="V10" s="892"/>
      <c r="W10" s="892"/>
      <c r="X10" s="892"/>
      <c r="Y10" s="892"/>
      <c r="Z10" s="892"/>
      <c r="AA10" s="892"/>
      <c r="AB10" s="892"/>
      <c r="AC10" s="892"/>
      <c r="AD10" s="892" t="s">
        <v>5617</v>
      </c>
      <c r="AE10" s="892"/>
      <c r="AF10" s="892"/>
      <c r="AG10" s="892"/>
      <c r="AH10" s="892"/>
      <c r="AI10" s="892"/>
      <c r="AJ10" s="892"/>
      <c r="AK10" s="892"/>
      <c r="AL10" s="892"/>
      <c r="AM10" s="892"/>
      <c r="AN10" s="892"/>
      <c r="AO10" s="892"/>
      <c r="AP10" s="892"/>
      <c r="AQ10" s="892"/>
      <c r="AR10" s="892"/>
      <c r="AS10" s="892"/>
      <c r="AT10" s="892"/>
      <c r="AU10" s="892"/>
      <c r="AV10" s="892"/>
      <c r="AW10" s="892"/>
      <c r="AX10" s="892"/>
      <c r="AY10" s="892"/>
      <c r="AZ10" s="892"/>
      <c r="BA10" s="892"/>
      <c r="BB10" s="892"/>
      <c r="BC10" s="892"/>
      <c r="BD10" s="892" t="s">
        <v>5618</v>
      </c>
      <c r="BE10" s="892"/>
      <c r="BF10" s="892"/>
      <c r="BG10" s="892"/>
      <c r="BH10" s="892"/>
      <c r="BI10" s="892"/>
      <c r="BJ10" s="892"/>
      <c r="BK10" s="892"/>
      <c r="BL10" s="892"/>
      <c r="BM10" s="892"/>
      <c r="BN10" s="892"/>
      <c r="BO10" s="892"/>
      <c r="BP10" s="892"/>
      <c r="BQ10" s="892"/>
      <c r="BR10" s="892"/>
      <c r="BS10" s="892"/>
      <c r="BT10" s="892"/>
      <c r="BU10" s="892"/>
      <c r="BV10" s="892"/>
      <c r="BW10" s="892"/>
      <c r="BX10" s="892"/>
      <c r="BY10" s="892"/>
      <c r="BZ10" s="892"/>
      <c r="CA10" s="892"/>
      <c r="CB10" s="892"/>
      <c r="CC10" s="892"/>
      <c r="CD10" s="892"/>
      <c r="CE10" s="893">
        <v>1</v>
      </c>
      <c r="CG10" s="890"/>
    </row>
    <row r="11" spans="1:85" ht="18" customHeight="1" x14ac:dyDescent="0.25">
      <c r="A11" s="892"/>
      <c r="B11" s="892"/>
      <c r="C11" s="892"/>
      <c r="D11" s="892"/>
      <c r="E11" s="892"/>
      <c r="F11" s="892"/>
      <c r="G11" s="892"/>
      <c r="H11" s="892"/>
      <c r="I11" s="892"/>
      <c r="J11" s="892"/>
      <c r="K11" s="892"/>
      <c r="L11" s="892"/>
      <c r="M11" s="892"/>
      <c r="N11" s="892"/>
      <c r="O11" s="892"/>
      <c r="P11" s="892"/>
      <c r="Q11" s="892"/>
      <c r="R11" s="892"/>
      <c r="S11" s="892"/>
      <c r="T11" s="903"/>
      <c r="U11" s="892"/>
      <c r="V11" s="903"/>
      <c r="W11" s="892"/>
      <c r="X11" s="903"/>
      <c r="Y11" s="907"/>
      <c r="Z11" s="892"/>
      <c r="AA11" s="892"/>
      <c r="AB11" s="892"/>
      <c r="AC11" s="892"/>
      <c r="AD11" s="892"/>
      <c r="AE11" s="892"/>
      <c r="AF11" s="892"/>
      <c r="AG11" s="892"/>
      <c r="AH11" s="892"/>
      <c r="AI11" s="892"/>
      <c r="AJ11" s="892"/>
      <c r="AK11" s="892"/>
      <c r="AL11" s="892"/>
      <c r="AM11" s="892"/>
      <c r="AN11" s="892"/>
      <c r="AO11" s="892"/>
      <c r="AP11" s="892"/>
      <c r="AQ11" s="892"/>
      <c r="AR11" s="892"/>
      <c r="AS11" s="892"/>
      <c r="AT11" s="892"/>
      <c r="AU11" s="892"/>
      <c r="AV11" s="892"/>
      <c r="AW11" s="892"/>
      <c r="AX11" s="892"/>
      <c r="AY11" s="892"/>
      <c r="AZ11" s="907"/>
      <c r="BA11" s="907"/>
      <c r="BB11" s="907"/>
      <c r="BC11" s="892"/>
      <c r="BD11" s="892"/>
      <c r="BE11" s="892"/>
      <c r="BF11" s="892"/>
      <c r="BG11" s="892"/>
      <c r="BH11" s="892"/>
      <c r="BI11" s="892"/>
      <c r="BJ11" s="892"/>
      <c r="BK11" s="892"/>
      <c r="BL11" s="892"/>
      <c r="BM11" s="892"/>
      <c r="BN11" s="892"/>
      <c r="BO11" s="892"/>
      <c r="BP11" s="892"/>
      <c r="BQ11" s="892"/>
      <c r="BR11" s="892"/>
      <c r="BS11" s="892"/>
      <c r="BT11" s="892"/>
      <c r="BU11" s="892"/>
      <c r="BV11" s="892"/>
      <c r="BW11" s="892"/>
      <c r="BX11" s="892"/>
      <c r="BY11" s="903"/>
      <c r="BZ11" s="907"/>
      <c r="CA11" s="892"/>
      <c r="CB11" s="892"/>
      <c r="CC11" s="892"/>
      <c r="CD11" s="892"/>
      <c r="CE11" s="893">
        <v>1</v>
      </c>
      <c r="CG11" s="890"/>
    </row>
    <row r="12" spans="1:85" ht="18" customHeight="1" x14ac:dyDescent="0.25">
      <c r="A12" s="892"/>
      <c r="B12" s="892"/>
      <c r="C12" s="892"/>
      <c r="D12" s="892"/>
      <c r="E12" s="892"/>
      <c r="F12" s="892"/>
      <c r="G12" s="892"/>
      <c r="H12" s="892"/>
      <c r="I12" s="892"/>
      <c r="J12" s="892"/>
      <c r="K12" s="892"/>
      <c r="L12" s="892"/>
      <c r="M12" s="892"/>
      <c r="N12" s="892"/>
      <c r="O12" s="892"/>
      <c r="P12" s="892"/>
      <c r="Q12" s="892"/>
      <c r="R12" s="892"/>
      <c r="S12" s="892"/>
      <c r="T12" s="903"/>
      <c r="U12" s="892"/>
      <c r="V12" s="903"/>
      <c r="W12" s="892"/>
      <c r="X12" s="903"/>
      <c r="Y12" s="892"/>
      <c r="Z12" s="892"/>
      <c r="AA12" s="892"/>
      <c r="AB12" s="892"/>
      <c r="AC12" s="892"/>
      <c r="AD12" s="892"/>
      <c r="AE12" s="892"/>
      <c r="AF12" s="892"/>
      <c r="AG12" s="892"/>
      <c r="AH12" s="892"/>
      <c r="AI12" s="892"/>
      <c r="AJ12" s="892"/>
      <c r="AK12" s="892"/>
      <c r="AL12" s="892"/>
      <c r="AM12" s="892"/>
      <c r="AN12" s="892"/>
      <c r="AO12" s="892"/>
      <c r="AP12" s="892"/>
      <c r="AQ12" s="892"/>
      <c r="AR12" s="892"/>
      <c r="AS12" s="892"/>
      <c r="AT12" s="892"/>
      <c r="AU12" s="892"/>
      <c r="AV12" s="892"/>
      <c r="AW12" s="892"/>
      <c r="AX12" s="892"/>
      <c r="AY12" s="892"/>
      <c r="AZ12" s="892"/>
      <c r="BA12" s="892"/>
      <c r="BB12" s="892"/>
      <c r="BC12" s="892"/>
      <c r="BD12" s="892"/>
      <c r="BE12" s="892"/>
      <c r="BF12" s="892"/>
      <c r="BG12" s="892"/>
      <c r="BH12" s="892"/>
      <c r="BI12" s="892"/>
      <c r="BJ12" s="892"/>
      <c r="BK12" s="892"/>
      <c r="BL12" s="892"/>
      <c r="BM12" s="892"/>
      <c r="BN12" s="892"/>
      <c r="BO12" s="892"/>
      <c r="BP12" s="892"/>
      <c r="BQ12" s="892"/>
      <c r="BR12" s="892"/>
      <c r="BS12" s="892"/>
      <c r="BT12" s="892"/>
      <c r="BU12" s="892"/>
      <c r="BV12" s="892"/>
      <c r="BW12" s="892"/>
      <c r="BX12" s="892"/>
      <c r="BY12" s="903"/>
      <c r="BZ12" s="892"/>
      <c r="CA12" s="892"/>
      <c r="CB12" s="892"/>
      <c r="CC12" s="892"/>
      <c r="CD12" s="892"/>
      <c r="CE12" s="893">
        <v>1</v>
      </c>
      <c r="CG12" s="906" t="s">
        <v>5619</v>
      </c>
    </row>
    <row r="13" spans="1:85" ht="15.75" customHeight="1" x14ac:dyDescent="0.25">
      <c r="A13" s="892"/>
      <c r="B13" s="1736" t="s">
        <v>5620</v>
      </c>
      <c r="C13" s="892"/>
      <c r="D13" s="1691" t="s">
        <v>5620</v>
      </c>
      <c r="E13" s="892"/>
      <c r="F13" s="1700" t="s">
        <v>5620</v>
      </c>
      <c r="G13" s="892"/>
      <c r="H13" s="1700" t="s">
        <v>5620</v>
      </c>
      <c r="I13" s="892"/>
      <c r="J13" s="1733" t="s">
        <v>5620</v>
      </c>
      <c r="K13" s="892"/>
      <c r="L13" s="1601" t="s">
        <v>5620</v>
      </c>
      <c r="M13" s="892"/>
      <c r="N13" s="1586" t="s">
        <v>5620</v>
      </c>
      <c r="O13" s="892"/>
      <c r="P13" s="1610" t="s">
        <v>5620</v>
      </c>
      <c r="Q13" s="892"/>
      <c r="R13" s="892"/>
      <c r="S13" s="1773" t="s">
        <v>5620</v>
      </c>
      <c r="T13" s="903"/>
      <c r="U13" s="1724" t="s">
        <v>5620</v>
      </c>
      <c r="V13" s="903"/>
      <c r="W13" s="1721" t="s">
        <v>5620</v>
      </c>
      <c r="X13" s="903"/>
      <c r="Y13" s="1772" t="s">
        <v>5621</v>
      </c>
      <c r="AA13" s="1772" t="s">
        <v>5621</v>
      </c>
      <c r="AD13" s="1736" t="s">
        <v>6082</v>
      </c>
      <c r="AE13" s="892"/>
      <c r="AF13" s="1691" t="s">
        <v>5622</v>
      </c>
      <c r="AG13" s="892"/>
      <c r="AH13" s="1700" t="s">
        <v>5623</v>
      </c>
      <c r="AI13" s="892"/>
      <c r="AJ13" s="1700" t="s">
        <v>5624</v>
      </c>
      <c r="AK13" s="892"/>
      <c r="AL13" s="1733" t="s">
        <v>5624</v>
      </c>
      <c r="AM13" s="892"/>
      <c r="AN13" s="1601" t="s">
        <v>5624</v>
      </c>
      <c r="AO13" s="892"/>
      <c r="AP13" s="1586" t="s">
        <v>5624</v>
      </c>
      <c r="AQ13" s="892"/>
      <c r="AR13" s="1610" t="s">
        <v>5624</v>
      </c>
      <c r="AS13" s="892"/>
      <c r="AT13" s="1773" t="s">
        <v>5624</v>
      </c>
      <c r="AU13" s="892"/>
      <c r="AV13" s="1724" t="s">
        <v>5624</v>
      </c>
      <c r="AW13" s="892"/>
      <c r="AX13" s="1721" t="s">
        <v>5625</v>
      </c>
      <c r="AY13" s="892"/>
      <c r="AZ13" s="908"/>
      <c r="BA13" s="908"/>
      <c r="BB13" s="908"/>
      <c r="BC13" s="892"/>
      <c r="BD13" s="1736" t="s">
        <v>6083</v>
      </c>
      <c r="BE13" s="892"/>
      <c r="BF13" s="1691" t="s">
        <v>5627</v>
      </c>
      <c r="BG13" s="892"/>
      <c r="BH13" s="1700" t="s">
        <v>5628</v>
      </c>
      <c r="BI13" s="892"/>
      <c r="BJ13" s="1700" t="s">
        <v>5629</v>
      </c>
      <c r="BK13" s="892"/>
      <c r="BL13" s="1733" t="s">
        <v>5629</v>
      </c>
      <c r="BM13" s="892"/>
      <c r="BN13" s="1601" t="s">
        <v>5629</v>
      </c>
      <c r="BO13" s="892"/>
      <c r="BP13" s="1586" t="s">
        <v>5629</v>
      </c>
      <c r="BQ13" s="892"/>
      <c r="BR13" s="1610" t="s">
        <v>5629</v>
      </c>
      <c r="BS13" s="892"/>
      <c r="BT13" s="1773" t="s">
        <v>5629</v>
      </c>
      <c r="BV13" s="1724" t="s">
        <v>5630</v>
      </c>
      <c r="BW13" s="892"/>
      <c r="BX13" s="1721" t="s">
        <v>5631</v>
      </c>
      <c r="BY13" s="903"/>
      <c r="BZ13" s="908" t="s">
        <v>5716</v>
      </c>
      <c r="CB13" s="908" t="s">
        <v>5716</v>
      </c>
      <c r="CE13" s="893">
        <v>1</v>
      </c>
      <c r="CG13" s="906" t="s">
        <v>5632</v>
      </c>
    </row>
    <row r="14" spans="1:85" ht="15.75" x14ac:dyDescent="0.25">
      <c r="A14" s="892"/>
      <c r="B14" s="1737"/>
      <c r="C14" s="892"/>
      <c r="D14" s="1692"/>
      <c r="E14" s="892"/>
      <c r="F14" s="1701"/>
      <c r="G14" s="892"/>
      <c r="H14" s="1701"/>
      <c r="I14" s="892"/>
      <c r="J14" s="1734"/>
      <c r="K14" s="892"/>
      <c r="L14" s="1602"/>
      <c r="M14" s="892"/>
      <c r="N14" s="1587"/>
      <c r="O14" s="892"/>
      <c r="P14" s="1611"/>
      <c r="Q14" s="892"/>
      <c r="R14" s="892"/>
      <c r="S14" s="1774"/>
      <c r="T14" s="903"/>
      <c r="U14" s="1725"/>
      <c r="V14" s="903"/>
      <c r="W14" s="1722"/>
      <c r="X14" s="903"/>
      <c r="Y14" s="1772"/>
      <c r="AA14" s="1772"/>
      <c r="AD14" s="1737" t="s">
        <v>5601</v>
      </c>
      <c r="AE14" s="892"/>
      <c r="AF14" s="1692" t="s">
        <v>5601</v>
      </c>
      <c r="AG14" s="892"/>
      <c r="AH14" s="1701" t="s">
        <v>5601</v>
      </c>
      <c r="AI14" s="892"/>
      <c r="AJ14" s="1701" t="s">
        <v>5601</v>
      </c>
      <c r="AK14" s="892"/>
      <c r="AL14" s="1734" t="s">
        <v>5601</v>
      </c>
      <c r="AM14" s="892"/>
      <c r="AN14" s="1602" t="s">
        <v>5601</v>
      </c>
      <c r="AO14" s="892"/>
      <c r="AP14" s="1587" t="s">
        <v>5601</v>
      </c>
      <c r="AQ14" s="892"/>
      <c r="AR14" s="1611" t="s">
        <v>5601</v>
      </c>
      <c r="AS14" s="892"/>
      <c r="AT14" s="1774" t="s">
        <v>5601</v>
      </c>
      <c r="AU14" s="892"/>
      <c r="AV14" s="1725" t="s">
        <v>5601</v>
      </c>
      <c r="AW14" s="892"/>
      <c r="AX14" s="1722" t="s">
        <v>5601</v>
      </c>
      <c r="AY14" s="892"/>
      <c r="AZ14" s="908" t="s">
        <v>5626</v>
      </c>
      <c r="BA14" s="908"/>
      <c r="BB14" s="908"/>
      <c r="BC14" s="892"/>
      <c r="BD14" s="1737" t="s">
        <v>5601</v>
      </c>
      <c r="BE14" s="892"/>
      <c r="BF14" s="1692" t="s">
        <v>5601</v>
      </c>
      <c r="BG14" s="892"/>
      <c r="BH14" s="1701" t="s">
        <v>5601</v>
      </c>
      <c r="BI14" s="892"/>
      <c r="BJ14" s="1701" t="s">
        <v>5601</v>
      </c>
      <c r="BK14" s="892"/>
      <c r="BL14" s="1734" t="s">
        <v>5601</v>
      </c>
      <c r="BM14" s="892"/>
      <c r="BN14" s="1602" t="s">
        <v>5601</v>
      </c>
      <c r="BO14" s="892"/>
      <c r="BP14" s="1587" t="s">
        <v>5601</v>
      </c>
      <c r="BQ14" s="892"/>
      <c r="BR14" s="1611" t="s">
        <v>5601</v>
      </c>
      <c r="BS14" s="892"/>
      <c r="BT14" s="1774" t="s">
        <v>5601</v>
      </c>
      <c r="BV14" s="1725" t="s">
        <v>5601</v>
      </c>
      <c r="BW14" s="892"/>
      <c r="BX14" s="1722" t="s">
        <v>5601</v>
      </c>
      <c r="BY14" s="903"/>
      <c r="BZ14" s="908" t="s">
        <v>5633</v>
      </c>
      <c r="CB14" s="908" t="s">
        <v>5633</v>
      </c>
      <c r="CE14" s="893">
        <v>1</v>
      </c>
      <c r="CG14" s="906"/>
    </row>
    <row r="15" spans="1:85" ht="15.75" x14ac:dyDescent="0.25">
      <c r="A15" s="892"/>
      <c r="B15" s="1738"/>
      <c r="C15" s="892"/>
      <c r="D15" s="1693"/>
      <c r="E15" s="892"/>
      <c r="F15" s="1702"/>
      <c r="G15" s="892"/>
      <c r="H15" s="1702"/>
      <c r="I15" s="892"/>
      <c r="J15" s="1735"/>
      <c r="K15" s="892"/>
      <c r="L15" s="1603"/>
      <c r="M15" s="892"/>
      <c r="N15" s="1588"/>
      <c r="O15" s="892"/>
      <c r="P15" s="1612"/>
      <c r="Q15" s="892"/>
      <c r="R15" s="892"/>
      <c r="S15" s="1775"/>
      <c r="T15" s="903"/>
      <c r="U15" s="1726"/>
      <c r="V15" s="903"/>
      <c r="W15" s="1723"/>
      <c r="X15" s="903"/>
      <c r="Y15" s="1772"/>
      <c r="AA15" s="1772"/>
      <c r="AD15" s="1738"/>
      <c r="AE15" s="892"/>
      <c r="AF15" s="1693"/>
      <c r="AG15" s="892"/>
      <c r="AH15" s="1702"/>
      <c r="AI15" s="892"/>
      <c r="AJ15" s="1702"/>
      <c r="AK15" s="892"/>
      <c r="AL15" s="1735"/>
      <c r="AM15" s="892"/>
      <c r="AN15" s="1603"/>
      <c r="AO15" s="892"/>
      <c r="AP15" s="1588"/>
      <c r="AQ15" s="892"/>
      <c r="AR15" s="1612"/>
      <c r="AS15" s="892"/>
      <c r="AT15" s="1775"/>
      <c r="AU15" s="892"/>
      <c r="AV15" s="1726"/>
      <c r="AW15" s="892"/>
      <c r="AX15" s="1723"/>
      <c r="AY15" s="892"/>
      <c r="AZ15" s="908" t="s">
        <v>5633</v>
      </c>
      <c r="BA15" s="908"/>
      <c r="BB15" s="908"/>
      <c r="BC15" s="892"/>
      <c r="BD15" s="1738"/>
      <c r="BE15" s="892"/>
      <c r="BF15" s="1693"/>
      <c r="BG15" s="892"/>
      <c r="BH15" s="1702"/>
      <c r="BI15" s="892"/>
      <c r="BJ15" s="1702"/>
      <c r="BK15" s="892"/>
      <c r="BL15" s="1735"/>
      <c r="BM15" s="892"/>
      <c r="BN15" s="1603"/>
      <c r="BO15" s="892"/>
      <c r="BP15" s="1588"/>
      <c r="BQ15" s="892"/>
      <c r="BR15" s="1612"/>
      <c r="BS15" s="892"/>
      <c r="BT15" s="1775"/>
      <c r="BV15" s="1726"/>
      <c r="BW15" s="892"/>
      <c r="BX15" s="1723"/>
      <c r="BY15" s="903"/>
      <c r="BZ15" s="915"/>
      <c r="CB15" s="915"/>
      <c r="CE15" s="893"/>
      <c r="CG15" s="906"/>
    </row>
    <row r="16" spans="1:85" ht="18" customHeight="1" x14ac:dyDescent="0.25">
      <c r="A16" s="892"/>
      <c r="B16" s="909" t="s">
        <v>5634</v>
      </c>
      <c r="C16" s="892"/>
      <c r="D16" s="909"/>
      <c r="E16" s="892"/>
      <c r="F16" s="909"/>
      <c r="G16" s="892"/>
      <c r="H16" s="909"/>
      <c r="I16" s="892"/>
      <c r="J16" s="909"/>
      <c r="K16" s="892"/>
      <c r="L16" s="909" t="s">
        <v>5634</v>
      </c>
      <c r="M16" s="892"/>
      <c r="N16" s="909" t="s">
        <v>5634</v>
      </c>
      <c r="O16" s="892"/>
      <c r="P16" s="909" t="s">
        <v>5634</v>
      </c>
      <c r="Q16" s="892"/>
      <c r="R16" s="892"/>
      <c r="S16" s="909" t="s">
        <v>5634</v>
      </c>
      <c r="T16" s="903"/>
      <c r="U16" s="909"/>
      <c r="V16" s="903"/>
      <c r="W16" s="909"/>
      <c r="X16" s="903"/>
      <c r="AA16" s="892"/>
      <c r="AD16" s="909" t="s">
        <v>5601</v>
      </c>
      <c r="AE16" s="892"/>
      <c r="AF16" s="909" t="s">
        <v>5601</v>
      </c>
      <c r="AG16" s="892"/>
      <c r="AH16" s="909" t="s">
        <v>5601</v>
      </c>
      <c r="AI16" s="892"/>
      <c r="AJ16" s="909" t="s">
        <v>5601</v>
      </c>
      <c r="AK16" s="892"/>
      <c r="AL16" s="909" t="s">
        <v>5601</v>
      </c>
      <c r="AM16" s="892"/>
      <c r="AN16" s="909" t="s">
        <v>5601</v>
      </c>
      <c r="AO16" s="892"/>
      <c r="AP16" s="909" t="s">
        <v>5601</v>
      </c>
      <c r="AQ16" s="892"/>
      <c r="AR16" s="909" t="s">
        <v>5601</v>
      </c>
      <c r="AS16" s="892"/>
      <c r="AT16" s="909" t="s">
        <v>5601</v>
      </c>
      <c r="AU16" s="892"/>
      <c r="AV16" s="909" t="s">
        <v>5601</v>
      </c>
      <c r="AW16" s="892"/>
      <c r="AX16" s="909" t="s">
        <v>5601</v>
      </c>
      <c r="AY16" s="892"/>
      <c r="BC16" s="892"/>
      <c r="BD16" s="909" t="s">
        <v>5601</v>
      </c>
      <c r="BE16" s="892"/>
      <c r="BF16" s="909" t="s">
        <v>5601</v>
      </c>
      <c r="BG16" s="892"/>
      <c r="BH16" s="909" t="s">
        <v>5601</v>
      </c>
      <c r="BI16" s="892"/>
      <c r="BJ16" s="909" t="s">
        <v>5601</v>
      </c>
      <c r="BK16" s="892"/>
      <c r="BL16" s="909" t="s">
        <v>5601</v>
      </c>
      <c r="BM16" s="892"/>
      <c r="BN16" s="909" t="s">
        <v>5601</v>
      </c>
      <c r="BO16" s="892"/>
      <c r="BP16" s="909" t="s">
        <v>5601</v>
      </c>
      <c r="BQ16" s="892"/>
      <c r="BR16" s="909" t="s">
        <v>5601</v>
      </c>
      <c r="BS16" s="892"/>
      <c r="BT16" s="909" t="s">
        <v>5601</v>
      </c>
      <c r="BV16" s="909" t="s">
        <v>5601</v>
      </c>
      <c r="BW16" s="892"/>
      <c r="BX16" s="909" t="s">
        <v>5601</v>
      </c>
      <c r="BY16" s="903"/>
      <c r="CB16" s="892"/>
      <c r="CE16" s="893">
        <v>1</v>
      </c>
      <c r="CG16" s="906" t="s">
        <v>5635</v>
      </c>
    </row>
    <row r="17" spans="1:85" ht="15.75" x14ac:dyDescent="0.25">
      <c r="B17" s="1736" t="s">
        <v>5636</v>
      </c>
      <c r="D17" s="1691" t="s">
        <v>5637</v>
      </c>
      <c r="F17" s="1700" t="s">
        <v>5638</v>
      </c>
      <c r="H17" s="1700" t="s">
        <v>5639</v>
      </c>
      <c r="J17" s="1733" t="s">
        <v>5640</v>
      </c>
      <c r="L17" s="1730" t="s">
        <v>6084</v>
      </c>
      <c r="N17" s="1694" t="s">
        <v>6085</v>
      </c>
      <c r="P17" s="1658" t="s">
        <v>6086</v>
      </c>
      <c r="S17" s="1776" t="s">
        <v>6087</v>
      </c>
      <c r="U17" s="1724" t="s">
        <v>5641</v>
      </c>
      <c r="W17" s="1688" t="s">
        <v>5642</v>
      </c>
      <c r="Y17" s="1703" t="s">
        <v>6559</v>
      </c>
      <c r="AA17" s="892"/>
      <c r="AD17" s="1736" t="s">
        <v>6088</v>
      </c>
      <c r="AF17" s="1691" t="s">
        <v>5643</v>
      </c>
      <c r="AH17" s="1700" t="s">
        <v>5644</v>
      </c>
      <c r="AJ17" s="1700" t="s">
        <v>5639</v>
      </c>
      <c r="AL17" s="1733" t="s">
        <v>5645</v>
      </c>
      <c r="AN17" s="1730" t="s">
        <v>5646</v>
      </c>
      <c r="AP17" s="1694" t="s">
        <v>5646</v>
      </c>
      <c r="AR17" s="1658" t="s">
        <v>5646</v>
      </c>
      <c r="AT17" s="1776" t="s">
        <v>5646</v>
      </c>
      <c r="AV17" s="1724" t="s">
        <v>5647</v>
      </c>
      <c r="AX17" s="1688" t="s">
        <v>5648</v>
      </c>
      <c r="AZ17" s="1703" t="s">
        <v>6559</v>
      </c>
      <c r="BB17" s="892"/>
      <c r="BD17" s="1736" t="s">
        <v>6089</v>
      </c>
      <c r="BF17" s="1691" t="s">
        <v>5649</v>
      </c>
      <c r="BH17" s="1700" t="s">
        <v>5650</v>
      </c>
      <c r="BJ17" s="1700" t="s">
        <v>5651</v>
      </c>
      <c r="BL17" s="1733" t="s">
        <v>5652</v>
      </c>
      <c r="BN17" s="1730" t="s">
        <v>5653</v>
      </c>
      <c r="BP17" s="1694" t="s">
        <v>5653</v>
      </c>
      <c r="BR17" s="1658" t="s">
        <v>5653</v>
      </c>
      <c r="BT17" s="1776" t="s">
        <v>5653</v>
      </c>
      <c r="BV17" s="1724" t="s">
        <v>5654</v>
      </c>
      <c r="BX17" s="1688" t="s">
        <v>5655</v>
      </c>
      <c r="BZ17" s="1703" t="s">
        <v>6559</v>
      </c>
      <c r="CB17" s="892"/>
      <c r="CE17" s="893">
        <v>1</v>
      </c>
      <c r="CG17" s="906" t="s">
        <v>5656</v>
      </c>
    </row>
    <row r="18" spans="1:85" ht="15" customHeight="1" x14ac:dyDescent="0.25">
      <c r="B18" s="1737"/>
      <c r="D18" s="1692"/>
      <c r="F18" s="1701"/>
      <c r="H18" s="1701"/>
      <c r="J18" s="1734"/>
      <c r="L18" s="1731"/>
      <c r="N18" s="1695"/>
      <c r="P18" s="1659"/>
      <c r="S18" s="1777"/>
      <c r="U18" s="1725"/>
      <c r="W18" s="1689"/>
      <c r="Y18" s="1704"/>
      <c r="AA18" s="892"/>
      <c r="AD18" s="1737" t="s">
        <v>5601</v>
      </c>
      <c r="AF18" s="1692" t="s">
        <v>5601</v>
      </c>
      <c r="AH18" s="1701" t="s">
        <v>5601</v>
      </c>
      <c r="AJ18" s="1701" t="s">
        <v>5601</v>
      </c>
      <c r="AL18" s="1734" t="s">
        <v>5601</v>
      </c>
      <c r="AN18" s="1731" t="s">
        <v>5601</v>
      </c>
      <c r="AP18" s="1695" t="s">
        <v>5601</v>
      </c>
      <c r="AR18" s="1659" t="s">
        <v>5601</v>
      </c>
      <c r="AT18" s="1777" t="s">
        <v>5601</v>
      </c>
      <c r="AV18" s="1725" t="s">
        <v>5601</v>
      </c>
      <c r="AX18" s="1689" t="s">
        <v>5601</v>
      </c>
      <c r="AZ18" s="1704"/>
      <c r="BB18" s="892"/>
      <c r="BD18" s="1737" t="s">
        <v>5601</v>
      </c>
      <c r="BF18" s="1692" t="s">
        <v>5601</v>
      </c>
      <c r="BH18" s="1701" t="s">
        <v>5601</v>
      </c>
      <c r="BJ18" s="1701" t="s">
        <v>5601</v>
      </c>
      <c r="BL18" s="1734" t="s">
        <v>5601</v>
      </c>
      <c r="BN18" s="1731" t="s">
        <v>5601</v>
      </c>
      <c r="BP18" s="1695" t="s">
        <v>5601</v>
      </c>
      <c r="BR18" s="1659" t="s">
        <v>5601</v>
      </c>
      <c r="BT18" s="1777" t="s">
        <v>5601</v>
      </c>
      <c r="BV18" s="1725" t="s">
        <v>5601</v>
      </c>
      <c r="BX18" s="1689" t="s">
        <v>5601</v>
      </c>
      <c r="BZ18" s="1704"/>
      <c r="CB18" s="892"/>
      <c r="CE18" s="893">
        <v>1</v>
      </c>
    </row>
    <row r="19" spans="1:85" s="904" customFormat="1" ht="15" customHeight="1" x14ac:dyDescent="0.25">
      <c r="A19" s="890"/>
      <c r="B19" s="1738"/>
      <c r="C19" s="890"/>
      <c r="D19" s="1693"/>
      <c r="E19" s="890"/>
      <c r="F19" s="1702"/>
      <c r="G19" s="890"/>
      <c r="H19" s="1702"/>
      <c r="I19" s="890"/>
      <c r="J19" s="1735"/>
      <c r="K19" s="890"/>
      <c r="L19" s="1732"/>
      <c r="M19" s="890"/>
      <c r="N19" s="1696"/>
      <c r="O19" s="890"/>
      <c r="P19" s="1660"/>
      <c r="Q19" s="890"/>
      <c r="R19" s="890"/>
      <c r="S19" s="1778"/>
      <c r="T19" s="891"/>
      <c r="U19" s="1726"/>
      <c r="V19" s="891"/>
      <c r="W19" s="1690"/>
      <c r="X19" s="891"/>
      <c r="Y19" s="1705"/>
      <c r="Z19" s="890"/>
      <c r="AA19" s="892"/>
      <c r="AB19" s="890"/>
      <c r="AC19" s="890"/>
      <c r="AD19" s="1738" t="s">
        <v>5601</v>
      </c>
      <c r="AE19" s="890"/>
      <c r="AF19" s="1693" t="s">
        <v>5601</v>
      </c>
      <c r="AG19" s="890"/>
      <c r="AH19" s="1702" t="s">
        <v>5601</v>
      </c>
      <c r="AI19" s="890"/>
      <c r="AJ19" s="1702" t="s">
        <v>5601</v>
      </c>
      <c r="AK19" s="890"/>
      <c r="AL19" s="1735" t="s">
        <v>5601</v>
      </c>
      <c r="AM19" s="890"/>
      <c r="AN19" s="1732" t="s">
        <v>5601</v>
      </c>
      <c r="AO19" s="890"/>
      <c r="AP19" s="1696" t="s">
        <v>5601</v>
      </c>
      <c r="AQ19" s="890"/>
      <c r="AR19" s="1660" t="s">
        <v>5601</v>
      </c>
      <c r="AS19" s="890"/>
      <c r="AT19" s="1778" t="s">
        <v>5601</v>
      </c>
      <c r="AU19" s="890"/>
      <c r="AV19" s="1726" t="s">
        <v>5601</v>
      </c>
      <c r="AW19" s="890"/>
      <c r="AX19" s="1690" t="s">
        <v>5601</v>
      </c>
      <c r="AY19" s="890"/>
      <c r="AZ19" s="1705"/>
      <c r="BA19" s="890"/>
      <c r="BB19" s="892"/>
      <c r="BC19" s="890"/>
      <c r="BD19" s="1738" t="s">
        <v>5601</v>
      </c>
      <c r="BE19" s="890"/>
      <c r="BF19" s="1693" t="s">
        <v>5601</v>
      </c>
      <c r="BG19" s="890"/>
      <c r="BH19" s="1702" t="s">
        <v>5601</v>
      </c>
      <c r="BI19" s="890"/>
      <c r="BJ19" s="1702" t="s">
        <v>5601</v>
      </c>
      <c r="BK19" s="890"/>
      <c r="BL19" s="1735" t="s">
        <v>5601</v>
      </c>
      <c r="BM19" s="890"/>
      <c r="BN19" s="1732" t="s">
        <v>5601</v>
      </c>
      <c r="BO19" s="890"/>
      <c r="BP19" s="1696" t="s">
        <v>5601</v>
      </c>
      <c r="BQ19" s="890"/>
      <c r="BR19" s="1660" t="s">
        <v>5601</v>
      </c>
      <c r="BS19" s="890"/>
      <c r="BT19" s="1778" t="s">
        <v>5601</v>
      </c>
      <c r="BV19" s="1726" t="s">
        <v>5601</v>
      </c>
      <c r="BW19" s="890"/>
      <c r="BX19" s="1690" t="s">
        <v>5601</v>
      </c>
      <c r="BY19" s="891"/>
      <c r="BZ19" s="1705"/>
      <c r="CA19" s="890"/>
      <c r="CB19" s="892"/>
      <c r="CD19" s="890"/>
      <c r="CE19" s="893">
        <v>1</v>
      </c>
    </row>
    <row r="20" spans="1:85" s="904" customFormat="1" ht="18" customHeight="1" x14ac:dyDescent="0.25">
      <c r="A20" s="890"/>
      <c r="B20" s="890"/>
      <c r="C20" s="890"/>
      <c r="D20" s="890"/>
      <c r="E20" s="890"/>
      <c r="F20" s="890"/>
      <c r="G20" s="890"/>
      <c r="H20" s="890"/>
      <c r="I20" s="890"/>
      <c r="J20" s="890"/>
      <c r="K20" s="890"/>
      <c r="L20" s="890"/>
      <c r="M20" s="890"/>
      <c r="N20" s="890"/>
      <c r="O20" s="890"/>
      <c r="P20" s="890"/>
      <c r="Q20" s="890"/>
      <c r="R20" s="890"/>
      <c r="S20" s="890"/>
      <c r="T20" s="891"/>
      <c r="U20" s="890"/>
      <c r="V20" s="891"/>
      <c r="W20" s="890"/>
      <c r="X20" s="891"/>
      <c r="Y20" s="890"/>
      <c r="Z20" s="890"/>
      <c r="AA20" s="892"/>
      <c r="AB20" s="890"/>
      <c r="AC20" s="890"/>
      <c r="AD20" s="890"/>
      <c r="AE20" s="890"/>
      <c r="AF20" s="890"/>
      <c r="AG20" s="890"/>
      <c r="AH20" s="890"/>
      <c r="AI20" s="890"/>
      <c r="AJ20" s="890"/>
      <c r="AK20" s="890"/>
      <c r="AL20" s="890"/>
      <c r="AM20" s="890"/>
      <c r="AN20" s="890"/>
      <c r="AO20" s="890"/>
      <c r="AP20" s="890"/>
      <c r="AQ20" s="890"/>
      <c r="AR20" s="890"/>
      <c r="AS20" s="890"/>
      <c r="AT20" s="890"/>
      <c r="AU20" s="890"/>
      <c r="AV20" s="890"/>
      <c r="AW20" s="890"/>
      <c r="AX20" s="890"/>
      <c r="AY20" s="890"/>
      <c r="AZ20" s="890"/>
      <c r="BA20" s="890"/>
      <c r="BB20" s="892"/>
      <c r="BC20" s="890"/>
      <c r="BD20" s="890"/>
      <c r="BE20" s="890"/>
      <c r="BF20" s="890"/>
      <c r="BG20" s="890"/>
      <c r="BH20" s="890"/>
      <c r="BI20" s="890"/>
      <c r="BJ20" s="890"/>
      <c r="BK20" s="890"/>
      <c r="BL20" s="890"/>
      <c r="BM20" s="890"/>
      <c r="BN20" s="890"/>
      <c r="BO20" s="890"/>
      <c r="BP20" s="890"/>
      <c r="BQ20" s="890"/>
      <c r="BR20" s="890"/>
      <c r="BS20" s="890"/>
      <c r="BT20" s="890"/>
      <c r="BV20" s="890"/>
      <c r="BW20" s="890"/>
      <c r="BX20" s="890"/>
      <c r="BY20" s="891"/>
      <c r="BZ20" s="890"/>
      <c r="CA20" s="890"/>
      <c r="CB20" s="892"/>
      <c r="CD20" s="890"/>
      <c r="CE20" s="893"/>
    </row>
    <row r="21" spans="1:85" s="904" customFormat="1" ht="15" customHeight="1" x14ac:dyDescent="0.25">
      <c r="A21" s="890"/>
      <c r="B21" s="1757" t="s">
        <v>6090</v>
      </c>
      <c r="C21" s="890"/>
      <c r="D21" s="1691" t="s">
        <v>5657</v>
      </c>
      <c r="E21" s="890"/>
      <c r="F21" s="1700" t="s">
        <v>5658</v>
      </c>
      <c r="G21" s="890"/>
      <c r="H21" s="1700" t="s">
        <v>5659</v>
      </c>
      <c r="I21" s="890"/>
      <c r="J21" s="1733" t="s">
        <v>5660</v>
      </c>
      <c r="K21" s="890"/>
      <c r="L21" s="1730" t="s">
        <v>6091</v>
      </c>
      <c r="M21" s="890"/>
      <c r="N21" s="1694" t="s">
        <v>5661</v>
      </c>
      <c r="O21" s="890"/>
      <c r="P21" s="1658" t="s">
        <v>5662</v>
      </c>
      <c r="Q21" s="890"/>
      <c r="R21" s="890"/>
      <c r="S21" s="1773" t="s">
        <v>6092</v>
      </c>
      <c r="T21" s="891"/>
      <c r="U21" s="1685" t="s">
        <v>5663</v>
      </c>
      <c r="V21" s="891"/>
      <c r="W21" s="1688" t="s">
        <v>5664</v>
      </c>
      <c r="X21" s="891"/>
      <c r="Y21" s="1706" t="s">
        <v>6560</v>
      </c>
      <c r="Z21" s="890"/>
      <c r="AA21" s="1709" t="s">
        <v>6568</v>
      </c>
      <c r="AB21" s="890"/>
      <c r="AC21" s="890"/>
      <c r="AD21" s="1757" t="s">
        <v>6093</v>
      </c>
      <c r="AE21" s="890"/>
      <c r="AF21" s="1691" t="s">
        <v>5665</v>
      </c>
      <c r="AG21" s="890"/>
      <c r="AH21" s="1700" t="s">
        <v>5666</v>
      </c>
      <c r="AI21" s="890"/>
      <c r="AJ21" s="1700" t="s">
        <v>5667</v>
      </c>
      <c r="AK21" s="890"/>
      <c r="AL21" s="1733" t="s">
        <v>5668</v>
      </c>
      <c r="AM21" s="890"/>
      <c r="AN21" s="1730" t="s">
        <v>6094</v>
      </c>
      <c r="AO21" s="890"/>
      <c r="AP21" s="1694" t="s">
        <v>6095</v>
      </c>
      <c r="AQ21" s="890"/>
      <c r="AR21" s="1658" t="s">
        <v>6096</v>
      </c>
      <c r="AS21" s="890"/>
      <c r="AT21" s="1773" t="s">
        <v>6097</v>
      </c>
      <c r="AU21" s="890"/>
      <c r="AV21" s="1685" t="s">
        <v>5669</v>
      </c>
      <c r="AW21" s="890"/>
      <c r="AX21" s="1688" t="s">
        <v>5670</v>
      </c>
      <c r="AY21" s="890"/>
      <c r="AZ21" s="1706" t="s">
        <v>6560</v>
      </c>
      <c r="BA21" s="890"/>
      <c r="BB21" s="1709" t="s">
        <v>6568</v>
      </c>
      <c r="BC21" s="890"/>
      <c r="BD21" s="1757" t="s">
        <v>6098</v>
      </c>
      <c r="BE21" s="890"/>
      <c r="BF21" s="1691" t="s">
        <v>5671</v>
      </c>
      <c r="BG21" s="890"/>
      <c r="BH21" s="1700" t="s">
        <v>5672</v>
      </c>
      <c r="BI21" s="890"/>
      <c r="BJ21" s="1700" t="s">
        <v>5673</v>
      </c>
      <c r="BK21" s="890"/>
      <c r="BL21" s="1733" t="s">
        <v>5674</v>
      </c>
      <c r="BM21" s="890"/>
      <c r="BN21" s="1730" t="s">
        <v>6099</v>
      </c>
      <c r="BO21" s="890"/>
      <c r="BP21" s="1694" t="s">
        <v>6100</v>
      </c>
      <c r="BQ21" s="890"/>
      <c r="BR21" s="1658" t="s">
        <v>6101</v>
      </c>
      <c r="BS21" s="890"/>
      <c r="BT21" s="1773" t="s">
        <v>6102</v>
      </c>
      <c r="BV21" s="1685" t="s">
        <v>5675</v>
      </c>
      <c r="BW21" s="890"/>
      <c r="BX21" s="1688" t="s">
        <v>5676</v>
      </c>
      <c r="BY21" s="891"/>
      <c r="BZ21" s="1706" t="s">
        <v>6560</v>
      </c>
      <c r="CA21" s="890"/>
      <c r="CB21" s="1709" t="s">
        <v>6568</v>
      </c>
      <c r="CD21" s="890"/>
      <c r="CE21" s="893">
        <v>1</v>
      </c>
    </row>
    <row r="22" spans="1:85" s="904" customFormat="1" ht="15" customHeight="1" x14ac:dyDescent="0.25">
      <c r="B22" s="1758"/>
      <c r="C22" s="890"/>
      <c r="D22" s="1692"/>
      <c r="E22" s="890"/>
      <c r="F22" s="1701"/>
      <c r="G22" s="890"/>
      <c r="H22" s="1701"/>
      <c r="I22" s="890"/>
      <c r="J22" s="1734"/>
      <c r="K22" s="890"/>
      <c r="L22" s="1731"/>
      <c r="M22" s="890"/>
      <c r="N22" s="1695"/>
      <c r="O22" s="890"/>
      <c r="P22" s="1659"/>
      <c r="Q22" s="890"/>
      <c r="R22" s="890"/>
      <c r="S22" s="1774"/>
      <c r="T22" s="891"/>
      <c r="U22" s="1686"/>
      <c r="V22" s="891"/>
      <c r="W22" s="1689"/>
      <c r="X22" s="891"/>
      <c r="Y22" s="1707"/>
      <c r="Z22" s="890"/>
      <c r="AA22" s="1710"/>
      <c r="AB22" s="890"/>
      <c r="AC22" s="890"/>
      <c r="AD22" s="1758" t="s">
        <v>5601</v>
      </c>
      <c r="AE22" s="890"/>
      <c r="AF22" s="1692" t="s">
        <v>5601</v>
      </c>
      <c r="AG22" s="890"/>
      <c r="AH22" s="1701" t="s">
        <v>5601</v>
      </c>
      <c r="AI22" s="890"/>
      <c r="AJ22" s="1701" t="s">
        <v>5601</v>
      </c>
      <c r="AK22" s="890"/>
      <c r="AL22" s="1734" t="s">
        <v>5601</v>
      </c>
      <c r="AM22" s="890"/>
      <c r="AN22" s="1731" t="s">
        <v>5601</v>
      </c>
      <c r="AO22" s="890"/>
      <c r="AP22" s="1695" t="s">
        <v>5601</v>
      </c>
      <c r="AQ22" s="890"/>
      <c r="AR22" s="1659" t="s">
        <v>5601</v>
      </c>
      <c r="AS22" s="890"/>
      <c r="AT22" s="1774" t="s">
        <v>5601</v>
      </c>
      <c r="AU22" s="890"/>
      <c r="AV22" s="1686" t="s">
        <v>5601</v>
      </c>
      <c r="AW22" s="890"/>
      <c r="AX22" s="1689" t="s">
        <v>5601</v>
      </c>
      <c r="AY22" s="890"/>
      <c r="AZ22" s="1707"/>
      <c r="BA22" s="890"/>
      <c r="BB22" s="1710"/>
      <c r="BC22" s="890"/>
      <c r="BD22" s="1758" t="s">
        <v>5601</v>
      </c>
      <c r="BE22" s="890"/>
      <c r="BF22" s="1692" t="s">
        <v>5601</v>
      </c>
      <c r="BG22" s="890"/>
      <c r="BH22" s="1701" t="s">
        <v>5601</v>
      </c>
      <c r="BI22" s="890"/>
      <c r="BJ22" s="1701" t="s">
        <v>5601</v>
      </c>
      <c r="BK22" s="890"/>
      <c r="BL22" s="1734" t="s">
        <v>5601</v>
      </c>
      <c r="BM22" s="890"/>
      <c r="BN22" s="1731" t="s">
        <v>5601</v>
      </c>
      <c r="BO22" s="890"/>
      <c r="BP22" s="1695" t="s">
        <v>5601</v>
      </c>
      <c r="BQ22" s="890"/>
      <c r="BR22" s="1659" t="s">
        <v>5601</v>
      </c>
      <c r="BS22" s="890"/>
      <c r="BT22" s="1774" t="s">
        <v>5601</v>
      </c>
      <c r="BV22" s="1686" t="s">
        <v>5601</v>
      </c>
      <c r="BW22" s="890"/>
      <c r="BX22" s="1689" t="s">
        <v>5601</v>
      </c>
      <c r="BY22" s="891"/>
      <c r="BZ22" s="1707"/>
      <c r="CA22" s="890"/>
      <c r="CB22" s="1710"/>
      <c r="CD22" s="890"/>
      <c r="CE22" s="893">
        <v>1</v>
      </c>
    </row>
    <row r="23" spans="1:85" s="904" customFormat="1" ht="15" customHeight="1" x14ac:dyDescent="0.25">
      <c r="A23" s="890"/>
      <c r="B23" s="1759"/>
      <c r="C23" s="890"/>
      <c r="D23" s="1693"/>
      <c r="E23" s="890"/>
      <c r="F23" s="1702"/>
      <c r="G23" s="890"/>
      <c r="H23" s="1702"/>
      <c r="I23" s="890"/>
      <c r="J23" s="1735"/>
      <c r="K23" s="890"/>
      <c r="L23" s="1732"/>
      <c r="M23" s="890"/>
      <c r="N23" s="1696"/>
      <c r="O23" s="890"/>
      <c r="P23" s="1660"/>
      <c r="Q23" s="890"/>
      <c r="R23" s="890"/>
      <c r="S23" s="1775"/>
      <c r="T23" s="891"/>
      <c r="U23" s="1687"/>
      <c r="V23" s="891"/>
      <c r="W23" s="1690"/>
      <c r="X23" s="891"/>
      <c r="Y23" s="1708"/>
      <c r="Z23" s="890"/>
      <c r="AA23" s="1711"/>
      <c r="AB23" s="890"/>
      <c r="AC23" s="890"/>
      <c r="AD23" s="1759" t="s">
        <v>5601</v>
      </c>
      <c r="AE23" s="890"/>
      <c r="AF23" s="1693" t="s">
        <v>5601</v>
      </c>
      <c r="AG23" s="890"/>
      <c r="AH23" s="1702" t="s">
        <v>5601</v>
      </c>
      <c r="AI23" s="890"/>
      <c r="AJ23" s="1702" t="s">
        <v>5601</v>
      </c>
      <c r="AK23" s="890"/>
      <c r="AL23" s="1735" t="s">
        <v>5601</v>
      </c>
      <c r="AM23" s="890"/>
      <c r="AN23" s="1732" t="s">
        <v>5601</v>
      </c>
      <c r="AO23" s="890"/>
      <c r="AP23" s="1696" t="s">
        <v>5601</v>
      </c>
      <c r="AQ23" s="890"/>
      <c r="AR23" s="1660" t="s">
        <v>5601</v>
      </c>
      <c r="AS23" s="890"/>
      <c r="AT23" s="1775" t="s">
        <v>5601</v>
      </c>
      <c r="AU23" s="890"/>
      <c r="AV23" s="1687" t="s">
        <v>5601</v>
      </c>
      <c r="AW23" s="890"/>
      <c r="AX23" s="1690" t="s">
        <v>5601</v>
      </c>
      <c r="AY23" s="890"/>
      <c r="AZ23" s="1708"/>
      <c r="BA23" s="890"/>
      <c r="BB23" s="1711"/>
      <c r="BC23" s="890"/>
      <c r="BD23" s="1759" t="s">
        <v>5601</v>
      </c>
      <c r="BE23" s="890"/>
      <c r="BF23" s="1693" t="s">
        <v>5601</v>
      </c>
      <c r="BG23" s="890"/>
      <c r="BH23" s="1702" t="s">
        <v>5601</v>
      </c>
      <c r="BI23" s="890"/>
      <c r="BJ23" s="1702" t="s">
        <v>5601</v>
      </c>
      <c r="BK23" s="890"/>
      <c r="BL23" s="1735" t="s">
        <v>5601</v>
      </c>
      <c r="BM23" s="890"/>
      <c r="BN23" s="1732" t="s">
        <v>5601</v>
      </c>
      <c r="BO23" s="890"/>
      <c r="BP23" s="1696" t="s">
        <v>5601</v>
      </c>
      <c r="BQ23" s="890"/>
      <c r="BR23" s="1660" t="s">
        <v>5601</v>
      </c>
      <c r="BS23" s="890"/>
      <c r="BT23" s="1775" t="s">
        <v>5601</v>
      </c>
      <c r="BV23" s="1687" t="s">
        <v>5601</v>
      </c>
      <c r="BW23" s="890"/>
      <c r="BX23" s="1690" t="s">
        <v>5601</v>
      </c>
      <c r="BY23" s="891"/>
      <c r="BZ23" s="1708"/>
      <c r="CA23" s="890"/>
      <c r="CB23" s="1711"/>
      <c r="CD23" s="890"/>
      <c r="CE23" s="893">
        <v>1</v>
      </c>
    </row>
    <row r="24" spans="1:85" s="904" customFormat="1" ht="18" customHeight="1" x14ac:dyDescent="0.25">
      <c r="A24" s="890"/>
      <c r="B24" s="890"/>
      <c r="C24" s="890"/>
      <c r="D24" s="890"/>
      <c r="E24" s="890"/>
      <c r="F24" s="890"/>
      <c r="G24" s="890"/>
      <c r="H24" s="890"/>
      <c r="I24" s="890"/>
      <c r="J24" s="890"/>
      <c r="K24" s="890"/>
      <c r="L24" s="890"/>
      <c r="M24" s="890"/>
      <c r="N24" s="890"/>
      <c r="O24" s="890"/>
      <c r="P24" s="890"/>
      <c r="Q24" s="890"/>
      <c r="R24" s="890"/>
      <c r="S24" s="890"/>
      <c r="T24" s="891"/>
      <c r="U24" s="890"/>
      <c r="V24" s="891"/>
      <c r="W24" s="890"/>
      <c r="X24" s="891"/>
      <c r="Y24" s="890"/>
      <c r="Z24" s="890"/>
      <c r="AA24" s="890"/>
      <c r="AB24" s="890"/>
      <c r="AC24" s="890"/>
      <c r="AD24" s="890"/>
      <c r="AE24" s="890"/>
      <c r="AF24" s="890"/>
      <c r="AG24" s="890"/>
      <c r="AH24" s="890"/>
      <c r="AI24" s="890"/>
      <c r="AJ24" s="890"/>
      <c r="AK24" s="890"/>
      <c r="AL24" s="890"/>
      <c r="AM24" s="890"/>
      <c r="AN24" s="890"/>
      <c r="AO24" s="890"/>
      <c r="AP24" s="890"/>
      <c r="AQ24" s="890"/>
      <c r="AR24" s="890"/>
      <c r="AS24" s="890"/>
      <c r="AT24" s="890"/>
      <c r="AU24" s="890"/>
      <c r="AV24" s="890"/>
      <c r="AW24" s="890"/>
      <c r="AX24" s="890"/>
      <c r="AY24" s="890"/>
      <c r="AZ24" s="890"/>
      <c r="BA24" s="890"/>
      <c r="BB24" s="890"/>
      <c r="BC24" s="890"/>
      <c r="BD24" s="890"/>
      <c r="BE24" s="890"/>
      <c r="BF24" s="890"/>
      <c r="BG24" s="890"/>
      <c r="BH24" s="890"/>
      <c r="BI24" s="890"/>
      <c r="BJ24" s="890"/>
      <c r="BK24" s="890"/>
      <c r="BL24" s="890"/>
      <c r="BM24" s="890"/>
      <c r="BN24" s="890"/>
      <c r="BO24" s="890"/>
      <c r="BP24" s="890"/>
      <c r="BQ24" s="890"/>
      <c r="BR24" s="890"/>
      <c r="BS24" s="890"/>
      <c r="BT24" s="890"/>
      <c r="BV24" s="890"/>
      <c r="BW24" s="890"/>
      <c r="BX24" s="890"/>
      <c r="BY24" s="891"/>
      <c r="BZ24" s="890"/>
      <c r="CA24" s="890"/>
      <c r="CB24" s="890"/>
      <c r="CD24" s="890"/>
      <c r="CE24" s="893"/>
    </row>
    <row r="25" spans="1:85" s="904" customFormat="1" ht="15" customHeight="1" x14ac:dyDescent="0.25">
      <c r="A25" s="890"/>
      <c r="B25" s="1757" t="s">
        <v>6103</v>
      </c>
      <c r="C25" s="890"/>
      <c r="D25" s="1691" t="s">
        <v>5677</v>
      </c>
      <c r="E25" s="890"/>
      <c r="F25" s="1700" t="s">
        <v>5678</v>
      </c>
      <c r="G25" s="890"/>
      <c r="H25" s="1700" t="s">
        <v>5679</v>
      </c>
      <c r="I25" s="890"/>
      <c r="J25" s="1733" t="s">
        <v>5680</v>
      </c>
      <c r="K25" s="890"/>
      <c r="L25" s="1730" t="s">
        <v>6104</v>
      </c>
      <c r="M25" s="890"/>
      <c r="N25" s="1694" t="s">
        <v>6105</v>
      </c>
      <c r="O25" s="890"/>
      <c r="P25" s="1658" t="s">
        <v>6106</v>
      </c>
      <c r="Q25" s="890"/>
      <c r="R25" s="890"/>
      <c r="S25" s="1727" t="s">
        <v>6107</v>
      </c>
      <c r="T25" s="891"/>
      <c r="U25" s="1685" t="s">
        <v>5681</v>
      </c>
      <c r="V25" s="891"/>
      <c r="W25" s="1688" t="s">
        <v>5682</v>
      </c>
      <c r="X25" s="891"/>
      <c r="Y25" s="1712" t="s">
        <v>6561</v>
      </c>
      <c r="Z25" s="890"/>
      <c r="AA25" s="1661" t="s">
        <v>6569</v>
      </c>
      <c r="AB25" s="890"/>
      <c r="AC25" s="890"/>
      <c r="AD25" s="1757" t="s">
        <v>6108</v>
      </c>
      <c r="AE25" s="890"/>
      <c r="AF25" s="1691" t="s">
        <v>5683</v>
      </c>
      <c r="AG25" s="890"/>
      <c r="AH25" s="1700" t="s">
        <v>5684</v>
      </c>
      <c r="AI25" s="890"/>
      <c r="AJ25" s="1700" t="s">
        <v>5685</v>
      </c>
      <c r="AK25" s="890"/>
      <c r="AL25" s="1733" t="s">
        <v>5686</v>
      </c>
      <c r="AM25" s="890"/>
      <c r="AN25" s="1730" t="s">
        <v>6109</v>
      </c>
      <c r="AO25" s="890"/>
      <c r="AP25" s="1694" t="s">
        <v>5687</v>
      </c>
      <c r="AQ25" s="890"/>
      <c r="AR25" s="1658" t="s">
        <v>5688</v>
      </c>
      <c r="AS25" s="890"/>
      <c r="AT25" s="1727" t="s">
        <v>6110</v>
      </c>
      <c r="AU25" s="890"/>
      <c r="AV25" s="1685" t="s">
        <v>5689</v>
      </c>
      <c r="AW25" s="890"/>
      <c r="AX25" s="1688" t="s">
        <v>5690</v>
      </c>
      <c r="AY25" s="890"/>
      <c r="AZ25" s="1712" t="s">
        <v>6561</v>
      </c>
      <c r="BA25" s="890"/>
      <c r="BB25" s="1661" t="s">
        <v>6569</v>
      </c>
      <c r="BC25" s="890"/>
      <c r="BD25" s="1757" t="s">
        <v>6111</v>
      </c>
      <c r="BE25" s="890"/>
      <c r="BF25" s="1691" t="s">
        <v>5691</v>
      </c>
      <c r="BG25" s="890"/>
      <c r="BH25" s="1700" t="s">
        <v>5692</v>
      </c>
      <c r="BI25" s="890"/>
      <c r="BJ25" s="1700" t="s">
        <v>5693</v>
      </c>
      <c r="BK25" s="890"/>
      <c r="BL25" s="1733" t="s">
        <v>5694</v>
      </c>
      <c r="BM25" s="890"/>
      <c r="BN25" s="1730" t="s">
        <v>6112</v>
      </c>
      <c r="BO25" s="890"/>
      <c r="BP25" s="1694" t="s">
        <v>5695</v>
      </c>
      <c r="BQ25" s="890"/>
      <c r="BR25" s="1658" t="s">
        <v>5696</v>
      </c>
      <c r="BS25" s="890"/>
      <c r="BT25" s="1727" t="s">
        <v>6113</v>
      </c>
      <c r="BV25" s="1685" t="s">
        <v>5697</v>
      </c>
      <c r="BW25" s="890"/>
      <c r="BX25" s="1688" t="s">
        <v>5698</v>
      </c>
      <c r="BY25" s="891"/>
      <c r="BZ25" s="1712" t="s">
        <v>6561</v>
      </c>
      <c r="CA25" s="890"/>
      <c r="CB25" s="1661" t="s">
        <v>6569</v>
      </c>
      <c r="CD25" s="890"/>
      <c r="CE25" s="893">
        <v>1</v>
      </c>
    </row>
    <row r="26" spans="1:85" s="904" customFormat="1" ht="15" customHeight="1" x14ac:dyDescent="0.25">
      <c r="A26" s="890"/>
      <c r="B26" s="1758"/>
      <c r="C26" s="890"/>
      <c r="D26" s="1692"/>
      <c r="E26" s="890"/>
      <c r="F26" s="1701"/>
      <c r="G26" s="890"/>
      <c r="H26" s="1701"/>
      <c r="I26" s="890"/>
      <c r="J26" s="1734"/>
      <c r="K26" s="890"/>
      <c r="L26" s="1731"/>
      <c r="M26" s="890"/>
      <c r="N26" s="1695"/>
      <c r="O26" s="890"/>
      <c r="P26" s="1659"/>
      <c r="Q26" s="890"/>
      <c r="R26" s="890"/>
      <c r="S26" s="1728"/>
      <c r="T26" s="891"/>
      <c r="U26" s="1686"/>
      <c r="V26" s="891"/>
      <c r="W26" s="1689"/>
      <c r="X26" s="891"/>
      <c r="Y26" s="1713"/>
      <c r="Z26" s="890"/>
      <c r="AA26" s="1662"/>
      <c r="AB26" s="890"/>
      <c r="AC26" s="890"/>
      <c r="AD26" s="1758" t="s">
        <v>5601</v>
      </c>
      <c r="AE26" s="890"/>
      <c r="AF26" s="1692" t="s">
        <v>5601</v>
      </c>
      <c r="AG26" s="890"/>
      <c r="AH26" s="1701" t="s">
        <v>5601</v>
      </c>
      <c r="AI26" s="890"/>
      <c r="AJ26" s="1701" t="s">
        <v>5601</v>
      </c>
      <c r="AK26" s="890"/>
      <c r="AL26" s="1734" t="s">
        <v>5601</v>
      </c>
      <c r="AM26" s="890"/>
      <c r="AN26" s="1731" t="s">
        <v>5601</v>
      </c>
      <c r="AO26" s="890"/>
      <c r="AP26" s="1695" t="s">
        <v>5601</v>
      </c>
      <c r="AQ26" s="890"/>
      <c r="AR26" s="1659" t="s">
        <v>5601</v>
      </c>
      <c r="AS26" s="890"/>
      <c r="AT26" s="1728" t="s">
        <v>5601</v>
      </c>
      <c r="AU26" s="890"/>
      <c r="AV26" s="1686" t="s">
        <v>5601</v>
      </c>
      <c r="AW26" s="890"/>
      <c r="AX26" s="1689" t="s">
        <v>5601</v>
      </c>
      <c r="AY26" s="890"/>
      <c r="AZ26" s="1713"/>
      <c r="BA26" s="890"/>
      <c r="BB26" s="1662"/>
      <c r="BC26" s="890"/>
      <c r="BD26" s="1758" t="s">
        <v>5601</v>
      </c>
      <c r="BE26" s="890"/>
      <c r="BF26" s="1692" t="s">
        <v>5601</v>
      </c>
      <c r="BG26" s="890"/>
      <c r="BH26" s="1701" t="s">
        <v>5601</v>
      </c>
      <c r="BI26" s="890"/>
      <c r="BJ26" s="1701" t="s">
        <v>5601</v>
      </c>
      <c r="BK26" s="890"/>
      <c r="BL26" s="1734" t="s">
        <v>5601</v>
      </c>
      <c r="BM26" s="890"/>
      <c r="BN26" s="1731" t="s">
        <v>5601</v>
      </c>
      <c r="BO26" s="890"/>
      <c r="BP26" s="1695" t="s">
        <v>5601</v>
      </c>
      <c r="BQ26" s="890"/>
      <c r="BR26" s="1659" t="s">
        <v>5601</v>
      </c>
      <c r="BS26" s="890"/>
      <c r="BT26" s="1728" t="s">
        <v>5601</v>
      </c>
      <c r="BV26" s="1686" t="s">
        <v>5601</v>
      </c>
      <c r="BW26" s="890"/>
      <c r="BX26" s="1689" t="s">
        <v>5601</v>
      </c>
      <c r="BY26" s="891"/>
      <c r="BZ26" s="1713"/>
      <c r="CA26" s="890"/>
      <c r="CB26" s="1662"/>
      <c r="CD26" s="890"/>
      <c r="CE26" s="893">
        <v>1</v>
      </c>
    </row>
    <row r="27" spans="1:85" s="904" customFormat="1" ht="15" customHeight="1" x14ac:dyDescent="0.25">
      <c r="A27" s="890"/>
      <c r="B27" s="1759"/>
      <c r="C27" s="890"/>
      <c r="D27" s="1693"/>
      <c r="E27" s="890"/>
      <c r="F27" s="1702"/>
      <c r="G27" s="890"/>
      <c r="H27" s="1702"/>
      <c r="I27" s="890"/>
      <c r="J27" s="1735"/>
      <c r="K27" s="890"/>
      <c r="L27" s="1732"/>
      <c r="M27" s="890"/>
      <c r="N27" s="1696"/>
      <c r="O27" s="890"/>
      <c r="P27" s="1660"/>
      <c r="Q27" s="890"/>
      <c r="R27" s="890"/>
      <c r="S27" s="1729"/>
      <c r="T27" s="891"/>
      <c r="U27" s="1687"/>
      <c r="V27" s="891"/>
      <c r="W27" s="1690"/>
      <c r="X27" s="891"/>
      <c r="Y27" s="1714"/>
      <c r="Z27" s="890"/>
      <c r="AA27" s="1663"/>
      <c r="AB27" s="890"/>
      <c r="AC27" s="890"/>
      <c r="AD27" s="1759" t="s">
        <v>5601</v>
      </c>
      <c r="AE27" s="890"/>
      <c r="AF27" s="1693" t="s">
        <v>5601</v>
      </c>
      <c r="AG27" s="890"/>
      <c r="AH27" s="1702" t="s">
        <v>5601</v>
      </c>
      <c r="AI27" s="890"/>
      <c r="AJ27" s="1702" t="s">
        <v>5601</v>
      </c>
      <c r="AK27" s="890"/>
      <c r="AL27" s="1735" t="s">
        <v>5601</v>
      </c>
      <c r="AM27" s="890"/>
      <c r="AN27" s="1732" t="s">
        <v>5601</v>
      </c>
      <c r="AO27" s="890"/>
      <c r="AP27" s="1696" t="s">
        <v>5601</v>
      </c>
      <c r="AQ27" s="890"/>
      <c r="AR27" s="1660" t="s">
        <v>5601</v>
      </c>
      <c r="AS27" s="890"/>
      <c r="AT27" s="1729" t="s">
        <v>5601</v>
      </c>
      <c r="AU27" s="890"/>
      <c r="AV27" s="1687" t="s">
        <v>5601</v>
      </c>
      <c r="AW27" s="890"/>
      <c r="AX27" s="1690" t="s">
        <v>5601</v>
      </c>
      <c r="AY27" s="890"/>
      <c r="AZ27" s="1714"/>
      <c r="BA27" s="890"/>
      <c r="BB27" s="1663"/>
      <c r="BC27" s="890"/>
      <c r="BD27" s="1759" t="s">
        <v>5601</v>
      </c>
      <c r="BE27" s="890"/>
      <c r="BF27" s="1693" t="s">
        <v>5601</v>
      </c>
      <c r="BG27" s="890"/>
      <c r="BH27" s="1702" t="s">
        <v>5601</v>
      </c>
      <c r="BI27" s="890"/>
      <c r="BJ27" s="1702" t="s">
        <v>5601</v>
      </c>
      <c r="BK27" s="890"/>
      <c r="BL27" s="1735" t="s">
        <v>5601</v>
      </c>
      <c r="BM27" s="890"/>
      <c r="BN27" s="1732" t="s">
        <v>5601</v>
      </c>
      <c r="BO27" s="890"/>
      <c r="BP27" s="1696" t="s">
        <v>5601</v>
      </c>
      <c r="BQ27" s="890"/>
      <c r="BR27" s="1660" t="s">
        <v>5601</v>
      </c>
      <c r="BS27" s="890"/>
      <c r="BT27" s="1729" t="s">
        <v>5601</v>
      </c>
      <c r="BV27" s="1687" t="s">
        <v>5601</v>
      </c>
      <c r="BW27" s="890"/>
      <c r="BX27" s="1690" t="s">
        <v>5601</v>
      </c>
      <c r="BY27" s="891"/>
      <c r="BZ27" s="1714"/>
      <c r="CA27" s="890"/>
      <c r="CB27" s="1663"/>
      <c r="CD27" s="890"/>
      <c r="CE27" s="893">
        <v>1</v>
      </c>
    </row>
    <row r="28" spans="1:85" s="904" customFormat="1" ht="18" customHeight="1" x14ac:dyDescent="0.25">
      <c r="A28" s="890"/>
      <c r="B28" s="890"/>
      <c r="C28" s="890"/>
      <c r="D28" s="890"/>
      <c r="E28" s="890"/>
      <c r="F28" s="890"/>
      <c r="G28" s="890"/>
      <c r="H28" s="890"/>
      <c r="I28" s="890"/>
      <c r="J28" s="890"/>
      <c r="K28" s="890"/>
      <c r="L28" s="890"/>
      <c r="M28" s="890"/>
      <c r="N28" s="890"/>
      <c r="O28" s="890"/>
      <c r="P28" s="890"/>
      <c r="Q28" s="890"/>
      <c r="R28" s="890"/>
      <c r="S28" s="920"/>
      <c r="T28" s="891"/>
      <c r="U28" s="890"/>
      <c r="V28" s="891"/>
      <c r="W28" s="890"/>
      <c r="X28" s="891"/>
      <c r="Y28" s="890"/>
      <c r="Z28" s="890"/>
      <c r="AA28" s="890"/>
      <c r="AB28" s="890"/>
      <c r="AC28" s="890"/>
      <c r="AD28" s="890"/>
      <c r="AE28" s="890"/>
      <c r="AF28" s="890"/>
      <c r="AG28" s="890"/>
      <c r="AH28" s="890"/>
      <c r="AI28" s="890"/>
      <c r="AJ28" s="890"/>
      <c r="AK28" s="890"/>
      <c r="AL28" s="890"/>
      <c r="AM28" s="890"/>
      <c r="AN28" s="890"/>
      <c r="AO28" s="890"/>
      <c r="AP28" s="890"/>
      <c r="AQ28" s="890"/>
      <c r="AR28" s="890"/>
      <c r="AS28" s="890"/>
      <c r="AT28" s="920"/>
      <c r="AU28" s="890"/>
      <c r="AV28" s="890"/>
      <c r="AW28" s="890"/>
      <c r="AX28" s="890"/>
      <c r="AY28" s="890"/>
      <c r="AZ28" s="890"/>
      <c r="BA28" s="890"/>
      <c r="BB28" s="890"/>
      <c r="BC28" s="890"/>
      <c r="BD28" s="890"/>
      <c r="BE28" s="890"/>
      <c r="BF28" s="890"/>
      <c r="BG28" s="890"/>
      <c r="BH28" s="890"/>
      <c r="BI28" s="890"/>
      <c r="BJ28" s="890"/>
      <c r="BK28" s="890"/>
      <c r="BL28" s="890"/>
      <c r="BM28" s="890"/>
      <c r="BN28" s="890"/>
      <c r="BO28" s="890"/>
      <c r="BP28" s="890"/>
      <c r="BQ28" s="890"/>
      <c r="BR28" s="890"/>
      <c r="BS28" s="890"/>
      <c r="BT28" s="920"/>
      <c r="BV28" s="890"/>
      <c r="BW28" s="890"/>
      <c r="BX28" s="890"/>
      <c r="BY28" s="891"/>
      <c r="BZ28" s="890"/>
      <c r="CA28" s="890"/>
      <c r="CB28" s="890"/>
      <c r="CD28" s="890"/>
      <c r="CE28" s="893"/>
    </row>
    <row r="29" spans="1:85" s="904" customFormat="1" ht="15" customHeight="1" x14ac:dyDescent="0.25">
      <c r="A29" s="890"/>
      <c r="B29" s="1610" t="s">
        <v>6541</v>
      </c>
      <c r="C29" s="890"/>
      <c r="D29" s="1691" t="s">
        <v>5699</v>
      </c>
      <c r="E29" s="890"/>
      <c r="F29" s="1700" t="s">
        <v>5692</v>
      </c>
      <c r="G29" s="890"/>
      <c r="H29" s="1700" t="s">
        <v>5700</v>
      </c>
      <c r="I29" s="890"/>
      <c r="J29" s="1733" t="s">
        <v>5701</v>
      </c>
      <c r="K29" s="890"/>
      <c r="L29" s="1730" t="s">
        <v>6114</v>
      </c>
      <c r="M29" s="890"/>
      <c r="N29" s="1694" t="s">
        <v>6115</v>
      </c>
      <c r="O29" s="890"/>
      <c r="P29" s="1658" t="s">
        <v>6116</v>
      </c>
      <c r="Q29" s="890"/>
      <c r="R29" s="890"/>
      <c r="S29" s="1727" t="s">
        <v>6117</v>
      </c>
      <c r="T29" s="891"/>
      <c r="U29" s="1685" t="s">
        <v>5702</v>
      </c>
      <c r="V29" s="891"/>
      <c r="W29" s="1688" t="s">
        <v>5703</v>
      </c>
      <c r="X29" s="891"/>
      <c r="Y29" s="1715" t="s">
        <v>6562</v>
      </c>
      <c r="Z29" s="890"/>
      <c r="AA29" s="1664" t="s">
        <v>6570</v>
      </c>
      <c r="AB29" s="890"/>
      <c r="AC29" s="890"/>
      <c r="AD29" s="1610" t="s">
        <v>6118</v>
      </c>
      <c r="AE29" s="890"/>
      <c r="AF29" s="1691" t="s">
        <v>5704</v>
      </c>
      <c r="AG29" s="890"/>
      <c r="AH29" s="1700" t="s">
        <v>5705</v>
      </c>
      <c r="AI29" s="890"/>
      <c r="AJ29" s="1700" t="s">
        <v>5706</v>
      </c>
      <c r="AK29" s="890"/>
      <c r="AL29" s="1733" t="s">
        <v>5707</v>
      </c>
      <c r="AM29" s="890"/>
      <c r="AN29" s="1730" t="s">
        <v>6119</v>
      </c>
      <c r="AO29" s="890"/>
      <c r="AP29" s="1694" t="s">
        <v>6120</v>
      </c>
      <c r="AQ29" s="890"/>
      <c r="AR29" s="1658" t="s">
        <v>6121</v>
      </c>
      <c r="AS29" s="890"/>
      <c r="AT29" s="1727" t="s">
        <v>6122</v>
      </c>
      <c r="AU29" s="890"/>
      <c r="AV29" s="1685" t="s">
        <v>5708</v>
      </c>
      <c r="AW29" s="890"/>
      <c r="AX29" s="1688" t="s">
        <v>5709</v>
      </c>
      <c r="AY29" s="890"/>
      <c r="AZ29" s="1715" t="s">
        <v>6562</v>
      </c>
      <c r="BA29" s="890"/>
      <c r="BB29" s="1664" t="s">
        <v>6570</v>
      </c>
      <c r="BC29" s="890"/>
      <c r="BD29" s="1610" t="s">
        <v>6123</v>
      </c>
      <c r="BE29" s="890"/>
      <c r="BF29" s="1691" t="s">
        <v>5710</v>
      </c>
      <c r="BG29" s="890"/>
      <c r="BH29" s="1700" t="s">
        <v>5711</v>
      </c>
      <c r="BI29" s="890"/>
      <c r="BJ29" s="1700" t="s">
        <v>5712</v>
      </c>
      <c r="BK29" s="890"/>
      <c r="BL29" s="1733" t="s">
        <v>5713</v>
      </c>
      <c r="BM29" s="890"/>
      <c r="BN29" s="1730" t="s">
        <v>6124</v>
      </c>
      <c r="BO29" s="890"/>
      <c r="BP29" s="1694" t="s">
        <v>6125</v>
      </c>
      <c r="BQ29" s="890"/>
      <c r="BR29" s="1658" t="s">
        <v>6126</v>
      </c>
      <c r="BS29" s="890"/>
      <c r="BT29" s="1727" t="s">
        <v>6127</v>
      </c>
      <c r="BV29" s="1685" t="s">
        <v>5714</v>
      </c>
      <c r="BW29" s="890"/>
      <c r="BX29" s="1688" t="s">
        <v>5715</v>
      </c>
      <c r="BY29" s="891"/>
      <c r="BZ29" s="1715" t="s">
        <v>6562</v>
      </c>
      <c r="CA29" s="890"/>
      <c r="CB29" s="1664" t="s">
        <v>6570</v>
      </c>
      <c r="CD29" s="890"/>
      <c r="CE29" s="893">
        <v>1</v>
      </c>
    </row>
    <row r="30" spans="1:85" s="904" customFormat="1" ht="15" customHeight="1" x14ac:dyDescent="0.25">
      <c r="A30" s="890"/>
      <c r="B30" s="1611"/>
      <c r="C30" s="890"/>
      <c r="D30" s="1692"/>
      <c r="E30" s="890"/>
      <c r="F30" s="1701"/>
      <c r="G30" s="890"/>
      <c r="H30" s="1701"/>
      <c r="I30" s="890"/>
      <c r="J30" s="1734"/>
      <c r="K30" s="890"/>
      <c r="L30" s="1731"/>
      <c r="M30" s="890"/>
      <c r="N30" s="1695"/>
      <c r="O30" s="890"/>
      <c r="P30" s="1659"/>
      <c r="Q30" s="890"/>
      <c r="R30" s="890"/>
      <c r="S30" s="1728"/>
      <c r="T30" s="891"/>
      <c r="U30" s="1686"/>
      <c r="V30" s="891"/>
      <c r="W30" s="1689"/>
      <c r="X30" s="891"/>
      <c r="Y30" s="1716"/>
      <c r="Z30" s="890"/>
      <c r="AA30" s="1665"/>
      <c r="AB30" s="890"/>
      <c r="AC30" s="890"/>
      <c r="AD30" s="1611" t="s">
        <v>5601</v>
      </c>
      <c r="AE30" s="890"/>
      <c r="AF30" s="1692" t="s">
        <v>5601</v>
      </c>
      <c r="AG30" s="890"/>
      <c r="AH30" s="1701" t="s">
        <v>5601</v>
      </c>
      <c r="AI30" s="890"/>
      <c r="AJ30" s="1701" t="s">
        <v>5601</v>
      </c>
      <c r="AK30" s="890"/>
      <c r="AL30" s="1734" t="s">
        <v>5601</v>
      </c>
      <c r="AM30" s="890"/>
      <c r="AN30" s="1731" t="s">
        <v>5601</v>
      </c>
      <c r="AO30" s="890"/>
      <c r="AP30" s="1695" t="s">
        <v>5601</v>
      </c>
      <c r="AQ30" s="890"/>
      <c r="AR30" s="1659" t="s">
        <v>5601</v>
      </c>
      <c r="AS30" s="890"/>
      <c r="AT30" s="1728" t="s">
        <v>5601</v>
      </c>
      <c r="AU30" s="890"/>
      <c r="AV30" s="1686" t="s">
        <v>5601</v>
      </c>
      <c r="AW30" s="890"/>
      <c r="AX30" s="1689" t="s">
        <v>5601</v>
      </c>
      <c r="AY30" s="890"/>
      <c r="AZ30" s="1716"/>
      <c r="BA30" s="890"/>
      <c r="BB30" s="1665"/>
      <c r="BC30" s="890"/>
      <c r="BD30" s="1611" t="s">
        <v>5601</v>
      </c>
      <c r="BE30" s="890"/>
      <c r="BF30" s="1692" t="s">
        <v>5601</v>
      </c>
      <c r="BG30" s="890"/>
      <c r="BH30" s="1701" t="s">
        <v>5601</v>
      </c>
      <c r="BI30" s="890"/>
      <c r="BJ30" s="1701" t="s">
        <v>5601</v>
      </c>
      <c r="BK30" s="890"/>
      <c r="BL30" s="1734" t="s">
        <v>5601</v>
      </c>
      <c r="BM30" s="890"/>
      <c r="BN30" s="1731" t="s">
        <v>5601</v>
      </c>
      <c r="BO30" s="890"/>
      <c r="BP30" s="1695" t="s">
        <v>5601</v>
      </c>
      <c r="BQ30" s="890"/>
      <c r="BR30" s="1659" t="s">
        <v>5601</v>
      </c>
      <c r="BS30" s="890"/>
      <c r="BT30" s="1728" t="s">
        <v>5601</v>
      </c>
      <c r="BV30" s="1686" t="s">
        <v>5601</v>
      </c>
      <c r="BW30" s="890"/>
      <c r="BX30" s="1689" t="s">
        <v>5601</v>
      </c>
      <c r="BY30" s="891"/>
      <c r="BZ30" s="1716"/>
      <c r="CA30" s="890"/>
      <c r="CB30" s="1665"/>
      <c r="CD30" s="890"/>
      <c r="CE30" s="893">
        <v>1</v>
      </c>
    </row>
    <row r="31" spans="1:85" s="904" customFormat="1" ht="15" customHeight="1" x14ac:dyDescent="0.25">
      <c r="A31" s="890"/>
      <c r="B31" s="1612"/>
      <c r="C31" s="890"/>
      <c r="D31" s="1693"/>
      <c r="E31" s="890"/>
      <c r="F31" s="1702"/>
      <c r="G31" s="890"/>
      <c r="H31" s="1702"/>
      <c r="I31" s="890"/>
      <c r="J31" s="1735"/>
      <c r="K31" s="890"/>
      <c r="L31" s="1732"/>
      <c r="M31" s="890"/>
      <c r="N31" s="1696"/>
      <c r="O31" s="890"/>
      <c r="P31" s="1660"/>
      <c r="Q31" s="890"/>
      <c r="R31" s="890"/>
      <c r="S31" s="1729"/>
      <c r="T31" s="891"/>
      <c r="U31" s="1687"/>
      <c r="V31" s="891"/>
      <c r="W31" s="1690"/>
      <c r="X31" s="891"/>
      <c r="Y31" s="1717"/>
      <c r="Z31" s="890"/>
      <c r="AA31" s="1666"/>
      <c r="AB31" s="890"/>
      <c r="AC31" s="890"/>
      <c r="AD31" s="1612" t="s">
        <v>5601</v>
      </c>
      <c r="AE31" s="890"/>
      <c r="AF31" s="1693" t="s">
        <v>5601</v>
      </c>
      <c r="AG31" s="890"/>
      <c r="AH31" s="1702" t="s">
        <v>5601</v>
      </c>
      <c r="AI31" s="890"/>
      <c r="AJ31" s="1702" t="s">
        <v>5601</v>
      </c>
      <c r="AK31" s="890"/>
      <c r="AL31" s="1735" t="s">
        <v>5601</v>
      </c>
      <c r="AM31" s="890"/>
      <c r="AN31" s="1732" t="s">
        <v>5601</v>
      </c>
      <c r="AO31" s="890"/>
      <c r="AP31" s="1696" t="s">
        <v>5601</v>
      </c>
      <c r="AQ31" s="890"/>
      <c r="AR31" s="1660" t="s">
        <v>5601</v>
      </c>
      <c r="AS31" s="890"/>
      <c r="AT31" s="1729" t="s">
        <v>5601</v>
      </c>
      <c r="AU31" s="890"/>
      <c r="AV31" s="1687" t="s">
        <v>5601</v>
      </c>
      <c r="AW31" s="890"/>
      <c r="AX31" s="1690" t="s">
        <v>5601</v>
      </c>
      <c r="AY31" s="890"/>
      <c r="AZ31" s="1717"/>
      <c r="BA31" s="890"/>
      <c r="BB31" s="1666"/>
      <c r="BC31" s="890"/>
      <c r="BD31" s="1612" t="s">
        <v>5601</v>
      </c>
      <c r="BE31" s="890"/>
      <c r="BF31" s="1693" t="s">
        <v>5601</v>
      </c>
      <c r="BG31" s="890"/>
      <c r="BH31" s="1702" t="s">
        <v>5601</v>
      </c>
      <c r="BI31" s="890"/>
      <c r="BJ31" s="1702" t="s">
        <v>5601</v>
      </c>
      <c r="BK31" s="890"/>
      <c r="BL31" s="1735" t="s">
        <v>5601</v>
      </c>
      <c r="BM31" s="890"/>
      <c r="BN31" s="1732" t="s">
        <v>5601</v>
      </c>
      <c r="BO31" s="890"/>
      <c r="BP31" s="1696" t="s">
        <v>5601</v>
      </c>
      <c r="BQ31" s="890"/>
      <c r="BR31" s="1660" t="s">
        <v>5601</v>
      </c>
      <c r="BS31" s="890"/>
      <c r="BT31" s="1729" t="s">
        <v>5601</v>
      </c>
      <c r="BV31" s="1687" t="s">
        <v>5601</v>
      </c>
      <c r="BW31" s="890"/>
      <c r="BX31" s="1690" t="s">
        <v>5601</v>
      </c>
      <c r="BY31" s="891"/>
      <c r="BZ31" s="1717"/>
      <c r="CA31" s="890"/>
      <c r="CB31" s="1666"/>
      <c r="CD31" s="890"/>
      <c r="CE31" s="893">
        <v>1</v>
      </c>
    </row>
    <row r="32" spans="1:85" s="904" customFormat="1" ht="18" customHeight="1" x14ac:dyDescent="0.25">
      <c r="A32" s="890"/>
      <c r="B32" s="890"/>
      <c r="C32" s="890"/>
      <c r="D32" s="890"/>
      <c r="E32" s="890"/>
      <c r="F32" s="890"/>
      <c r="G32" s="890"/>
      <c r="H32" s="890"/>
      <c r="I32" s="890"/>
      <c r="J32" s="890"/>
      <c r="K32" s="890"/>
      <c r="L32" s="890"/>
      <c r="M32" s="890"/>
      <c r="N32" s="890"/>
      <c r="O32" s="890"/>
      <c r="P32" s="890"/>
      <c r="Q32" s="890"/>
      <c r="R32" s="890"/>
      <c r="S32" s="920"/>
      <c r="T32" s="891"/>
      <c r="U32" s="890"/>
      <c r="V32" s="891"/>
      <c r="W32" s="890"/>
      <c r="X32" s="891"/>
      <c r="Y32" s="890"/>
      <c r="Z32" s="890"/>
      <c r="AA32" s="890"/>
      <c r="AB32" s="890"/>
      <c r="AC32" s="890"/>
      <c r="AD32" s="890"/>
      <c r="AE32" s="890"/>
      <c r="AF32" s="890"/>
      <c r="AG32" s="890"/>
      <c r="AH32" s="890"/>
      <c r="AI32" s="890"/>
      <c r="AJ32" s="890"/>
      <c r="AK32" s="890"/>
      <c r="AL32" s="890"/>
      <c r="AM32" s="890"/>
      <c r="AN32" s="890"/>
      <c r="AO32" s="890"/>
      <c r="AP32" s="890"/>
      <c r="AQ32" s="890"/>
      <c r="AR32" s="890"/>
      <c r="AS32" s="890"/>
      <c r="AT32" s="920"/>
      <c r="AU32" s="890"/>
      <c r="AV32" s="890"/>
      <c r="AW32" s="890"/>
      <c r="AX32" s="890"/>
      <c r="AY32" s="890"/>
      <c r="AZ32" s="890"/>
      <c r="BA32" s="890"/>
      <c r="BB32" s="890"/>
      <c r="BC32" s="890"/>
      <c r="BD32" s="890"/>
      <c r="BE32" s="890"/>
      <c r="BF32" s="890"/>
      <c r="BG32" s="890"/>
      <c r="BH32" s="890"/>
      <c r="BI32" s="890"/>
      <c r="BJ32" s="890"/>
      <c r="BK32" s="890"/>
      <c r="BL32" s="890"/>
      <c r="BM32" s="890"/>
      <c r="BN32" s="890"/>
      <c r="BO32" s="890"/>
      <c r="BP32" s="890"/>
      <c r="BQ32" s="890"/>
      <c r="BR32" s="890"/>
      <c r="BS32" s="890"/>
      <c r="BT32" s="920"/>
      <c r="BV32" s="890"/>
      <c r="BW32" s="890"/>
      <c r="BX32" s="890"/>
      <c r="BY32" s="891"/>
      <c r="BZ32" s="890"/>
      <c r="CA32" s="890"/>
      <c r="CB32" s="890"/>
      <c r="CD32" s="890"/>
      <c r="CE32" s="893"/>
    </row>
    <row r="33" spans="1:83" s="904" customFormat="1" ht="15" customHeight="1" x14ac:dyDescent="0.25">
      <c r="A33" s="890"/>
      <c r="B33" s="1586" t="s">
        <v>6542</v>
      </c>
      <c r="C33" s="890"/>
      <c r="D33" s="1691" t="s">
        <v>5717</v>
      </c>
      <c r="E33" s="890"/>
      <c r="F33" s="1700" t="s">
        <v>5711</v>
      </c>
      <c r="G33" s="890"/>
      <c r="H33" s="1700" t="s">
        <v>5718</v>
      </c>
      <c r="I33" s="890"/>
      <c r="J33" s="1733" t="s">
        <v>5719</v>
      </c>
      <c r="K33" s="890"/>
      <c r="L33" s="1730" t="s">
        <v>6128</v>
      </c>
      <c r="M33" s="890"/>
      <c r="N33" s="1694" t="s">
        <v>6129</v>
      </c>
      <c r="O33" s="890"/>
      <c r="P33" s="1658" t="s">
        <v>6130</v>
      </c>
      <c r="Q33" s="890"/>
      <c r="R33" s="890"/>
      <c r="S33" s="1727" t="s">
        <v>6131</v>
      </c>
      <c r="T33" s="891"/>
      <c r="U33" s="1685" t="s">
        <v>5720</v>
      </c>
      <c r="V33" s="891"/>
      <c r="W33" s="1688" t="s">
        <v>5721</v>
      </c>
      <c r="X33" s="891"/>
      <c r="Y33" s="1718" t="s">
        <v>6563</v>
      </c>
      <c r="Z33" s="890"/>
      <c r="AA33" s="1667" t="s">
        <v>6571</v>
      </c>
      <c r="AB33" s="890"/>
      <c r="AC33" s="890"/>
      <c r="AD33" s="1586" t="s">
        <v>6132</v>
      </c>
      <c r="AE33" s="890"/>
      <c r="AF33" s="1691" t="s">
        <v>5722</v>
      </c>
      <c r="AG33" s="890"/>
      <c r="AH33" s="1700" t="s">
        <v>5723</v>
      </c>
      <c r="AI33" s="890"/>
      <c r="AJ33" s="1700" t="s">
        <v>5724</v>
      </c>
      <c r="AK33" s="890"/>
      <c r="AL33" s="1733" t="s">
        <v>5725</v>
      </c>
      <c r="AM33" s="890"/>
      <c r="AN33" s="1730" t="s">
        <v>6080</v>
      </c>
      <c r="AO33" s="890"/>
      <c r="AP33" s="1694" t="s">
        <v>6133</v>
      </c>
      <c r="AQ33" s="890"/>
      <c r="AR33" s="1658" t="s">
        <v>6134</v>
      </c>
      <c r="AS33" s="890"/>
      <c r="AT33" s="1727" t="s">
        <v>6135</v>
      </c>
      <c r="AU33" s="890"/>
      <c r="AV33" s="1685" t="s">
        <v>5726</v>
      </c>
      <c r="AW33" s="890"/>
      <c r="AX33" s="1688" t="s">
        <v>5727</v>
      </c>
      <c r="AY33" s="890"/>
      <c r="AZ33" s="1718" t="s">
        <v>6563</v>
      </c>
      <c r="BA33" s="890"/>
      <c r="BB33" s="1667" t="s">
        <v>6571</v>
      </c>
      <c r="BC33" s="890"/>
      <c r="BD33" s="1586" t="s">
        <v>6136</v>
      </c>
      <c r="BE33" s="890"/>
      <c r="BF33" s="1691" t="s">
        <v>5728</v>
      </c>
      <c r="BG33" s="890"/>
      <c r="BH33" s="1700" t="s">
        <v>5729</v>
      </c>
      <c r="BI33" s="890"/>
      <c r="BJ33" s="1700" t="s">
        <v>5730</v>
      </c>
      <c r="BK33" s="890"/>
      <c r="BL33" s="1733" t="s">
        <v>5731</v>
      </c>
      <c r="BM33" s="890"/>
      <c r="BN33" s="1730" t="s">
        <v>6137</v>
      </c>
      <c r="BO33" s="890"/>
      <c r="BP33" s="1694" t="s">
        <v>6081</v>
      </c>
      <c r="BQ33" s="890"/>
      <c r="BR33" s="1658" t="s">
        <v>6138</v>
      </c>
      <c r="BS33" s="890"/>
      <c r="BT33" s="1727" t="s">
        <v>6139</v>
      </c>
      <c r="BV33" s="1685" t="s">
        <v>5732</v>
      </c>
      <c r="BW33" s="890"/>
      <c r="BX33" s="1688" t="s">
        <v>5733</v>
      </c>
      <c r="BY33" s="891"/>
      <c r="BZ33" s="1718" t="s">
        <v>6563</v>
      </c>
      <c r="CA33" s="890"/>
      <c r="CB33" s="1667" t="s">
        <v>6571</v>
      </c>
      <c r="CD33" s="890"/>
      <c r="CE33" s="893">
        <v>1</v>
      </c>
    </row>
    <row r="34" spans="1:83" s="904" customFormat="1" ht="15" customHeight="1" x14ac:dyDescent="0.25">
      <c r="A34" s="890"/>
      <c r="B34" s="1587"/>
      <c r="C34" s="890"/>
      <c r="D34" s="1692"/>
      <c r="E34" s="890"/>
      <c r="F34" s="1701"/>
      <c r="G34" s="890"/>
      <c r="H34" s="1701"/>
      <c r="I34" s="890"/>
      <c r="J34" s="1734"/>
      <c r="K34" s="890"/>
      <c r="L34" s="1731"/>
      <c r="M34" s="890"/>
      <c r="N34" s="1695"/>
      <c r="O34" s="890"/>
      <c r="P34" s="1659"/>
      <c r="Q34" s="890"/>
      <c r="R34" s="890"/>
      <c r="S34" s="1728"/>
      <c r="T34" s="891"/>
      <c r="U34" s="1686"/>
      <c r="V34" s="891"/>
      <c r="W34" s="1689"/>
      <c r="X34" s="891"/>
      <c r="Y34" s="1719"/>
      <c r="Z34" s="890"/>
      <c r="AA34" s="1668"/>
      <c r="AB34" s="890"/>
      <c r="AC34" s="890"/>
      <c r="AD34" s="1587" t="s">
        <v>5601</v>
      </c>
      <c r="AE34" s="890"/>
      <c r="AF34" s="1692" t="s">
        <v>5601</v>
      </c>
      <c r="AG34" s="890"/>
      <c r="AH34" s="1701" t="s">
        <v>5601</v>
      </c>
      <c r="AI34" s="890"/>
      <c r="AJ34" s="1701" t="s">
        <v>5601</v>
      </c>
      <c r="AK34" s="890"/>
      <c r="AL34" s="1734" t="s">
        <v>5601</v>
      </c>
      <c r="AM34" s="890"/>
      <c r="AN34" s="1731" t="s">
        <v>5601</v>
      </c>
      <c r="AO34" s="890"/>
      <c r="AP34" s="1695" t="s">
        <v>5601</v>
      </c>
      <c r="AQ34" s="890"/>
      <c r="AR34" s="1659" t="s">
        <v>5601</v>
      </c>
      <c r="AS34" s="890"/>
      <c r="AT34" s="1728" t="s">
        <v>5601</v>
      </c>
      <c r="AU34" s="890"/>
      <c r="AV34" s="1686" t="s">
        <v>5601</v>
      </c>
      <c r="AW34" s="890"/>
      <c r="AX34" s="1689" t="s">
        <v>5601</v>
      </c>
      <c r="AY34" s="890"/>
      <c r="AZ34" s="1719"/>
      <c r="BA34" s="890"/>
      <c r="BB34" s="1668"/>
      <c r="BC34" s="890"/>
      <c r="BD34" s="1587" t="s">
        <v>5601</v>
      </c>
      <c r="BE34" s="890"/>
      <c r="BF34" s="1692" t="s">
        <v>5601</v>
      </c>
      <c r="BG34" s="890"/>
      <c r="BH34" s="1701" t="s">
        <v>5601</v>
      </c>
      <c r="BI34" s="890"/>
      <c r="BJ34" s="1701" t="s">
        <v>5601</v>
      </c>
      <c r="BK34" s="890"/>
      <c r="BL34" s="1734" t="s">
        <v>5601</v>
      </c>
      <c r="BM34" s="890"/>
      <c r="BN34" s="1731" t="s">
        <v>5601</v>
      </c>
      <c r="BO34" s="890"/>
      <c r="BP34" s="1695" t="s">
        <v>5601</v>
      </c>
      <c r="BQ34" s="890"/>
      <c r="BR34" s="1659" t="s">
        <v>5601</v>
      </c>
      <c r="BS34" s="890"/>
      <c r="BT34" s="1728" t="s">
        <v>5601</v>
      </c>
      <c r="BV34" s="1686" t="s">
        <v>5601</v>
      </c>
      <c r="BW34" s="890"/>
      <c r="BX34" s="1689" t="s">
        <v>5601</v>
      </c>
      <c r="BY34" s="891"/>
      <c r="BZ34" s="1719"/>
      <c r="CA34" s="890"/>
      <c r="CB34" s="1668"/>
      <c r="CD34" s="890"/>
      <c r="CE34" s="893">
        <v>1</v>
      </c>
    </row>
    <row r="35" spans="1:83" s="904" customFormat="1" ht="15" customHeight="1" x14ac:dyDescent="0.25">
      <c r="A35" s="890"/>
      <c r="B35" s="1588"/>
      <c r="C35" s="890"/>
      <c r="D35" s="1693"/>
      <c r="E35" s="890"/>
      <c r="F35" s="1702"/>
      <c r="G35" s="890"/>
      <c r="H35" s="1702"/>
      <c r="I35" s="890"/>
      <c r="J35" s="1735"/>
      <c r="K35" s="890"/>
      <c r="L35" s="1732"/>
      <c r="M35" s="890"/>
      <c r="N35" s="1696"/>
      <c r="O35" s="890"/>
      <c r="P35" s="1660"/>
      <c r="Q35" s="890"/>
      <c r="R35" s="890"/>
      <c r="S35" s="1729"/>
      <c r="T35" s="891"/>
      <c r="U35" s="1687"/>
      <c r="V35" s="891"/>
      <c r="W35" s="1690"/>
      <c r="X35" s="891"/>
      <c r="Y35" s="1720"/>
      <c r="Z35" s="890"/>
      <c r="AA35" s="1669"/>
      <c r="AB35" s="890"/>
      <c r="AC35" s="890"/>
      <c r="AD35" s="1588" t="s">
        <v>5601</v>
      </c>
      <c r="AE35" s="890"/>
      <c r="AF35" s="1693" t="s">
        <v>5601</v>
      </c>
      <c r="AG35" s="890"/>
      <c r="AH35" s="1702" t="s">
        <v>5601</v>
      </c>
      <c r="AI35" s="890"/>
      <c r="AJ35" s="1702" t="s">
        <v>5601</v>
      </c>
      <c r="AK35" s="890"/>
      <c r="AL35" s="1735" t="s">
        <v>5601</v>
      </c>
      <c r="AM35" s="890"/>
      <c r="AN35" s="1732" t="s">
        <v>5601</v>
      </c>
      <c r="AO35" s="890"/>
      <c r="AP35" s="1696" t="s">
        <v>5601</v>
      </c>
      <c r="AQ35" s="890"/>
      <c r="AR35" s="1660" t="s">
        <v>5601</v>
      </c>
      <c r="AS35" s="890"/>
      <c r="AT35" s="1729" t="s">
        <v>5601</v>
      </c>
      <c r="AU35" s="890"/>
      <c r="AV35" s="1687" t="s">
        <v>5601</v>
      </c>
      <c r="AW35" s="890"/>
      <c r="AX35" s="1690" t="s">
        <v>5601</v>
      </c>
      <c r="AY35" s="890"/>
      <c r="AZ35" s="1720"/>
      <c r="BA35" s="890"/>
      <c r="BB35" s="1669"/>
      <c r="BC35" s="890"/>
      <c r="BD35" s="1588" t="s">
        <v>5601</v>
      </c>
      <c r="BE35" s="890"/>
      <c r="BF35" s="1693" t="s">
        <v>5601</v>
      </c>
      <c r="BG35" s="890"/>
      <c r="BH35" s="1702" t="s">
        <v>5601</v>
      </c>
      <c r="BI35" s="890"/>
      <c r="BJ35" s="1702" t="s">
        <v>5601</v>
      </c>
      <c r="BK35" s="890"/>
      <c r="BL35" s="1735" t="s">
        <v>5601</v>
      </c>
      <c r="BM35" s="890"/>
      <c r="BN35" s="1732" t="s">
        <v>5601</v>
      </c>
      <c r="BO35" s="890"/>
      <c r="BP35" s="1696" t="s">
        <v>5601</v>
      </c>
      <c r="BQ35" s="890"/>
      <c r="BR35" s="1660" t="s">
        <v>5601</v>
      </c>
      <c r="BS35" s="890"/>
      <c r="BT35" s="1729" t="s">
        <v>5601</v>
      </c>
      <c r="BV35" s="1687" t="s">
        <v>5601</v>
      </c>
      <c r="BW35" s="890"/>
      <c r="BX35" s="1690" t="s">
        <v>5601</v>
      </c>
      <c r="BY35" s="891"/>
      <c r="BZ35" s="1720"/>
      <c r="CA35" s="890"/>
      <c r="CB35" s="1669"/>
      <c r="CD35" s="890"/>
      <c r="CE35" s="893">
        <v>1</v>
      </c>
    </row>
    <row r="36" spans="1:83" s="904" customFormat="1" ht="18" customHeight="1" x14ac:dyDescent="0.25">
      <c r="A36" s="890"/>
      <c r="B36" s="890"/>
      <c r="C36" s="890"/>
      <c r="D36" s="890"/>
      <c r="E36" s="890"/>
      <c r="F36" s="890"/>
      <c r="G36" s="890"/>
      <c r="H36" s="890"/>
      <c r="I36" s="890"/>
      <c r="J36" s="890"/>
      <c r="K36" s="890"/>
      <c r="L36" s="890"/>
      <c r="M36" s="890"/>
      <c r="N36" s="890"/>
      <c r="O36" s="890"/>
      <c r="P36" s="890"/>
      <c r="Q36" s="890"/>
      <c r="R36" s="890"/>
      <c r="S36" s="920"/>
      <c r="T36" s="891"/>
      <c r="U36" s="890"/>
      <c r="V36" s="891"/>
      <c r="W36" s="890"/>
      <c r="X36" s="891"/>
      <c r="Y36" s="890"/>
      <c r="Z36" s="890"/>
      <c r="AA36" s="890"/>
      <c r="AB36" s="890"/>
      <c r="AC36" s="890"/>
      <c r="AD36" s="890"/>
      <c r="AE36" s="890"/>
      <c r="AF36" s="890"/>
      <c r="AG36" s="890"/>
      <c r="AH36" s="890"/>
      <c r="AI36" s="890"/>
      <c r="AJ36" s="890"/>
      <c r="AK36" s="890"/>
      <c r="AL36" s="890"/>
      <c r="AM36" s="890"/>
      <c r="AN36" s="890"/>
      <c r="AO36" s="890"/>
      <c r="AP36" s="890"/>
      <c r="AQ36" s="890"/>
      <c r="AR36" s="890"/>
      <c r="AS36" s="890"/>
      <c r="AT36" s="920"/>
      <c r="AU36" s="890"/>
      <c r="AV36" s="890"/>
      <c r="AW36" s="890"/>
      <c r="AX36" s="890"/>
      <c r="AY36" s="890"/>
      <c r="AZ36" s="890"/>
      <c r="BA36" s="890"/>
      <c r="BB36" s="890"/>
      <c r="BC36" s="890"/>
      <c r="BD36" s="890"/>
      <c r="BE36" s="890"/>
      <c r="BF36" s="890"/>
      <c r="BG36" s="890"/>
      <c r="BH36" s="890"/>
      <c r="BI36" s="890"/>
      <c r="BJ36" s="890"/>
      <c r="BK36" s="890"/>
      <c r="BL36" s="890"/>
      <c r="BM36" s="890"/>
      <c r="BN36" s="890"/>
      <c r="BO36" s="890"/>
      <c r="BP36" s="890"/>
      <c r="BQ36" s="890"/>
      <c r="BR36" s="890"/>
      <c r="BS36" s="890"/>
      <c r="BT36" s="920"/>
      <c r="BV36" s="890"/>
      <c r="BW36" s="890"/>
      <c r="BX36" s="890"/>
      <c r="BY36" s="891"/>
      <c r="BZ36" s="890"/>
      <c r="CA36" s="890"/>
      <c r="CB36" s="890"/>
      <c r="CD36" s="890"/>
      <c r="CE36" s="893"/>
    </row>
    <row r="37" spans="1:83" s="904" customFormat="1" ht="15" customHeight="1" x14ac:dyDescent="0.25">
      <c r="A37" s="890"/>
      <c r="B37" s="1760" t="s">
        <v>6140</v>
      </c>
      <c r="C37" s="890"/>
      <c r="D37" s="1691" t="s">
        <v>5734</v>
      </c>
      <c r="E37" s="890"/>
      <c r="F37" s="1700" t="s">
        <v>5735</v>
      </c>
      <c r="G37" s="890"/>
      <c r="H37" s="1700" t="s">
        <v>5736</v>
      </c>
      <c r="I37" s="890"/>
      <c r="J37" s="1733" t="s">
        <v>5737</v>
      </c>
      <c r="K37" s="890"/>
      <c r="L37" s="1730" t="s">
        <v>6141</v>
      </c>
      <c r="M37" s="890"/>
      <c r="N37" s="1694" t="s">
        <v>6142</v>
      </c>
      <c r="O37" s="890"/>
      <c r="P37" s="1658" t="s">
        <v>6079</v>
      </c>
      <c r="Q37" s="890"/>
      <c r="R37" s="890"/>
      <c r="S37" s="1727" t="s">
        <v>6143</v>
      </c>
      <c r="T37" s="891"/>
      <c r="U37" s="1685" t="s">
        <v>5738</v>
      </c>
      <c r="V37" s="891"/>
      <c r="W37" s="1688" t="s">
        <v>5739</v>
      </c>
      <c r="X37" s="891"/>
      <c r="Y37" s="1676" t="s">
        <v>6564</v>
      </c>
      <c r="Z37" s="890"/>
      <c r="AA37" s="1670" t="s">
        <v>6572</v>
      </c>
      <c r="AB37" s="890"/>
      <c r="AC37" s="890"/>
      <c r="AD37" s="1760" t="s">
        <v>6144</v>
      </c>
      <c r="AE37" s="890"/>
      <c r="AF37" s="1691" t="s">
        <v>5740</v>
      </c>
      <c r="AG37" s="890"/>
      <c r="AH37" s="1700" t="s">
        <v>5741</v>
      </c>
      <c r="AI37" s="890"/>
      <c r="AJ37" s="1700" t="s">
        <v>5742</v>
      </c>
      <c r="AK37" s="890"/>
      <c r="AL37" s="1733" t="s">
        <v>5743</v>
      </c>
      <c r="AM37" s="890"/>
      <c r="AN37" s="1730" t="s">
        <v>6145</v>
      </c>
      <c r="AO37" s="890"/>
      <c r="AP37" s="1694" t="s">
        <v>6146</v>
      </c>
      <c r="AQ37" s="890"/>
      <c r="AR37" s="1658" t="s">
        <v>6147</v>
      </c>
      <c r="AS37" s="890"/>
      <c r="AT37" s="1727" t="s">
        <v>6148</v>
      </c>
      <c r="AU37" s="890"/>
      <c r="AV37" s="1685" t="s">
        <v>5744</v>
      </c>
      <c r="AW37" s="890"/>
      <c r="AX37" s="1688" t="s">
        <v>5745</v>
      </c>
      <c r="AY37" s="890"/>
      <c r="AZ37" s="1676" t="s">
        <v>6564</v>
      </c>
      <c r="BA37" s="890"/>
      <c r="BB37" s="1670" t="s">
        <v>6572</v>
      </c>
      <c r="BC37" s="890"/>
      <c r="BD37" s="1760" t="s">
        <v>6149</v>
      </c>
      <c r="BE37" s="890"/>
      <c r="BF37" s="1691" t="s">
        <v>5746</v>
      </c>
      <c r="BG37" s="890"/>
      <c r="BH37" s="1700" t="s">
        <v>5747</v>
      </c>
      <c r="BI37" s="890"/>
      <c r="BJ37" s="1700" t="s">
        <v>5748</v>
      </c>
      <c r="BK37" s="890"/>
      <c r="BL37" s="1733" t="s">
        <v>5749</v>
      </c>
      <c r="BM37" s="890"/>
      <c r="BN37" s="1730" t="s">
        <v>6150</v>
      </c>
      <c r="BO37" s="890"/>
      <c r="BP37" s="1694" t="s">
        <v>6151</v>
      </c>
      <c r="BQ37" s="890"/>
      <c r="BR37" s="1658" t="s">
        <v>6152</v>
      </c>
      <c r="BS37" s="890"/>
      <c r="BT37" s="1727" t="s">
        <v>6153</v>
      </c>
      <c r="BV37" s="1685" t="s">
        <v>5750</v>
      </c>
      <c r="BW37" s="890"/>
      <c r="BX37" s="1688" t="s">
        <v>5751</v>
      </c>
      <c r="BY37" s="891"/>
      <c r="BZ37" s="1676" t="s">
        <v>6564</v>
      </c>
      <c r="CA37" s="890"/>
      <c r="CB37" s="1670" t="s">
        <v>6572</v>
      </c>
      <c r="CD37" s="890"/>
      <c r="CE37" s="893">
        <v>1</v>
      </c>
    </row>
    <row r="38" spans="1:83" s="904" customFormat="1" ht="15" customHeight="1" x14ac:dyDescent="0.25">
      <c r="A38" s="890"/>
      <c r="B38" s="1761"/>
      <c r="C38" s="890"/>
      <c r="D38" s="1692"/>
      <c r="E38" s="890"/>
      <c r="F38" s="1701"/>
      <c r="G38" s="890"/>
      <c r="H38" s="1701"/>
      <c r="I38" s="890"/>
      <c r="J38" s="1734"/>
      <c r="K38" s="890"/>
      <c r="L38" s="1731"/>
      <c r="M38" s="890"/>
      <c r="N38" s="1695"/>
      <c r="O38" s="890"/>
      <c r="P38" s="1659"/>
      <c r="Q38" s="890"/>
      <c r="R38" s="890"/>
      <c r="S38" s="1728"/>
      <c r="T38" s="891"/>
      <c r="U38" s="1686"/>
      <c r="V38" s="891"/>
      <c r="W38" s="1689"/>
      <c r="X38" s="891"/>
      <c r="Y38" s="1677"/>
      <c r="Z38" s="890"/>
      <c r="AA38" s="1671"/>
      <c r="AB38" s="890"/>
      <c r="AC38" s="890"/>
      <c r="AD38" s="1761" t="s">
        <v>5601</v>
      </c>
      <c r="AE38" s="890"/>
      <c r="AF38" s="1692" t="s">
        <v>5601</v>
      </c>
      <c r="AG38" s="890"/>
      <c r="AH38" s="1701" t="s">
        <v>5601</v>
      </c>
      <c r="AI38" s="890"/>
      <c r="AJ38" s="1701" t="s">
        <v>5601</v>
      </c>
      <c r="AK38" s="890"/>
      <c r="AL38" s="1734" t="s">
        <v>5601</v>
      </c>
      <c r="AM38" s="890"/>
      <c r="AN38" s="1731" t="s">
        <v>5601</v>
      </c>
      <c r="AO38" s="890"/>
      <c r="AP38" s="1695" t="s">
        <v>5601</v>
      </c>
      <c r="AQ38" s="890"/>
      <c r="AR38" s="1659" t="s">
        <v>5601</v>
      </c>
      <c r="AS38" s="890"/>
      <c r="AT38" s="1728" t="s">
        <v>5601</v>
      </c>
      <c r="AU38" s="890"/>
      <c r="AV38" s="1686" t="s">
        <v>5601</v>
      </c>
      <c r="AW38" s="890"/>
      <c r="AX38" s="1689" t="s">
        <v>5601</v>
      </c>
      <c r="AY38" s="890"/>
      <c r="AZ38" s="1677"/>
      <c r="BA38" s="890"/>
      <c r="BB38" s="1671"/>
      <c r="BC38" s="890"/>
      <c r="BD38" s="1761" t="s">
        <v>5601</v>
      </c>
      <c r="BE38" s="890"/>
      <c r="BF38" s="1692" t="s">
        <v>5601</v>
      </c>
      <c r="BG38" s="890"/>
      <c r="BH38" s="1701" t="s">
        <v>5601</v>
      </c>
      <c r="BI38" s="890"/>
      <c r="BJ38" s="1701" t="s">
        <v>5601</v>
      </c>
      <c r="BK38" s="890"/>
      <c r="BL38" s="1734" t="s">
        <v>5601</v>
      </c>
      <c r="BM38" s="890"/>
      <c r="BN38" s="1731" t="s">
        <v>5601</v>
      </c>
      <c r="BO38" s="890"/>
      <c r="BP38" s="1695" t="s">
        <v>5601</v>
      </c>
      <c r="BQ38" s="890"/>
      <c r="BR38" s="1659" t="s">
        <v>5601</v>
      </c>
      <c r="BS38" s="890"/>
      <c r="BT38" s="1728" t="s">
        <v>5601</v>
      </c>
      <c r="BV38" s="1686" t="s">
        <v>5601</v>
      </c>
      <c r="BW38" s="890"/>
      <c r="BX38" s="1689" t="s">
        <v>5601</v>
      </c>
      <c r="BY38" s="891"/>
      <c r="BZ38" s="1677"/>
      <c r="CA38" s="890"/>
      <c r="CB38" s="1671"/>
      <c r="CD38" s="890"/>
      <c r="CE38" s="893">
        <v>1</v>
      </c>
    </row>
    <row r="39" spans="1:83" s="904" customFormat="1" ht="15" customHeight="1" x14ac:dyDescent="0.25">
      <c r="A39" s="890"/>
      <c r="B39" s="1762"/>
      <c r="C39" s="890"/>
      <c r="D39" s="1693"/>
      <c r="E39" s="890"/>
      <c r="F39" s="1702"/>
      <c r="G39" s="890"/>
      <c r="H39" s="1702"/>
      <c r="I39" s="890"/>
      <c r="J39" s="1735"/>
      <c r="K39" s="890"/>
      <c r="L39" s="1732"/>
      <c r="M39" s="890"/>
      <c r="N39" s="1696"/>
      <c r="O39" s="890"/>
      <c r="P39" s="1660"/>
      <c r="Q39" s="890"/>
      <c r="R39" s="890"/>
      <c r="S39" s="1729"/>
      <c r="T39" s="891"/>
      <c r="U39" s="1687"/>
      <c r="V39" s="891"/>
      <c r="W39" s="1690"/>
      <c r="X39" s="891"/>
      <c r="Y39" s="1678"/>
      <c r="Z39" s="890"/>
      <c r="AA39" s="1672"/>
      <c r="AB39" s="890"/>
      <c r="AC39" s="890"/>
      <c r="AD39" s="1762" t="s">
        <v>5601</v>
      </c>
      <c r="AE39" s="890"/>
      <c r="AF39" s="1693" t="s">
        <v>5601</v>
      </c>
      <c r="AG39" s="890"/>
      <c r="AH39" s="1702" t="s">
        <v>5601</v>
      </c>
      <c r="AI39" s="890"/>
      <c r="AJ39" s="1702" t="s">
        <v>5601</v>
      </c>
      <c r="AK39" s="890"/>
      <c r="AL39" s="1735" t="s">
        <v>5601</v>
      </c>
      <c r="AM39" s="890"/>
      <c r="AN39" s="1732" t="s">
        <v>5601</v>
      </c>
      <c r="AO39" s="890"/>
      <c r="AP39" s="1696" t="s">
        <v>5601</v>
      </c>
      <c r="AQ39" s="890"/>
      <c r="AR39" s="1660" t="s">
        <v>5601</v>
      </c>
      <c r="AS39" s="890"/>
      <c r="AT39" s="1729" t="s">
        <v>5601</v>
      </c>
      <c r="AU39" s="890"/>
      <c r="AV39" s="1687" t="s">
        <v>5601</v>
      </c>
      <c r="AW39" s="890"/>
      <c r="AX39" s="1690" t="s">
        <v>5601</v>
      </c>
      <c r="AY39" s="890"/>
      <c r="AZ39" s="1678"/>
      <c r="BA39" s="890"/>
      <c r="BB39" s="1672"/>
      <c r="BC39" s="890"/>
      <c r="BD39" s="1762" t="s">
        <v>5601</v>
      </c>
      <c r="BE39" s="890"/>
      <c r="BF39" s="1693" t="s">
        <v>5601</v>
      </c>
      <c r="BG39" s="890"/>
      <c r="BH39" s="1702" t="s">
        <v>5601</v>
      </c>
      <c r="BI39" s="890"/>
      <c r="BJ39" s="1702" t="s">
        <v>5601</v>
      </c>
      <c r="BK39" s="890"/>
      <c r="BL39" s="1735" t="s">
        <v>5601</v>
      </c>
      <c r="BM39" s="890"/>
      <c r="BN39" s="1732" t="s">
        <v>5601</v>
      </c>
      <c r="BO39" s="890"/>
      <c r="BP39" s="1696" t="s">
        <v>5601</v>
      </c>
      <c r="BQ39" s="890"/>
      <c r="BR39" s="1660" t="s">
        <v>5601</v>
      </c>
      <c r="BS39" s="890"/>
      <c r="BT39" s="1729" t="s">
        <v>5601</v>
      </c>
      <c r="BV39" s="1687" t="s">
        <v>5601</v>
      </c>
      <c r="BW39" s="890"/>
      <c r="BX39" s="1690" t="s">
        <v>5601</v>
      </c>
      <c r="BY39" s="891"/>
      <c r="BZ39" s="1678"/>
      <c r="CA39" s="890"/>
      <c r="CB39" s="1672"/>
      <c r="CD39" s="890"/>
      <c r="CE39" s="893">
        <v>1</v>
      </c>
    </row>
    <row r="40" spans="1:83" s="904" customFormat="1" ht="18" customHeight="1" x14ac:dyDescent="0.25">
      <c r="A40" s="890"/>
      <c r="B40" s="890"/>
      <c r="C40" s="890"/>
      <c r="D40" s="890"/>
      <c r="E40" s="890"/>
      <c r="F40" s="890"/>
      <c r="G40" s="890"/>
      <c r="H40" s="890"/>
      <c r="I40" s="890"/>
      <c r="J40" s="890"/>
      <c r="K40" s="890"/>
      <c r="L40" s="890"/>
      <c r="M40" s="890"/>
      <c r="N40" s="890"/>
      <c r="O40" s="890"/>
      <c r="P40" s="890"/>
      <c r="Q40" s="890"/>
      <c r="R40" s="890"/>
      <c r="S40" s="920"/>
      <c r="T40" s="891"/>
      <c r="U40" s="890"/>
      <c r="V40" s="891"/>
      <c r="W40" s="890"/>
      <c r="X40" s="891"/>
      <c r="Y40" s="890"/>
      <c r="Z40" s="890"/>
      <c r="AA40" s="890"/>
      <c r="AB40" s="890"/>
      <c r="AC40" s="890"/>
      <c r="AD40" s="890"/>
      <c r="AE40" s="890"/>
      <c r="AF40" s="890"/>
      <c r="AG40" s="890"/>
      <c r="AH40" s="890"/>
      <c r="AI40" s="890"/>
      <c r="AJ40" s="890"/>
      <c r="AK40" s="890"/>
      <c r="AL40" s="890"/>
      <c r="AM40" s="890"/>
      <c r="AN40" s="890"/>
      <c r="AO40" s="890"/>
      <c r="AP40" s="890"/>
      <c r="AQ40" s="890"/>
      <c r="AR40" s="890"/>
      <c r="AS40" s="890"/>
      <c r="AT40" s="920"/>
      <c r="AU40" s="890"/>
      <c r="AV40" s="890"/>
      <c r="AW40" s="890"/>
      <c r="AX40" s="890"/>
      <c r="AY40" s="890"/>
      <c r="AZ40" s="890"/>
      <c r="BA40" s="890"/>
      <c r="BB40" s="890"/>
      <c r="BC40" s="890"/>
      <c r="BD40" s="890"/>
      <c r="BE40" s="890"/>
      <c r="BF40" s="890"/>
      <c r="BG40" s="890"/>
      <c r="BH40" s="890"/>
      <c r="BI40" s="890"/>
      <c r="BJ40" s="890"/>
      <c r="BK40" s="890"/>
      <c r="BL40" s="890"/>
      <c r="BM40" s="890"/>
      <c r="BN40" s="890"/>
      <c r="BO40" s="890"/>
      <c r="BP40" s="890"/>
      <c r="BQ40" s="890"/>
      <c r="BR40" s="890"/>
      <c r="BS40" s="890"/>
      <c r="BT40" s="920"/>
      <c r="BV40" s="890"/>
      <c r="BW40" s="890"/>
      <c r="BX40" s="890"/>
      <c r="BY40" s="891"/>
      <c r="BZ40" s="890"/>
      <c r="CA40" s="890"/>
      <c r="CB40" s="890"/>
      <c r="CD40" s="890"/>
      <c r="CE40" s="893"/>
    </row>
    <row r="41" spans="1:83" s="904" customFormat="1" ht="15" customHeight="1" x14ac:dyDescent="0.25">
      <c r="B41" s="1763" t="s">
        <v>4750</v>
      </c>
      <c r="C41" s="890"/>
      <c r="D41" s="1691" t="s">
        <v>5602</v>
      </c>
      <c r="E41" s="890"/>
      <c r="F41" s="1700" t="s">
        <v>5752</v>
      </c>
      <c r="G41" s="890"/>
      <c r="H41" s="1700" t="s">
        <v>5753</v>
      </c>
      <c r="I41" s="890"/>
      <c r="J41" s="1733" t="s">
        <v>5754</v>
      </c>
      <c r="K41" s="890"/>
      <c r="L41" s="1730" t="s">
        <v>6154</v>
      </c>
      <c r="M41" s="890"/>
      <c r="N41" s="1694" t="s">
        <v>6155</v>
      </c>
      <c r="O41" s="890"/>
      <c r="P41" s="1658" t="s">
        <v>6156</v>
      </c>
      <c r="Q41" s="890"/>
      <c r="R41" s="890"/>
      <c r="S41" s="1727" t="s">
        <v>6157</v>
      </c>
      <c r="T41" s="891"/>
      <c r="U41" s="1685" t="s">
        <v>5755</v>
      </c>
      <c r="V41" s="891"/>
      <c r="W41" s="1688" t="s">
        <v>5756</v>
      </c>
      <c r="X41" s="891"/>
      <c r="Y41" s="1679" t="s">
        <v>6565</v>
      </c>
      <c r="Z41" s="890"/>
      <c r="AA41" s="1661" t="s">
        <v>6573</v>
      </c>
      <c r="AB41" s="890"/>
      <c r="AC41" s="890"/>
      <c r="AD41" s="1763" t="s">
        <v>6158</v>
      </c>
      <c r="AE41" s="890"/>
      <c r="AF41" s="1691" t="s">
        <v>5757</v>
      </c>
      <c r="AG41" s="890"/>
      <c r="AH41" s="1700" t="s">
        <v>5758</v>
      </c>
      <c r="AI41" s="890"/>
      <c r="AJ41" s="1700" t="s">
        <v>5759</v>
      </c>
      <c r="AK41" s="890"/>
      <c r="AL41" s="1733" t="s">
        <v>5760</v>
      </c>
      <c r="AM41" s="890"/>
      <c r="AN41" s="1730" t="s">
        <v>6159</v>
      </c>
      <c r="AO41" s="890"/>
      <c r="AP41" s="1694" t="s">
        <v>6160</v>
      </c>
      <c r="AQ41" s="890"/>
      <c r="AR41" s="1658" t="s">
        <v>6161</v>
      </c>
      <c r="AS41" s="890"/>
      <c r="AT41" s="1727" t="s">
        <v>6162</v>
      </c>
      <c r="AU41" s="890"/>
      <c r="AV41" s="1685" t="s">
        <v>5761</v>
      </c>
      <c r="AW41" s="890"/>
      <c r="AX41" s="1688" t="s">
        <v>5762</v>
      </c>
      <c r="AY41" s="890"/>
      <c r="AZ41" s="1679" t="s">
        <v>6565</v>
      </c>
      <c r="BA41" s="890"/>
      <c r="BB41" s="1661" t="s">
        <v>6573</v>
      </c>
      <c r="BC41" s="890"/>
      <c r="BD41" s="1763" t="s">
        <v>6158</v>
      </c>
      <c r="BE41" s="890"/>
      <c r="BF41" s="1691" t="s">
        <v>5763</v>
      </c>
      <c r="BG41" s="890"/>
      <c r="BH41" s="1700" t="s">
        <v>5764</v>
      </c>
      <c r="BI41" s="890"/>
      <c r="BJ41" s="1700" t="s">
        <v>5765</v>
      </c>
      <c r="BK41" s="890"/>
      <c r="BL41" s="1733" t="s">
        <v>5766</v>
      </c>
      <c r="BM41" s="890"/>
      <c r="BN41" s="1730" t="s">
        <v>6163</v>
      </c>
      <c r="BO41" s="890"/>
      <c r="BP41" s="1694" t="s">
        <v>6164</v>
      </c>
      <c r="BQ41" s="890"/>
      <c r="BR41" s="1658" t="s">
        <v>6165</v>
      </c>
      <c r="BS41" s="890"/>
      <c r="BT41" s="1727" t="s">
        <v>6166</v>
      </c>
      <c r="BV41" s="1685" t="s">
        <v>5767</v>
      </c>
      <c r="BW41" s="890"/>
      <c r="BX41" s="1688" t="s">
        <v>5768</v>
      </c>
      <c r="BY41" s="891"/>
      <c r="BZ41" s="1679" t="s">
        <v>6565</v>
      </c>
      <c r="CA41" s="890"/>
      <c r="CB41" s="1661" t="s">
        <v>6573</v>
      </c>
      <c r="CD41" s="890"/>
      <c r="CE41" s="893">
        <v>1</v>
      </c>
    </row>
    <row r="42" spans="1:83" s="904" customFormat="1" ht="15" customHeight="1" x14ac:dyDescent="0.25">
      <c r="B42" s="1764"/>
      <c r="C42" s="890"/>
      <c r="D42" s="1692"/>
      <c r="E42" s="890"/>
      <c r="F42" s="1701"/>
      <c r="G42" s="890"/>
      <c r="H42" s="1701"/>
      <c r="I42" s="890"/>
      <c r="J42" s="1734"/>
      <c r="K42" s="890"/>
      <c r="L42" s="1731"/>
      <c r="M42" s="890"/>
      <c r="N42" s="1695"/>
      <c r="O42" s="890"/>
      <c r="P42" s="1659"/>
      <c r="Q42" s="890"/>
      <c r="R42" s="890"/>
      <c r="S42" s="1728"/>
      <c r="T42" s="891"/>
      <c r="U42" s="1686"/>
      <c r="V42" s="891"/>
      <c r="W42" s="1689"/>
      <c r="X42" s="891"/>
      <c r="Y42" s="1680"/>
      <c r="Z42" s="890"/>
      <c r="AA42" s="1662"/>
      <c r="AB42" s="890"/>
      <c r="AC42" s="890"/>
      <c r="AD42" s="1764" t="s">
        <v>5601</v>
      </c>
      <c r="AE42" s="890"/>
      <c r="AF42" s="1692" t="s">
        <v>5601</v>
      </c>
      <c r="AG42" s="890"/>
      <c r="AH42" s="1701" t="s">
        <v>5601</v>
      </c>
      <c r="AI42" s="890"/>
      <c r="AJ42" s="1701" t="s">
        <v>5601</v>
      </c>
      <c r="AK42" s="890"/>
      <c r="AL42" s="1734" t="s">
        <v>5601</v>
      </c>
      <c r="AM42" s="890"/>
      <c r="AN42" s="1731" t="s">
        <v>5601</v>
      </c>
      <c r="AO42" s="890"/>
      <c r="AP42" s="1695" t="s">
        <v>5601</v>
      </c>
      <c r="AQ42" s="890"/>
      <c r="AR42" s="1659" t="s">
        <v>5601</v>
      </c>
      <c r="AS42" s="890"/>
      <c r="AT42" s="1728" t="s">
        <v>5601</v>
      </c>
      <c r="AU42" s="890"/>
      <c r="AV42" s="1686" t="s">
        <v>5601</v>
      </c>
      <c r="AW42" s="890"/>
      <c r="AX42" s="1689" t="s">
        <v>5601</v>
      </c>
      <c r="AY42" s="890"/>
      <c r="AZ42" s="1680"/>
      <c r="BA42" s="890"/>
      <c r="BB42" s="1662"/>
      <c r="BC42" s="890"/>
      <c r="BD42" s="1764" t="s">
        <v>5601</v>
      </c>
      <c r="BE42" s="890"/>
      <c r="BF42" s="1692" t="s">
        <v>5601</v>
      </c>
      <c r="BG42" s="890"/>
      <c r="BH42" s="1701" t="s">
        <v>5601</v>
      </c>
      <c r="BI42" s="890"/>
      <c r="BJ42" s="1701" t="s">
        <v>5601</v>
      </c>
      <c r="BK42" s="890"/>
      <c r="BL42" s="1734" t="s">
        <v>5601</v>
      </c>
      <c r="BM42" s="890"/>
      <c r="BN42" s="1731" t="s">
        <v>5601</v>
      </c>
      <c r="BO42" s="890"/>
      <c r="BP42" s="1695" t="s">
        <v>5601</v>
      </c>
      <c r="BQ42" s="890"/>
      <c r="BR42" s="1659" t="s">
        <v>5601</v>
      </c>
      <c r="BS42" s="890"/>
      <c r="BT42" s="1728" t="s">
        <v>5601</v>
      </c>
      <c r="BV42" s="1686" t="s">
        <v>5601</v>
      </c>
      <c r="BW42" s="890"/>
      <c r="BX42" s="1689" t="s">
        <v>5601</v>
      </c>
      <c r="BY42" s="891"/>
      <c r="BZ42" s="1680"/>
      <c r="CA42" s="890"/>
      <c r="CB42" s="1662"/>
      <c r="CD42" s="890"/>
      <c r="CE42" s="893">
        <v>1</v>
      </c>
    </row>
    <row r="43" spans="1:83" s="904" customFormat="1" ht="15" customHeight="1" x14ac:dyDescent="0.25">
      <c r="B43" s="1765"/>
      <c r="C43" s="890"/>
      <c r="D43" s="1693"/>
      <c r="E43" s="890"/>
      <c r="F43" s="1702"/>
      <c r="G43" s="890"/>
      <c r="H43" s="1702"/>
      <c r="I43" s="890"/>
      <c r="J43" s="1735"/>
      <c r="K43" s="890"/>
      <c r="L43" s="1732"/>
      <c r="M43" s="890"/>
      <c r="N43" s="1696"/>
      <c r="O43" s="890"/>
      <c r="P43" s="1660"/>
      <c r="Q43" s="890"/>
      <c r="R43" s="890"/>
      <c r="S43" s="1729"/>
      <c r="T43" s="891"/>
      <c r="U43" s="1687"/>
      <c r="V43" s="891"/>
      <c r="W43" s="1690"/>
      <c r="X43" s="891"/>
      <c r="Y43" s="1681"/>
      <c r="Z43" s="890"/>
      <c r="AA43" s="1663"/>
      <c r="AB43" s="890"/>
      <c r="AC43" s="890"/>
      <c r="AD43" s="1765" t="s">
        <v>5601</v>
      </c>
      <c r="AE43" s="890"/>
      <c r="AF43" s="1693" t="s">
        <v>5601</v>
      </c>
      <c r="AG43" s="890"/>
      <c r="AH43" s="1702" t="s">
        <v>5601</v>
      </c>
      <c r="AI43" s="890"/>
      <c r="AJ43" s="1702" t="s">
        <v>5601</v>
      </c>
      <c r="AK43" s="890"/>
      <c r="AL43" s="1735" t="s">
        <v>5601</v>
      </c>
      <c r="AM43" s="890"/>
      <c r="AN43" s="1732" t="s">
        <v>5601</v>
      </c>
      <c r="AO43" s="890"/>
      <c r="AP43" s="1696" t="s">
        <v>5601</v>
      </c>
      <c r="AQ43" s="890"/>
      <c r="AR43" s="1660" t="s">
        <v>5601</v>
      </c>
      <c r="AS43" s="890"/>
      <c r="AT43" s="1729" t="s">
        <v>5601</v>
      </c>
      <c r="AU43" s="890"/>
      <c r="AV43" s="1687" t="s">
        <v>5601</v>
      </c>
      <c r="AW43" s="890"/>
      <c r="AX43" s="1690" t="s">
        <v>5601</v>
      </c>
      <c r="AY43" s="890"/>
      <c r="AZ43" s="1681"/>
      <c r="BA43" s="890"/>
      <c r="BB43" s="1663"/>
      <c r="BC43" s="890"/>
      <c r="BD43" s="1765" t="s">
        <v>5601</v>
      </c>
      <c r="BE43" s="890"/>
      <c r="BF43" s="1693" t="s">
        <v>5601</v>
      </c>
      <c r="BG43" s="890"/>
      <c r="BH43" s="1702" t="s">
        <v>5601</v>
      </c>
      <c r="BI43" s="890"/>
      <c r="BJ43" s="1702" t="s">
        <v>5601</v>
      </c>
      <c r="BK43" s="890"/>
      <c r="BL43" s="1735" t="s">
        <v>5601</v>
      </c>
      <c r="BM43" s="890"/>
      <c r="BN43" s="1732" t="s">
        <v>5601</v>
      </c>
      <c r="BO43" s="890"/>
      <c r="BP43" s="1696" t="s">
        <v>5601</v>
      </c>
      <c r="BQ43" s="890"/>
      <c r="BR43" s="1660" t="s">
        <v>5601</v>
      </c>
      <c r="BS43" s="890"/>
      <c r="BT43" s="1729" t="s">
        <v>5601</v>
      </c>
      <c r="BV43" s="1687" t="s">
        <v>5601</v>
      </c>
      <c r="BW43" s="890"/>
      <c r="BX43" s="1690" t="s">
        <v>5601</v>
      </c>
      <c r="BY43" s="891"/>
      <c r="BZ43" s="1681"/>
      <c r="CA43" s="890"/>
      <c r="CB43" s="1663"/>
      <c r="CD43" s="890"/>
      <c r="CE43" s="893">
        <v>1</v>
      </c>
    </row>
    <row r="44" spans="1:83" s="904" customFormat="1" ht="18" customHeight="1" x14ac:dyDescent="0.25">
      <c r="B44" s="890"/>
      <c r="C44" s="890"/>
      <c r="D44" s="890"/>
      <c r="E44" s="890"/>
      <c r="F44" s="890"/>
      <c r="G44" s="890"/>
      <c r="H44" s="890"/>
      <c r="I44" s="890"/>
      <c r="J44" s="890"/>
      <c r="K44" s="890"/>
      <c r="L44" s="890"/>
      <c r="M44" s="890"/>
      <c r="N44" s="890"/>
      <c r="O44" s="890"/>
      <c r="P44" s="890"/>
      <c r="Q44" s="890"/>
      <c r="R44" s="890"/>
      <c r="S44" s="920"/>
      <c r="T44" s="891"/>
      <c r="U44" s="890"/>
      <c r="V44" s="891"/>
      <c r="W44" s="890"/>
      <c r="X44" s="891"/>
      <c r="Y44" s="890"/>
      <c r="Z44" s="890"/>
      <c r="AA44" s="890"/>
      <c r="AB44" s="890"/>
      <c r="AC44" s="890"/>
      <c r="AD44" s="890"/>
      <c r="AE44" s="890"/>
      <c r="AF44" s="890"/>
      <c r="AG44" s="890"/>
      <c r="AH44" s="890"/>
      <c r="AI44" s="890"/>
      <c r="AJ44" s="890"/>
      <c r="AK44" s="890"/>
      <c r="AL44" s="890"/>
      <c r="AM44" s="890"/>
      <c r="AN44" s="890"/>
      <c r="AO44" s="890"/>
      <c r="AP44" s="890"/>
      <c r="AQ44" s="890"/>
      <c r="AR44" s="890"/>
      <c r="AS44" s="890"/>
      <c r="AT44" s="920"/>
      <c r="AU44" s="890"/>
      <c r="AV44" s="890"/>
      <c r="AW44" s="890"/>
      <c r="AX44" s="890"/>
      <c r="AY44" s="890"/>
      <c r="AZ44" s="890"/>
      <c r="BA44" s="890"/>
      <c r="BB44" s="890"/>
      <c r="BC44" s="890"/>
      <c r="BD44" s="890"/>
      <c r="BE44" s="890"/>
      <c r="BF44" s="890"/>
      <c r="BG44" s="890"/>
      <c r="BH44" s="890"/>
      <c r="BI44" s="890"/>
      <c r="BJ44" s="890"/>
      <c r="BK44" s="890"/>
      <c r="BL44" s="890"/>
      <c r="BM44" s="890"/>
      <c r="BN44" s="890"/>
      <c r="BO44" s="890"/>
      <c r="BP44" s="890"/>
      <c r="BQ44" s="890"/>
      <c r="BR44" s="890"/>
      <c r="BS44" s="890"/>
      <c r="BT44" s="920"/>
      <c r="BV44" s="890"/>
      <c r="BW44" s="890"/>
      <c r="BX44" s="890"/>
      <c r="BY44" s="891"/>
      <c r="BZ44" s="890"/>
      <c r="CA44" s="890"/>
      <c r="CB44" s="890"/>
      <c r="CD44" s="890"/>
      <c r="CE44" s="893"/>
    </row>
    <row r="45" spans="1:83" s="904" customFormat="1" ht="15" customHeight="1" x14ac:dyDescent="0.25">
      <c r="B45" s="1766" t="s">
        <v>6543</v>
      </c>
      <c r="C45" s="890"/>
      <c r="D45" s="1691" t="s">
        <v>5769</v>
      </c>
      <c r="E45" s="890"/>
      <c r="F45" s="1700" t="s">
        <v>5770</v>
      </c>
      <c r="G45" s="890"/>
      <c r="H45" s="1700" t="s">
        <v>5771</v>
      </c>
      <c r="I45" s="890"/>
      <c r="J45" s="1733" t="s">
        <v>5772</v>
      </c>
      <c r="K45" s="890"/>
      <c r="L45" s="1730" t="s">
        <v>6167</v>
      </c>
      <c r="M45" s="890"/>
      <c r="N45" s="1694" t="s">
        <v>6168</v>
      </c>
      <c r="O45" s="890"/>
      <c r="P45" s="1658" t="s">
        <v>6169</v>
      </c>
      <c r="Q45" s="890"/>
      <c r="R45" s="890"/>
      <c r="S45" s="1727" t="s">
        <v>6170</v>
      </c>
      <c r="T45" s="891"/>
      <c r="U45" s="1685" t="s">
        <v>5773</v>
      </c>
      <c r="V45" s="891"/>
      <c r="W45" s="1688" t="s">
        <v>5774</v>
      </c>
      <c r="X45" s="891"/>
      <c r="Y45" s="1682" t="s">
        <v>6566</v>
      </c>
      <c r="Z45" s="890"/>
      <c r="AA45" s="1673" t="s">
        <v>6574</v>
      </c>
      <c r="AB45" s="890"/>
      <c r="AC45" s="890"/>
      <c r="AD45" s="1766" t="s">
        <v>6171</v>
      </c>
      <c r="AE45" s="890"/>
      <c r="AF45" s="1691" t="s">
        <v>5775</v>
      </c>
      <c r="AG45" s="890"/>
      <c r="AH45" s="1700" t="s">
        <v>5776</v>
      </c>
      <c r="AI45" s="890"/>
      <c r="AJ45" s="1700" t="s">
        <v>5777</v>
      </c>
      <c r="AK45" s="890"/>
      <c r="AL45" s="1733" t="s">
        <v>5778</v>
      </c>
      <c r="AM45" s="890"/>
      <c r="AN45" s="1730" t="s">
        <v>6172</v>
      </c>
      <c r="AO45" s="890"/>
      <c r="AP45" s="1694" t="s">
        <v>6173</v>
      </c>
      <c r="AQ45" s="890"/>
      <c r="AR45" s="1658" t="s">
        <v>6174</v>
      </c>
      <c r="AS45" s="890"/>
      <c r="AT45" s="1727" t="s">
        <v>6175</v>
      </c>
      <c r="AU45" s="890"/>
      <c r="AV45" s="1685" t="s">
        <v>5779</v>
      </c>
      <c r="AW45" s="890"/>
      <c r="AX45" s="1688" t="s">
        <v>5780</v>
      </c>
      <c r="AY45" s="890"/>
      <c r="AZ45" s="1682" t="s">
        <v>6566</v>
      </c>
      <c r="BA45" s="890"/>
      <c r="BB45" s="1673" t="s">
        <v>6574</v>
      </c>
      <c r="BC45" s="890"/>
      <c r="BD45" s="1766" t="s">
        <v>6176</v>
      </c>
      <c r="BE45" s="890"/>
      <c r="BF45" s="1691" t="s">
        <v>5781</v>
      </c>
      <c r="BG45" s="890"/>
      <c r="BH45" s="1700" t="s">
        <v>5782</v>
      </c>
      <c r="BI45" s="890"/>
      <c r="BJ45" s="1700" t="s">
        <v>5783</v>
      </c>
      <c r="BK45" s="890"/>
      <c r="BL45" s="1733" t="s">
        <v>5784</v>
      </c>
      <c r="BM45" s="890"/>
      <c r="BN45" s="1730" t="s">
        <v>6177</v>
      </c>
      <c r="BO45" s="890"/>
      <c r="BP45" s="1694" t="s">
        <v>6178</v>
      </c>
      <c r="BQ45" s="890"/>
      <c r="BR45" s="1658" t="s">
        <v>6179</v>
      </c>
      <c r="BS45" s="890"/>
      <c r="BT45" s="1727" t="s">
        <v>6180</v>
      </c>
      <c r="BV45" s="1685" t="s">
        <v>5785</v>
      </c>
      <c r="BW45" s="890"/>
      <c r="BX45" s="1688" t="s">
        <v>5780</v>
      </c>
      <c r="BY45" s="891"/>
      <c r="BZ45" s="1682" t="s">
        <v>6566</v>
      </c>
      <c r="CA45" s="890"/>
      <c r="CB45" s="1673" t="s">
        <v>6574</v>
      </c>
      <c r="CD45" s="890"/>
      <c r="CE45" s="893">
        <v>1</v>
      </c>
    </row>
    <row r="46" spans="1:83" s="904" customFormat="1" ht="15" customHeight="1" x14ac:dyDescent="0.25">
      <c r="B46" s="1767"/>
      <c r="C46" s="890"/>
      <c r="D46" s="1692"/>
      <c r="E46" s="890"/>
      <c r="F46" s="1701"/>
      <c r="G46" s="890"/>
      <c r="H46" s="1701"/>
      <c r="I46" s="890"/>
      <c r="J46" s="1734"/>
      <c r="K46" s="890"/>
      <c r="L46" s="1731"/>
      <c r="M46" s="890"/>
      <c r="N46" s="1695"/>
      <c r="O46" s="890"/>
      <c r="P46" s="1659"/>
      <c r="Q46" s="890"/>
      <c r="R46" s="890"/>
      <c r="S46" s="1728"/>
      <c r="T46" s="891"/>
      <c r="U46" s="1686"/>
      <c r="V46" s="891"/>
      <c r="W46" s="1689"/>
      <c r="X46" s="891"/>
      <c r="Y46" s="1683"/>
      <c r="Z46" s="890"/>
      <c r="AA46" s="1674"/>
      <c r="AB46" s="890"/>
      <c r="AC46" s="890"/>
      <c r="AD46" s="1767" t="s">
        <v>5601</v>
      </c>
      <c r="AE46" s="890"/>
      <c r="AF46" s="1692" t="s">
        <v>5601</v>
      </c>
      <c r="AG46" s="890"/>
      <c r="AH46" s="1701" t="s">
        <v>5601</v>
      </c>
      <c r="AI46" s="890"/>
      <c r="AJ46" s="1701" t="s">
        <v>5601</v>
      </c>
      <c r="AK46" s="890"/>
      <c r="AL46" s="1734" t="s">
        <v>5601</v>
      </c>
      <c r="AM46" s="890"/>
      <c r="AN46" s="1731" t="s">
        <v>5601</v>
      </c>
      <c r="AO46" s="890"/>
      <c r="AP46" s="1695" t="s">
        <v>5601</v>
      </c>
      <c r="AQ46" s="890"/>
      <c r="AR46" s="1659" t="s">
        <v>5601</v>
      </c>
      <c r="AS46" s="890"/>
      <c r="AT46" s="1728" t="s">
        <v>5601</v>
      </c>
      <c r="AU46" s="890"/>
      <c r="AV46" s="1686" t="s">
        <v>5601</v>
      </c>
      <c r="AW46" s="890"/>
      <c r="AX46" s="1689" t="s">
        <v>5601</v>
      </c>
      <c r="AY46" s="890"/>
      <c r="AZ46" s="1683"/>
      <c r="BA46" s="890"/>
      <c r="BB46" s="1674"/>
      <c r="BC46" s="890"/>
      <c r="BD46" s="1767" t="s">
        <v>5601</v>
      </c>
      <c r="BE46" s="890"/>
      <c r="BF46" s="1692" t="s">
        <v>5601</v>
      </c>
      <c r="BG46" s="890"/>
      <c r="BH46" s="1701" t="s">
        <v>5601</v>
      </c>
      <c r="BI46" s="890"/>
      <c r="BJ46" s="1701" t="s">
        <v>5601</v>
      </c>
      <c r="BK46" s="890"/>
      <c r="BL46" s="1734" t="s">
        <v>5601</v>
      </c>
      <c r="BM46" s="890"/>
      <c r="BN46" s="1731" t="s">
        <v>5601</v>
      </c>
      <c r="BO46" s="890"/>
      <c r="BP46" s="1695" t="s">
        <v>5601</v>
      </c>
      <c r="BQ46" s="890"/>
      <c r="BR46" s="1659" t="s">
        <v>5601</v>
      </c>
      <c r="BS46" s="890"/>
      <c r="BT46" s="1728" t="s">
        <v>5601</v>
      </c>
      <c r="BV46" s="1686" t="s">
        <v>5601</v>
      </c>
      <c r="BW46" s="890"/>
      <c r="BX46" s="1689" t="s">
        <v>5601</v>
      </c>
      <c r="BY46" s="891"/>
      <c r="BZ46" s="1683"/>
      <c r="CA46" s="890"/>
      <c r="CB46" s="1674"/>
      <c r="CD46" s="890"/>
      <c r="CE46" s="893">
        <v>1</v>
      </c>
    </row>
    <row r="47" spans="1:83" s="904" customFormat="1" ht="15" customHeight="1" x14ac:dyDescent="0.25">
      <c r="B47" s="1768"/>
      <c r="C47" s="890"/>
      <c r="D47" s="1693"/>
      <c r="E47" s="890"/>
      <c r="F47" s="1702"/>
      <c r="G47" s="890"/>
      <c r="H47" s="1702"/>
      <c r="I47" s="890"/>
      <c r="J47" s="1735"/>
      <c r="K47" s="890"/>
      <c r="L47" s="1732"/>
      <c r="M47" s="890"/>
      <c r="N47" s="1696"/>
      <c r="O47" s="890"/>
      <c r="P47" s="1660"/>
      <c r="Q47" s="890"/>
      <c r="R47" s="890"/>
      <c r="S47" s="1729"/>
      <c r="T47" s="891"/>
      <c r="U47" s="1687"/>
      <c r="V47" s="891"/>
      <c r="W47" s="1690"/>
      <c r="X47" s="891"/>
      <c r="Y47" s="1684"/>
      <c r="Z47" s="890"/>
      <c r="AA47" s="1675"/>
      <c r="AB47" s="890"/>
      <c r="AC47" s="890"/>
      <c r="AD47" s="1768" t="s">
        <v>5601</v>
      </c>
      <c r="AE47" s="890"/>
      <c r="AF47" s="1693" t="s">
        <v>5601</v>
      </c>
      <c r="AG47" s="890"/>
      <c r="AH47" s="1702" t="s">
        <v>5601</v>
      </c>
      <c r="AI47" s="890"/>
      <c r="AJ47" s="1702" t="s">
        <v>5601</v>
      </c>
      <c r="AK47" s="890"/>
      <c r="AL47" s="1735" t="s">
        <v>5601</v>
      </c>
      <c r="AM47" s="890"/>
      <c r="AN47" s="1732" t="s">
        <v>5601</v>
      </c>
      <c r="AO47" s="890"/>
      <c r="AP47" s="1696" t="s">
        <v>5601</v>
      </c>
      <c r="AQ47" s="890"/>
      <c r="AR47" s="1660" t="s">
        <v>5601</v>
      </c>
      <c r="AS47" s="890"/>
      <c r="AT47" s="1729" t="s">
        <v>5601</v>
      </c>
      <c r="AU47" s="890"/>
      <c r="AV47" s="1687" t="s">
        <v>5601</v>
      </c>
      <c r="AW47" s="890"/>
      <c r="AX47" s="1690" t="s">
        <v>5601</v>
      </c>
      <c r="AY47" s="890"/>
      <c r="AZ47" s="1684"/>
      <c r="BA47" s="890"/>
      <c r="BB47" s="1675"/>
      <c r="BC47" s="890"/>
      <c r="BD47" s="1768" t="s">
        <v>5601</v>
      </c>
      <c r="BE47" s="890"/>
      <c r="BF47" s="1693" t="s">
        <v>5601</v>
      </c>
      <c r="BG47" s="890"/>
      <c r="BH47" s="1702" t="s">
        <v>5601</v>
      </c>
      <c r="BI47" s="890"/>
      <c r="BJ47" s="1702" t="s">
        <v>5601</v>
      </c>
      <c r="BK47" s="890"/>
      <c r="BL47" s="1735" t="s">
        <v>5601</v>
      </c>
      <c r="BM47" s="890"/>
      <c r="BN47" s="1732" t="s">
        <v>5601</v>
      </c>
      <c r="BO47" s="890"/>
      <c r="BP47" s="1696" t="s">
        <v>5601</v>
      </c>
      <c r="BQ47" s="890"/>
      <c r="BR47" s="1660" t="s">
        <v>5601</v>
      </c>
      <c r="BS47" s="890"/>
      <c r="BT47" s="1729" t="s">
        <v>5601</v>
      </c>
      <c r="BV47" s="1687" t="s">
        <v>5601</v>
      </c>
      <c r="BW47" s="890"/>
      <c r="BX47" s="1690" t="s">
        <v>5601</v>
      </c>
      <c r="BY47" s="891"/>
      <c r="BZ47" s="1684"/>
      <c r="CA47" s="890"/>
      <c r="CB47" s="1675"/>
      <c r="CD47" s="890"/>
      <c r="CE47" s="893">
        <v>1</v>
      </c>
    </row>
    <row r="48" spans="1:83" s="904" customFormat="1" ht="18" customHeight="1" x14ac:dyDescent="0.25">
      <c r="B48" s="890"/>
      <c r="C48" s="890"/>
      <c r="D48" s="890"/>
      <c r="E48" s="890"/>
      <c r="F48" s="890"/>
      <c r="G48" s="890"/>
      <c r="H48" s="890"/>
      <c r="I48" s="890"/>
      <c r="J48" s="890"/>
      <c r="K48" s="890"/>
      <c r="L48" s="890"/>
      <c r="M48" s="890"/>
      <c r="N48" s="890"/>
      <c r="O48" s="890"/>
      <c r="P48" s="890"/>
      <c r="Q48" s="890"/>
      <c r="R48" s="890"/>
      <c r="S48" s="920"/>
      <c r="T48" s="891"/>
      <c r="U48" s="890"/>
      <c r="V48" s="891"/>
      <c r="W48" s="890"/>
      <c r="X48" s="891"/>
      <c r="Y48" s="890"/>
      <c r="Z48" s="890"/>
      <c r="AA48" s="890"/>
      <c r="AB48" s="890"/>
      <c r="AC48" s="890"/>
      <c r="AD48" s="890"/>
      <c r="AE48" s="890"/>
      <c r="AF48" s="890"/>
      <c r="AG48" s="890"/>
      <c r="AH48" s="890"/>
      <c r="AI48" s="890"/>
      <c r="AJ48" s="890"/>
      <c r="AK48" s="890"/>
      <c r="AL48" s="890"/>
      <c r="AM48" s="890"/>
      <c r="AN48" s="890"/>
      <c r="AO48" s="890"/>
      <c r="AP48" s="890"/>
      <c r="AQ48" s="890"/>
      <c r="AR48" s="890"/>
      <c r="AS48" s="890"/>
      <c r="AT48" s="920"/>
      <c r="AU48" s="890"/>
      <c r="AV48" s="890"/>
      <c r="AW48" s="890"/>
      <c r="AX48" s="890"/>
      <c r="AY48" s="890"/>
      <c r="AZ48" s="890"/>
      <c r="BA48" s="890"/>
      <c r="BB48" s="890"/>
      <c r="BC48" s="890"/>
      <c r="BD48" s="890"/>
      <c r="BE48" s="890"/>
      <c r="BF48" s="890"/>
      <c r="BG48" s="890"/>
      <c r="BH48" s="890"/>
      <c r="BI48" s="890"/>
      <c r="BJ48" s="890"/>
      <c r="BK48" s="890"/>
      <c r="BL48" s="890"/>
      <c r="BM48" s="890"/>
      <c r="BN48" s="890"/>
      <c r="BO48" s="890"/>
      <c r="BP48" s="890"/>
      <c r="BQ48" s="890"/>
      <c r="BR48" s="890"/>
      <c r="BS48" s="890"/>
      <c r="BT48" s="920"/>
      <c r="BV48" s="890"/>
      <c r="BW48" s="890"/>
      <c r="BX48" s="890"/>
      <c r="BY48" s="891"/>
      <c r="BZ48" s="890"/>
      <c r="CA48" s="890"/>
      <c r="CB48" s="890"/>
      <c r="CD48" s="890"/>
      <c r="CE48" s="893"/>
    </row>
    <row r="49" spans="1:83" s="904" customFormat="1" ht="15" customHeight="1" x14ac:dyDescent="0.25">
      <c r="B49" s="1691" t="s">
        <v>6544</v>
      </c>
      <c r="C49" s="890"/>
      <c r="D49" s="1691" t="s">
        <v>5786</v>
      </c>
      <c r="E49" s="890"/>
      <c r="F49" s="1700" t="s">
        <v>5787</v>
      </c>
      <c r="G49" s="890"/>
      <c r="H49" s="1700" t="s">
        <v>5788</v>
      </c>
      <c r="I49" s="890"/>
      <c r="J49" s="1733" t="s">
        <v>5789</v>
      </c>
      <c r="K49" s="890"/>
      <c r="L49" s="1730" t="s">
        <v>6181</v>
      </c>
      <c r="M49" s="890"/>
      <c r="N49" s="1694" t="s">
        <v>6182</v>
      </c>
      <c r="O49" s="890"/>
      <c r="P49" s="1658" t="s">
        <v>6183</v>
      </c>
      <c r="Q49" s="890"/>
      <c r="R49" s="890"/>
      <c r="S49" s="1727" t="s">
        <v>6184</v>
      </c>
      <c r="T49" s="891"/>
      <c r="U49" s="1685" t="s">
        <v>5790</v>
      </c>
      <c r="V49" s="891"/>
      <c r="W49" s="1688" t="s">
        <v>5780</v>
      </c>
      <c r="X49" s="891"/>
      <c r="Y49" s="1782" t="s">
        <v>6567</v>
      </c>
      <c r="Z49" s="890"/>
      <c r="AA49" s="1769" t="s">
        <v>6575</v>
      </c>
      <c r="AB49" s="890"/>
      <c r="AC49" s="890"/>
      <c r="AD49" s="1691" t="s">
        <v>6185</v>
      </c>
      <c r="AE49" s="890"/>
      <c r="AF49" s="1691" t="s">
        <v>5791</v>
      </c>
      <c r="AG49" s="890"/>
      <c r="AH49" s="1700" t="s">
        <v>5792</v>
      </c>
      <c r="AI49" s="890"/>
      <c r="AJ49" s="1700" t="s">
        <v>5793</v>
      </c>
      <c r="AK49" s="890"/>
      <c r="AL49" s="1733" t="s">
        <v>5794</v>
      </c>
      <c r="AM49" s="890"/>
      <c r="AN49" s="1730" t="s">
        <v>6186</v>
      </c>
      <c r="AO49" s="890"/>
      <c r="AP49" s="1694" t="s">
        <v>6187</v>
      </c>
      <c r="AQ49" s="890"/>
      <c r="AR49" s="1658" t="s">
        <v>6188</v>
      </c>
      <c r="AS49" s="890"/>
      <c r="AT49" s="1727" t="s">
        <v>6189</v>
      </c>
      <c r="AU49" s="890"/>
      <c r="AV49" s="1685" t="s">
        <v>5795</v>
      </c>
      <c r="AW49" s="890"/>
      <c r="AX49" s="1688" t="s">
        <v>5796</v>
      </c>
      <c r="AY49" s="890"/>
      <c r="AZ49" s="1782" t="s">
        <v>6567</v>
      </c>
      <c r="BA49" s="890"/>
      <c r="BB49" s="1769" t="s">
        <v>6575</v>
      </c>
      <c r="BC49" s="890"/>
      <c r="BD49" s="1691" t="s">
        <v>6190</v>
      </c>
      <c r="BE49" s="890"/>
      <c r="BF49" s="1691" t="s">
        <v>5797</v>
      </c>
      <c r="BG49" s="890"/>
      <c r="BH49" s="1700" t="s">
        <v>5798</v>
      </c>
      <c r="BI49" s="890"/>
      <c r="BJ49" s="1700" t="s">
        <v>5799</v>
      </c>
      <c r="BK49" s="890"/>
      <c r="BL49" s="1733" t="s">
        <v>5800</v>
      </c>
      <c r="BM49" s="890"/>
      <c r="BN49" s="1730" t="s">
        <v>6191</v>
      </c>
      <c r="BO49" s="890"/>
      <c r="BP49" s="1694" t="s">
        <v>6192</v>
      </c>
      <c r="BQ49" s="890"/>
      <c r="BR49" s="1658" t="s">
        <v>6193</v>
      </c>
      <c r="BS49" s="890"/>
      <c r="BT49" s="1727" t="s">
        <v>6194</v>
      </c>
      <c r="BV49" s="1685" t="s">
        <v>5801</v>
      </c>
      <c r="BW49" s="890"/>
      <c r="BX49" s="1688" t="s">
        <v>5802</v>
      </c>
      <c r="BY49" s="891"/>
      <c r="BZ49" s="1782" t="s">
        <v>6567</v>
      </c>
      <c r="CA49" s="890"/>
      <c r="CB49" s="1769" t="s">
        <v>6575</v>
      </c>
      <c r="CD49" s="890"/>
      <c r="CE49" s="893">
        <v>1</v>
      </c>
    </row>
    <row r="50" spans="1:83" s="904" customFormat="1" ht="15" customHeight="1" x14ac:dyDescent="0.25">
      <c r="B50" s="1692"/>
      <c r="C50" s="890"/>
      <c r="D50" s="1692"/>
      <c r="E50" s="890"/>
      <c r="F50" s="1701"/>
      <c r="G50" s="890"/>
      <c r="H50" s="1701"/>
      <c r="I50" s="890"/>
      <c r="J50" s="1734"/>
      <c r="K50" s="890"/>
      <c r="L50" s="1731"/>
      <c r="M50" s="890"/>
      <c r="N50" s="1695"/>
      <c r="O50" s="890"/>
      <c r="P50" s="1659"/>
      <c r="Q50" s="890"/>
      <c r="R50" s="890"/>
      <c r="S50" s="1728"/>
      <c r="T50" s="891"/>
      <c r="U50" s="1686"/>
      <c r="V50" s="891"/>
      <c r="W50" s="1689"/>
      <c r="X50" s="891"/>
      <c r="Y50" s="1783"/>
      <c r="Z50" s="890"/>
      <c r="AA50" s="1770"/>
      <c r="AB50" s="890"/>
      <c r="AC50" s="890"/>
      <c r="AD50" s="1692" t="s">
        <v>5601</v>
      </c>
      <c r="AE50" s="890"/>
      <c r="AF50" s="1692" t="s">
        <v>5601</v>
      </c>
      <c r="AG50" s="890"/>
      <c r="AH50" s="1701" t="s">
        <v>5601</v>
      </c>
      <c r="AI50" s="890"/>
      <c r="AJ50" s="1701" t="s">
        <v>5601</v>
      </c>
      <c r="AK50" s="890"/>
      <c r="AL50" s="1734" t="s">
        <v>5601</v>
      </c>
      <c r="AM50" s="890"/>
      <c r="AN50" s="1731" t="s">
        <v>5601</v>
      </c>
      <c r="AO50" s="890"/>
      <c r="AP50" s="1695" t="s">
        <v>5601</v>
      </c>
      <c r="AQ50" s="890"/>
      <c r="AR50" s="1659" t="s">
        <v>5601</v>
      </c>
      <c r="AS50" s="890"/>
      <c r="AT50" s="1728" t="s">
        <v>5601</v>
      </c>
      <c r="AU50" s="890"/>
      <c r="AV50" s="1686" t="s">
        <v>5601</v>
      </c>
      <c r="AW50" s="890"/>
      <c r="AX50" s="1689" t="s">
        <v>5601</v>
      </c>
      <c r="AY50" s="890"/>
      <c r="AZ50" s="1783"/>
      <c r="BA50" s="890"/>
      <c r="BB50" s="1770"/>
      <c r="BC50" s="890"/>
      <c r="BD50" s="1692" t="s">
        <v>5601</v>
      </c>
      <c r="BE50" s="890"/>
      <c r="BF50" s="1692" t="s">
        <v>5601</v>
      </c>
      <c r="BG50" s="890"/>
      <c r="BH50" s="1701" t="s">
        <v>5601</v>
      </c>
      <c r="BI50" s="890"/>
      <c r="BJ50" s="1701" t="s">
        <v>5601</v>
      </c>
      <c r="BK50" s="890"/>
      <c r="BL50" s="1734" t="s">
        <v>5601</v>
      </c>
      <c r="BM50" s="890"/>
      <c r="BN50" s="1731" t="s">
        <v>5601</v>
      </c>
      <c r="BO50" s="890"/>
      <c r="BP50" s="1695" t="s">
        <v>5601</v>
      </c>
      <c r="BQ50" s="890"/>
      <c r="BR50" s="1659" t="s">
        <v>5601</v>
      </c>
      <c r="BS50" s="890"/>
      <c r="BT50" s="1728" t="s">
        <v>5601</v>
      </c>
      <c r="BV50" s="1686" t="s">
        <v>5601</v>
      </c>
      <c r="BW50" s="890"/>
      <c r="BX50" s="1689" t="s">
        <v>5601</v>
      </c>
      <c r="BY50" s="891"/>
      <c r="BZ50" s="1783"/>
      <c r="CA50" s="890"/>
      <c r="CB50" s="1770"/>
      <c r="CD50" s="890"/>
      <c r="CE50" s="893">
        <v>1</v>
      </c>
    </row>
    <row r="51" spans="1:83" s="904" customFormat="1" ht="15" customHeight="1" x14ac:dyDescent="0.25">
      <c r="B51" s="1693"/>
      <c r="C51" s="890"/>
      <c r="D51" s="1693"/>
      <c r="E51" s="890"/>
      <c r="F51" s="1702"/>
      <c r="G51" s="890"/>
      <c r="H51" s="1702"/>
      <c r="I51" s="890"/>
      <c r="J51" s="1735"/>
      <c r="K51" s="890"/>
      <c r="L51" s="1732"/>
      <c r="M51" s="890"/>
      <c r="N51" s="1696"/>
      <c r="O51" s="890"/>
      <c r="P51" s="1660"/>
      <c r="Q51" s="890"/>
      <c r="R51" s="890"/>
      <c r="S51" s="1729"/>
      <c r="T51" s="891"/>
      <c r="U51" s="1687"/>
      <c r="V51" s="891"/>
      <c r="W51" s="1690"/>
      <c r="X51" s="891"/>
      <c r="Y51" s="1784"/>
      <c r="Z51" s="890"/>
      <c r="AA51" s="1771"/>
      <c r="AB51" s="890"/>
      <c r="AC51" s="890"/>
      <c r="AD51" s="1693" t="s">
        <v>5601</v>
      </c>
      <c r="AE51" s="890"/>
      <c r="AF51" s="1693" t="s">
        <v>5601</v>
      </c>
      <c r="AG51" s="890"/>
      <c r="AH51" s="1702" t="s">
        <v>5601</v>
      </c>
      <c r="AI51" s="890"/>
      <c r="AJ51" s="1702" t="s">
        <v>5601</v>
      </c>
      <c r="AK51" s="890"/>
      <c r="AL51" s="1735" t="s">
        <v>5601</v>
      </c>
      <c r="AM51" s="890"/>
      <c r="AN51" s="1732" t="s">
        <v>5601</v>
      </c>
      <c r="AO51" s="890"/>
      <c r="AP51" s="1696" t="s">
        <v>5601</v>
      </c>
      <c r="AQ51" s="890"/>
      <c r="AR51" s="1660" t="s">
        <v>5601</v>
      </c>
      <c r="AS51" s="890"/>
      <c r="AT51" s="1729" t="s">
        <v>5601</v>
      </c>
      <c r="AU51" s="890"/>
      <c r="AV51" s="1687" t="s">
        <v>5601</v>
      </c>
      <c r="AW51" s="890"/>
      <c r="AX51" s="1690" t="s">
        <v>5601</v>
      </c>
      <c r="AY51" s="890"/>
      <c r="AZ51" s="1784"/>
      <c r="BA51" s="890"/>
      <c r="BB51" s="1771"/>
      <c r="BC51" s="890"/>
      <c r="BD51" s="1693" t="s">
        <v>5601</v>
      </c>
      <c r="BE51" s="890"/>
      <c r="BF51" s="1693" t="s">
        <v>5601</v>
      </c>
      <c r="BG51" s="890"/>
      <c r="BH51" s="1702" t="s">
        <v>5601</v>
      </c>
      <c r="BI51" s="890"/>
      <c r="BJ51" s="1702" t="s">
        <v>5601</v>
      </c>
      <c r="BK51" s="890"/>
      <c r="BL51" s="1735" t="s">
        <v>5601</v>
      </c>
      <c r="BM51" s="890"/>
      <c r="BN51" s="1732" t="s">
        <v>5601</v>
      </c>
      <c r="BO51" s="890"/>
      <c r="BP51" s="1696" t="s">
        <v>5601</v>
      </c>
      <c r="BQ51" s="890"/>
      <c r="BR51" s="1660" t="s">
        <v>5601</v>
      </c>
      <c r="BS51" s="890"/>
      <c r="BT51" s="1729" t="s">
        <v>5601</v>
      </c>
      <c r="BV51" s="1687" t="s">
        <v>5601</v>
      </c>
      <c r="BW51" s="890"/>
      <c r="BX51" s="1690" t="s">
        <v>5601</v>
      </c>
      <c r="BY51" s="891"/>
      <c r="BZ51" s="1784"/>
      <c r="CA51" s="890"/>
      <c r="CB51" s="1771"/>
      <c r="CD51" s="890"/>
      <c r="CE51" s="893">
        <v>1</v>
      </c>
    </row>
    <row r="52" spans="1:83" s="904" customFormat="1" ht="18" customHeight="1" x14ac:dyDescent="0.25">
      <c r="B52" s="890"/>
      <c r="C52" s="890"/>
      <c r="D52" s="890"/>
      <c r="E52" s="890"/>
      <c r="F52" s="890"/>
      <c r="G52" s="890"/>
      <c r="H52" s="890"/>
      <c r="I52" s="890"/>
      <c r="J52" s="890"/>
      <c r="K52" s="890"/>
      <c r="L52" s="890"/>
      <c r="M52" s="890"/>
      <c r="N52" s="890"/>
      <c r="O52" s="890"/>
      <c r="P52" s="890"/>
      <c r="Q52" s="890"/>
      <c r="R52" s="890"/>
      <c r="S52" s="920"/>
      <c r="T52" s="891"/>
      <c r="U52" s="890"/>
      <c r="V52" s="891"/>
      <c r="W52" s="890"/>
      <c r="X52" s="891"/>
      <c r="Y52" s="890"/>
      <c r="Z52" s="890"/>
      <c r="AA52" s="890"/>
      <c r="AB52" s="890"/>
      <c r="AC52" s="890"/>
      <c r="AD52" s="890"/>
      <c r="AE52" s="890"/>
      <c r="AF52" s="890"/>
      <c r="AG52" s="890"/>
      <c r="AH52" s="890"/>
      <c r="AI52" s="890"/>
      <c r="AJ52" s="890"/>
      <c r="AK52" s="890"/>
      <c r="AL52" s="890"/>
      <c r="AM52" s="890"/>
      <c r="AN52" s="890"/>
      <c r="AO52" s="890"/>
      <c r="AP52" s="890"/>
      <c r="AQ52" s="890"/>
      <c r="AR52" s="890"/>
      <c r="AS52" s="890"/>
      <c r="AT52" s="920"/>
      <c r="AU52" s="890"/>
      <c r="AV52" s="890"/>
      <c r="AW52" s="890"/>
      <c r="AX52" s="890"/>
      <c r="AY52" s="890"/>
      <c r="AZ52" s="890"/>
      <c r="BA52" s="890"/>
      <c r="BB52" s="890"/>
      <c r="BC52" s="890"/>
      <c r="BD52" s="890"/>
      <c r="BE52" s="890"/>
      <c r="BF52" s="890"/>
      <c r="BG52" s="890"/>
      <c r="BH52" s="890"/>
      <c r="BI52" s="890"/>
      <c r="BJ52" s="890"/>
      <c r="BK52" s="890"/>
      <c r="BL52" s="890"/>
      <c r="BM52" s="890"/>
      <c r="BN52" s="890"/>
      <c r="BO52" s="890"/>
      <c r="BP52" s="890"/>
      <c r="BQ52" s="890"/>
      <c r="BR52" s="890"/>
      <c r="BS52" s="890"/>
      <c r="BT52" s="920"/>
      <c r="BV52" s="890"/>
      <c r="BW52" s="890"/>
      <c r="BX52" s="890"/>
      <c r="BY52" s="891"/>
      <c r="BZ52" s="890"/>
      <c r="CA52" s="890"/>
      <c r="CB52" s="890"/>
      <c r="CD52" s="890"/>
      <c r="CE52" s="893"/>
    </row>
    <row r="53" spans="1:83" s="904" customFormat="1" x14ac:dyDescent="0.25">
      <c r="B53" s="1779" t="s">
        <v>6545</v>
      </c>
      <c r="C53" s="890"/>
      <c r="D53" s="1691" t="s">
        <v>5803</v>
      </c>
      <c r="E53" s="890"/>
      <c r="F53" s="1700" t="s">
        <v>5804</v>
      </c>
      <c r="G53" s="890"/>
      <c r="H53" s="1700" t="s">
        <v>5805</v>
      </c>
      <c r="I53" s="890"/>
      <c r="J53" s="1733" t="s">
        <v>5806</v>
      </c>
      <c r="K53" s="890"/>
      <c r="L53" s="1730" t="s">
        <v>6195</v>
      </c>
      <c r="M53" s="890"/>
      <c r="N53" s="1694" t="s">
        <v>6196</v>
      </c>
      <c r="O53" s="890"/>
      <c r="P53" s="1658" t="s">
        <v>6197</v>
      </c>
      <c r="Q53" s="890"/>
      <c r="R53" s="890"/>
      <c r="S53" s="1727" t="s">
        <v>6198</v>
      </c>
      <c r="T53" s="891"/>
      <c r="U53" s="1685" t="s">
        <v>5807</v>
      </c>
      <c r="V53" s="891"/>
      <c r="W53" s="1688" t="s">
        <v>5808</v>
      </c>
      <c r="X53" s="891"/>
      <c r="Y53" s="890"/>
      <c r="Z53" s="890"/>
      <c r="AA53" s="890"/>
      <c r="AB53" s="890"/>
      <c r="AC53" s="890"/>
      <c r="AD53" s="1779" t="s">
        <v>6199</v>
      </c>
      <c r="AE53" s="890"/>
      <c r="AF53" s="1691" t="s">
        <v>5809</v>
      </c>
      <c r="AG53" s="890"/>
      <c r="AH53" s="1700" t="s">
        <v>5810</v>
      </c>
      <c r="AI53" s="890"/>
      <c r="AJ53" s="1700" t="s">
        <v>5811</v>
      </c>
      <c r="AK53" s="890"/>
      <c r="AL53" s="1733" t="s">
        <v>5812</v>
      </c>
      <c r="AM53" s="890"/>
      <c r="AN53" s="1730" t="s">
        <v>6200</v>
      </c>
      <c r="AO53" s="890"/>
      <c r="AP53" s="1694" t="s">
        <v>6201</v>
      </c>
      <c r="AQ53" s="890"/>
      <c r="AR53" s="1658" t="s">
        <v>6202</v>
      </c>
      <c r="AS53" s="890"/>
      <c r="AT53" s="1727" t="s">
        <v>6203</v>
      </c>
      <c r="AU53" s="890"/>
      <c r="AV53" s="1685" t="s">
        <v>5813</v>
      </c>
      <c r="AW53" s="890"/>
      <c r="AX53" s="1688" t="s">
        <v>5814</v>
      </c>
      <c r="AY53" s="890"/>
      <c r="AZ53" s="890"/>
      <c r="BA53" s="890"/>
      <c r="BB53" s="890"/>
      <c r="BC53" s="890"/>
      <c r="BD53" s="1779" t="s">
        <v>6204</v>
      </c>
      <c r="BE53" s="890"/>
      <c r="BF53" s="1691" t="s">
        <v>5815</v>
      </c>
      <c r="BG53" s="890"/>
      <c r="BH53" s="1700" t="s">
        <v>5816</v>
      </c>
      <c r="BI53" s="890"/>
      <c r="BJ53" s="1700" t="s">
        <v>5817</v>
      </c>
      <c r="BK53" s="890"/>
      <c r="BL53" s="1733" t="s">
        <v>5818</v>
      </c>
      <c r="BM53" s="890"/>
      <c r="BN53" s="1730" t="s">
        <v>6205</v>
      </c>
      <c r="BO53" s="890"/>
      <c r="BP53" s="1694" t="s">
        <v>6206</v>
      </c>
      <c r="BQ53" s="890"/>
      <c r="BR53" s="1658" t="s">
        <v>6207</v>
      </c>
      <c r="BS53" s="890"/>
      <c r="BT53" s="1727" t="s">
        <v>6208</v>
      </c>
      <c r="BV53" s="1685" t="s">
        <v>5819</v>
      </c>
      <c r="BW53" s="890"/>
      <c r="BX53" s="1688" t="s">
        <v>5820</v>
      </c>
      <c r="BY53" s="891"/>
      <c r="BZ53" s="890"/>
      <c r="CA53" s="890"/>
      <c r="CB53" s="890"/>
      <c r="CD53" s="890"/>
      <c r="CE53" s="893">
        <v>1</v>
      </c>
    </row>
    <row r="54" spans="1:83" s="904" customFormat="1" x14ac:dyDescent="0.25">
      <c r="B54" s="1780"/>
      <c r="C54" s="890"/>
      <c r="D54" s="1692"/>
      <c r="E54" s="890"/>
      <c r="F54" s="1701"/>
      <c r="G54" s="890"/>
      <c r="H54" s="1701"/>
      <c r="I54" s="890"/>
      <c r="J54" s="1734"/>
      <c r="K54" s="890"/>
      <c r="L54" s="1731"/>
      <c r="M54" s="890"/>
      <c r="N54" s="1695"/>
      <c r="O54" s="890"/>
      <c r="P54" s="1659"/>
      <c r="Q54" s="890"/>
      <c r="R54" s="890"/>
      <c r="S54" s="1728"/>
      <c r="T54" s="891"/>
      <c r="U54" s="1686"/>
      <c r="V54" s="891"/>
      <c r="W54" s="1689"/>
      <c r="X54" s="891"/>
      <c r="Y54" s="890"/>
      <c r="Z54" s="890"/>
      <c r="AA54" s="890"/>
      <c r="AB54" s="890"/>
      <c r="AC54" s="890"/>
      <c r="AD54" s="1780" t="s">
        <v>5601</v>
      </c>
      <c r="AE54" s="890"/>
      <c r="AF54" s="1692" t="s">
        <v>5601</v>
      </c>
      <c r="AG54" s="890"/>
      <c r="AH54" s="1701" t="s">
        <v>5601</v>
      </c>
      <c r="AI54" s="890"/>
      <c r="AJ54" s="1701" t="s">
        <v>5601</v>
      </c>
      <c r="AK54" s="890"/>
      <c r="AL54" s="1734" t="s">
        <v>5601</v>
      </c>
      <c r="AM54" s="890"/>
      <c r="AN54" s="1731" t="s">
        <v>5601</v>
      </c>
      <c r="AO54" s="890"/>
      <c r="AP54" s="1695" t="s">
        <v>5601</v>
      </c>
      <c r="AQ54" s="890"/>
      <c r="AR54" s="1659" t="s">
        <v>5601</v>
      </c>
      <c r="AS54" s="890"/>
      <c r="AT54" s="1728" t="s">
        <v>5601</v>
      </c>
      <c r="AU54" s="890"/>
      <c r="AV54" s="1686" t="s">
        <v>5601</v>
      </c>
      <c r="AW54" s="890"/>
      <c r="AX54" s="1689" t="s">
        <v>5601</v>
      </c>
      <c r="AY54" s="890"/>
      <c r="AZ54" s="890"/>
      <c r="BA54" s="890"/>
      <c r="BB54" s="890"/>
      <c r="BC54" s="890"/>
      <c r="BD54" s="1780" t="s">
        <v>5601</v>
      </c>
      <c r="BE54" s="890"/>
      <c r="BF54" s="1692" t="s">
        <v>5601</v>
      </c>
      <c r="BG54" s="890"/>
      <c r="BH54" s="1701" t="s">
        <v>5601</v>
      </c>
      <c r="BI54" s="890"/>
      <c r="BJ54" s="1701" t="s">
        <v>5601</v>
      </c>
      <c r="BK54" s="890"/>
      <c r="BL54" s="1734" t="s">
        <v>5601</v>
      </c>
      <c r="BM54" s="890"/>
      <c r="BN54" s="1731" t="s">
        <v>5601</v>
      </c>
      <c r="BO54" s="890"/>
      <c r="BP54" s="1695" t="s">
        <v>5601</v>
      </c>
      <c r="BQ54" s="890"/>
      <c r="BR54" s="1659" t="s">
        <v>5601</v>
      </c>
      <c r="BS54" s="890"/>
      <c r="BT54" s="1728" t="s">
        <v>5601</v>
      </c>
      <c r="BV54" s="1686" t="s">
        <v>5601</v>
      </c>
      <c r="BW54" s="890"/>
      <c r="BX54" s="1689" t="s">
        <v>5601</v>
      </c>
      <c r="BY54" s="891"/>
      <c r="BZ54" s="890"/>
      <c r="CA54" s="890"/>
      <c r="CB54" s="890"/>
      <c r="CD54" s="890"/>
      <c r="CE54" s="893">
        <v>1</v>
      </c>
    </row>
    <row r="55" spans="1:83" s="904" customFormat="1" ht="15" customHeight="1" x14ac:dyDescent="0.25">
      <c r="B55" s="1781"/>
      <c r="C55" s="890"/>
      <c r="D55" s="1693"/>
      <c r="E55" s="890"/>
      <c r="F55" s="1702"/>
      <c r="G55" s="890"/>
      <c r="H55" s="1702"/>
      <c r="I55" s="890"/>
      <c r="J55" s="1735"/>
      <c r="K55" s="890"/>
      <c r="L55" s="1732"/>
      <c r="M55" s="890"/>
      <c r="N55" s="1696"/>
      <c r="O55" s="890"/>
      <c r="P55" s="1660"/>
      <c r="Q55" s="890"/>
      <c r="R55" s="890"/>
      <c r="S55" s="1729"/>
      <c r="T55" s="891"/>
      <c r="U55" s="1687"/>
      <c r="V55" s="891"/>
      <c r="W55" s="1690"/>
      <c r="X55" s="891"/>
      <c r="Y55" s="890"/>
      <c r="Z55" s="890"/>
      <c r="AA55" s="890"/>
      <c r="AB55" s="890"/>
      <c r="AC55" s="890"/>
      <c r="AD55" s="1781" t="s">
        <v>5601</v>
      </c>
      <c r="AE55" s="890"/>
      <c r="AF55" s="1693" t="s">
        <v>5601</v>
      </c>
      <c r="AG55" s="890"/>
      <c r="AH55" s="1702" t="s">
        <v>5601</v>
      </c>
      <c r="AI55" s="890"/>
      <c r="AJ55" s="1702" t="s">
        <v>5601</v>
      </c>
      <c r="AK55" s="890"/>
      <c r="AL55" s="1735" t="s">
        <v>5601</v>
      </c>
      <c r="AM55" s="890"/>
      <c r="AN55" s="1732" t="s">
        <v>5601</v>
      </c>
      <c r="AO55" s="890"/>
      <c r="AP55" s="1696" t="s">
        <v>5601</v>
      </c>
      <c r="AQ55" s="890"/>
      <c r="AR55" s="1660" t="s">
        <v>5601</v>
      </c>
      <c r="AS55" s="890"/>
      <c r="AT55" s="1729" t="s">
        <v>5601</v>
      </c>
      <c r="AU55" s="890"/>
      <c r="AV55" s="1687" t="s">
        <v>5601</v>
      </c>
      <c r="AW55" s="890"/>
      <c r="AX55" s="1690" t="s">
        <v>5601</v>
      </c>
      <c r="AY55" s="890"/>
      <c r="AZ55" s="890"/>
      <c r="BA55" s="890"/>
      <c r="BB55" s="890"/>
      <c r="BC55" s="890"/>
      <c r="BD55" s="1781" t="s">
        <v>5601</v>
      </c>
      <c r="BE55" s="890"/>
      <c r="BF55" s="1693" t="s">
        <v>5601</v>
      </c>
      <c r="BG55" s="890"/>
      <c r="BH55" s="1702" t="s">
        <v>5601</v>
      </c>
      <c r="BI55" s="890"/>
      <c r="BJ55" s="1702" t="s">
        <v>5601</v>
      </c>
      <c r="BK55" s="890"/>
      <c r="BL55" s="1735" t="s">
        <v>5601</v>
      </c>
      <c r="BM55" s="890"/>
      <c r="BN55" s="1732" t="s">
        <v>5601</v>
      </c>
      <c r="BO55" s="890"/>
      <c r="BP55" s="1696" t="s">
        <v>5601</v>
      </c>
      <c r="BQ55" s="890"/>
      <c r="BR55" s="1660" t="s">
        <v>5601</v>
      </c>
      <c r="BS55" s="890"/>
      <c r="BT55" s="1729" t="s">
        <v>5601</v>
      </c>
      <c r="BV55" s="1687" t="s">
        <v>5601</v>
      </c>
      <c r="BW55" s="890"/>
      <c r="BX55" s="1690" t="s">
        <v>5601</v>
      </c>
      <c r="BY55" s="891"/>
      <c r="BZ55" s="890"/>
      <c r="CA55" s="890"/>
      <c r="CB55" s="890"/>
      <c r="CD55" s="890"/>
      <c r="CE55" s="893">
        <v>1</v>
      </c>
    </row>
    <row r="56" spans="1:83" s="904" customFormat="1" ht="18" customHeight="1" x14ac:dyDescent="0.25">
      <c r="B56" s="890"/>
      <c r="C56" s="890"/>
      <c r="D56" s="890"/>
      <c r="E56" s="890"/>
      <c r="F56" s="890"/>
      <c r="G56" s="890"/>
      <c r="H56" s="890"/>
      <c r="I56" s="890"/>
      <c r="J56" s="890"/>
      <c r="K56" s="890"/>
      <c r="L56" s="890"/>
      <c r="M56" s="890"/>
      <c r="N56" s="890"/>
      <c r="O56" s="890"/>
      <c r="P56" s="890"/>
      <c r="Q56" s="890"/>
      <c r="R56" s="890"/>
      <c r="S56" s="920"/>
      <c r="T56" s="891"/>
      <c r="U56" s="890"/>
      <c r="V56" s="891"/>
      <c r="W56" s="890"/>
      <c r="X56" s="891"/>
      <c r="Y56" s="890"/>
      <c r="Z56" s="890"/>
      <c r="AA56" s="890"/>
      <c r="AB56" s="890"/>
      <c r="AC56" s="890"/>
      <c r="AD56" s="890"/>
      <c r="AE56" s="890"/>
      <c r="AF56" s="890"/>
      <c r="AG56" s="890"/>
      <c r="AH56" s="890"/>
      <c r="AI56" s="890"/>
      <c r="AJ56" s="890"/>
      <c r="AK56" s="890"/>
      <c r="AL56" s="890"/>
      <c r="AM56" s="890"/>
      <c r="AN56" s="890"/>
      <c r="AO56" s="890"/>
      <c r="AP56" s="890"/>
      <c r="AQ56" s="890"/>
      <c r="AR56" s="890"/>
      <c r="AS56" s="890"/>
      <c r="AT56" s="920"/>
      <c r="AU56" s="890"/>
      <c r="AV56" s="890"/>
      <c r="AW56" s="890"/>
      <c r="AX56" s="890"/>
      <c r="AY56" s="890"/>
      <c r="AZ56" s="890"/>
      <c r="BA56" s="890"/>
      <c r="BB56" s="890"/>
      <c r="BC56" s="890"/>
      <c r="BD56" s="890"/>
      <c r="BE56" s="890"/>
      <c r="BF56" s="890"/>
      <c r="BG56" s="890"/>
      <c r="BH56" s="890"/>
      <c r="BI56" s="890"/>
      <c r="BJ56" s="890"/>
      <c r="BK56" s="890"/>
      <c r="BL56" s="890"/>
      <c r="BM56" s="890"/>
      <c r="BN56" s="890"/>
      <c r="BO56" s="890"/>
      <c r="BP56" s="890"/>
      <c r="BQ56" s="890"/>
      <c r="BR56" s="890"/>
      <c r="BS56" s="890"/>
      <c r="BT56" s="920"/>
      <c r="BV56" s="890"/>
      <c r="BW56" s="890"/>
      <c r="BX56" s="890"/>
      <c r="BY56" s="891"/>
      <c r="BZ56" s="890"/>
      <c r="CA56" s="890"/>
      <c r="CB56" s="890"/>
      <c r="CD56" s="890"/>
      <c r="CE56" s="893"/>
    </row>
    <row r="57" spans="1:83" s="904" customFormat="1" x14ac:dyDescent="0.25">
      <c r="B57" s="1583" t="s">
        <v>6546</v>
      </c>
      <c r="C57" s="890"/>
      <c r="D57" s="1691" t="s">
        <v>5821</v>
      </c>
      <c r="E57" s="890"/>
      <c r="F57" s="1697" t="s">
        <v>5822</v>
      </c>
      <c r="G57" s="890"/>
      <c r="H57" s="1700" t="s">
        <v>5823</v>
      </c>
      <c r="I57" s="890"/>
      <c r="J57" s="1733" t="s">
        <v>5824</v>
      </c>
      <c r="K57" s="890"/>
      <c r="L57" s="1730" t="s">
        <v>6209</v>
      </c>
      <c r="M57" s="890"/>
      <c r="N57" s="1694" t="s">
        <v>6210</v>
      </c>
      <c r="O57" s="890"/>
      <c r="P57" s="1658" t="s">
        <v>6211</v>
      </c>
      <c r="Q57" s="890"/>
      <c r="R57" s="890"/>
      <c r="S57" s="1727" t="s">
        <v>6212</v>
      </c>
      <c r="T57" s="891"/>
      <c r="U57" s="1685" t="s">
        <v>5825</v>
      </c>
      <c r="V57" s="891"/>
      <c r="W57" s="1688" t="s">
        <v>5826</v>
      </c>
      <c r="X57" s="891"/>
      <c r="Y57" s="890"/>
      <c r="Z57" s="890"/>
      <c r="AA57" s="890"/>
      <c r="AB57" s="890"/>
      <c r="AC57" s="890"/>
      <c r="AD57" s="1583" t="s">
        <v>6213</v>
      </c>
      <c r="AE57" s="890"/>
      <c r="AF57" s="1691" t="s">
        <v>5827</v>
      </c>
      <c r="AG57" s="890"/>
      <c r="AH57" s="1697" t="s">
        <v>5828</v>
      </c>
      <c r="AI57" s="890"/>
      <c r="AJ57" s="1700" t="s">
        <v>5829</v>
      </c>
      <c r="AK57" s="890"/>
      <c r="AL57" s="1733" t="s">
        <v>5830</v>
      </c>
      <c r="AM57" s="890"/>
      <c r="AN57" s="1730" t="s">
        <v>6214</v>
      </c>
      <c r="AO57" s="890"/>
      <c r="AP57" s="1694" t="s">
        <v>6215</v>
      </c>
      <c r="AQ57" s="890"/>
      <c r="AR57" s="1658" t="s">
        <v>6216</v>
      </c>
      <c r="AS57" s="890"/>
      <c r="AT57" s="1727" t="s">
        <v>6217</v>
      </c>
      <c r="AU57" s="890"/>
      <c r="AV57" s="1685" t="s">
        <v>5831</v>
      </c>
      <c r="AW57" s="890"/>
      <c r="AX57" s="1688" t="s">
        <v>5832</v>
      </c>
      <c r="AY57" s="890"/>
      <c r="AZ57" s="890"/>
      <c r="BA57" s="890"/>
      <c r="BB57" s="890"/>
      <c r="BC57" s="890"/>
      <c r="BD57" s="1583" t="s">
        <v>6218</v>
      </c>
      <c r="BE57" s="890"/>
      <c r="BF57" s="1691" t="s">
        <v>5833</v>
      </c>
      <c r="BG57" s="890"/>
      <c r="BH57" s="1697" t="s">
        <v>5834</v>
      </c>
      <c r="BI57" s="890"/>
      <c r="BJ57" s="1700" t="s">
        <v>5835</v>
      </c>
      <c r="BK57" s="890"/>
      <c r="BL57" s="1733" t="s">
        <v>5836</v>
      </c>
      <c r="BM57" s="890"/>
      <c r="BN57" s="1730" t="s">
        <v>6219</v>
      </c>
      <c r="BO57" s="890"/>
      <c r="BP57" s="1694" t="s">
        <v>6220</v>
      </c>
      <c r="BQ57" s="890"/>
      <c r="BR57" s="1658" t="s">
        <v>6221</v>
      </c>
      <c r="BS57" s="890"/>
      <c r="BT57" s="1727" t="s">
        <v>6222</v>
      </c>
      <c r="BV57" s="1685" t="s">
        <v>5837</v>
      </c>
      <c r="BW57" s="890"/>
      <c r="BX57" s="1688" t="s">
        <v>5838</v>
      </c>
      <c r="BY57" s="891"/>
      <c r="BZ57" s="890"/>
      <c r="CA57" s="890"/>
      <c r="CB57" s="890"/>
      <c r="CD57" s="890"/>
      <c r="CE57" s="893">
        <v>1</v>
      </c>
    </row>
    <row r="58" spans="1:83" s="904" customFormat="1" x14ac:dyDescent="0.25">
      <c r="B58" s="1584"/>
      <c r="C58" s="890"/>
      <c r="D58" s="1692"/>
      <c r="E58" s="890"/>
      <c r="F58" s="1698"/>
      <c r="G58" s="890"/>
      <c r="H58" s="1701"/>
      <c r="I58" s="890"/>
      <c r="J58" s="1734"/>
      <c r="K58" s="890"/>
      <c r="L58" s="1731"/>
      <c r="M58" s="890"/>
      <c r="N58" s="1695"/>
      <c r="O58" s="890"/>
      <c r="P58" s="1659"/>
      <c r="Q58" s="890"/>
      <c r="R58" s="890"/>
      <c r="S58" s="1728"/>
      <c r="T58" s="891"/>
      <c r="U58" s="1686"/>
      <c r="V58" s="891"/>
      <c r="W58" s="1689"/>
      <c r="X58" s="891"/>
      <c r="Y58" s="890"/>
      <c r="Z58" s="890"/>
      <c r="AA58" s="890"/>
      <c r="AB58" s="890"/>
      <c r="AC58" s="890"/>
      <c r="AD58" s="1584" t="s">
        <v>5601</v>
      </c>
      <c r="AE58" s="890"/>
      <c r="AF58" s="1692" t="s">
        <v>5601</v>
      </c>
      <c r="AG58" s="890"/>
      <c r="AH58" s="1698" t="s">
        <v>5601</v>
      </c>
      <c r="AI58" s="890"/>
      <c r="AJ58" s="1701" t="s">
        <v>5601</v>
      </c>
      <c r="AK58" s="890"/>
      <c r="AL58" s="1734" t="s">
        <v>5601</v>
      </c>
      <c r="AM58" s="890"/>
      <c r="AN58" s="1731" t="s">
        <v>5601</v>
      </c>
      <c r="AO58" s="890"/>
      <c r="AP58" s="1695" t="s">
        <v>5601</v>
      </c>
      <c r="AQ58" s="890"/>
      <c r="AR58" s="1659" t="s">
        <v>5601</v>
      </c>
      <c r="AS58" s="890"/>
      <c r="AT58" s="1728" t="s">
        <v>5601</v>
      </c>
      <c r="AU58" s="890"/>
      <c r="AV58" s="1686" t="s">
        <v>5601</v>
      </c>
      <c r="AW58" s="890"/>
      <c r="AX58" s="1689" t="s">
        <v>5601</v>
      </c>
      <c r="AY58" s="890"/>
      <c r="AZ58" s="890"/>
      <c r="BA58" s="890"/>
      <c r="BB58" s="890"/>
      <c r="BC58" s="890"/>
      <c r="BD58" s="1584" t="s">
        <v>5601</v>
      </c>
      <c r="BE58" s="890"/>
      <c r="BF58" s="1692" t="s">
        <v>5601</v>
      </c>
      <c r="BG58" s="890"/>
      <c r="BH58" s="1698" t="s">
        <v>5601</v>
      </c>
      <c r="BI58" s="890"/>
      <c r="BJ58" s="1701" t="s">
        <v>5601</v>
      </c>
      <c r="BK58" s="890"/>
      <c r="BL58" s="1734" t="s">
        <v>5601</v>
      </c>
      <c r="BM58" s="890"/>
      <c r="BN58" s="1731" t="s">
        <v>5601</v>
      </c>
      <c r="BO58" s="890"/>
      <c r="BP58" s="1695" t="s">
        <v>5601</v>
      </c>
      <c r="BQ58" s="890"/>
      <c r="BR58" s="1659" t="s">
        <v>5601</v>
      </c>
      <c r="BS58" s="890"/>
      <c r="BT58" s="1728" t="s">
        <v>5601</v>
      </c>
      <c r="BV58" s="1686" t="s">
        <v>5601</v>
      </c>
      <c r="BW58" s="890"/>
      <c r="BX58" s="1689" t="s">
        <v>5601</v>
      </c>
      <c r="BY58" s="891"/>
      <c r="BZ58" s="890"/>
      <c r="CA58" s="890"/>
      <c r="CB58" s="890"/>
      <c r="CD58" s="890"/>
      <c r="CE58" s="893">
        <v>1</v>
      </c>
    </row>
    <row r="59" spans="1:83" s="904" customFormat="1" ht="15" customHeight="1" x14ac:dyDescent="0.25">
      <c r="B59" s="1585"/>
      <c r="C59" s="890"/>
      <c r="D59" s="1693"/>
      <c r="E59" s="890"/>
      <c r="F59" s="1699"/>
      <c r="G59" s="890"/>
      <c r="H59" s="1702"/>
      <c r="I59" s="890"/>
      <c r="J59" s="1735"/>
      <c r="K59" s="890"/>
      <c r="L59" s="1732"/>
      <c r="M59" s="890"/>
      <c r="N59" s="1696"/>
      <c r="O59" s="890"/>
      <c r="P59" s="1660"/>
      <c r="Q59" s="890"/>
      <c r="R59" s="890"/>
      <c r="S59" s="1729"/>
      <c r="T59" s="891"/>
      <c r="U59" s="1687"/>
      <c r="V59" s="891"/>
      <c r="W59" s="1690"/>
      <c r="X59" s="891"/>
      <c r="Y59" s="890"/>
      <c r="Z59" s="890"/>
      <c r="AA59" s="890"/>
      <c r="AB59" s="890"/>
      <c r="AC59" s="890"/>
      <c r="AD59" s="1585" t="s">
        <v>5601</v>
      </c>
      <c r="AE59" s="890"/>
      <c r="AF59" s="1693" t="s">
        <v>5601</v>
      </c>
      <c r="AG59" s="890"/>
      <c r="AH59" s="1699" t="s">
        <v>5601</v>
      </c>
      <c r="AI59" s="890"/>
      <c r="AJ59" s="1702" t="s">
        <v>5601</v>
      </c>
      <c r="AK59" s="890"/>
      <c r="AL59" s="1735" t="s">
        <v>5601</v>
      </c>
      <c r="AM59" s="890"/>
      <c r="AN59" s="1732" t="s">
        <v>5601</v>
      </c>
      <c r="AO59" s="890"/>
      <c r="AP59" s="1696" t="s">
        <v>5601</v>
      </c>
      <c r="AQ59" s="890"/>
      <c r="AR59" s="1660" t="s">
        <v>5601</v>
      </c>
      <c r="AS59" s="890"/>
      <c r="AT59" s="1729" t="s">
        <v>5601</v>
      </c>
      <c r="AU59" s="890"/>
      <c r="AV59" s="1687" t="s">
        <v>5601</v>
      </c>
      <c r="AW59" s="890"/>
      <c r="AX59" s="1690" t="s">
        <v>5601</v>
      </c>
      <c r="AY59" s="890"/>
      <c r="AZ59" s="890"/>
      <c r="BA59" s="890"/>
      <c r="BB59" s="890"/>
      <c r="BC59" s="890"/>
      <c r="BD59" s="1585" t="s">
        <v>5601</v>
      </c>
      <c r="BE59" s="890"/>
      <c r="BF59" s="1693" t="s">
        <v>5601</v>
      </c>
      <c r="BG59" s="890"/>
      <c r="BH59" s="1699" t="s">
        <v>5601</v>
      </c>
      <c r="BI59" s="890"/>
      <c r="BJ59" s="1702" t="s">
        <v>5601</v>
      </c>
      <c r="BK59" s="890"/>
      <c r="BL59" s="1735" t="s">
        <v>5601</v>
      </c>
      <c r="BM59" s="890"/>
      <c r="BN59" s="1732" t="s">
        <v>5601</v>
      </c>
      <c r="BO59" s="890"/>
      <c r="BP59" s="1696" t="s">
        <v>5601</v>
      </c>
      <c r="BQ59" s="890"/>
      <c r="BR59" s="1660" t="s">
        <v>5601</v>
      </c>
      <c r="BS59" s="890"/>
      <c r="BT59" s="1729" t="s">
        <v>5601</v>
      </c>
      <c r="BV59" s="1687" t="s">
        <v>5601</v>
      </c>
      <c r="BW59" s="890"/>
      <c r="BX59" s="1690" t="s">
        <v>5601</v>
      </c>
      <c r="BY59" s="891"/>
      <c r="BZ59" s="890"/>
      <c r="CA59" s="890"/>
      <c r="CB59" s="890"/>
      <c r="CD59" s="890"/>
      <c r="CE59" s="893">
        <v>1</v>
      </c>
    </row>
    <row r="60" spans="1:83" s="904" customFormat="1" ht="18" customHeight="1" x14ac:dyDescent="0.25">
      <c r="B60" s="890"/>
      <c r="C60" s="890"/>
      <c r="D60" s="890"/>
      <c r="E60" s="890"/>
      <c r="F60" s="890"/>
      <c r="G60" s="890"/>
      <c r="H60" s="890"/>
      <c r="I60" s="890"/>
      <c r="J60" s="890"/>
      <c r="K60" s="890"/>
      <c r="L60" s="890"/>
      <c r="M60" s="890"/>
      <c r="N60" s="890"/>
      <c r="O60" s="890"/>
      <c r="P60" s="890"/>
      <c r="Q60" s="890"/>
      <c r="R60" s="890"/>
      <c r="S60" s="920"/>
      <c r="T60" s="891"/>
      <c r="U60" s="890"/>
      <c r="V60" s="891"/>
      <c r="W60" s="890"/>
      <c r="X60" s="891"/>
      <c r="Y60" s="890"/>
      <c r="Z60" s="890"/>
      <c r="AA60" s="890"/>
      <c r="AB60" s="890"/>
      <c r="AC60" s="890"/>
      <c r="AD60" s="890"/>
      <c r="AE60" s="890"/>
      <c r="AF60" s="890"/>
      <c r="AG60" s="890"/>
      <c r="AH60" s="890"/>
      <c r="AI60" s="890"/>
      <c r="AJ60" s="890"/>
      <c r="AK60" s="890"/>
      <c r="AL60" s="890"/>
      <c r="AM60" s="890"/>
      <c r="AN60" s="890"/>
      <c r="AO60" s="890"/>
      <c r="AP60" s="890"/>
      <c r="AQ60" s="890"/>
      <c r="AR60" s="890"/>
      <c r="AS60" s="890"/>
      <c r="AT60" s="920"/>
      <c r="AU60" s="890"/>
      <c r="AV60" s="890"/>
      <c r="AW60" s="890"/>
      <c r="AX60" s="890"/>
      <c r="AY60" s="890"/>
      <c r="AZ60" s="890"/>
      <c r="BA60" s="890"/>
      <c r="BB60" s="890"/>
      <c r="BC60" s="890"/>
      <c r="BD60" s="890"/>
      <c r="BE60" s="890"/>
      <c r="BF60" s="890"/>
      <c r="BG60" s="890"/>
      <c r="BH60" s="890"/>
      <c r="BI60" s="890"/>
      <c r="BJ60" s="890"/>
      <c r="BK60" s="890"/>
      <c r="BL60" s="890"/>
      <c r="BM60" s="890"/>
      <c r="BN60" s="890"/>
      <c r="BO60" s="890"/>
      <c r="BP60" s="890"/>
      <c r="BQ60" s="890"/>
      <c r="BR60" s="890"/>
      <c r="BS60" s="890"/>
      <c r="BT60" s="920"/>
      <c r="BV60" s="890"/>
      <c r="BW60" s="890"/>
      <c r="BX60" s="890"/>
      <c r="BY60" s="891"/>
      <c r="BZ60" s="890"/>
      <c r="CA60" s="890"/>
      <c r="CB60" s="890"/>
      <c r="CD60" s="890"/>
      <c r="CE60" s="893"/>
    </row>
    <row r="61" spans="1:83" s="904" customFormat="1" x14ac:dyDescent="0.25">
      <c r="B61" s="1580" t="s">
        <v>6223</v>
      </c>
      <c r="C61" s="890"/>
      <c r="D61" s="1691" t="s">
        <v>5839</v>
      </c>
      <c r="E61" s="890"/>
      <c r="F61" s="1697" t="s">
        <v>5840</v>
      </c>
      <c r="G61" s="890"/>
      <c r="H61" s="1700" t="s">
        <v>5841</v>
      </c>
      <c r="I61" s="890"/>
      <c r="J61" s="1733" t="s">
        <v>5842</v>
      </c>
      <c r="K61" s="890"/>
      <c r="L61" s="1730" t="s">
        <v>6224</v>
      </c>
      <c r="M61" s="890"/>
      <c r="N61" s="1694" t="s">
        <v>6225</v>
      </c>
      <c r="O61" s="890"/>
      <c r="P61" s="1658" t="s">
        <v>6226</v>
      </c>
      <c r="Q61" s="890"/>
      <c r="R61" s="890"/>
      <c r="S61" s="1727" t="s">
        <v>6227</v>
      </c>
      <c r="T61" s="891"/>
      <c r="U61" s="1685" t="s">
        <v>5843</v>
      </c>
      <c r="V61" s="891"/>
      <c r="W61" s="1688" t="s">
        <v>5844</v>
      </c>
      <c r="X61" s="891"/>
      <c r="Y61" s="890"/>
      <c r="Z61" s="890"/>
      <c r="AA61" s="890"/>
      <c r="AB61" s="890"/>
      <c r="AC61" s="890"/>
      <c r="AD61" s="1580" t="s">
        <v>6228</v>
      </c>
      <c r="AE61" s="890"/>
      <c r="AF61" s="1691" t="s">
        <v>5845</v>
      </c>
      <c r="AG61" s="890"/>
      <c r="AH61" s="1697" t="s">
        <v>5846</v>
      </c>
      <c r="AI61" s="890"/>
      <c r="AJ61" s="1700" t="s">
        <v>5847</v>
      </c>
      <c r="AK61" s="890"/>
      <c r="AL61" s="1733" t="s">
        <v>5848</v>
      </c>
      <c r="AM61" s="890"/>
      <c r="AN61" s="1730" t="s">
        <v>6229</v>
      </c>
      <c r="AO61" s="890"/>
      <c r="AP61" s="1694" t="s">
        <v>6230</v>
      </c>
      <c r="AQ61" s="890"/>
      <c r="AR61" s="1658" t="s">
        <v>6231</v>
      </c>
      <c r="AS61" s="890"/>
      <c r="AT61" s="1727" t="s">
        <v>6232</v>
      </c>
      <c r="AU61" s="890"/>
      <c r="AV61" s="1685" t="s">
        <v>5849</v>
      </c>
      <c r="AW61" s="890"/>
      <c r="AX61" s="1688" t="s">
        <v>5850</v>
      </c>
      <c r="AY61" s="890"/>
      <c r="AZ61" s="890"/>
      <c r="BA61" s="890"/>
      <c r="BB61" s="890"/>
      <c r="BC61" s="890"/>
      <c r="BD61" s="1580" t="s">
        <v>6233</v>
      </c>
      <c r="BE61" s="890"/>
      <c r="BF61" s="1691" t="s">
        <v>5851</v>
      </c>
      <c r="BG61" s="890"/>
      <c r="BH61" s="1697" t="s">
        <v>5852</v>
      </c>
      <c r="BI61" s="890"/>
      <c r="BJ61" s="1700" t="s">
        <v>5853</v>
      </c>
      <c r="BK61" s="890"/>
      <c r="BL61" s="1733" t="s">
        <v>5854</v>
      </c>
      <c r="BM61" s="890"/>
      <c r="BN61" s="1730" t="s">
        <v>6234</v>
      </c>
      <c r="BO61" s="890"/>
      <c r="BP61" s="1694" t="s">
        <v>6235</v>
      </c>
      <c r="BQ61" s="890"/>
      <c r="BR61" s="1658" t="s">
        <v>6236</v>
      </c>
      <c r="BS61" s="890"/>
      <c r="BT61" s="1727" t="s">
        <v>6237</v>
      </c>
      <c r="BV61" s="1685" t="s">
        <v>5855</v>
      </c>
      <c r="BW61" s="890"/>
      <c r="BX61" s="1688" t="s">
        <v>5856</v>
      </c>
      <c r="BY61" s="891"/>
      <c r="BZ61" s="890"/>
      <c r="CA61" s="890"/>
      <c r="CB61" s="890"/>
      <c r="CD61" s="890"/>
      <c r="CE61" s="893">
        <v>1</v>
      </c>
    </row>
    <row r="62" spans="1:83" s="904" customFormat="1" x14ac:dyDescent="0.25">
      <c r="A62" s="890"/>
      <c r="B62" s="1581"/>
      <c r="C62" s="890"/>
      <c r="D62" s="1692"/>
      <c r="E62" s="890"/>
      <c r="F62" s="1698"/>
      <c r="G62" s="890"/>
      <c r="H62" s="1701"/>
      <c r="I62" s="890"/>
      <c r="J62" s="1734"/>
      <c r="K62" s="890"/>
      <c r="L62" s="1731"/>
      <c r="M62" s="890"/>
      <c r="N62" s="1695"/>
      <c r="O62" s="890"/>
      <c r="P62" s="1659"/>
      <c r="Q62" s="890"/>
      <c r="R62" s="890"/>
      <c r="S62" s="1728"/>
      <c r="T62" s="891"/>
      <c r="U62" s="1686"/>
      <c r="V62" s="891"/>
      <c r="W62" s="1689"/>
      <c r="X62" s="891"/>
      <c r="Y62" s="890"/>
      <c r="Z62" s="890"/>
      <c r="AA62" s="890"/>
      <c r="AB62" s="890"/>
      <c r="AC62" s="890"/>
      <c r="AD62" s="1581" t="s">
        <v>5601</v>
      </c>
      <c r="AE62" s="890"/>
      <c r="AF62" s="1692" t="s">
        <v>5601</v>
      </c>
      <c r="AG62" s="890"/>
      <c r="AH62" s="1698" t="s">
        <v>5601</v>
      </c>
      <c r="AI62" s="890"/>
      <c r="AJ62" s="1701" t="s">
        <v>5601</v>
      </c>
      <c r="AK62" s="890"/>
      <c r="AL62" s="1734" t="s">
        <v>5601</v>
      </c>
      <c r="AM62" s="890"/>
      <c r="AN62" s="1731" t="s">
        <v>5601</v>
      </c>
      <c r="AO62" s="890"/>
      <c r="AP62" s="1695" t="s">
        <v>5601</v>
      </c>
      <c r="AQ62" s="890"/>
      <c r="AR62" s="1659" t="s">
        <v>5601</v>
      </c>
      <c r="AS62" s="890"/>
      <c r="AT62" s="1728" t="s">
        <v>5601</v>
      </c>
      <c r="AU62" s="890"/>
      <c r="AV62" s="1686" t="s">
        <v>5601</v>
      </c>
      <c r="AW62" s="890"/>
      <c r="AX62" s="1689" t="s">
        <v>5601</v>
      </c>
      <c r="AY62" s="890"/>
      <c r="AZ62" s="890"/>
      <c r="BA62" s="890"/>
      <c r="BB62" s="890"/>
      <c r="BC62" s="890"/>
      <c r="BD62" s="1581" t="s">
        <v>5601</v>
      </c>
      <c r="BE62" s="890"/>
      <c r="BF62" s="1692" t="s">
        <v>5601</v>
      </c>
      <c r="BG62" s="890"/>
      <c r="BH62" s="1698" t="s">
        <v>5601</v>
      </c>
      <c r="BI62" s="890"/>
      <c r="BJ62" s="1701" t="s">
        <v>5601</v>
      </c>
      <c r="BK62" s="890"/>
      <c r="BL62" s="1734" t="s">
        <v>5601</v>
      </c>
      <c r="BM62" s="890"/>
      <c r="BN62" s="1731" t="s">
        <v>5601</v>
      </c>
      <c r="BO62" s="890"/>
      <c r="BP62" s="1695" t="s">
        <v>5601</v>
      </c>
      <c r="BQ62" s="890"/>
      <c r="BR62" s="1659" t="s">
        <v>5601</v>
      </c>
      <c r="BS62" s="890"/>
      <c r="BT62" s="1728" t="s">
        <v>5601</v>
      </c>
      <c r="BV62" s="1686" t="s">
        <v>5601</v>
      </c>
      <c r="BW62" s="890"/>
      <c r="BX62" s="1689" t="s">
        <v>5601</v>
      </c>
      <c r="BY62" s="891"/>
      <c r="BZ62" s="890"/>
      <c r="CA62" s="890"/>
      <c r="CB62" s="890"/>
      <c r="CD62" s="890"/>
      <c r="CE62" s="893">
        <v>1</v>
      </c>
    </row>
    <row r="63" spans="1:83" s="904" customFormat="1" ht="15" customHeight="1" x14ac:dyDescent="0.25">
      <c r="A63" s="890"/>
      <c r="B63" s="1582"/>
      <c r="C63" s="890"/>
      <c r="D63" s="1693"/>
      <c r="E63" s="890"/>
      <c r="F63" s="1699"/>
      <c r="G63" s="890"/>
      <c r="H63" s="1702"/>
      <c r="I63" s="890"/>
      <c r="J63" s="1735"/>
      <c r="K63" s="890"/>
      <c r="L63" s="1732"/>
      <c r="M63" s="890"/>
      <c r="N63" s="1696"/>
      <c r="O63" s="890"/>
      <c r="P63" s="1660"/>
      <c r="Q63" s="890"/>
      <c r="R63" s="890"/>
      <c r="S63" s="1729"/>
      <c r="T63" s="891"/>
      <c r="U63" s="1687"/>
      <c r="V63" s="891"/>
      <c r="W63" s="1690"/>
      <c r="X63" s="891"/>
      <c r="Y63" s="890"/>
      <c r="Z63" s="890"/>
      <c r="AA63" s="890"/>
      <c r="AB63" s="890"/>
      <c r="AC63" s="890"/>
      <c r="AD63" s="1582" t="s">
        <v>5601</v>
      </c>
      <c r="AE63" s="890"/>
      <c r="AF63" s="1693" t="s">
        <v>5601</v>
      </c>
      <c r="AG63" s="890"/>
      <c r="AH63" s="1699" t="s">
        <v>5601</v>
      </c>
      <c r="AI63" s="890"/>
      <c r="AJ63" s="1702" t="s">
        <v>5601</v>
      </c>
      <c r="AK63" s="890"/>
      <c r="AL63" s="1735" t="s">
        <v>5601</v>
      </c>
      <c r="AM63" s="890"/>
      <c r="AN63" s="1732" t="s">
        <v>5601</v>
      </c>
      <c r="AO63" s="890"/>
      <c r="AP63" s="1696" t="s">
        <v>5601</v>
      </c>
      <c r="AQ63" s="890"/>
      <c r="AR63" s="1660" t="s">
        <v>5601</v>
      </c>
      <c r="AS63" s="890"/>
      <c r="AT63" s="1729" t="s">
        <v>5601</v>
      </c>
      <c r="AU63" s="890"/>
      <c r="AV63" s="1687" t="s">
        <v>5601</v>
      </c>
      <c r="AW63" s="890"/>
      <c r="AX63" s="1690" t="s">
        <v>5601</v>
      </c>
      <c r="AY63" s="890"/>
      <c r="AZ63" s="890"/>
      <c r="BA63" s="890"/>
      <c r="BB63" s="890"/>
      <c r="BC63" s="890"/>
      <c r="BD63" s="1582" t="s">
        <v>5601</v>
      </c>
      <c r="BE63" s="890"/>
      <c r="BF63" s="1693" t="s">
        <v>5601</v>
      </c>
      <c r="BG63" s="890"/>
      <c r="BH63" s="1699" t="s">
        <v>5601</v>
      </c>
      <c r="BI63" s="890"/>
      <c r="BJ63" s="1702" t="s">
        <v>5601</v>
      </c>
      <c r="BK63" s="890"/>
      <c r="BL63" s="1735" t="s">
        <v>5601</v>
      </c>
      <c r="BM63" s="890"/>
      <c r="BN63" s="1732" t="s">
        <v>5601</v>
      </c>
      <c r="BO63" s="890"/>
      <c r="BP63" s="1696" t="s">
        <v>5601</v>
      </c>
      <c r="BQ63" s="890"/>
      <c r="BR63" s="1660" t="s">
        <v>5601</v>
      </c>
      <c r="BS63" s="890"/>
      <c r="BT63" s="1729" t="s">
        <v>5601</v>
      </c>
      <c r="BV63" s="1687" t="s">
        <v>5601</v>
      </c>
      <c r="BW63" s="890"/>
      <c r="BX63" s="1690" t="s">
        <v>5601</v>
      </c>
      <c r="BY63" s="891"/>
      <c r="BZ63" s="890"/>
      <c r="CA63" s="890"/>
      <c r="CB63" s="890"/>
      <c r="CD63" s="890"/>
      <c r="CE63" s="893">
        <v>1</v>
      </c>
    </row>
    <row r="64" spans="1:83" s="904" customFormat="1" ht="18" customHeight="1" x14ac:dyDescent="0.25">
      <c r="A64" s="890"/>
      <c r="B64" s="890"/>
      <c r="C64" s="890"/>
      <c r="D64" s="890"/>
      <c r="E64" s="890"/>
      <c r="F64" s="890"/>
      <c r="G64" s="890"/>
      <c r="H64" s="890"/>
      <c r="I64" s="890"/>
      <c r="J64" s="890"/>
      <c r="K64" s="890"/>
      <c r="L64" s="890"/>
      <c r="M64" s="890"/>
      <c r="N64" s="890"/>
      <c r="O64" s="890"/>
      <c r="P64" s="890"/>
      <c r="Q64" s="890"/>
      <c r="R64" s="890"/>
      <c r="S64" s="920"/>
      <c r="T64" s="891"/>
      <c r="U64" s="890"/>
      <c r="V64" s="891"/>
      <c r="W64" s="890"/>
      <c r="X64" s="891"/>
      <c r="Y64" s="890"/>
      <c r="Z64" s="890"/>
      <c r="AA64" s="890"/>
      <c r="AB64" s="890"/>
      <c r="AC64" s="890"/>
      <c r="AD64" s="890"/>
      <c r="AE64" s="890"/>
      <c r="AF64" s="890"/>
      <c r="AG64" s="890"/>
      <c r="AH64" s="890"/>
      <c r="AI64" s="890"/>
      <c r="AJ64" s="890"/>
      <c r="AK64" s="890"/>
      <c r="AL64" s="890"/>
      <c r="AM64" s="890"/>
      <c r="AN64" s="890"/>
      <c r="AO64" s="890"/>
      <c r="AP64" s="890"/>
      <c r="AQ64" s="890"/>
      <c r="AR64" s="890"/>
      <c r="AS64" s="890"/>
      <c r="AT64" s="920"/>
      <c r="AU64" s="890"/>
      <c r="AV64" s="890"/>
      <c r="AW64" s="890"/>
      <c r="AX64" s="890"/>
      <c r="AY64" s="890"/>
      <c r="AZ64" s="890"/>
      <c r="BA64" s="890"/>
      <c r="BB64" s="890"/>
      <c r="BC64" s="890"/>
      <c r="BD64" s="890"/>
      <c r="BE64" s="890"/>
      <c r="BF64" s="890"/>
      <c r="BG64" s="890"/>
      <c r="BH64" s="890"/>
      <c r="BI64" s="890"/>
      <c r="BJ64" s="890"/>
      <c r="BK64" s="890"/>
      <c r="BL64" s="890"/>
      <c r="BM64" s="890"/>
      <c r="BN64" s="890"/>
      <c r="BO64" s="890"/>
      <c r="BP64" s="890"/>
      <c r="BQ64" s="890"/>
      <c r="BR64" s="890"/>
      <c r="BS64" s="890"/>
      <c r="BT64" s="920"/>
      <c r="BV64" s="890"/>
      <c r="BW64" s="890"/>
      <c r="BX64" s="890"/>
      <c r="BY64" s="891"/>
      <c r="BZ64" s="890"/>
      <c r="CA64" s="890"/>
      <c r="CB64" s="890"/>
      <c r="CD64" s="890"/>
      <c r="CE64" s="893"/>
    </row>
    <row r="65" spans="1:83" s="904" customFormat="1" x14ac:dyDescent="0.25">
      <c r="A65" s="890"/>
      <c r="B65" s="1751" t="s">
        <v>6238</v>
      </c>
      <c r="C65" s="890"/>
      <c r="D65" s="1691" t="s">
        <v>5857</v>
      </c>
      <c r="E65" s="890"/>
      <c r="F65" s="1697" t="s">
        <v>5858</v>
      </c>
      <c r="G65" s="890"/>
      <c r="H65" s="1700" t="s">
        <v>5859</v>
      </c>
      <c r="I65" s="890"/>
      <c r="J65" s="1733" t="s">
        <v>5860</v>
      </c>
      <c r="K65" s="890"/>
      <c r="L65" s="1730" t="s">
        <v>6239</v>
      </c>
      <c r="M65" s="890"/>
      <c r="N65" s="1694" t="s">
        <v>6240</v>
      </c>
      <c r="O65" s="890"/>
      <c r="P65" s="1658" t="s">
        <v>6241</v>
      </c>
      <c r="Q65" s="890"/>
      <c r="R65" s="890"/>
      <c r="S65" s="1727" t="s">
        <v>6242</v>
      </c>
      <c r="T65" s="891"/>
      <c r="U65" s="1685" t="s">
        <v>5861</v>
      </c>
      <c r="V65" s="891"/>
      <c r="W65" s="1688" t="s">
        <v>5862</v>
      </c>
      <c r="X65" s="891"/>
      <c r="Y65" s="890"/>
      <c r="Z65" s="890"/>
      <c r="AA65" s="890"/>
      <c r="AB65" s="890"/>
      <c r="AC65" s="890"/>
      <c r="AD65" s="1751" t="s">
        <v>6243</v>
      </c>
      <c r="AE65" s="890"/>
      <c r="AF65" s="1691" t="s">
        <v>5863</v>
      </c>
      <c r="AG65" s="890"/>
      <c r="AH65" s="1697" t="s">
        <v>5864</v>
      </c>
      <c r="AI65" s="890"/>
      <c r="AJ65" s="1700" t="s">
        <v>5865</v>
      </c>
      <c r="AK65" s="890"/>
      <c r="AL65" s="1733" t="s">
        <v>5866</v>
      </c>
      <c r="AM65" s="890"/>
      <c r="AN65" s="1730" t="s">
        <v>6244</v>
      </c>
      <c r="AO65" s="890"/>
      <c r="AP65" s="1694" t="s">
        <v>6245</v>
      </c>
      <c r="AQ65" s="890"/>
      <c r="AR65" s="1658" t="s">
        <v>6246</v>
      </c>
      <c r="AS65" s="890"/>
      <c r="AT65" s="1727" t="s">
        <v>6247</v>
      </c>
      <c r="AU65" s="890"/>
      <c r="AV65" s="1685" t="s">
        <v>5867</v>
      </c>
      <c r="AW65" s="890"/>
      <c r="AX65" s="1688" t="s">
        <v>5868</v>
      </c>
      <c r="AY65" s="890"/>
      <c r="AZ65" s="890"/>
      <c r="BA65" s="890"/>
      <c r="BB65" s="890"/>
      <c r="BC65" s="890"/>
      <c r="BD65" s="1751" t="s">
        <v>6248</v>
      </c>
      <c r="BE65" s="890"/>
      <c r="BF65" s="1691" t="s">
        <v>5869</v>
      </c>
      <c r="BG65" s="890"/>
      <c r="BH65" s="1697" t="s">
        <v>5870</v>
      </c>
      <c r="BI65" s="890"/>
      <c r="BJ65" s="1700" t="s">
        <v>5871</v>
      </c>
      <c r="BK65" s="890"/>
      <c r="BL65" s="1733" t="s">
        <v>5872</v>
      </c>
      <c r="BM65" s="890"/>
      <c r="BN65" s="1730" t="s">
        <v>6249</v>
      </c>
      <c r="BO65" s="890"/>
      <c r="BP65" s="1694" t="s">
        <v>6250</v>
      </c>
      <c r="BQ65" s="890"/>
      <c r="BR65" s="1658" t="s">
        <v>6251</v>
      </c>
      <c r="BS65" s="890"/>
      <c r="BT65" s="1727" t="s">
        <v>6252</v>
      </c>
      <c r="BV65" s="1685" t="s">
        <v>5873</v>
      </c>
      <c r="BW65" s="890"/>
      <c r="BX65" s="1688" t="s">
        <v>5868</v>
      </c>
      <c r="BY65" s="891"/>
      <c r="BZ65" s="890"/>
      <c r="CA65" s="890"/>
      <c r="CB65" s="890"/>
      <c r="CD65" s="890"/>
      <c r="CE65" s="893">
        <v>1</v>
      </c>
    </row>
    <row r="66" spans="1:83" s="904" customFormat="1" x14ac:dyDescent="0.25">
      <c r="A66" s="890"/>
      <c r="B66" s="1752"/>
      <c r="C66" s="890"/>
      <c r="D66" s="1692"/>
      <c r="E66" s="890"/>
      <c r="F66" s="1698"/>
      <c r="G66" s="890"/>
      <c r="H66" s="1701"/>
      <c r="I66" s="890"/>
      <c r="J66" s="1734"/>
      <c r="K66" s="890"/>
      <c r="L66" s="1731"/>
      <c r="M66" s="890"/>
      <c r="N66" s="1695"/>
      <c r="O66" s="890"/>
      <c r="P66" s="1659"/>
      <c r="Q66" s="890"/>
      <c r="R66" s="890"/>
      <c r="S66" s="1728"/>
      <c r="T66" s="891"/>
      <c r="U66" s="1686"/>
      <c r="V66" s="891"/>
      <c r="W66" s="1689"/>
      <c r="X66" s="891"/>
      <c r="Y66" s="890"/>
      <c r="Z66" s="890"/>
      <c r="AA66" s="890"/>
      <c r="AB66" s="890"/>
      <c r="AC66" s="890"/>
      <c r="AD66" s="1752" t="s">
        <v>5601</v>
      </c>
      <c r="AE66" s="890"/>
      <c r="AF66" s="1692" t="s">
        <v>5601</v>
      </c>
      <c r="AG66" s="890"/>
      <c r="AH66" s="1698" t="s">
        <v>5601</v>
      </c>
      <c r="AI66" s="890"/>
      <c r="AJ66" s="1701" t="s">
        <v>5601</v>
      </c>
      <c r="AK66" s="890"/>
      <c r="AL66" s="1734" t="s">
        <v>5601</v>
      </c>
      <c r="AM66" s="890"/>
      <c r="AN66" s="1731" t="s">
        <v>5601</v>
      </c>
      <c r="AO66" s="890"/>
      <c r="AP66" s="1695" t="s">
        <v>5601</v>
      </c>
      <c r="AQ66" s="890"/>
      <c r="AR66" s="1659" t="s">
        <v>5601</v>
      </c>
      <c r="AS66" s="890"/>
      <c r="AT66" s="1728" t="s">
        <v>5601</v>
      </c>
      <c r="AU66" s="890"/>
      <c r="AV66" s="1686" t="s">
        <v>5601</v>
      </c>
      <c r="AW66" s="890"/>
      <c r="AX66" s="1689" t="s">
        <v>5601</v>
      </c>
      <c r="AY66" s="890"/>
      <c r="AZ66" s="890"/>
      <c r="BA66" s="890"/>
      <c r="BB66" s="890"/>
      <c r="BC66" s="890"/>
      <c r="BD66" s="1752" t="s">
        <v>5601</v>
      </c>
      <c r="BE66" s="890"/>
      <c r="BF66" s="1692" t="s">
        <v>5601</v>
      </c>
      <c r="BG66" s="890"/>
      <c r="BH66" s="1698" t="s">
        <v>5601</v>
      </c>
      <c r="BI66" s="890"/>
      <c r="BJ66" s="1701" t="s">
        <v>5601</v>
      </c>
      <c r="BK66" s="890"/>
      <c r="BL66" s="1734" t="s">
        <v>5601</v>
      </c>
      <c r="BM66" s="890"/>
      <c r="BN66" s="1731" t="s">
        <v>5601</v>
      </c>
      <c r="BO66" s="890"/>
      <c r="BP66" s="1695" t="s">
        <v>5601</v>
      </c>
      <c r="BQ66" s="890"/>
      <c r="BR66" s="1659" t="s">
        <v>5601</v>
      </c>
      <c r="BS66" s="890"/>
      <c r="BT66" s="1728" t="s">
        <v>5601</v>
      </c>
      <c r="BV66" s="1686" t="s">
        <v>5601</v>
      </c>
      <c r="BW66" s="890"/>
      <c r="BX66" s="1689" t="s">
        <v>5601</v>
      </c>
      <c r="BY66" s="891"/>
      <c r="BZ66" s="890"/>
      <c r="CA66" s="890"/>
      <c r="CB66" s="890"/>
      <c r="CD66" s="890"/>
      <c r="CE66" s="893">
        <v>1</v>
      </c>
    </row>
    <row r="67" spans="1:83" s="904" customFormat="1" ht="15" customHeight="1" x14ac:dyDescent="0.25">
      <c r="A67" s="890"/>
      <c r="B67" s="1753"/>
      <c r="C67" s="890"/>
      <c r="D67" s="1693"/>
      <c r="E67" s="890"/>
      <c r="F67" s="1699"/>
      <c r="G67" s="890"/>
      <c r="H67" s="1702"/>
      <c r="I67" s="890"/>
      <c r="J67" s="1735"/>
      <c r="K67" s="890"/>
      <c r="L67" s="1732"/>
      <c r="M67" s="890"/>
      <c r="N67" s="1696"/>
      <c r="O67" s="890"/>
      <c r="P67" s="1660"/>
      <c r="Q67" s="890"/>
      <c r="R67" s="890"/>
      <c r="S67" s="1729"/>
      <c r="T67" s="891"/>
      <c r="U67" s="1687"/>
      <c r="V67" s="891"/>
      <c r="W67" s="1690"/>
      <c r="X67" s="891"/>
      <c r="Y67" s="890"/>
      <c r="Z67" s="890"/>
      <c r="AA67" s="890"/>
      <c r="AB67" s="890"/>
      <c r="AC67" s="890"/>
      <c r="AD67" s="1753" t="s">
        <v>5601</v>
      </c>
      <c r="AE67" s="890"/>
      <c r="AF67" s="1693" t="s">
        <v>5601</v>
      </c>
      <c r="AG67" s="890"/>
      <c r="AH67" s="1699" t="s">
        <v>5601</v>
      </c>
      <c r="AI67" s="890"/>
      <c r="AJ67" s="1702" t="s">
        <v>5601</v>
      </c>
      <c r="AK67" s="890"/>
      <c r="AL67" s="1735" t="s">
        <v>5601</v>
      </c>
      <c r="AM67" s="890"/>
      <c r="AN67" s="1732" t="s">
        <v>5601</v>
      </c>
      <c r="AO67" s="890"/>
      <c r="AP67" s="1696" t="s">
        <v>5601</v>
      </c>
      <c r="AQ67" s="890"/>
      <c r="AR67" s="1660" t="s">
        <v>5601</v>
      </c>
      <c r="AS67" s="890"/>
      <c r="AT67" s="1729" t="s">
        <v>5601</v>
      </c>
      <c r="AU67" s="890"/>
      <c r="AV67" s="1687" t="s">
        <v>5601</v>
      </c>
      <c r="AW67" s="890"/>
      <c r="AX67" s="1690" t="s">
        <v>5601</v>
      </c>
      <c r="AY67" s="890"/>
      <c r="AZ67" s="890"/>
      <c r="BA67" s="890"/>
      <c r="BB67" s="890"/>
      <c r="BC67" s="890"/>
      <c r="BD67" s="1753" t="s">
        <v>5601</v>
      </c>
      <c r="BE67" s="890"/>
      <c r="BF67" s="1693" t="s">
        <v>5601</v>
      </c>
      <c r="BG67" s="890"/>
      <c r="BH67" s="1699" t="s">
        <v>5601</v>
      </c>
      <c r="BI67" s="890"/>
      <c r="BJ67" s="1702" t="s">
        <v>5601</v>
      </c>
      <c r="BK67" s="890"/>
      <c r="BL67" s="1735" t="s">
        <v>5601</v>
      </c>
      <c r="BM67" s="890"/>
      <c r="BN67" s="1732" t="s">
        <v>5601</v>
      </c>
      <c r="BO67" s="890"/>
      <c r="BP67" s="1696" t="s">
        <v>5601</v>
      </c>
      <c r="BQ67" s="890"/>
      <c r="BR67" s="1660" t="s">
        <v>5601</v>
      </c>
      <c r="BS67" s="890"/>
      <c r="BT67" s="1729" t="s">
        <v>5601</v>
      </c>
      <c r="BV67" s="1687" t="s">
        <v>5601</v>
      </c>
      <c r="BW67" s="890"/>
      <c r="BX67" s="1690" t="s">
        <v>5601</v>
      </c>
      <c r="BY67" s="891"/>
      <c r="BZ67" s="890"/>
      <c r="CA67" s="890"/>
      <c r="CB67" s="890"/>
      <c r="CD67" s="890"/>
      <c r="CE67" s="893">
        <v>1</v>
      </c>
    </row>
    <row r="68" spans="1:83" s="904" customFormat="1" ht="18" customHeight="1" x14ac:dyDescent="0.25">
      <c r="A68" s="890"/>
      <c r="B68" s="890"/>
      <c r="C68" s="890"/>
      <c r="D68" s="890"/>
      <c r="E68" s="890"/>
      <c r="F68" s="890"/>
      <c r="G68" s="890"/>
      <c r="H68" s="890"/>
      <c r="I68" s="890"/>
      <c r="J68" s="890"/>
      <c r="K68" s="890"/>
      <c r="L68" s="890"/>
      <c r="M68" s="890"/>
      <c r="N68" s="890"/>
      <c r="O68" s="890"/>
      <c r="P68" s="890"/>
      <c r="Q68" s="890"/>
      <c r="R68" s="890"/>
      <c r="S68" s="920"/>
      <c r="T68" s="891"/>
      <c r="U68" s="890"/>
      <c r="V68" s="891"/>
      <c r="W68" s="890"/>
      <c r="X68" s="891"/>
      <c r="Y68" s="890"/>
      <c r="Z68" s="890"/>
      <c r="AA68" s="890"/>
      <c r="AB68" s="890"/>
      <c r="AC68" s="890"/>
      <c r="AD68" s="890"/>
      <c r="AE68" s="890"/>
      <c r="AF68" s="890"/>
      <c r="AG68" s="890"/>
      <c r="AH68" s="890"/>
      <c r="AI68" s="890"/>
      <c r="AJ68" s="890"/>
      <c r="AK68" s="890"/>
      <c r="AL68" s="890"/>
      <c r="AM68" s="890"/>
      <c r="AN68" s="890"/>
      <c r="AO68" s="890"/>
      <c r="AP68" s="890"/>
      <c r="AQ68" s="890"/>
      <c r="AR68" s="890"/>
      <c r="AS68" s="890"/>
      <c r="AT68" s="920"/>
      <c r="AU68" s="890"/>
      <c r="AV68" s="890"/>
      <c r="AW68" s="890"/>
      <c r="AX68" s="890"/>
      <c r="AY68" s="890"/>
      <c r="AZ68" s="890"/>
      <c r="BA68" s="890"/>
      <c r="BB68" s="890"/>
      <c r="BC68" s="890"/>
      <c r="BD68" s="890"/>
      <c r="BE68" s="890"/>
      <c r="BF68" s="890"/>
      <c r="BG68" s="890"/>
      <c r="BH68" s="890"/>
      <c r="BI68" s="890"/>
      <c r="BJ68" s="890"/>
      <c r="BK68" s="890"/>
      <c r="BL68" s="890"/>
      <c r="BM68" s="890"/>
      <c r="BN68" s="890"/>
      <c r="BO68" s="890"/>
      <c r="BP68" s="890"/>
      <c r="BQ68" s="890"/>
      <c r="BR68" s="890"/>
      <c r="BS68" s="890"/>
      <c r="BT68" s="920"/>
      <c r="BV68" s="890"/>
      <c r="BW68" s="890"/>
      <c r="BX68" s="890"/>
      <c r="BY68" s="891"/>
      <c r="BZ68" s="890"/>
      <c r="CA68" s="890"/>
      <c r="CB68" s="890"/>
      <c r="CD68" s="890"/>
      <c r="CE68" s="893"/>
    </row>
    <row r="69" spans="1:83" s="904" customFormat="1" x14ac:dyDescent="0.25">
      <c r="A69" s="890"/>
      <c r="B69" s="1754" t="s">
        <v>6547</v>
      </c>
      <c r="C69" s="890"/>
      <c r="D69" s="1691" t="s">
        <v>5874</v>
      </c>
      <c r="E69" s="890"/>
      <c r="F69" s="1697" t="s">
        <v>5875</v>
      </c>
      <c r="G69" s="890"/>
      <c r="H69" s="1700" t="s">
        <v>5876</v>
      </c>
      <c r="I69" s="890"/>
      <c r="J69" s="1733" t="s">
        <v>5877</v>
      </c>
      <c r="K69" s="890"/>
      <c r="L69" s="1730" t="s">
        <v>6253</v>
      </c>
      <c r="M69" s="890"/>
      <c r="N69" s="1694" t="s">
        <v>6254</v>
      </c>
      <c r="O69" s="890"/>
      <c r="P69" s="1658" t="s">
        <v>6255</v>
      </c>
      <c r="Q69" s="890"/>
      <c r="R69" s="890"/>
      <c r="S69" s="1727" t="s">
        <v>6256</v>
      </c>
      <c r="T69" s="891"/>
      <c r="U69" s="1685" t="s">
        <v>5878</v>
      </c>
      <c r="V69" s="891"/>
      <c r="W69" s="1688" t="s">
        <v>5868</v>
      </c>
      <c r="X69" s="891"/>
      <c r="Y69" s="890"/>
      <c r="Z69" s="890"/>
      <c r="AA69" s="890"/>
      <c r="AB69" s="890"/>
      <c r="AC69" s="890"/>
      <c r="AD69" s="1754" t="s">
        <v>6257</v>
      </c>
      <c r="AE69" s="890"/>
      <c r="AF69" s="1691" t="s">
        <v>5879</v>
      </c>
      <c r="AG69" s="890"/>
      <c r="AH69" s="1697" t="s">
        <v>5880</v>
      </c>
      <c r="AI69" s="890"/>
      <c r="AJ69" s="1700" t="s">
        <v>5881</v>
      </c>
      <c r="AK69" s="890"/>
      <c r="AL69" s="1733" t="s">
        <v>5882</v>
      </c>
      <c r="AM69" s="890"/>
      <c r="AN69" s="1730" t="s">
        <v>6258</v>
      </c>
      <c r="AO69" s="890"/>
      <c r="AP69" s="1694" t="s">
        <v>6259</v>
      </c>
      <c r="AQ69" s="890"/>
      <c r="AR69" s="1658" t="s">
        <v>6260</v>
      </c>
      <c r="AS69" s="890"/>
      <c r="AT69" s="1727" t="s">
        <v>6261</v>
      </c>
      <c r="AU69" s="890"/>
      <c r="AV69" s="1685" t="s">
        <v>5883</v>
      </c>
      <c r="AW69" s="890"/>
      <c r="AX69" s="1688" t="s">
        <v>5884</v>
      </c>
      <c r="AY69" s="890"/>
      <c r="AZ69" s="890"/>
      <c r="BA69" s="890"/>
      <c r="BB69" s="890"/>
      <c r="BC69" s="890"/>
      <c r="BD69" s="1754" t="s">
        <v>6262</v>
      </c>
      <c r="BE69" s="890"/>
      <c r="BF69" s="1691" t="s">
        <v>5885</v>
      </c>
      <c r="BG69" s="890"/>
      <c r="BH69" s="1697" t="s">
        <v>5886</v>
      </c>
      <c r="BI69" s="890"/>
      <c r="BJ69" s="1700" t="s">
        <v>5887</v>
      </c>
      <c r="BK69" s="890"/>
      <c r="BL69" s="1733" t="s">
        <v>5888</v>
      </c>
      <c r="BM69" s="890"/>
      <c r="BN69" s="1730" t="s">
        <v>6263</v>
      </c>
      <c r="BO69" s="890"/>
      <c r="BP69" s="1694" t="s">
        <v>6264</v>
      </c>
      <c r="BQ69" s="890"/>
      <c r="BR69" s="1658" t="s">
        <v>6265</v>
      </c>
      <c r="BS69" s="890"/>
      <c r="BT69" s="1727" t="s">
        <v>6266</v>
      </c>
      <c r="BV69" s="1685" t="s">
        <v>5889</v>
      </c>
      <c r="BW69" s="890"/>
      <c r="BX69" s="1688" t="s">
        <v>5890</v>
      </c>
      <c r="BY69" s="891"/>
      <c r="BZ69" s="890"/>
      <c r="CA69" s="890"/>
      <c r="CB69" s="890"/>
      <c r="CD69" s="890"/>
      <c r="CE69" s="893">
        <v>1</v>
      </c>
    </row>
    <row r="70" spans="1:83" s="904" customFormat="1" x14ac:dyDescent="0.25">
      <c r="A70" s="890"/>
      <c r="B70" s="1755"/>
      <c r="C70" s="890"/>
      <c r="D70" s="1692"/>
      <c r="E70" s="890"/>
      <c r="F70" s="1698"/>
      <c r="G70" s="890"/>
      <c r="H70" s="1701"/>
      <c r="I70" s="890"/>
      <c r="J70" s="1734"/>
      <c r="K70" s="890"/>
      <c r="L70" s="1731"/>
      <c r="M70" s="890"/>
      <c r="N70" s="1695"/>
      <c r="O70" s="890"/>
      <c r="P70" s="1659"/>
      <c r="Q70" s="890"/>
      <c r="R70" s="890"/>
      <c r="S70" s="1728"/>
      <c r="T70" s="891"/>
      <c r="U70" s="1686"/>
      <c r="V70" s="891"/>
      <c r="W70" s="1689"/>
      <c r="X70" s="891"/>
      <c r="Y70" s="890"/>
      <c r="Z70" s="890"/>
      <c r="AA70" s="890"/>
      <c r="AB70" s="890"/>
      <c r="AC70" s="890"/>
      <c r="AD70" s="1755" t="s">
        <v>5601</v>
      </c>
      <c r="AE70" s="890"/>
      <c r="AF70" s="1692" t="s">
        <v>5601</v>
      </c>
      <c r="AG70" s="890"/>
      <c r="AH70" s="1698" t="s">
        <v>5601</v>
      </c>
      <c r="AI70" s="890"/>
      <c r="AJ70" s="1701" t="s">
        <v>5601</v>
      </c>
      <c r="AK70" s="890"/>
      <c r="AL70" s="1734" t="s">
        <v>5601</v>
      </c>
      <c r="AM70" s="890"/>
      <c r="AN70" s="1731" t="s">
        <v>5601</v>
      </c>
      <c r="AO70" s="890"/>
      <c r="AP70" s="1695" t="s">
        <v>5601</v>
      </c>
      <c r="AQ70" s="890"/>
      <c r="AR70" s="1659" t="s">
        <v>5601</v>
      </c>
      <c r="AS70" s="890"/>
      <c r="AT70" s="1728" t="s">
        <v>5601</v>
      </c>
      <c r="AU70" s="890"/>
      <c r="AV70" s="1686" t="s">
        <v>5601</v>
      </c>
      <c r="AW70" s="890"/>
      <c r="AX70" s="1689" t="s">
        <v>5601</v>
      </c>
      <c r="AY70" s="890"/>
      <c r="AZ70" s="890"/>
      <c r="BA70" s="890"/>
      <c r="BB70" s="890"/>
      <c r="BC70" s="890"/>
      <c r="BD70" s="1755" t="s">
        <v>5601</v>
      </c>
      <c r="BE70" s="890"/>
      <c r="BF70" s="1692" t="s">
        <v>5601</v>
      </c>
      <c r="BG70" s="890"/>
      <c r="BH70" s="1698" t="s">
        <v>5601</v>
      </c>
      <c r="BI70" s="890"/>
      <c r="BJ70" s="1701" t="s">
        <v>5601</v>
      </c>
      <c r="BK70" s="890"/>
      <c r="BL70" s="1734" t="s">
        <v>5601</v>
      </c>
      <c r="BM70" s="890"/>
      <c r="BN70" s="1731" t="s">
        <v>5601</v>
      </c>
      <c r="BO70" s="890"/>
      <c r="BP70" s="1695" t="s">
        <v>5601</v>
      </c>
      <c r="BQ70" s="890"/>
      <c r="BR70" s="1659" t="s">
        <v>5601</v>
      </c>
      <c r="BS70" s="890"/>
      <c r="BT70" s="1728" t="s">
        <v>5601</v>
      </c>
      <c r="BV70" s="1686" t="s">
        <v>5601</v>
      </c>
      <c r="BW70" s="890"/>
      <c r="BX70" s="1689" t="s">
        <v>5601</v>
      </c>
      <c r="BY70" s="891"/>
      <c r="BZ70" s="890"/>
      <c r="CA70" s="890"/>
      <c r="CB70" s="890"/>
      <c r="CD70" s="890"/>
      <c r="CE70" s="893">
        <v>1</v>
      </c>
    </row>
    <row r="71" spans="1:83" s="904" customFormat="1" ht="15" customHeight="1" x14ac:dyDescent="0.25">
      <c r="A71" s="890"/>
      <c r="B71" s="1756"/>
      <c r="C71" s="890"/>
      <c r="D71" s="1693"/>
      <c r="E71" s="890"/>
      <c r="F71" s="1699"/>
      <c r="G71" s="890"/>
      <c r="H71" s="1702"/>
      <c r="I71" s="890"/>
      <c r="J71" s="1735"/>
      <c r="K71" s="890"/>
      <c r="L71" s="1732"/>
      <c r="M71" s="890"/>
      <c r="N71" s="1696"/>
      <c r="O71" s="890"/>
      <c r="P71" s="1660"/>
      <c r="Q71" s="890"/>
      <c r="R71" s="890"/>
      <c r="S71" s="1729"/>
      <c r="T71" s="891"/>
      <c r="U71" s="1687"/>
      <c r="V71" s="891"/>
      <c r="W71" s="1690"/>
      <c r="X71" s="891"/>
      <c r="Y71" s="890"/>
      <c r="Z71" s="890"/>
      <c r="AA71" s="890"/>
      <c r="AB71" s="890"/>
      <c r="AC71" s="890"/>
      <c r="AD71" s="1756" t="s">
        <v>5601</v>
      </c>
      <c r="AE71" s="890"/>
      <c r="AF71" s="1693" t="s">
        <v>5601</v>
      </c>
      <c r="AG71" s="890"/>
      <c r="AH71" s="1699" t="s">
        <v>5601</v>
      </c>
      <c r="AI71" s="890"/>
      <c r="AJ71" s="1702" t="s">
        <v>5601</v>
      </c>
      <c r="AK71" s="890"/>
      <c r="AL71" s="1735" t="s">
        <v>5601</v>
      </c>
      <c r="AM71" s="890"/>
      <c r="AN71" s="1732" t="s">
        <v>5601</v>
      </c>
      <c r="AO71" s="890"/>
      <c r="AP71" s="1696" t="s">
        <v>5601</v>
      </c>
      <c r="AQ71" s="890"/>
      <c r="AR71" s="1660" t="s">
        <v>5601</v>
      </c>
      <c r="AS71" s="890"/>
      <c r="AT71" s="1729" t="s">
        <v>5601</v>
      </c>
      <c r="AU71" s="890"/>
      <c r="AV71" s="1687" t="s">
        <v>5601</v>
      </c>
      <c r="AW71" s="890"/>
      <c r="AX71" s="1690" t="s">
        <v>5601</v>
      </c>
      <c r="AY71" s="890"/>
      <c r="AZ71" s="890"/>
      <c r="BA71" s="890"/>
      <c r="BB71" s="890"/>
      <c r="BC71" s="890"/>
      <c r="BD71" s="1756" t="s">
        <v>5601</v>
      </c>
      <c r="BE71" s="890"/>
      <c r="BF71" s="1693" t="s">
        <v>5601</v>
      </c>
      <c r="BG71" s="890"/>
      <c r="BH71" s="1699" t="s">
        <v>5601</v>
      </c>
      <c r="BI71" s="890"/>
      <c r="BJ71" s="1702" t="s">
        <v>5601</v>
      </c>
      <c r="BK71" s="890"/>
      <c r="BL71" s="1735" t="s">
        <v>5601</v>
      </c>
      <c r="BM71" s="890"/>
      <c r="BN71" s="1732" t="s">
        <v>5601</v>
      </c>
      <c r="BO71" s="890"/>
      <c r="BP71" s="1696" t="s">
        <v>5601</v>
      </c>
      <c r="BQ71" s="890"/>
      <c r="BR71" s="1660" t="s">
        <v>5601</v>
      </c>
      <c r="BS71" s="890"/>
      <c r="BT71" s="1729" t="s">
        <v>5601</v>
      </c>
      <c r="BV71" s="1687" t="s">
        <v>5601</v>
      </c>
      <c r="BW71" s="890"/>
      <c r="BX71" s="1690" t="s">
        <v>5601</v>
      </c>
      <c r="BY71" s="891"/>
      <c r="BZ71" s="890"/>
      <c r="CA71" s="890"/>
      <c r="CB71" s="890"/>
      <c r="CD71" s="890"/>
      <c r="CE71" s="893">
        <v>1</v>
      </c>
    </row>
    <row r="72" spans="1:83" s="904" customFormat="1" ht="18" customHeight="1" x14ac:dyDescent="0.25">
      <c r="A72" s="890"/>
      <c r="B72" s="890"/>
      <c r="C72" s="890"/>
      <c r="D72" s="890"/>
      <c r="E72" s="890"/>
      <c r="F72" s="890"/>
      <c r="G72" s="890"/>
      <c r="H72" s="890"/>
      <c r="I72" s="890"/>
      <c r="J72" s="890"/>
      <c r="K72" s="890"/>
      <c r="L72" s="890"/>
      <c r="M72" s="890"/>
      <c r="N72" s="890"/>
      <c r="O72" s="890"/>
      <c r="P72" s="890"/>
      <c r="Q72" s="890"/>
      <c r="R72" s="890"/>
      <c r="S72" s="920"/>
      <c r="T72" s="891"/>
      <c r="U72" s="890"/>
      <c r="V72" s="891"/>
      <c r="W72" s="890"/>
      <c r="X72" s="891"/>
      <c r="Y72" s="890"/>
      <c r="Z72" s="890"/>
      <c r="AA72" s="890"/>
      <c r="AB72" s="890"/>
      <c r="AC72" s="890"/>
      <c r="AD72" s="890"/>
      <c r="AE72" s="890"/>
      <c r="AF72" s="890"/>
      <c r="AG72" s="890"/>
      <c r="AH72" s="890"/>
      <c r="AI72" s="890"/>
      <c r="AJ72" s="890"/>
      <c r="AK72" s="890"/>
      <c r="AL72" s="890"/>
      <c r="AM72" s="890"/>
      <c r="AN72" s="890"/>
      <c r="AO72" s="890"/>
      <c r="AP72" s="890"/>
      <c r="AQ72" s="890"/>
      <c r="AR72" s="890"/>
      <c r="AS72" s="890"/>
      <c r="AT72" s="920"/>
      <c r="AU72" s="890"/>
      <c r="AV72" s="890"/>
      <c r="AW72" s="890"/>
      <c r="AX72" s="890"/>
      <c r="AY72" s="890"/>
      <c r="AZ72" s="890"/>
      <c r="BA72" s="890"/>
      <c r="BB72" s="890"/>
      <c r="BC72" s="890"/>
      <c r="BD72" s="890"/>
      <c r="BE72" s="890"/>
      <c r="BF72" s="890"/>
      <c r="BG72" s="890"/>
      <c r="BH72" s="890"/>
      <c r="BI72" s="890"/>
      <c r="BJ72" s="890"/>
      <c r="BK72" s="890"/>
      <c r="BL72" s="890"/>
      <c r="BM72" s="890"/>
      <c r="BN72" s="890"/>
      <c r="BO72" s="890"/>
      <c r="BP72" s="890"/>
      <c r="BQ72" s="890"/>
      <c r="BR72" s="890"/>
      <c r="BS72" s="890"/>
      <c r="BT72" s="920"/>
      <c r="BV72" s="890"/>
      <c r="BW72" s="890"/>
      <c r="BX72" s="890"/>
      <c r="BY72" s="891"/>
      <c r="BZ72" s="890"/>
      <c r="CA72" s="890"/>
      <c r="CB72" s="890"/>
      <c r="CD72" s="890"/>
      <c r="CE72" s="893"/>
    </row>
    <row r="73" spans="1:83" s="904" customFormat="1" x14ac:dyDescent="0.25">
      <c r="A73" s="890"/>
      <c r="B73" s="1739" t="s">
        <v>6267</v>
      </c>
      <c r="C73" s="890"/>
      <c r="D73" s="1691" t="s">
        <v>5891</v>
      </c>
      <c r="E73" s="890"/>
      <c r="F73" s="1697" t="s">
        <v>5892</v>
      </c>
      <c r="G73" s="890"/>
      <c r="H73" s="1700" t="s">
        <v>5893</v>
      </c>
      <c r="I73" s="890"/>
      <c r="J73" s="1733" t="s">
        <v>5894</v>
      </c>
      <c r="K73" s="890"/>
      <c r="L73" s="1730" t="s">
        <v>6268</v>
      </c>
      <c r="M73" s="890"/>
      <c r="N73" s="1694" t="s">
        <v>6269</v>
      </c>
      <c r="O73" s="890"/>
      <c r="P73" s="1658" t="s">
        <v>6270</v>
      </c>
      <c r="Q73" s="890"/>
      <c r="R73" s="890"/>
      <c r="S73" s="1727" t="s">
        <v>6271</v>
      </c>
      <c r="T73" s="891"/>
      <c r="U73" s="1685" t="s">
        <v>5895</v>
      </c>
      <c r="V73" s="891"/>
      <c r="W73" s="1688" t="s">
        <v>5896</v>
      </c>
      <c r="X73" s="891"/>
      <c r="Y73" s="890"/>
      <c r="Z73" s="890"/>
      <c r="AA73" s="890"/>
      <c r="AB73" s="890"/>
      <c r="AC73" s="890"/>
      <c r="AD73" s="1739" t="s">
        <v>6272</v>
      </c>
      <c r="AE73" s="890"/>
      <c r="AF73" s="1691" t="s">
        <v>5897</v>
      </c>
      <c r="AG73" s="890"/>
      <c r="AH73" s="1697" t="s">
        <v>5898</v>
      </c>
      <c r="AI73" s="890"/>
      <c r="AJ73" s="1700" t="s">
        <v>5899</v>
      </c>
      <c r="AK73" s="890"/>
      <c r="AL73" s="1733" t="s">
        <v>5900</v>
      </c>
      <c r="AM73" s="890"/>
      <c r="AN73" s="1730" t="s">
        <v>6273</v>
      </c>
      <c r="AO73" s="890"/>
      <c r="AP73" s="1694" t="s">
        <v>6274</v>
      </c>
      <c r="AQ73" s="890"/>
      <c r="AR73" s="1658" t="s">
        <v>6275</v>
      </c>
      <c r="AS73" s="890"/>
      <c r="AT73" s="1727" t="s">
        <v>6276</v>
      </c>
      <c r="AU73" s="890"/>
      <c r="AV73" s="1685" t="s">
        <v>5901</v>
      </c>
      <c r="AW73" s="890"/>
      <c r="AX73" s="1688" t="s">
        <v>5902</v>
      </c>
      <c r="AY73" s="890"/>
      <c r="AZ73" s="890"/>
      <c r="BA73" s="890"/>
      <c r="BB73" s="890"/>
      <c r="BC73" s="890"/>
      <c r="BD73" s="1739" t="s">
        <v>6277</v>
      </c>
      <c r="BE73" s="890"/>
      <c r="BF73" s="1691" t="s">
        <v>5903</v>
      </c>
      <c r="BG73" s="890"/>
      <c r="BH73" s="1697" t="s">
        <v>5904</v>
      </c>
      <c r="BI73" s="890"/>
      <c r="BJ73" s="1700" t="s">
        <v>5905</v>
      </c>
      <c r="BK73" s="890"/>
      <c r="BL73" s="1733" t="s">
        <v>5906</v>
      </c>
      <c r="BM73" s="890"/>
      <c r="BN73" s="1730" t="s">
        <v>6278</v>
      </c>
      <c r="BO73" s="890"/>
      <c r="BP73" s="1694" t="s">
        <v>6279</v>
      </c>
      <c r="BQ73" s="890"/>
      <c r="BR73" s="1658" t="s">
        <v>6280</v>
      </c>
      <c r="BS73" s="890"/>
      <c r="BT73" s="1727" t="s">
        <v>6281</v>
      </c>
      <c r="BV73" s="1685" t="s">
        <v>5907</v>
      </c>
      <c r="BW73" s="890"/>
      <c r="BX73" s="1688" t="s">
        <v>5908</v>
      </c>
      <c r="BY73" s="891"/>
      <c r="BZ73" s="890"/>
      <c r="CA73" s="890"/>
      <c r="CB73" s="890"/>
      <c r="CD73" s="890"/>
      <c r="CE73" s="893">
        <v>1</v>
      </c>
    </row>
    <row r="74" spans="1:83" s="904" customFormat="1" x14ac:dyDescent="0.25">
      <c r="A74" s="890"/>
      <c r="B74" s="1740"/>
      <c r="C74" s="890"/>
      <c r="D74" s="1692"/>
      <c r="E74" s="890"/>
      <c r="F74" s="1698"/>
      <c r="G74" s="890"/>
      <c r="H74" s="1701"/>
      <c r="I74" s="890"/>
      <c r="J74" s="1734"/>
      <c r="K74" s="890"/>
      <c r="L74" s="1731"/>
      <c r="M74" s="890"/>
      <c r="N74" s="1695"/>
      <c r="O74" s="890"/>
      <c r="P74" s="1659"/>
      <c r="Q74" s="890"/>
      <c r="R74" s="890"/>
      <c r="S74" s="1728"/>
      <c r="T74" s="891"/>
      <c r="U74" s="1686"/>
      <c r="V74" s="891"/>
      <c r="W74" s="1689"/>
      <c r="X74" s="891"/>
      <c r="Y74" s="890"/>
      <c r="Z74" s="890"/>
      <c r="AA74" s="890"/>
      <c r="AB74" s="890"/>
      <c r="AC74" s="890"/>
      <c r="AD74" s="1740" t="s">
        <v>5601</v>
      </c>
      <c r="AE74" s="890"/>
      <c r="AF74" s="1692" t="s">
        <v>5601</v>
      </c>
      <c r="AG74" s="890"/>
      <c r="AH74" s="1698" t="s">
        <v>5601</v>
      </c>
      <c r="AI74" s="890"/>
      <c r="AJ74" s="1701" t="s">
        <v>5601</v>
      </c>
      <c r="AK74" s="890"/>
      <c r="AL74" s="1734" t="s">
        <v>5601</v>
      </c>
      <c r="AM74" s="890"/>
      <c r="AN74" s="1731" t="s">
        <v>5601</v>
      </c>
      <c r="AO74" s="890"/>
      <c r="AP74" s="1695" t="s">
        <v>5601</v>
      </c>
      <c r="AQ74" s="890"/>
      <c r="AR74" s="1659" t="s">
        <v>5601</v>
      </c>
      <c r="AS74" s="890"/>
      <c r="AT74" s="1728" t="s">
        <v>5601</v>
      </c>
      <c r="AU74" s="890"/>
      <c r="AV74" s="1686" t="s">
        <v>5601</v>
      </c>
      <c r="AW74" s="890"/>
      <c r="AX74" s="1689" t="s">
        <v>5601</v>
      </c>
      <c r="AY74" s="890"/>
      <c r="AZ74" s="890"/>
      <c r="BA74" s="890"/>
      <c r="BB74" s="890"/>
      <c r="BC74" s="890"/>
      <c r="BD74" s="1740" t="s">
        <v>5601</v>
      </c>
      <c r="BE74" s="890"/>
      <c r="BF74" s="1692" t="s">
        <v>5601</v>
      </c>
      <c r="BG74" s="890"/>
      <c r="BH74" s="1698" t="s">
        <v>5601</v>
      </c>
      <c r="BI74" s="890"/>
      <c r="BJ74" s="1701" t="s">
        <v>5601</v>
      </c>
      <c r="BK74" s="890"/>
      <c r="BL74" s="1734" t="s">
        <v>5601</v>
      </c>
      <c r="BM74" s="890"/>
      <c r="BN74" s="1731" t="s">
        <v>5601</v>
      </c>
      <c r="BO74" s="890"/>
      <c r="BP74" s="1695" t="s">
        <v>5601</v>
      </c>
      <c r="BQ74" s="890"/>
      <c r="BR74" s="1659" t="s">
        <v>5601</v>
      </c>
      <c r="BS74" s="890"/>
      <c r="BT74" s="1728" t="s">
        <v>5601</v>
      </c>
      <c r="BV74" s="1686" t="s">
        <v>5601</v>
      </c>
      <c r="BW74" s="890"/>
      <c r="BX74" s="1689" t="s">
        <v>5601</v>
      </c>
      <c r="BY74" s="891"/>
      <c r="BZ74" s="890"/>
      <c r="CA74" s="890"/>
      <c r="CB74" s="890"/>
      <c r="CD74" s="890"/>
      <c r="CE74" s="893">
        <v>1</v>
      </c>
    </row>
    <row r="75" spans="1:83" s="904" customFormat="1" ht="15" customHeight="1" x14ac:dyDescent="0.25">
      <c r="A75" s="890"/>
      <c r="B75" s="1741"/>
      <c r="C75" s="890"/>
      <c r="D75" s="1693"/>
      <c r="E75" s="890"/>
      <c r="F75" s="1699"/>
      <c r="G75" s="890"/>
      <c r="H75" s="1702"/>
      <c r="I75" s="890"/>
      <c r="J75" s="1735"/>
      <c r="K75" s="890"/>
      <c r="L75" s="1732"/>
      <c r="M75" s="890"/>
      <c r="N75" s="1696"/>
      <c r="O75" s="890"/>
      <c r="P75" s="1660"/>
      <c r="Q75" s="890"/>
      <c r="R75" s="890"/>
      <c r="S75" s="1729"/>
      <c r="T75" s="891"/>
      <c r="U75" s="1687"/>
      <c r="V75" s="891"/>
      <c r="W75" s="1690"/>
      <c r="X75" s="891"/>
      <c r="Y75" s="890"/>
      <c r="Z75" s="890"/>
      <c r="AA75" s="890"/>
      <c r="AB75" s="890"/>
      <c r="AC75" s="890"/>
      <c r="AD75" s="1741" t="s">
        <v>5601</v>
      </c>
      <c r="AE75" s="890"/>
      <c r="AF75" s="1693" t="s">
        <v>5601</v>
      </c>
      <c r="AG75" s="890"/>
      <c r="AH75" s="1699" t="s">
        <v>5601</v>
      </c>
      <c r="AI75" s="890"/>
      <c r="AJ75" s="1702" t="s">
        <v>5601</v>
      </c>
      <c r="AK75" s="890"/>
      <c r="AL75" s="1735" t="s">
        <v>5601</v>
      </c>
      <c r="AM75" s="890"/>
      <c r="AN75" s="1732" t="s">
        <v>5601</v>
      </c>
      <c r="AO75" s="890"/>
      <c r="AP75" s="1696" t="s">
        <v>5601</v>
      </c>
      <c r="AQ75" s="890"/>
      <c r="AR75" s="1660" t="s">
        <v>5601</v>
      </c>
      <c r="AS75" s="890"/>
      <c r="AT75" s="1729" t="s">
        <v>5601</v>
      </c>
      <c r="AU75" s="890"/>
      <c r="AV75" s="1687" t="s">
        <v>5601</v>
      </c>
      <c r="AW75" s="890"/>
      <c r="AX75" s="1690" t="s">
        <v>5601</v>
      </c>
      <c r="AY75" s="890"/>
      <c r="AZ75" s="890"/>
      <c r="BA75" s="890"/>
      <c r="BB75" s="890"/>
      <c r="BC75" s="890"/>
      <c r="BD75" s="1741" t="s">
        <v>5601</v>
      </c>
      <c r="BE75" s="890"/>
      <c r="BF75" s="1693" t="s">
        <v>5601</v>
      </c>
      <c r="BG75" s="890"/>
      <c r="BH75" s="1699" t="s">
        <v>5601</v>
      </c>
      <c r="BI75" s="890"/>
      <c r="BJ75" s="1702" t="s">
        <v>5601</v>
      </c>
      <c r="BK75" s="890"/>
      <c r="BL75" s="1735" t="s">
        <v>5601</v>
      </c>
      <c r="BM75" s="890"/>
      <c r="BN75" s="1732" t="s">
        <v>5601</v>
      </c>
      <c r="BO75" s="890"/>
      <c r="BP75" s="1696" t="s">
        <v>5601</v>
      </c>
      <c r="BQ75" s="890"/>
      <c r="BR75" s="1660" t="s">
        <v>5601</v>
      </c>
      <c r="BS75" s="890"/>
      <c r="BT75" s="1729" t="s">
        <v>5601</v>
      </c>
      <c r="BV75" s="1687" t="s">
        <v>5601</v>
      </c>
      <c r="BW75" s="890"/>
      <c r="BX75" s="1690" t="s">
        <v>5601</v>
      </c>
      <c r="BY75" s="891"/>
      <c r="BZ75" s="890"/>
      <c r="CA75" s="890"/>
      <c r="CB75" s="890"/>
      <c r="CD75" s="890"/>
      <c r="CE75" s="893">
        <v>1</v>
      </c>
    </row>
    <row r="76" spans="1:83" s="904" customFormat="1" ht="18" customHeight="1" x14ac:dyDescent="0.25">
      <c r="A76" s="890"/>
      <c r="B76" s="890"/>
      <c r="C76" s="890"/>
      <c r="D76" s="890"/>
      <c r="E76" s="890"/>
      <c r="F76" s="890"/>
      <c r="G76" s="890"/>
      <c r="H76" s="890"/>
      <c r="I76" s="890"/>
      <c r="J76" s="890"/>
      <c r="K76" s="890"/>
      <c r="L76" s="890"/>
      <c r="M76" s="890"/>
      <c r="N76" s="890"/>
      <c r="O76" s="890"/>
      <c r="P76" s="890"/>
      <c r="Q76" s="890"/>
      <c r="R76" s="890"/>
      <c r="S76" s="920"/>
      <c r="T76" s="891"/>
      <c r="U76" s="890"/>
      <c r="V76" s="891"/>
      <c r="W76" s="890"/>
      <c r="X76" s="891"/>
      <c r="Y76" s="890"/>
      <c r="Z76" s="890"/>
      <c r="AA76" s="890"/>
      <c r="AB76" s="890"/>
      <c r="AC76" s="890"/>
      <c r="AD76" s="890"/>
      <c r="AE76" s="890"/>
      <c r="AF76" s="890"/>
      <c r="AG76" s="890"/>
      <c r="AH76" s="890"/>
      <c r="AI76" s="890"/>
      <c r="AJ76" s="890"/>
      <c r="AK76" s="890"/>
      <c r="AL76" s="890"/>
      <c r="AM76" s="890"/>
      <c r="AN76" s="890"/>
      <c r="AO76" s="890"/>
      <c r="AP76" s="890"/>
      <c r="AQ76" s="890"/>
      <c r="AR76" s="890"/>
      <c r="AS76" s="890"/>
      <c r="AT76" s="920"/>
      <c r="AU76" s="890"/>
      <c r="AV76" s="890"/>
      <c r="AW76" s="890"/>
      <c r="AX76" s="890"/>
      <c r="AY76" s="890"/>
      <c r="AZ76" s="890"/>
      <c r="BA76" s="890"/>
      <c r="BB76" s="890"/>
      <c r="BC76" s="890"/>
      <c r="BD76" s="890"/>
      <c r="BE76" s="890"/>
      <c r="BF76" s="890"/>
      <c r="BG76" s="890"/>
      <c r="BH76" s="890"/>
      <c r="BI76" s="890"/>
      <c r="BJ76" s="890"/>
      <c r="BK76" s="890"/>
      <c r="BL76" s="890"/>
      <c r="BM76" s="890"/>
      <c r="BN76" s="890"/>
      <c r="BO76" s="890"/>
      <c r="BP76" s="890"/>
      <c r="BQ76" s="890"/>
      <c r="BR76" s="890"/>
      <c r="BS76" s="890"/>
      <c r="BT76" s="920"/>
      <c r="BV76" s="890"/>
      <c r="BW76" s="890"/>
      <c r="BX76" s="890"/>
      <c r="BY76" s="891"/>
      <c r="BZ76" s="890"/>
      <c r="CA76" s="890"/>
      <c r="CB76" s="890"/>
      <c r="CD76" s="890"/>
      <c r="CE76" s="893"/>
    </row>
    <row r="77" spans="1:83" s="904" customFormat="1" x14ac:dyDescent="0.25">
      <c r="A77" s="890"/>
      <c r="B77" s="1742" t="s">
        <v>6282</v>
      </c>
      <c r="C77" s="890"/>
      <c r="D77" s="1691" t="s">
        <v>5909</v>
      </c>
      <c r="E77" s="890"/>
      <c r="F77" s="1697" t="s">
        <v>5910</v>
      </c>
      <c r="G77" s="890"/>
      <c r="H77" s="1700" t="s">
        <v>5911</v>
      </c>
      <c r="I77" s="890"/>
      <c r="J77" s="1733" t="s">
        <v>5912</v>
      </c>
      <c r="K77" s="890"/>
      <c r="L77" s="1730" t="s">
        <v>6283</v>
      </c>
      <c r="M77" s="890"/>
      <c r="N77" s="1694" t="s">
        <v>6284</v>
      </c>
      <c r="O77" s="890"/>
      <c r="P77" s="1658" t="s">
        <v>6285</v>
      </c>
      <c r="Q77" s="890"/>
      <c r="R77" s="890"/>
      <c r="S77" s="1727" t="s">
        <v>6286</v>
      </c>
      <c r="T77" s="891"/>
      <c r="U77" s="1685" t="s">
        <v>5913</v>
      </c>
      <c r="V77" s="891"/>
      <c r="W77" s="1688" t="s">
        <v>5914</v>
      </c>
      <c r="X77" s="891"/>
      <c r="Y77" s="890"/>
      <c r="Z77" s="890"/>
      <c r="AA77" s="890"/>
      <c r="AB77" s="890"/>
      <c r="AC77" s="890"/>
      <c r="AD77" s="1742" t="s">
        <v>6287</v>
      </c>
      <c r="AE77" s="890"/>
      <c r="AF77" s="1691" t="s">
        <v>5915</v>
      </c>
      <c r="AG77" s="890"/>
      <c r="AH77" s="1697" t="s">
        <v>5916</v>
      </c>
      <c r="AI77" s="890"/>
      <c r="AJ77" s="1700" t="s">
        <v>5917</v>
      </c>
      <c r="AK77" s="890"/>
      <c r="AL77" s="1733" t="s">
        <v>5918</v>
      </c>
      <c r="AM77" s="890"/>
      <c r="AN77" s="1730" t="s">
        <v>6288</v>
      </c>
      <c r="AO77" s="890"/>
      <c r="AP77" s="1694" t="s">
        <v>6289</v>
      </c>
      <c r="AQ77" s="890"/>
      <c r="AR77" s="1658" t="s">
        <v>6290</v>
      </c>
      <c r="AS77" s="890"/>
      <c r="AT77" s="1727" t="s">
        <v>6291</v>
      </c>
      <c r="AU77" s="890"/>
      <c r="AV77" s="1685" t="s">
        <v>5919</v>
      </c>
      <c r="AW77" s="890"/>
      <c r="AX77" s="1688" t="s">
        <v>5920</v>
      </c>
      <c r="AY77" s="890"/>
      <c r="AZ77" s="890"/>
      <c r="BA77" s="890"/>
      <c r="BB77" s="890"/>
      <c r="BC77" s="890"/>
      <c r="BD77" s="1742" t="s">
        <v>6292</v>
      </c>
      <c r="BE77" s="890"/>
      <c r="BF77" s="1691" t="s">
        <v>5921</v>
      </c>
      <c r="BG77" s="890"/>
      <c r="BH77" s="1697" t="s">
        <v>5922</v>
      </c>
      <c r="BI77" s="890"/>
      <c r="BJ77" s="1700" t="s">
        <v>5923</v>
      </c>
      <c r="BK77" s="890"/>
      <c r="BL77" s="1733" t="s">
        <v>5924</v>
      </c>
      <c r="BM77" s="890"/>
      <c r="BN77" s="1730" t="s">
        <v>6293</v>
      </c>
      <c r="BO77" s="890"/>
      <c r="BP77" s="1694" t="s">
        <v>6294</v>
      </c>
      <c r="BQ77" s="890"/>
      <c r="BR77" s="1658" t="s">
        <v>6295</v>
      </c>
      <c r="BS77" s="890"/>
      <c r="BT77" s="1727" t="s">
        <v>6296</v>
      </c>
      <c r="BV77" s="1685" t="s">
        <v>5925</v>
      </c>
      <c r="BW77" s="890"/>
      <c r="BX77" s="1688" t="s">
        <v>5926</v>
      </c>
      <c r="BY77" s="891"/>
      <c r="BZ77" s="890"/>
      <c r="CA77" s="890"/>
      <c r="CB77" s="890"/>
      <c r="CD77" s="890"/>
      <c r="CE77" s="893">
        <v>1</v>
      </c>
    </row>
    <row r="78" spans="1:83" s="904" customFormat="1" x14ac:dyDescent="0.25">
      <c r="B78" s="1743"/>
      <c r="C78" s="890"/>
      <c r="D78" s="1692"/>
      <c r="E78" s="890"/>
      <c r="F78" s="1698"/>
      <c r="G78" s="890"/>
      <c r="H78" s="1701"/>
      <c r="I78" s="890"/>
      <c r="J78" s="1734"/>
      <c r="K78" s="890"/>
      <c r="L78" s="1731"/>
      <c r="M78" s="890"/>
      <c r="N78" s="1695"/>
      <c r="O78" s="890"/>
      <c r="P78" s="1659"/>
      <c r="Q78" s="890"/>
      <c r="R78" s="890"/>
      <c r="S78" s="1728"/>
      <c r="T78" s="891"/>
      <c r="U78" s="1686"/>
      <c r="V78" s="891"/>
      <c r="W78" s="1689"/>
      <c r="X78" s="891"/>
      <c r="Y78" s="890"/>
      <c r="Z78" s="890"/>
      <c r="AA78" s="890"/>
      <c r="AB78" s="890"/>
      <c r="AC78" s="890"/>
      <c r="AD78" s="1743" t="s">
        <v>5601</v>
      </c>
      <c r="AE78" s="890"/>
      <c r="AF78" s="1692" t="s">
        <v>5601</v>
      </c>
      <c r="AG78" s="890"/>
      <c r="AH78" s="1698" t="s">
        <v>5601</v>
      </c>
      <c r="AI78" s="890"/>
      <c r="AJ78" s="1701" t="s">
        <v>5601</v>
      </c>
      <c r="AK78" s="890"/>
      <c r="AL78" s="1734" t="s">
        <v>5601</v>
      </c>
      <c r="AM78" s="890"/>
      <c r="AN78" s="1731" t="s">
        <v>5601</v>
      </c>
      <c r="AO78" s="890"/>
      <c r="AP78" s="1695" t="s">
        <v>5601</v>
      </c>
      <c r="AQ78" s="890"/>
      <c r="AR78" s="1659" t="s">
        <v>5601</v>
      </c>
      <c r="AS78" s="890"/>
      <c r="AT78" s="1728" t="s">
        <v>5601</v>
      </c>
      <c r="AU78" s="890"/>
      <c r="AV78" s="1686" t="s">
        <v>5601</v>
      </c>
      <c r="AW78" s="890"/>
      <c r="AX78" s="1689" t="s">
        <v>5601</v>
      </c>
      <c r="AY78" s="890"/>
      <c r="AZ78" s="890"/>
      <c r="BA78" s="890"/>
      <c r="BB78" s="890"/>
      <c r="BC78" s="890"/>
      <c r="BD78" s="1743" t="s">
        <v>5601</v>
      </c>
      <c r="BE78" s="890"/>
      <c r="BF78" s="1692" t="s">
        <v>5601</v>
      </c>
      <c r="BG78" s="890"/>
      <c r="BH78" s="1698" t="s">
        <v>5601</v>
      </c>
      <c r="BI78" s="890"/>
      <c r="BJ78" s="1701" t="s">
        <v>5601</v>
      </c>
      <c r="BK78" s="890"/>
      <c r="BL78" s="1734" t="s">
        <v>5601</v>
      </c>
      <c r="BM78" s="890"/>
      <c r="BN78" s="1731" t="s">
        <v>5601</v>
      </c>
      <c r="BO78" s="890"/>
      <c r="BP78" s="1695" t="s">
        <v>5601</v>
      </c>
      <c r="BQ78" s="890"/>
      <c r="BR78" s="1659" t="s">
        <v>5601</v>
      </c>
      <c r="BS78" s="890"/>
      <c r="BT78" s="1728" t="s">
        <v>5601</v>
      </c>
      <c r="BV78" s="1686" t="s">
        <v>5601</v>
      </c>
      <c r="BW78" s="890"/>
      <c r="BX78" s="1689" t="s">
        <v>5601</v>
      </c>
      <c r="BY78" s="891"/>
      <c r="BZ78" s="890"/>
      <c r="CA78" s="890"/>
      <c r="CB78" s="890"/>
      <c r="CD78" s="890"/>
      <c r="CE78" s="893">
        <v>1</v>
      </c>
    </row>
    <row r="79" spans="1:83" s="904" customFormat="1" ht="15" customHeight="1" x14ac:dyDescent="0.25">
      <c r="B79" s="1744"/>
      <c r="C79" s="890"/>
      <c r="D79" s="1693"/>
      <c r="E79" s="890"/>
      <c r="F79" s="1699"/>
      <c r="G79" s="890"/>
      <c r="H79" s="1702"/>
      <c r="I79" s="890"/>
      <c r="J79" s="1735"/>
      <c r="K79" s="890"/>
      <c r="L79" s="1732"/>
      <c r="M79" s="890"/>
      <c r="N79" s="1696"/>
      <c r="O79" s="890"/>
      <c r="P79" s="1660"/>
      <c r="Q79" s="890"/>
      <c r="R79" s="890"/>
      <c r="S79" s="1729"/>
      <c r="T79" s="891"/>
      <c r="U79" s="1687"/>
      <c r="V79" s="891"/>
      <c r="W79" s="1690"/>
      <c r="X79" s="891"/>
      <c r="Y79" s="890"/>
      <c r="Z79" s="890"/>
      <c r="AA79" s="890"/>
      <c r="AB79" s="890"/>
      <c r="AC79" s="890"/>
      <c r="AD79" s="1744" t="s">
        <v>5601</v>
      </c>
      <c r="AE79" s="890"/>
      <c r="AF79" s="1693" t="s">
        <v>5601</v>
      </c>
      <c r="AG79" s="890"/>
      <c r="AH79" s="1699" t="s">
        <v>5601</v>
      </c>
      <c r="AI79" s="890"/>
      <c r="AJ79" s="1702" t="s">
        <v>5601</v>
      </c>
      <c r="AK79" s="890"/>
      <c r="AL79" s="1735" t="s">
        <v>5601</v>
      </c>
      <c r="AM79" s="890"/>
      <c r="AN79" s="1732" t="s">
        <v>5601</v>
      </c>
      <c r="AO79" s="890"/>
      <c r="AP79" s="1696" t="s">
        <v>5601</v>
      </c>
      <c r="AQ79" s="890"/>
      <c r="AR79" s="1660" t="s">
        <v>5601</v>
      </c>
      <c r="AS79" s="890"/>
      <c r="AT79" s="1729" t="s">
        <v>5601</v>
      </c>
      <c r="AU79" s="890"/>
      <c r="AV79" s="1687" t="s">
        <v>5601</v>
      </c>
      <c r="AW79" s="890"/>
      <c r="AX79" s="1690" t="s">
        <v>5601</v>
      </c>
      <c r="AY79" s="890"/>
      <c r="AZ79" s="890"/>
      <c r="BA79" s="890"/>
      <c r="BB79" s="890"/>
      <c r="BC79" s="890"/>
      <c r="BD79" s="1744" t="s">
        <v>5601</v>
      </c>
      <c r="BE79" s="890"/>
      <c r="BF79" s="1693" t="s">
        <v>5601</v>
      </c>
      <c r="BG79" s="890"/>
      <c r="BH79" s="1699" t="s">
        <v>5601</v>
      </c>
      <c r="BI79" s="890"/>
      <c r="BJ79" s="1702" t="s">
        <v>5601</v>
      </c>
      <c r="BK79" s="890"/>
      <c r="BL79" s="1735" t="s">
        <v>5601</v>
      </c>
      <c r="BM79" s="890"/>
      <c r="BN79" s="1732" t="s">
        <v>5601</v>
      </c>
      <c r="BO79" s="890"/>
      <c r="BP79" s="1696" t="s">
        <v>5601</v>
      </c>
      <c r="BQ79" s="890"/>
      <c r="BR79" s="1660" t="s">
        <v>5601</v>
      </c>
      <c r="BS79" s="890"/>
      <c r="BT79" s="1729" t="s">
        <v>5601</v>
      </c>
      <c r="BV79" s="1687" t="s">
        <v>5601</v>
      </c>
      <c r="BW79" s="890"/>
      <c r="BX79" s="1690" t="s">
        <v>5601</v>
      </c>
      <c r="BY79" s="891"/>
      <c r="BZ79" s="890"/>
      <c r="CA79" s="890"/>
      <c r="CB79" s="890"/>
      <c r="CD79" s="890"/>
      <c r="CE79" s="893">
        <v>1</v>
      </c>
    </row>
    <row r="80" spans="1:83" s="904" customFormat="1" ht="18" customHeight="1" x14ac:dyDescent="0.25">
      <c r="B80" s="890"/>
      <c r="C80" s="890"/>
      <c r="D80" s="890"/>
      <c r="E80" s="890"/>
      <c r="F80" s="890"/>
      <c r="G80" s="890"/>
      <c r="H80" s="890"/>
      <c r="I80" s="890"/>
      <c r="J80" s="890"/>
      <c r="K80" s="890"/>
      <c r="L80" s="890"/>
      <c r="M80" s="890"/>
      <c r="N80" s="890"/>
      <c r="O80" s="890"/>
      <c r="P80" s="890"/>
      <c r="Q80" s="890"/>
      <c r="R80" s="890"/>
      <c r="S80" s="920"/>
      <c r="T80" s="891"/>
      <c r="U80" s="890"/>
      <c r="V80" s="891"/>
      <c r="W80" s="890"/>
      <c r="X80" s="891"/>
      <c r="Y80" s="890"/>
      <c r="Z80" s="890"/>
      <c r="AA80" s="890"/>
      <c r="AB80" s="890"/>
      <c r="AC80" s="890"/>
      <c r="AD80" s="890"/>
      <c r="AE80" s="890"/>
      <c r="AF80" s="890"/>
      <c r="AG80" s="890"/>
      <c r="AH80" s="890"/>
      <c r="AI80" s="890"/>
      <c r="AJ80" s="890"/>
      <c r="AK80" s="890"/>
      <c r="AL80" s="890"/>
      <c r="AM80" s="890"/>
      <c r="AN80" s="890"/>
      <c r="AO80" s="890"/>
      <c r="AP80" s="890"/>
      <c r="AQ80" s="890"/>
      <c r="AR80" s="890"/>
      <c r="AS80" s="890"/>
      <c r="AT80" s="920"/>
      <c r="AU80" s="890"/>
      <c r="AV80" s="890"/>
      <c r="AW80" s="890"/>
      <c r="AX80" s="890"/>
      <c r="AY80" s="890"/>
      <c r="AZ80" s="890"/>
      <c r="BA80" s="890"/>
      <c r="BB80" s="890"/>
      <c r="BC80" s="890"/>
      <c r="BD80" s="890"/>
      <c r="BE80" s="890"/>
      <c r="BF80" s="890"/>
      <c r="BG80" s="890"/>
      <c r="BH80" s="890"/>
      <c r="BI80" s="890"/>
      <c r="BJ80" s="890"/>
      <c r="BK80" s="890"/>
      <c r="BL80" s="890"/>
      <c r="BM80" s="890"/>
      <c r="BN80" s="890"/>
      <c r="BO80" s="890"/>
      <c r="BP80" s="890"/>
      <c r="BQ80" s="890"/>
      <c r="BR80" s="890"/>
      <c r="BS80" s="890"/>
      <c r="BT80" s="920"/>
      <c r="BV80" s="890"/>
      <c r="BW80" s="890"/>
      <c r="BX80" s="890"/>
      <c r="BY80" s="891"/>
      <c r="BZ80" s="890"/>
      <c r="CA80" s="890"/>
      <c r="CB80" s="890"/>
      <c r="CD80" s="890"/>
      <c r="CE80" s="893"/>
    </row>
    <row r="81" spans="2:83" s="904" customFormat="1" x14ac:dyDescent="0.25">
      <c r="B81" s="1745" t="s">
        <v>6297</v>
      </c>
      <c r="C81" s="890"/>
      <c r="D81" s="1691" t="s">
        <v>5927</v>
      </c>
      <c r="E81" s="890"/>
      <c r="F81" s="1697" t="s">
        <v>5928</v>
      </c>
      <c r="G81" s="890"/>
      <c r="H81" s="1700" t="s">
        <v>5929</v>
      </c>
      <c r="I81" s="890"/>
      <c r="J81" s="890"/>
      <c r="K81" s="890"/>
      <c r="L81" s="1730" t="s">
        <v>6298</v>
      </c>
      <c r="M81" s="890"/>
      <c r="N81" s="1694" t="s">
        <v>6299</v>
      </c>
      <c r="O81" s="890"/>
      <c r="P81" s="1658" t="s">
        <v>6300</v>
      </c>
      <c r="Q81" s="890"/>
      <c r="R81" s="890"/>
      <c r="S81" s="1727" t="s">
        <v>6301</v>
      </c>
      <c r="T81" s="891"/>
      <c r="U81" s="1685" t="s">
        <v>5930</v>
      </c>
      <c r="V81" s="891"/>
      <c r="W81" s="1688" t="s">
        <v>5931</v>
      </c>
      <c r="X81" s="891"/>
      <c r="Y81" s="890"/>
      <c r="Z81" s="890"/>
      <c r="AA81" s="890"/>
      <c r="AB81" s="890"/>
      <c r="AC81" s="890"/>
      <c r="AD81" s="1745" t="s">
        <v>6302</v>
      </c>
      <c r="AE81" s="890"/>
      <c r="AF81" s="1691" t="s">
        <v>5932</v>
      </c>
      <c r="AG81" s="890"/>
      <c r="AH81" s="1697" t="s">
        <v>5933</v>
      </c>
      <c r="AI81" s="890"/>
      <c r="AJ81" s="1700" t="s">
        <v>5934</v>
      </c>
      <c r="AK81" s="890"/>
      <c r="AL81" s="890"/>
      <c r="AM81" s="890"/>
      <c r="AN81" s="1730" t="s">
        <v>6303</v>
      </c>
      <c r="AO81" s="890"/>
      <c r="AP81" s="1694" t="s">
        <v>6304</v>
      </c>
      <c r="AQ81" s="890"/>
      <c r="AR81" s="1658" t="s">
        <v>6305</v>
      </c>
      <c r="AS81" s="890"/>
      <c r="AT81" s="1727" t="s">
        <v>6306</v>
      </c>
      <c r="AU81" s="890"/>
      <c r="AV81" s="1685" t="s">
        <v>5935</v>
      </c>
      <c r="AW81" s="890"/>
      <c r="AX81" s="1688" t="s">
        <v>5936</v>
      </c>
      <c r="AY81" s="890"/>
      <c r="AZ81" s="890"/>
      <c r="BA81" s="890"/>
      <c r="BB81" s="890"/>
      <c r="BC81" s="890"/>
      <c r="BD81" s="1745" t="s">
        <v>6307</v>
      </c>
      <c r="BE81" s="890"/>
      <c r="BF81" s="1691" t="s">
        <v>5937</v>
      </c>
      <c r="BG81" s="890"/>
      <c r="BH81" s="1697" t="s">
        <v>5938</v>
      </c>
      <c r="BI81" s="890"/>
      <c r="BJ81" s="1700" t="s">
        <v>5939</v>
      </c>
      <c r="BK81" s="890"/>
      <c r="BL81" s="890"/>
      <c r="BM81" s="890"/>
      <c r="BN81" s="1730" t="s">
        <v>6308</v>
      </c>
      <c r="BO81" s="890"/>
      <c r="BP81" s="1694" t="s">
        <v>6309</v>
      </c>
      <c r="BQ81" s="890"/>
      <c r="BR81" s="1658" t="s">
        <v>6310</v>
      </c>
      <c r="BS81" s="890"/>
      <c r="BT81" s="1727" t="s">
        <v>6311</v>
      </c>
      <c r="BV81" s="1685" t="s">
        <v>5940</v>
      </c>
      <c r="BW81" s="890"/>
      <c r="BX81" s="1688" t="s">
        <v>5941</v>
      </c>
      <c r="BY81" s="891"/>
      <c r="BZ81" s="890"/>
      <c r="CA81" s="890"/>
      <c r="CB81" s="890"/>
      <c r="CD81" s="890"/>
      <c r="CE81" s="893">
        <v>1</v>
      </c>
    </row>
    <row r="82" spans="2:83" s="904" customFormat="1" x14ac:dyDescent="0.25">
      <c r="B82" s="1746"/>
      <c r="C82" s="890"/>
      <c r="D82" s="1692"/>
      <c r="E82" s="890"/>
      <c r="F82" s="1698"/>
      <c r="G82" s="890"/>
      <c r="H82" s="1701"/>
      <c r="I82" s="890"/>
      <c r="J82" s="890"/>
      <c r="K82" s="890"/>
      <c r="L82" s="1731"/>
      <c r="M82" s="890"/>
      <c r="N82" s="1695"/>
      <c r="O82" s="890"/>
      <c r="P82" s="1659"/>
      <c r="Q82" s="890"/>
      <c r="R82" s="890"/>
      <c r="S82" s="1728"/>
      <c r="T82" s="891"/>
      <c r="U82" s="1686"/>
      <c r="V82" s="891"/>
      <c r="W82" s="1689"/>
      <c r="X82" s="891"/>
      <c r="Y82" s="890"/>
      <c r="Z82" s="890"/>
      <c r="AA82" s="890"/>
      <c r="AB82" s="890"/>
      <c r="AC82" s="890"/>
      <c r="AD82" s="1746" t="s">
        <v>5601</v>
      </c>
      <c r="AE82" s="890"/>
      <c r="AF82" s="1692" t="s">
        <v>5601</v>
      </c>
      <c r="AG82" s="890"/>
      <c r="AH82" s="1698" t="s">
        <v>5601</v>
      </c>
      <c r="AI82" s="890"/>
      <c r="AJ82" s="1701" t="s">
        <v>5601</v>
      </c>
      <c r="AK82" s="890"/>
      <c r="AL82" s="890"/>
      <c r="AM82" s="890"/>
      <c r="AN82" s="1731" t="s">
        <v>5601</v>
      </c>
      <c r="AO82" s="890"/>
      <c r="AP82" s="1695" t="s">
        <v>5601</v>
      </c>
      <c r="AQ82" s="890"/>
      <c r="AR82" s="1659" t="s">
        <v>5601</v>
      </c>
      <c r="AS82" s="890"/>
      <c r="AT82" s="1728" t="s">
        <v>5601</v>
      </c>
      <c r="AU82" s="890"/>
      <c r="AV82" s="1686" t="s">
        <v>5601</v>
      </c>
      <c r="AW82" s="890"/>
      <c r="AX82" s="1689" t="s">
        <v>5601</v>
      </c>
      <c r="AY82" s="890"/>
      <c r="AZ82" s="890"/>
      <c r="BA82" s="890"/>
      <c r="BB82" s="890"/>
      <c r="BC82" s="890"/>
      <c r="BD82" s="1746" t="s">
        <v>5601</v>
      </c>
      <c r="BE82" s="890"/>
      <c r="BF82" s="1692" t="s">
        <v>5601</v>
      </c>
      <c r="BG82" s="890"/>
      <c r="BH82" s="1698" t="s">
        <v>5601</v>
      </c>
      <c r="BI82" s="890"/>
      <c r="BJ82" s="1701" t="s">
        <v>5601</v>
      </c>
      <c r="BK82" s="890"/>
      <c r="BL82" s="890"/>
      <c r="BM82" s="890"/>
      <c r="BN82" s="1731" t="s">
        <v>5601</v>
      </c>
      <c r="BO82" s="890"/>
      <c r="BP82" s="1695" t="s">
        <v>5601</v>
      </c>
      <c r="BQ82" s="890"/>
      <c r="BR82" s="1659" t="s">
        <v>5601</v>
      </c>
      <c r="BS82" s="890"/>
      <c r="BT82" s="1728" t="s">
        <v>5601</v>
      </c>
      <c r="BV82" s="1686" t="s">
        <v>5601</v>
      </c>
      <c r="BW82" s="890"/>
      <c r="BX82" s="1689" t="s">
        <v>5601</v>
      </c>
      <c r="BY82" s="891"/>
      <c r="BZ82" s="890"/>
      <c r="CA82" s="890"/>
      <c r="CB82" s="890"/>
      <c r="CD82" s="890"/>
      <c r="CE82" s="893">
        <v>1</v>
      </c>
    </row>
    <row r="83" spans="2:83" s="904" customFormat="1" ht="15" customHeight="1" x14ac:dyDescent="0.25">
      <c r="B83" s="1747"/>
      <c r="C83" s="890"/>
      <c r="D83" s="1693"/>
      <c r="E83" s="890"/>
      <c r="F83" s="1699"/>
      <c r="G83" s="890"/>
      <c r="H83" s="1702"/>
      <c r="I83" s="890"/>
      <c r="J83" s="890"/>
      <c r="K83" s="890"/>
      <c r="L83" s="1732"/>
      <c r="M83" s="890"/>
      <c r="N83" s="1696"/>
      <c r="O83" s="890"/>
      <c r="P83" s="1660"/>
      <c r="Q83" s="890"/>
      <c r="R83" s="890"/>
      <c r="S83" s="1729"/>
      <c r="T83" s="891"/>
      <c r="U83" s="1687"/>
      <c r="V83" s="891"/>
      <c r="W83" s="1690"/>
      <c r="X83" s="891"/>
      <c r="Y83" s="890"/>
      <c r="Z83" s="890"/>
      <c r="AA83" s="890"/>
      <c r="AB83" s="890"/>
      <c r="AC83" s="890"/>
      <c r="AD83" s="1747" t="s">
        <v>5601</v>
      </c>
      <c r="AE83" s="890"/>
      <c r="AF83" s="1693" t="s">
        <v>5601</v>
      </c>
      <c r="AG83" s="890"/>
      <c r="AH83" s="1699" t="s">
        <v>5601</v>
      </c>
      <c r="AI83" s="890"/>
      <c r="AJ83" s="1702" t="s">
        <v>5601</v>
      </c>
      <c r="AK83" s="890"/>
      <c r="AL83" s="890"/>
      <c r="AM83" s="890"/>
      <c r="AN83" s="1732" t="s">
        <v>5601</v>
      </c>
      <c r="AO83" s="890"/>
      <c r="AP83" s="1696" t="s">
        <v>5601</v>
      </c>
      <c r="AQ83" s="890"/>
      <c r="AR83" s="1660" t="s">
        <v>5601</v>
      </c>
      <c r="AS83" s="890"/>
      <c r="AT83" s="1729" t="s">
        <v>5601</v>
      </c>
      <c r="AU83" s="890"/>
      <c r="AV83" s="1687" t="s">
        <v>5601</v>
      </c>
      <c r="AW83" s="890"/>
      <c r="AX83" s="1690" t="s">
        <v>5601</v>
      </c>
      <c r="AY83" s="890"/>
      <c r="AZ83" s="890"/>
      <c r="BA83" s="890"/>
      <c r="BB83" s="890"/>
      <c r="BC83" s="890"/>
      <c r="BD83" s="1747" t="s">
        <v>5601</v>
      </c>
      <c r="BE83" s="890"/>
      <c r="BF83" s="1693" t="s">
        <v>5601</v>
      </c>
      <c r="BG83" s="890"/>
      <c r="BH83" s="1699" t="s">
        <v>5601</v>
      </c>
      <c r="BI83" s="890"/>
      <c r="BJ83" s="1702" t="s">
        <v>5601</v>
      </c>
      <c r="BK83" s="890"/>
      <c r="BL83" s="890"/>
      <c r="BM83" s="890"/>
      <c r="BN83" s="1732" t="s">
        <v>5601</v>
      </c>
      <c r="BO83" s="890"/>
      <c r="BP83" s="1696" t="s">
        <v>5601</v>
      </c>
      <c r="BQ83" s="890"/>
      <c r="BR83" s="1660" t="s">
        <v>5601</v>
      </c>
      <c r="BS83" s="890"/>
      <c r="BT83" s="1729" t="s">
        <v>5601</v>
      </c>
      <c r="BV83" s="1687" t="s">
        <v>5601</v>
      </c>
      <c r="BW83" s="890"/>
      <c r="BX83" s="1690" t="s">
        <v>5601</v>
      </c>
      <c r="BY83" s="891"/>
      <c r="BZ83" s="890"/>
      <c r="CA83" s="890"/>
      <c r="CB83" s="890"/>
      <c r="CD83" s="890"/>
      <c r="CE83" s="893">
        <v>1</v>
      </c>
    </row>
    <row r="84" spans="2:83" s="904" customFormat="1" ht="18" customHeight="1" x14ac:dyDescent="0.25">
      <c r="B84" s="890"/>
      <c r="C84" s="890"/>
      <c r="D84" s="890"/>
      <c r="E84" s="890"/>
      <c r="F84" s="890"/>
      <c r="G84" s="890"/>
      <c r="H84" s="890"/>
      <c r="I84" s="890"/>
      <c r="J84" s="890"/>
      <c r="K84" s="890"/>
      <c r="L84" s="890"/>
      <c r="M84" s="890"/>
      <c r="N84" s="890"/>
      <c r="O84" s="890"/>
      <c r="P84" s="890"/>
      <c r="Q84" s="890"/>
      <c r="R84" s="890"/>
      <c r="S84" s="920"/>
      <c r="T84" s="891"/>
      <c r="U84" s="890"/>
      <c r="V84" s="891"/>
      <c r="W84" s="890"/>
      <c r="X84" s="891"/>
      <c r="Y84" s="890"/>
      <c r="Z84" s="890"/>
      <c r="AA84" s="890"/>
      <c r="AB84" s="890"/>
      <c r="AC84" s="890"/>
      <c r="AD84" s="890"/>
      <c r="AE84" s="890"/>
      <c r="AF84" s="890"/>
      <c r="AG84" s="890"/>
      <c r="AH84" s="890"/>
      <c r="AI84" s="890"/>
      <c r="AJ84" s="890"/>
      <c r="AK84" s="890"/>
      <c r="AL84" s="890"/>
      <c r="AM84" s="890"/>
      <c r="AN84" s="890"/>
      <c r="AO84" s="890"/>
      <c r="AP84" s="890"/>
      <c r="AQ84" s="890"/>
      <c r="AR84" s="890"/>
      <c r="AS84" s="890"/>
      <c r="AT84" s="920"/>
      <c r="AU84" s="890"/>
      <c r="AV84" s="890"/>
      <c r="AW84" s="890"/>
      <c r="AX84" s="890"/>
      <c r="AY84" s="890"/>
      <c r="AZ84" s="890"/>
      <c r="BA84" s="890"/>
      <c r="BB84" s="890"/>
      <c r="BC84" s="890"/>
      <c r="BD84" s="890"/>
      <c r="BE84" s="890"/>
      <c r="BF84" s="890"/>
      <c r="BG84" s="890"/>
      <c r="BH84" s="890"/>
      <c r="BI84" s="890"/>
      <c r="BJ84" s="890"/>
      <c r="BK84" s="890"/>
      <c r="BL84" s="890"/>
      <c r="BM84" s="890"/>
      <c r="BN84" s="890"/>
      <c r="BO84" s="890"/>
      <c r="BP84" s="890"/>
      <c r="BQ84" s="890"/>
      <c r="BR84" s="890"/>
      <c r="BS84" s="890"/>
      <c r="BT84" s="920"/>
      <c r="BV84" s="890"/>
      <c r="BW84" s="890"/>
      <c r="BX84" s="890"/>
      <c r="BY84" s="891"/>
      <c r="BZ84" s="890"/>
      <c r="CA84" s="890"/>
      <c r="CB84" s="890"/>
      <c r="CD84" s="890"/>
      <c r="CE84" s="893"/>
    </row>
    <row r="85" spans="2:83" s="904" customFormat="1" x14ac:dyDescent="0.25">
      <c r="B85" s="1592" t="s">
        <v>6312</v>
      </c>
      <c r="C85" s="890"/>
      <c r="D85" s="1691" t="s">
        <v>5942</v>
      </c>
      <c r="E85" s="890"/>
      <c r="F85" s="1697" t="s">
        <v>5943</v>
      </c>
      <c r="G85" s="890"/>
      <c r="H85" s="1700" t="s">
        <v>5944</v>
      </c>
      <c r="I85" s="890"/>
      <c r="J85" s="890"/>
      <c r="K85" s="890"/>
      <c r="L85" s="1730" t="s">
        <v>6313</v>
      </c>
      <c r="M85" s="890"/>
      <c r="N85" s="1694" t="s">
        <v>6314</v>
      </c>
      <c r="O85" s="890"/>
      <c r="P85" s="1658" t="s">
        <v>6315</v>
      </c>
      <c r="Q85" s="890"/>
      <c r="R85" s="890"/>
      <c r="S85" s="1727" t="s">
        <v>6316</v>
      </c>
      <c r="T85" s="891"/>
      <c r="U85" s="1685" t="s">
        <v>5945</v>
      </c>
      <c r="V85" s="891"/>
      <c r="W85" s="1688" t="s">
        <v>5936</v>
      </c>
      <c r="X85" s="891"/>
      <c r="Y85" s="890"/>
      <c r="Z85" s="890"/>
      <c r="AA85" s="890"/>
      <c r="AB85" s="890"/>
      <c r="AC85" s="890"/>
      <c r="AD85" s="1592" t="s">
        <v>6317</v>
      </c>
      <c r="AE85" s="890"/>
      <c r="AF85" s="1691" t="s">
        <v>5946</v>
      </c>
      <c r="AG85" s="890"/>
      <c r="AH85" s="1697" t="s">
        <v>5947</v>
      </c>
      <c r="AI85" s="890"/>
      <c r="AJ85" s="1700" t="s">
        <v>5948</v>
      </c>
      <c r="AK85" s="890"/>
      <c r="AL85" s="890"/>
      <c r="AM85" s="890"/>
      <c r="AN85" s="1730" t="s">
        <v>6318</v>
      </c>
      <c r="AO85" s="890"/>
      <c r="AP85" s="1694" t="s">
        <v>6319</v>
      </c>
      <c r="AQ85" s="890"/>
      <c r="AR85" s="1658" t="s">
        <v>6320</v>
      </c>
      <c r="AS85" s="890"/>
      <c r="AT85" s="1727" t="s">
        <v>6321</v>
      </c>
      <c r="AU85" s="890"/>
      <c r="AV85" s="1685" t="s">
        <v>5949</v>
      </c>
      <c r="AW85" s="890"/>
      <c r="AX85" s="1688" t="s">
        <v>5950</v>
      </c>
      <c r="AY85" s="890"/>
      <c r="AZ85" s="890"/>
      <c r="BA85" s="890"/>
      <c r="BB85" s="890"/>
      <c r="BC85" s="890"/>
      <c r="BD85" s="1592" t="s">
        <v>6322</v>
      </c>
      <c r="BE85" s="890"/>
      <c r="BF85" s="1691" t="s">
        <v>5951</v>
      </c>
      <c r="BG85" s="890"/>
      <c r="BH85" s="1697" t="s">
        <v>5952</v>
      </c>
      <c r="BI85" s="890"/>
      <c r="BJ85" s="1700" t="s">
        <v>5953</v>
      </c>
      <c r="BK85" s="890"/>
      <c r="BL85" s="890"/>
      <c r="BM85" s="890"/>
      <c r="BN85" s="1730" t="s">
        <v>6323</v>
      </c>
      <c r="BO85" s="890"/>
      <c r="BP85" s="1694" t="s">
        <v>6324</v>
      </c>
      <c r="BQ85" s="890"/>
      <c r="BR85" s="1658" t="s">
        <v>6325</v>
      </c>
      <c r="BS85" s="890"/>
      <c r="BT85" s="1727" t="s">
        <v>6301</v>
      </c>
      <c r="BV85" s="1685" t="s">
        <v>5954</v>
      </c>
      <c r="BW85" s="890"/>
      <c r="BX85" s="1688" t="s">
        <v>5955</v>
      </c>
      <c r="BY85" s="891"/>
      <c r="BZ85" s="890"/>
      <c r="CA85" s="890"/>
      <c r="CB85" s="890"/>
      <c r="CD85" s="890"/>
      <c r="CE85" s="893">
        <v>1</v>
      </c>
    </row>
    <row r="86" spans="2:83" s="904" customFormat="1" x14ac:dyDescent="0.25">
      <c r="B86" s="1593"/>
      <c r="C86" s="890"/>
      <c r="D86" s="1692"/>
      <c r="E86" s="890"/>
      <c r="F86" s="1698"/>
      <c r="G86" s="890"/>
      <c r="H86" s="1701"/>
      <c r="I86" s="890"/>
      <c r="J86" s="890"/>
      <c r="K86" s="890"/>
      <c r="L86" s="1731"/>
      <c r="M86" s="890"/>
      <c r="N86" s="1695"/>
      <c r="O86" s="890"/>
      <c r="P86" s="1659"/>
      <c r="Q86" s="890"/>
      <c r="R86" s="890"/>
      <c r="S86" s="1728"/>
      <c r="T86" s="891"/>
      <c r="U86" s="1686"/>
      <c r="V86" s="891"/>
      <c r="W86" s="1689"/>
      <c r="X86" s="891"/>
      <c r="Y86" s="890"/>
      <c r="Z86" s="890"/>
      <c r="AA86" s="890"/>
      <c r="AB86" s="890"/>
      <c r="AC86" s="890"/>
      <c r="AD86" s="1593" t="s">
        <v>5601</v>
      </c>
      <c r="AE86" s="890"/>
      <c r="AF86" s="1692" t="s">
        <v>5601</v>
      </c>
      <c r="AG86" s="890"/>
      <c r="AH86" s="1698" t="s">
        <v>5601</v>
      </c>
      <c r="AI86" s="890"/>
      <c r="AJ86" s="1701" t="s">
        <v>5601</v>
      </c>
      <c r="AK86" s="890"/>
      <c r="AL86" s="890"/>
      <c r="AM86" s="890"/>
      <c r="AN86" s="1731" t="s">
        <v>5601</v>
      </c>
      <c r="AO86" s="890"/>
      <c r="AP86" s="1695" t="s">
        <v>5601</v>
      </c>
      <c r="AQ86" s="890"/>
      <c r="AR86" s="1659" t="s">
        <v>5601</v>
      </c>
      <c r="AS86" s="890"/>
      <c r="AT86" s="1728" t="s">
        <v>5601</v>
      </c>
      <c r="AU86" s="890"/>
      <c r="AV86" s="1686" t="s">
        <v>5601</v>
      </c>
      <c r="AW86" s="890"/>
      <c r="AX86" s="1689" t="s">
        <v>5601</v>
      </c>
      <c r="AY86" s="890"/>
      <c r="AZ86" s="890"/>
      <c r="BA86" s="890"/>
      <c r="BB86" s="890"/>
      <c r="BC86" s="890"/>
      <c r="BD86" s="1593" t="s">
        <v>5601</v>
      </c>
      <c r="BE86" s="890"/>
      <c r="BF86" s="1692" t="s">
        <v>5601</v>
      </c>
      <c r="BG86" s="890"/>
      <c r="BH86" s="1698" t="s">
        <v>5601</v>
      </c>
      <c r="BI86" s="890"/>
      <c r="BJ86" s="1701" t="s">
        <v>5601</v>
      </c>
      <c r="BK86" s="890"/>
      <c r="BL86" s="890"/>
      <c r="BM86" s="890"/>
      <c r="BN86" s="1731" t="s">
        <v>5601</v>
      </c>
      <c r="BO86" s="890"/>
      <c r="BP86" s="1695" t="s">
        <v>5601</v>
      </c>
      <c r="BQ86" s="890"/>
      <c r="BR86" s="1659" t="s">
        <v>5601</v>
      </c>
      <c r="BS86" s="890"/>
      <c r="BT86" s="1728" t="s">
        <v>5601</v>
      </c>
      <c r="BV86" s="1686" t="s">
        <v>5601</v>
      </c>
      <c r="BW86" s="890"/>
      <c r="BX86" s="1689" t="s">
        <v>5601</v>
      </c>
      <c r="BY86" s="891"/>
      <c r="BZ86" s="890"/>
      <c r="CA86" s="890"/>
      <c r="CB86" s="890"/>
      <c r="CD86" s="890"/>
      <c r="CE86" s="893">
        <v>1</v>
      </c>
    </row>
    <row r="87" spans="2:83" s="904" customFormat="1" ht="15" customHeight="1" x14ac:dyDescent="0.25">
      <c r="B87" s="1594"/>
      <c r="C87" s="890"/>
      <c r="D87" s="1693"/>
      <c r="E87" s="890"/>
      <c r="F87" s="1699"/>
      <c r="G87" s="890"/>
      <c r="H87" s="1702"/>
      <c r="I87" s="890"/>
      <c r="J87" s="890"/>
      <c r="K87" s="890"/>
      <c r="L87" s="1732"/>
      <c r="M87" s="890"/>
      <c r="N87" s="1696"/>
      <c r="O87" s="890"/>
      <c r="P87" s="1660"/>
      <c r="Q87" s="890"/>
      <c r="R87" s="890"/>
      <c r="S87" s="1729"/>
      <c r="T87" s="891"/>
      <c r="U87" s="1687"/>
      <c r="V87" s="891"/>
      <c r="W87" s="1690"/>
      <c r="X87" s="891"/>
      <c r="Y87" s="890"/>
      <c r="Z87" s="890"/>
      <c r="AA87" s="890"/>
      <c r="AB87" s="890"/>
      <c r="AC87" s="890"/>
      <c r="AD87" s="1594" t="s">
        <v>5601</v>
      </c>
      <c r="AE87" s="890"/>
      <c r="AF87" s="1693" t="s">
        <v>5601</v>
      </c>
      <c r="AG87" s="890"/>
      <c r="AH87" s="1699" t="s">
        <v>5601</v>
      </c>
      <c r="AI87" s="890"/>
      <c r="AJ87" s="1702" t="s">
        <v>5601</v>
      </c>
      <c r="AK87" s="890"/>
      <c r="AL87" s="890"/>
      <c r="AM87" s="890"/>
      <c r="AN87" s="1732" t="s">
        <v>5601</v>
      </c>
      <c r="AO87" s="890"/>
      <c r="AP87" s="1696" t="s">
        <v>5601</v>
      </c>
      <c r="AQ87" s="890"/>
      <c r="AR87" s="1660" t="s">
        <v>5601</v>
      </c>
      <c r="AS87" s="890"/>
      <c r="AT87" s="1729" t="s">
        <v>5601</v>
      </c>
      <c r="AU87" s="890"/>
      <c r="AV87" s="1687" t="s">
        <v>5601</v>
      </c>
      <c r="AW87" s="890"/>
      <c r="AX87" s="1690" t="s">
        <v>5601</v>
      </c>
      <c r="AY87" s="890"/>
      <c r="AZ87" s="890"/>
      <c r="BA87" s="890"/>
      <c r="BB87" s="890"/>
      <c r="BC87" s="890"/>
      <c r="BD87" s="1594" t="s">
        <v>5601</v>
      </c>
      <c r="BE87" s="890"/>
      <c r="BF87" s="1693" t="s">
        <v>5601</v>
      </c>
      <c r="BG87" s="890"/>
      <c r="BH87" s="1699" t="s">
        <v>5601</v>
      </c>
      <c r="BI87" s="890"/>
      <c r="BJ87" s="1702" t="s">
        <v>5601</v>
      </c>
      <c r="BK87" s="890"/>
      <c r="BL87" s="890"/>
      <c r="BM87" s="890"/>
      <c r="BN87" s="1732" t="s">
        <v>5601</v>
      </c>
      <c r="BO87" s="890"/>
      <c r="BP87" s="1696" t="s">
        <v>5601</v>
      </c>
      <c r="BQ87" s="890"/>
      <c r="BR87" s="1660" t="s">
        <v>5601</v>
      </c>
      <c r="BS87" s="890"/>
      <c r="BT87" s="1729" t="s">
        <v>5601</v>
      </c>
      <c r="BV87" s="1687" t="s">
        <v>5601</v>
      </c>
      <c r="BW87" s="890"/>
      <c r="BX87" s="1690" t="s">
        <v>5601</v>
      </c>
      <c r="BY87" s="891"/>
      <c r="BZ87" s="890"/>
      <c r="CA87" s="890"/>
      <c r="CB87" s="890"/>
      <c r="CD87" s="890"/>
      <c r="CE87" s="893">
        <v>1</v>
      </c>
    </row>
    <row r="88" spans="2:83" s="904" customFormat="1" ht="18" customHeight="1" x14ac:dyDescent="0.25">
      <c r="B88" s="890"/>
      <c r="C88" s="890"/>
      <c r="D88" s="890"/>
      <c r="E88" s="890"/>
      <c r="F88" s="890"/>
      <c r="G88" s="890"/>
      <c r="H88" s="890"/>
      <c r="I88" s="890"/>
      <c r="J88" s="890"/>
      <c r="K88" s="890"/>
      <c r="L88" s="890"/>
      <c r="M88" s="890"/>
      <c r="N88" s="890"/>
      <c r="O88" s="890"/>
      <c r="P88" s="890"/>
      <c r="Q88" s="890"/>
      <c r="R88" s="890"/>
      <c r="S88" s="920"/>
      <c r="T88" s="891"/>
      <c r="U88" s="890"/>
      <c r="V88" s="891"/>
      <c r="W88" s="890"/>
      <c r="X88" s="891"/>
      <c r="Y88" s="890"/>
      <c r="Z88" s="890"/>
      <c r="AA88" s="890"/>
      <c r="AB88" s="890"/>
      <c r="AC88" s="890"/>
      <c r="AD88" s="890"/>
      <c r="AE88" s="890"/>
      <c r="AF88" s="890"/>
      <c r="AG88" s="890"/>
      <c r="AH88" s="890"/>
      <c r="AI88" s="890"/>
      <c r="AJ88" s="890"/>
      <c r="AK88" s="890"/>
      <c r="AL88" s="890"/>
      <c r="AM88" s="890"/>
      <c r="AN88" s="890"/>
      <c r="AO88" s="890"/>
      <c r="AP88" s="890"/>
      <c r="AQ88" s="890"/>
      <c r="AR88" s="890"/>
      <c r="AS88" s="890"/>
      <c r="AT88" s="920"/>
      <c r="AU88" s="890"/>
      <c r="AV88" s="890"/>
      <c r="AW88" s="890"/>
      <c r="AX88" s="890"/>
      <c r="AY88" s="890"/>
      <c r="AZ88" s="890"/>
      <c r="BA88" s="890"/>
      <c r="BB88" s="890"/>
      <c r="BC88" s="890"/>
      <c r="BD88" s="890"/>
      <c r="BE88" s="890"/>
      <c r="BF88" s="890"/>
      <c r="BG88" s="890"/>
      <c r="BH88" s="890"/>
      <c r="BI88" s="890"/>
      <c r="BJ88" s="890"/>
      <c r="BK88" s="890"/>
      <c r="BL88" s="890"/>
      <c r="BM88" s="890"/>
      <c r="BN88" s="890"/>
      <c r="BO88" s="890"/>
      <c r="BP88" s="890"/>
      <c r="BQ88" s="890"/>
      <c r="BR88" s="890"/>
      <c r="BS88" s="890"/>
      <c r="BT88" s="920"/>
      <c r="BV88" s="890"/>
      <c r="BW88" s="890"/>
      <c r="BX88" s="890"/>
      <c r="BY88" s="891"/>
      <c r="BZ88" s="890"/>
      <c r="CA88" s="890"/>
      <c r="CB88" s="890"/>
      <c r="CD88" s="890"/>
      <c r="CE88" s="893"/>
    </row>
    <row r="89" spans="2:83" s="904" customFormat="1" x14ac:dyDescent="0.25">
      <c r="B89" s="1601" t="s">
        <v>6548</v>
      </c>
      <c r="C89" s="890"/>
      <c r="D89" s="1691" t="s">
        <v>5956</v>
      </c>
      <c r="E89" s="890"/>
      <c r="F89" s="1697" t="s">
        <v>5957</v>
      </c>
      <c r="G89" s="890"/>
      <c r="H89" s="1700" t="s">
        <v>5958</v>
      </c>
      <c r="I89" s="890"/>
      <c r="J89" s="890"/>
      <c r="K89" s="890"/>
      <c r="L89" s="1730" t="s">
        <v>6326</v>
      </c>
      <c r="M89" s="890"/>
      <c r="N89" s="1694" t="s">
        <v>6327</v>
      </c>
      <c r="O89" s="890"/>
      <c r="P89" s="1658" t="s">
        <v>6328</v>
      </c>
      <c r="Q89" s="890"/>
      <c r="R89" s="890"/>
      <c r="S89" s="1727" t="s">
        <v>6329</v>
      </c>
      <c r="T89" s="891"/>
      <c r="U89" s="1685" t="s">
        <v>5959</v>
      </c>
      <c r="V89" s="891"/>
      <c r="W89" s="1688" t="s">
        <v>5950</v>
      </c>
      <c r="X89" s="891"/>
      <c r="Y89" s="890"/>
      <c r="Z89" s="890"/>
      <c r="AA89" s="890"/>
      <c r="AB89" s="890"/>
      <c r="AC89" s="890"/>
      <c r="AD89" s="1601" t="s">
        <v>6330</v>
      </c>
      <c r="AE89" s="890"/>
      <c r="AF89" s="1691" t="s">
        <v>5960</v>
      </c>
      <c r="AG89" s="890"/>
      <c r="AH89" s="1697" t="s">
        <v>5961</v>
      </c>
      <c r="AI89" s="890"/>
      <c r="AJ89" s="1700" t="s">
        <v>5962</v>
      </c>
      <c r="AK89" s="890"/>
      <c r="AL89" s="890"/>
      <c r="AM89" s="890"/>
      <c r="AN89" s="1730" t="s">
        <v>6331</v>
      </c>
      <c r="AO89" s="890"/>
      <c r="AP89" s="1694" t="s">
        <v>6332</v>
      </c>
      <c r="AQ89" s="890"/>
      <c r="AR89" s="1658" t="s">
        <v>6333</v>
      </c>
      <c r="AS89" s="890"/>
      <c r="AT89" s="1727" t="s">
        <v>6334</v>
      </c>
      <c r="AU89" s="890"/>
      <c r="AV89" s="1685" t="s">
        <v>5963</v>
      </c>
      <c r="AW89" s="890"/>
      <c r="AX89" s="1688" t="s">
        <v>5964</v>
      </c>
      <c r="AY89" s="890"/>
      <c r="AZ89" s="890"/>
      <c r="BA89" s="890"/>
      <c r="BB89" s="890"/>
      <c r="BC89" s="890"/>
      <c r="BD89" s="1601" t="s">
        <v>6335</v>
      </c>
      <c r="BE89" s="890"/>
      <c r="BF89" s="1691" t="s">
        <v>5965</v>
      </c>
      <c r="BG89" s="890"/>
      <c r="BH89" s="1697" t="s">
        <v>5966</v>
      </c>
      <c r="BI89" s="890"/>
      <c r="BJ89" s="1700" t="s">
        <v>5967</v>
      </c>
      <c r="BK89" s="890"/>
      <c r="BL89" s="890"/>
      <c r="BM89" s="890"/>
      <c r="BN89" s="1730" t="s">
        <v>6336</v>
      </c>
      <c r="BO89" s="890"/>
      <c r="BP89" s="1694" t="s">
        <v>6337</v>
      </c>
      <c r="BQ89" s="890"/>
      <c r="BR89" s="1658" t="s">
        <v>6338</v>
      </c>
      <c r="BS89" s="890"/>
      <c r="BT89" s="1727" t="s">
        <v>6339</v>
      </c>
      <c r="BV89" s="1685" t="s">
        <v>5968</v>
      </c>
      <c r="BW89" s="890"/>
      <c r="BX89" s="1688" t="s">
        <v>5969</v>
      </c>
      <c r="BY89" s="891"/>
      <c r="BZ89" s="890"/>
      <c r="CA89" s="890"/>
      <c r="CB89" s="890"/>
      <c r="CD89" s="890"/>
      <c r="CE89" s="893">
        <v>1</v>
      </c>
    </row>
    <row r="90" spans="2:83" s="904" customFormat="1" x14ac:dyDescent="0.25">
      <c r="B90" s="1602"/>
      <c r="C90" s="890"/>
      <c r="D90" s="1692"/>
      <c r="E90" s="890"/>
      <c r="F90" s="1698"/>
      <c r="G90" s="890"/>
      <c r="H90" s="1701"/>
      <c r="I90" s="890"/>
      <c r="J90" s="890"/>
      <c r="K90" s="890"/>
      <c r="L90" s="1731"/>
      <c r="M90" s="890"/>
      <c r="N90" s="1695"/>
      <c r="O90" s="890"/>
      <c r="P90" s="1659"/>
      <c r="Q90" s="890"/>
      <c r="R90" s="890"/>
      <c r="S90" s="1728"/>
      <c r="T90" s="891"/>
      <c r="U90" s="1686"/>
      <c r="V90" s="891"/>
      <c r="W90" s="1689"/>
      <c r="X90" s="891"/>
      <c r="Y90" s="890"/>
      <c r="Z90" s="890"/>
      <c r="AA90" s="890"/>
      <c r="AB90" s="890"/>
      <c r="AC90" s="890"/>
      <c r="AD90" s="1602" t="s">
        <v>5601</v>
      </c>
      <c r="AE90" s="890"/>
      <c r="AF90" s="1692" t="s">
        <v>5601</v>
      </c>
      <c r="AG90" s="890"/>
      <c r="AH90" s="1698" t="s">
        <v>5601</v>
      </c>
      <c r="AI90" s="890"/>
      <c r="AJ90" s="1701" t="s">
        <v>5601</v>
      </c>
      <c r="AK90" s="890"/>
      <c r="AL90" s="890"/>
      <c r="AM90" s="890"/>
      <c r="AN90" s="1731" t="s">
        <v>5601</v>
      </c>
      <c r="AO90" s="890"/>
      <c r="AP90" s="1695" t="s">
        <v>5601</v>
      </c>
      <c r="AQ90" s="890"/>
      <c r="AR90" s="1659" t="s">
        <v>5601</v>
      </c>
      <c r="AS90" s="890"/>
      <c r="AT90" s="1728" t="s">
        <v>5601</v>
      </c>
      <c r="AU90" s="890"/>
      <c r="AV90" s="1686" t="s">
        <v>5601</v>
      </c>
      <c r="AW90" s="890"/>
      <c r="AX90" s="1689" t="s">
        <v>5601</v>
      </c>
      <c r="AY90" s="890"/>
      <c r="AZ90" s="890"/>
      <c r="BA90" s="890"/>
      <c r="BB90" s="890"/>
      <c r="BC90" s="890"/>
      <c r="BD90" s="1602" t="s">
        <v>5601</v>
      </c>
      <c r="BE90" s="890"/>
      <c r="BF90" s="1692" t="s">
        <v>5601</v>
      </c>
      <c r="BG90" s="890"/>
      <c r="BH90" s="1698" t="s">
        <v>5601</v>
      </c>
      <c r="BI90" s="890"/>
      <c r="BJ90" s="1701" t="s">
        <v>5601</v>
      </c>
      <c r="BK90" s="890"/>
      <c r="BL90" s="890"/>
      <c r="BM90" s="890"/>
      <c r="BN90" s="1731" t="s">
        <v>5601</v>
      </c>
      <c r="BO90" s="890"/>
      <c r="BP90" s="1695" t="s">
        <v>5601</v>
      </c>
      <c r="BQ90" s="890"/>
      <c r="BR90" s="1659" t="s">
        <v>5601</v>
      </c>
      <c r="BS90" s="890"/>
      <c r="BT90" s="1728" t="s">
        <v>5601</v>
      </c>
      <c r="BV90" s="1686" t="s">
        <v>5601</v>
      </c>
      <c r="BW90" s="890"/>
      <c r="BX90" s="1689" t="s">
        <v>5601</v>
      </c>
      <c r="BY90" s="891"/>
      <c r="BZ90" s="890"/>
      <c r="CA90" s="890"/>
      <c r="CB90" s="890"/>
      <c r="CD90" s="890"/>
      <c r="CE90" s="893">
        <v>1</v>
      </c>
    </row>
    <row r="91" spans="2:83" s="904" customFormat="1" ht="15" customHeight="1" x14ac:dyDescent="0.25">
      <c r="B91" s="1603"/>
      <c r="C91" s="890"/>
      <c r="D91" s="1693"/>
      <c r="E91" s="890"/>
      <c r="F91" s="1699"/>
      <c r="G91" s="890"/>
      <c r="H91" s="1702"/>
      <c r="I91" s="890"/>
      <c r="J91" s="890"/>
      <c r="K91" s="890"/>
      <c r="L91" s="1732"/>
      <c r="M91" s="890"/>
      <c r="N91" s="1696"/>
      <c r="O91" s="890"/>
      <c r="P91" s="1660"/>
      <c r="Q91" s="890"/>
      <c r="R91" s="890"/>
      <c r="S91" s="1729"/>
      <c r="T91" s="891"/>
      <c r="U91" s="1687"/>
      <c r="V91" s="891"/>
      <c r="W91" s="1690"/>
      <c r="X91" s="891"/>
      <c r="Y91" s="890"/>
      <c r="Z91" s="890"/>
      <c r="AA91" s="890"/>
      <c r="AB91" s="890"/>
      <c r="AC91" s="890"/>
      <c r="AD91" s="1603" t="s">
        <v>5601</v>
      </c>
      <c r="AE91" s="890"/>
      <c r="AF91" s="1693" t="s">
        <v>5601</v>
      </c>
      <c r="AG91" s="890"/>
      <c r="AH91" s="1699" t="s">
        <v>5601</v>
      </c>
      <c r="AI91" s="890"/>
      <c r="AJ91" s="1702" t="s">
        <v>5601</v>
      </c>
      <c r="AK91" s="890"/>
      <c r="AL91" s="890"/>
      <c r="AM91" s="890"/>
      <c r="AN91" s="1732" t="s">
        <v>5601</v>
      </c>
      <c r="AO91" s="890"/>
      <c r="AP91" s="1696" t="s">
        <v>5601</v>
      </c>
      <c r="AQ91" s="890"/>
      <c r="AR91" s="1660" t="s">
        <v>5601</v>
      </c>
      <c r="AS91" s="890"/>
      <c r="AT91" s="1729" t="s">
        <v>5601</v>
      </c>
      <c r="AU91" s="890"/>
      <c r="AV91" s="1687" t="s">
        <v>5601</v>
      </c>
      <c r="AW91" s="890"/>
      <c r="AX91" s="1690" t="s">
        <v>5601</v>
      </c>
      <c r="AY91" s="890"/>
      <c r="AZ91" s="890"/>
      <c r="BA91" s="890"/>
      <c r="BB91" s="890"/>
      <c r="BC91" s="890"/>
      <c r="BD91" s="1603" t="s">
        <v>5601</v>
      </c>
      <c r="BE91" s="890"/>
      <c r="BF91" s="1693" t="s">
        <v>5601</v>
      </c>
      <c r="BG91" s="890"/>
      <c r="BH91" s="1699" t="s">
        <v>5601</v>
      </c>
      <c r="BI91" s="890"/>
      <c r="BJ91" s="1702" t="s">
        <v>5601</v>
      </c>
      <c r="BK91" s="890"/>
      <c r="BL91" s="890"/>
      <c r="BM91" s="890"/>
      <c r="BN91" s="1732" t="s">
        <v>5601</v>
      </c>
      <c r="BO91" s="890"/>
      <c r="BP91" s="1696" t="s">
        <v>5601</v>
      </c>
      <c r="BQ91" s="890"/>
      <c r="BR91" s="1660" t="s">
        <v>5601</v>
      </c>
      <c r="BS91" s="890"/>
      <c r="BT91" s="1729" t="s">
        <v>5601</v>
      </c>
      <c r="BV91" s="1687" t="s">
        <v>5601</v>
      </c>
      <c r="BW91" s="890"/>
      <c r="BX91" s="1690" t="s">
        <v>5601</v>
      </c>
      <c r="BY91" s="891"/>
      <c r="BZ91" s="890"/>
      <c r="CA91" s="890"/>
      <c r="CB91" s="890"/>
      <c r="CD91" s="890"/>
      <c r="CE91" s="893">
        <v>1</v>
      </c>
    </row>
    <row r="92" spans="2:83" s="904" customFormat="1" ht="18" customHeight="1" x14ac:dyDescent="0.25">
      <c r="B92" s="890"/>
      <c r="C92" s="890"/>
      <c r="D92" s="890"/>
      <c r="E92" s="890"/>
      <c r="F92" s="890"/>
      <c r="G92" s="890"/>
      <c r="H92" s="890"/>
      <c r="I92" s="890"/>
      <c r="J92" s="890"/>
      <c r="K92" s="890"/>
      <c r="L92" s="890"/>
      <c r="M92" s="890"/>
      <c r="N92" s="890"/>
      <c r="O92" s="890"/>
      <c r="P92" s="890"/>
      <c r="Q92" s="890"/>
      <c r="R92" s="890"/>
      <c r="S92" s="920"/>
      <c r="T92" s="891"/>
      <c r="U92" s="890"/>
      <c r="V92" s="891"/>
      <c r="W92" s="890"/>
      <c r="X92" s="891"/>
      <c r="Y92" s="890"/>
      <c r="Z92" s="890"/>
      <c r="AA92" s="890"/>
      <c r="AB92" s="890"/>
      <c r="AC92" s="890"/>
      <c r="AD92" s="890"/>
      <c r="AE92" s="890"/>
      <c r="AF92" s="890"/>
      <c r="AG92" s="890"/>
      <c r="AH92" s="890"/>
      <c r="AI92" s="890"/>
      <c r="AJ92" s="890"/>
      <c r="AK92" s="890"/>
      <c r="AL92" s="890"/>
      <c r="AM92" s="890"/>
      <c r="AN92" s="890"/>
      <c r="AO92" s="890"/>
      <c r="AP92" s="890"/>
      <c r="AQ92" s="890"/>
      <c r="AR92" s="890"/>
      <c r="AS92" s="890"/>
      <c r="AT92" s="920"/>
      <c r="AU92" s="890"/>
      <c r="AV92" s="890"/>
      <c r="AW92" s="890"/>
      <c r="AX92" s="890"/>
      <c r="AY92" s="890"/>
      <c r="AZ92" s="890"/>
      <c r="BA92" s="890"/>
      <c r="BB92" s="890"/>
      <c r="BC92" s="890"/>
      <c r="BD92" s="890"/>
      <c r="BE92" s="890"/>
      <c r="BF92" s="890"/>
      <c r="BG92" s="890"/>
      <c r="BH92" s="890"/>
      <c r="BI92" s="890"/>
      <c r="BJ92" s="890"/>
      <c r="BK92" s="890"/>
      <c r="BL92" s="890"/>
      <c r="BM92" s="890"/>
      <c r="BN92" s="890"/>
      <c r="BO92" s="890"/>
      <c r="BP92" s="890"/>
      <c r="BQ92" s="890"/>
      <c r="BR92" s="890"/>
      <c r="BS92" s="890"/>
      <c r="BT92" s="920"/>
      <c r="BV92" s="890"/>
      <c r="BW92" s="890"/>
      <c r="BX92" s="890"/>
      <c r="BY92" s="891"/>
      <c r="BZ92" s="890"/>
      <c r="CA92" s="890"/>
      <c r="CB92" s="890"/>
      <c r="CD92" s="890"/>
      <c r="CE92" s="893"/>
    </row>
    <row r="93" spans="2:83" s="904" customFormat="1" x14ac:dyDescent="0.25">
      <c r="B93" s="1748" t="s">
        <v>6549</v>
      </c>
      <c r="C93" s="890"/>
      <c r="D93" s="1691" t="s">
        <v>5970</v>
      </c>
      <c r="E93" s="890"/>
      <c r="F93" s="1697" t="s">
        <v>5971</v>
      </c>
      <c r="G93" s="890"/>
      <c r="H93" s="1700" t="s">
        <v>5972</v>
      </c>
      <c r="I93" s="890"/>
      <c r="J93" s="890"/>
      <c r="K93" s="890"/>
      <c r="L93" s="1730" t="s">
        <v>6340</v>
      </c>
      <c r="M93" s="890"/>
      <c r="N93" s="1694" t="s">
        <v>6341</v>
      </c>
      <c r="O93" s="890"/>
      <c r="P93" s="1658" t="s">
        <v>6342</v>
      </c>
      <c r="Q93" s="890"/>
      <c r="R93" s="890"/>
      <c r="S93" s="1727" t="s">
        <v>6343</v>
      </c>
      <c r="T93" s="891"/>
      <c r="U93" s="1685" t="s">
        <v>5973</v>
      </c>
      <c r="V93" s="891"/>
      <c r="W93" s="1688" t="s">
        <v>5964</v>
      </c>
      <c r="X93" s="891"/>
      <c r="Y93" s="890"/>
      <c r="Z93" s="890"/>
      <c r="AA93" s="890"/>
      <c r="AB93" s="890"/>
      <c r="AC93" s="890"/>
      <c r="AD93" s="1748" t="s">
        <v>6344</v>
      </c>
      <c r="AE93" s="890"/>
      <c r="AF93" s="1691" t="s">
        <v>5974</v>
      </c>
      <c r="AG93" s="890"/>
      <c r="AH93" s="1697" t="s">
        <v>5975</v>
      </c>
      <c r="AI93" s="890"/>
      <c r="AJ93" s="1700" t="s">
        <v>5976</v>
      </c>
      <c r="AK93" s="890"/>
      <c r="AL93" s="890"/>
      <c r="AM93" s="890"/>
      <c r="AN93" s="1730" t="s">
        <v>6345</v>
      </c>
      <c r="AO93" s="890"/>
      <c r="AP93" s="1694" t="s">
        <v>6346</v>
      </c>
      <c r="AQ93" s="890"/>
      <c r="AR93" s="1658" t="s">
        <v>6347</v>
      </c>
      <c r="AS93" s="890"/>
      <c r="AT93" s="1727" t="s">
        <v>6348</v>
      </c>
      <c r="AU93" s="890"/>
      <c r="AV93" s="1685" t="s">
        <v>5977</v>
      </c>
      <c r="AW93" s="890"/>
      <c r="AX93" s="1688" t="s">
        <v>5832</v>
      </c>
      <c r="AY93" s="890"/>
      <c r="AZ93" s="890"/>
      <c r="BA93" s="890"/>
      <c r="BB93" s="890"/>
      <c r="BC93" s="890"/>
      <c r="BD93" s="1748" t="s">
        <v>6349</v>
      </c>
      <c r="BE93" s="890"/>
      <c r="BF93" s="1691" t="s">
        <v>5978</v>
      </c>
      <c r="BG93" s="890"/>
      <c r="BH93" s="1697" t="s">
        <v>5979</v>
      </c>
      <c r="BI93" s="890"/>
      <c r="BJ93" s="1700" t="s">
        <v>5980</v>
      </c>
      <c r="BK93" s="890"/>
      <c r="BL93" s="890"/>
      <c r="BM93" s="890"/>
      <c r="BN93" s="1730" t="s">
        <v>6350</v>
      </c>
      <c r="BO93" s="890"/>
      <c r="BP93" s="1694" t="s">
        <v>6351</v>
      </c>
      <c r="BQ93" s="890"/>
      <c r="BR93" s="1658" t="s">
        <v>6352</v>
      </c>
      <c r="BS93" s="890"/>
      <c r="BT93" s="1727" t="s">
        <v>6353</v>
      </c>
      <c r="BV93" s="1685" t="s">
        <v>5981</v>
      </c>
      <c r="BW93" s="890"/>
      <c r="BX93" s="1688" t="s">
        <v>5838</v>
      </c>
      <c r="BY93" s="891"/>
      <c r="BZ93" s="890"/>
      <c r="CA93" s="890"/>
      <c r="CB93" s="890"/>
      <c r="CD93" s="890"/>
      <c r="CE93" s="893">
        <v>1</v>
      </c>
    </row>
    <row r="94" spans="2:83" s="904" customFormat="1" x14ac:dyDescent="0.25">
      <c r="B94" s="1749"/>
      <c r="C94" s="890"/>
      <c r="D94" s="1692"/>
      <c r="E94" s="890"/>
      <c r="F94" s="1698"/>
      <c r="G94" s="890"/>
      <c r="H94" s="1701"/>
      <c r="I94" s="890"/>
      <c r="J94" s="890"/>
      <c r="K94" s="890"/>
      <c r="L94" s="1731"/>
      <c r="M94" s="890"/>
      <c r="N94" s="1695"/>
      <c r="O94" s="890"/>
      <c r="P94" s="1659"/>
      <c r="Q94" s="890"/>
      <c r="R94" s="890"/>
      <c r="S94" s="1728"/>
      <c r="T94" s="891"/>
      <c r="U94" s="1686"/>
      <c r="V94" s="891"/>
      <c r="W94" s="1689"/>
      <c r="X94" s="891"/>
      <c r="Y94" s="890"/>
      <c r="Z94" s="890"/>
      <c r="AA94" s="890"/>
      <c r="AB94" s="890"/>
      <c r="AC94" s="890"/>
      <c r="AD94" s="1749" t="s">
        <v>5601</v>
      </c>
      <c r="AE94" s="890"/>
      <c r="AF94" s="1692" t="s">
        <v>5601</v>
      </c>
      <c r="AG94" s="890"/>
      <c r="AH94" s="1698" t="s">
        <v>5601</v>
      </c>
      <c r="AI94" s="890"/>
      <c r="AJ94" s="1701" t="s">
        <v>5601</v>
      </c>
      <c r="AK94" s="890"/>
      <c r="AL94" s="890"/>
      <c r="AM94" s="890"/>
      <c r="AN94" s="1731" t="s">
        <v>5601</v>
      </c>
      <c r="AO94" s="890"/>
      <c r="AP94" s="1695" t="s">
        <v>5601</v>
      </c>
      <c r="AQ94" s="890"/>
      <c r="AR94" s="1659" t="s">
        <v>5601</v>
      </c>
      <c r="AS94" s="890"/>
      <c r="AT94" s="1728" t="s">
        <v>5601</v>
      </c>
      <c r="AU94" s="890"/>
      <c r="AV94" s="1686" t="s">
        <v>5601</v>
      </c>
      <c r="AW94" s="890"/>
      <c r="AX94" s="1689" t="s">
        <v>5601</v>
      </c>
      <c r="AY94" s="890"/>
      <c r="AZ94" s="890"/>
      <c r="BA94" s="890"/>
      <c r="BB94" s="890"/>
      <c r="BC94" s="890"/>
      <c r="BD94" s="1749" t="s">
        <v>5601</v>
      </c>
      <c r="BE94" s="890"/>
      <c r="BF94" s="1692" t="s">
        <v>5601</v>
      </c>
      <c r="BG94" s="890"/>
      <c r="BH94" s="1698" t="s">
        <v>5601</v>
      </c>
      <c r="BI94" s="890"/>
      <c r="BJ94" s="1701" t="s">
        <v>5601</v>
      </c>
      <c r="BK94" s="890"/>
      <c r="BL94" s="890"/>
      <c r="BM94" s="890"/>
      <c r="BN94" s="1731" t="s">
        <v>5601</v>
      </c>
      <c r="BO94" s="890"/>
      <c r="BP94" s="1695" t="s">
        <v>5601</v>
      </c>
      <c r="BQ94" s="890"/>
      <c r="BR94" s="1659" t="s">
        <v>5601</v>
      </c>
      <c r="BS94" s="890"/>
      <c r="BT94" s="1728" t="s">
        <v>5601</v>
      </c>
      <c r="BV94" s="1686" t="s">
        <v>5601</v>
      </c>
      <c r="BW94" s="890"/>
      <c r="BX94" s="1689" t="s">
        <v>5601</v>
      </c>
      <c r="BY94" s="891"/>
      <c r="BZ94" s="890"/>
      <c r="CA94" s="890"/>
      <c r="CB94" s="890"/>
      <c r="CD94" s="890"/>
      <c r="CE94" s="893">
        <v>1</v>
      </c>
    </row>
    <row r="95" spans="2:83" s="904" customFormat="1" ht="15" customHeight="1" x14ac:dyDescent="0.25">
      <c r="B95" s="1750"/>
      <c r="C95" s="890"/>
      <c r="D95" s="1693"/>
      <c r="E95" s="890"/>
      <c r="F95" s="1699"/>
      <c r="G95" s="890"/>
      <c r="H95" s="1702"/>
      <c r="I95" s="890"/>
      <c r="J95" s="890"/>
      <c r="K95" s="890"/>
      <c r="L95" s="1732"/>
      <c r="M95" s="890"/>
      <c r="N95" s="1696"/>
      <c r="O95" s="890"/>
      <c r="P95" s="1660"/>
      <c r="Q95" s="890"/>
      <c r="R95" s="890"/>
      <c r="S95" s="1729"/>
      <c r="T95" s="891"/>
      <c r="U95" s="1687"/>
      <c r="V95" s="891"/>
      <c r="W95" s="1690"/>
      <c r="X95" s="891"/>
      <c r="Y95" s="890"/>
      <c r="Z95" s="890"/>
      <c r="AA95" s="890"/>
      <c r="AB95" s="890"/>
      <c r="AC95" s="890"/>
      <c r="AD95" s="1750" t="s">
        <v>5601</v>
      </c>
      <c r="AE95" s="890"/>
      <c r="AF95" s="1693" t="s">
        <v>5601</v>
      </c>
      <c r="AG95" s="890"/>
      <c r="AH95" s="1699" t="s">
        <v>5601</v>
      </c>
      <c r="AI95" s="890"/>
      <c r="AJ95" s="1702" t="s">
        <v>5601</v>
      </c>
      <c r="AK95" s="890"/>
      <c r="AL95" s="890"/>
      <c r="AM95" s="890"/>
      <c r="AN95" s="1732" t="s">
        <v>5601</v>
      </c>
      <c r="AO95" s="890"/>
      <c r="AP95" s="1696" t="s">
        <v>5601</v>
      </c>
      <c r="AQ95" s="890"/>
      <c r="AR95" s="1660" t="s">
        <v>5601</v>
      </c>
      <c r="AS95" s="890"/>
      <c r="AT95" s="1729" t="s">
        <v>5601</v>
      </c>
      <c r="AU95" s="890"/>
      <c r="AV95" s="1687" t="s">
        <v>5601</v>
      </c>
      <c r="AW95" s="890"/>
      <c r="AX95" s="1690" t="s">
        <v>5601</v>
      </c>
      <c r="AY95" s="890"/>
      <c r="AZ95" s="890"/>
      <c r="BA95" s="890"/>
      <c r="BB95" s="890"/>
      <c r="BC95" s="890"/>
      <c r="BD95" s="1750" t="s">
        <v>5601</v>
      </c>
      <c r="BE95" s="890"/>
      <c r="BF95" s="1693" t="s">
        <v>5601</v>
      </c>
      <c r="BG95" s="890"/>
      <c r="BH95" s="1699" t="s">
        <v>5601</v>
      </c>
      <c r="BI95" s="890"/>
      <c r="BJ95" s="1702" t="s">
        <v>5601</v>
      </c>
      <c r="BK95" s="890"/>
      <c r="BL95" s="890"/>
      <c r="BM95" s="890"/>
      <c r="BN95" s="1732" t="s">
        <v>5601</v>
      </c>
      <c r="BO95" s="890"/>
      <c r="BP95" s="1696" t="s">
        <v>5601</v>
      </c>
      <c r="BQ95" s="890"/>
      <c r="BR95" s="1660" t="s">
        <v>5601</v>
      </c>
      <c r="BS95" s="890"/>
      <c r="BT95" s="1729" t="s">
        <v>5601</v>
      </c>
      <c r="BV95" s="1687" t="s">
        <v>5601</v>
      </c>
      <c r="BW95" s="890"/>
      <c r="BX95" s="1690" t="s">
        <v>5601</v>
      </c>
      <c r="BY95" s="891"/>
      <c r="BZ95" s="890"/>
      <c r="CA95" s="890"/>
      <c r="CB95" s="890"/>
      <c r="CD95" s="890"/>
      <c r="CE95" s="893">
        <v>1</v>
      </c>
    </row>
    <row r="96" spans="2:83" s="904" customFormat="1" ht="18" customHeight="1" x14ac:dyDescent="0.25">
      <c r="B96" s="890"/>
      <c r="C96" s="890"/>
      <c r="D96" s="890"/>
      <c r="E96" s="890"/>
      <c r="F96" s="890"/>
      <c r="G96" s="890"/>
      <c r="H96" s="890"/>
      <c r="I96" s="890"/>
      <c r="J96" s="890"/>
      <c r="K96" s="890"/>
      <c r="L96" s="890"/>
      <c r="M96" s="890"/>
      <c r="N96" s="890"/>
      <c r="O96" s="890"/>
      <c r="P96" s="890"/>
      <c r="Q96" s="890"/>
      <c r="R96" s="890"/>
      <c r="S96" s="920"/>
      <c r="T96" s="891"/>
      <c r="U96" s="890"/>
      <c r="V96" s="891"/>
      <c r="W96" s="890"/>
      <c r="X96" s="891"/>
      <c r="Y96" s="890"/>
      <c r="Z96" s="890"/>
      <c r="AA96" s="890"/>
      <c r="AB96" s="890"/>
      <c r="AC96" s="890"/>
      <c r="AD96" s="890"/>
      <c r="AE96" s="890"/>
      <c r="AF96" s="890"/>
      <c r="AG96" s="890"/>
      <c r="AH96" s="890"/>
      <c r="AI96" s="890"/>
      <c r="AJ96" s="890"/>
      <c r="AK96" s="890"/>
      <c r="AL96" s="890"/>
      <c r="AM96" s="890"/>
      <c r="AN96" s="890"/>
      <c r="AO96" s="890"/>
      <c r="AP96" s="890"/>
      <c r="AQ96" s="890"/>
      <c r="AR96" s="890"/>
      <c r="AS96" s="890"/>
      <c r="AT96" s="920"/>
      <c r="AU96" s="890"/>
      <c r="AV96" s="890"/>
      <c r="AW96" s="890"/>
      <c r="AX96" s="890"/>
      <c r="AY96" s="890"/>
      <c r="AZ96" s="890"/>
      <c r="BA96" s="890"/>
      <c r="BB96" s="890"/>
      <c r="BC96" s="890"/>
      <c r="BD96" s="890"/>
      <c r="BE96" s="890"/>
      <c r="BF96" s="890"/>
      <c r="BG96" s="890"/>
      <c r="BH96" s="890"/>
      <c r="BI96" s="890"/>
      <c r="BJ96" s="890"/>
      <c r="BK96" s="890"/>
      <c r="BL96" s="890"/>
      <c r="BM96" s="890"/>
      <c r="BN96" s="890"/>
      <c r="BO96" s="890"/>
      <c r="BP96" s="890"/>
      <c r="BQ96" s="890"/>
      <c r="BR96" s="890"/>
      <c r="BS96" s="890"/>
      <c r="BT96" s="920"/>
      <c r="BV96" s="890"/>
      <c r="BW96" s="890"/>
      <c r="BX96" s="890"/>
      <c r="BY96" s="891"/>
      <c r="BZ96" s="890"/>
      <c r="CA96" s="890"/>
      <c r="CB96" s="890"/>
      <c r="CD96" s="890"/>
      <c r="CE96" s="893"/>
    </row>
    <row r="97" spans="1:83" s="904" customFormat="1" x14ac:dyDescent="0.25">
      <c r="B97" s="1736" t="s">
        <v>6550</v>
      </c>
      <c r="C97" s="890"/>
      <c r="D97" s="1691" t="s">
        <v>5982</v>
      </c>
      <c r="E97" s="890"/>
      <c r="F97" s="1697" t="s">
        <v>5983</v>
      </c>
      <c r="G97" s="890"/>
      <c r="H97" s="1700" t="s">
        <v>5984</v>
      </c>
      <c r="I97" s="890"/>
      <c r="J97" s="890"/>
      <c r="K97" s="890"/>
      <c r="L97" s="1730" t="s">
        <v>6354</v>
      </c>
      <c r="M97" s="890"/>
      <c r="N97" s="1694" t="s">
        <v>6355</v>
      </c>
      <c r="O97" s="890"/>
      <c r="P97" s="1658" t="s">
        <v>6356</v>
      </c>
      <c r="Q97" s="890"/>
      <c r="R97" s="890"/>
      <c r="S97" s="1727" t="s">
        <v>6357</v>
      </c>
      <c r="T97" s="891"/>
      <c r="U97" s="1685" t="s">
        <v>5985</v>
      </c>
      <c r="V97" s="891"/>
      <c r="W97" s="1688" t="s">
        <v>5986</v>
      </c>
      <c r="X97" s="891"/>
      <c r="Y97" s="890"/>
      <c r="Z97" s="890"/>
      <c r="AA97" s="890"/>
      <c r="AB97" s="890"/>
      <c r="AC97" s="890"/>
      <c r="AD97" s="1736" t="s">
        <v>6358</v>
      </c>
      <c r="AE97" s="890"/>
      <c r="AF97" s="1691" t="s">
        <v>5987</v>
      </c>
      <c r="AG97" s="890"/>
      <c r="AH97" s="1697" t="s">
        <v>5988</v>
      </c>
      <c r="AI97" s="890"/>
      <c r="AJ97" s="1700" t="s">
        <v>5989</v>
      </c>
      <c r="AK97" s="890"/>
      <c r="AL97" s="890"/>
      <c r="AM97" s="890"/>
      <c r="AN97" s="1730" t="s">
        <v>6359</v>
      </c>
      <c r="AO97" s="890"/>
      <c r="AP97" s="1694" t="s">
        <v>6360</v>
      </c>
      <c r="AQ97" s="890"/>
      <c r="AR97" s="1658" t="s">
        <v>6361</v>
      </c>
      <c r="AS97" s="890"/>
      <c r="AT97" s="1727" t="s">
        <v>6362</v>
      </c>
      <c r="AU97" s="890"/>
      <c r="AV97" s="1685"/>
      <c r="AW97" s="890"/>
      <c r="AX97" s="1688"/>
      <c r="AY97" s="890"/>
      <c r="AZ97" s="890"/>
      <c r="BA97" s="890"/>
      <c r="BB97" s="890"/>
      <c r="BC97" s="890"/>
      <c r="BD97" s="1736" t="s">
        <v>6363</v>
      </c>
      <c r="BE97" s="890"/>
      <c r="BF97" s="1691" t="s">
        <v>5990</v>
      </c>
      <c r="BG97" s="890"/>
      <c r="BH97" s="1697" t="s">
        <v>5991</v>
      </c>
      <c r="BI97" s="890"/>
      <c r="BJ97" s="1700" t="s">
        <v>5992</v>
      </c>
      <c r="BK97" s="890"/>
      <c r="BL97" s="890"/>
      <c r="BM97" s="890"/>
      <c r="BN97" s="1730" t="s">
        <v>6364</v>
      </c>
      <c r="BO97" s="890"/>
      <c r="BP97" s="1694" t="s">
        <v>6365</v>
      </c>
      <c r="BQ97" s="890"/>
      <c r="BR97" s="1658" t="s">
        <v>6366</v>
      </c>
      <c r="BS97" s="890"/>
      <c r="BT97" s="1727" t="s">
        <v>6367</v>
      </c>
      <c r="BV97" s="1685"/>
      <c r="BW97" s="890"/>
      <c r="BX97" s="1688"/>
      <c r="BY97" s="891"/>
      <c r="BZ97" s="890"/>
      <c r="CA97" s="890"/>
      <c r="CB97" s="890"/>
      <c r="CD97" s="890"/>
      <c r="CE97" s="893">
        <v>1</v>
      </c>
    </row>
    <row r="98" spans="1:83" s="904" customFormat="1" x14ac:dyDescent="0.25">
      <c r="B98" s="1737"/>
      <c r="C98" s="890"/>
      <c r="D98" s="1692"/>
      <c r="E98" s="890"/>
      <c r="F98" s="1698"/>
      <c r="G98" s="890"/>
      <c r="H98" s="1701"/>
      <c r="I98" s="890"/>
      <c r="J98" s="890"/>
      <c r="K98" s="890"/>
      <c r="L98" s="1731"/>
      <c r="M98" s="890"/>
      <c r="N98" s="1695"/>
      <c r="O98" s="890"/>
      <c r="P98" s="1659"/>
      <c r="Q98" s="890"/>
      <c r="R98" s="890"/>
      <c r="S98" s="1728"/>
      <c r="T98" s="891"/>
      <c r="U98" s="1686"/>
      <c r="V98" s="891"/>
      <c r="W98" s="1689"/>
      <c r="X98" s="891"/>
      <c r="Y98" s="890"/>
      <c r="Z98" s="890"/>
      <c r="AA98" s="890"/>
      <c r="AB98" s="890"/>
      <c r="AC98" s="890"/>
      <c r="AD98" s="1737" t="s">
        <v>5601</v>
      </c>
      <c r="AE98" s="890"/>
      <c r="AF98" s="1692" t="s">
        <v>5601</v>
      </c>
      <c r="AG98" s="890"/>
      <c r="AH98" s="1698" t="s">
        <v>5601</v>
      </c>
      <c r="AI98" s="890"/>
      <c r="AJ98" s="1701" t="s">
        <v>5601</v>
      </c>
      <c r="AK98" s="890"/>
      <c r="AL98" s="890"/>
      <c r="AM98" s="890"/>
      <c r="AN98" s="1731" t="s">
        <v>5601</v>
      </c>
      <c r="AO98" s="890"/>
      <c r="AP98" s="1695" t="s">
        <v>5601</v>
      </c>
      <c r="AQ98" s="890"/>
      <c r="AR98" s="1659" t="s">
        <v>5601</v>
      </c>
      <c r="AS98" s="890"/>
      <c r="AT98" s="1728" t="s">
        <v>5601</v>
      </c>
      <c r="AU98" s="890"/>
      <c r="AV98" s="1686"/>
      <c r="AW98" s="890"/>
      <c r="AX98" s="1689"/>
      <c r="AY98" s="890"/>
      <c r="AZ98" s="890"/>
      <c r="BA98" s="890"/>
      <c r="BB98" s="890"/>
      <c r="BC98" s="890"/>
      <c r="BD98" s="1737" t="s">
        <v>5601</v>
      </c>
      <c r="BE98" s="890"/>
      <c r="BF98" s="1692" t="s">
        <v>5601</v>
      </c>
      <c r="BG98" s="890"/>
      <c r="BH98" s="1698" t="s">
        <v>5601</v>
      </c>
      <c r="BI98" s="890"/>
      <c r="BJ98" s="1701" t="s">
        <v>5601</v>
      </c>
      <c r="BK98" s="890"/>
      <c r="BL98" s="890"/>
      <c r="BM98" s="890"/>
      <c r="BN98" s="1731" t="s">
        <v>5601</v>
      </c>
      <c r="BO98" s="890"/>
      <c r="BP98" s="1695" t="s">
        <v>5601</v>
      </c>
      <c r="BQ98" s="890"/>
      <c r="BR98" s="1659" t="s">
        <v>5601</v>
      </c>
      <c r="BS98" s="890"/>
      <c r="BT98" s="1728" t="s">
        <v>5601</v>
      </c>
      <c r="BV98" s="1686"/>
      <c r="BW98" s="890"/>
      <c r="BX98" s="1689"/>
      <c r="BY98" s="891"/>
      <c r="BZ98" s="890"/>
      <c r="CA98" s="890"/>
      <c r="CB98" s="890"/>
      <c r="CD98" s="890"/>
      <c r="CE98" s="893">
        <v>1</v>
      </c>
    </row>
    <row r="99" spans="1:83" s="904" customFormat="1" ht="15" customHeight="1" x14ac:dyDescent="0.25">
      <c r="B99" s="1738"/>
      <c r="C99" s="890"/>
      <c r="D99" s="1693"/>
      <c r="E99" s="890"/>
      <c r="F99" s="1699"/>
      <c r="G99" s="890"/>
      <c r="H99" s="1702"/>
      <c r="I99" s="890"/>
      <c r="J99" s="890"/>
      <c r="K99" s="890"/>
      <c r="L99" s="1732"/>
      <c r="M99" s="890"/>
      <c r="N99" s="1696"/>
      <c r="O99" s="890"/>
      <c r="P99" s="1660"/>
      <c r="Q99" s="890"/>
      <c r="R99" s="890"/>
      <c r="S99" s="1729"/>
      <c r="T99" s="891"/>
      <c r="U99" s="1687"/>
      <c r="V99" s="891"/>
      <c r="W99" s="1690"/>
      <c r="X99" s="891"/>
      <c r="Y99" s="890"/>
      <c r="Z99" s="890"/>
      <c r="AA99" s="890"/>
      <c r="AB99" s="890"/>
      <c r="AC99" s="890"/>
      <c r="AD99" s="1738" t="s">
        <v>5601</v>
      </c>
      <c r="AE99" s="890"/>
      <c r="AF99" s="1693" t="s">
        <v>5601</v>
      </c>
      <c r="AG99" s="890"/>
      <c r="AH99" s="1699" t="s">
        <v>5601</v>
      </c>
      <c r="AI99" s="890"/>
      <c r="AJ99" s="1702" t="s">
        <v>5601</v>
      </c>
      <c r="AK99" s="890"/>
      <c r="AL99" s="890"/>
      <c r="AM99" s="890"/>
      <c r="AN99" s="1732" t="s">
        <v>5601</v>
      </c>
      <c r="AO99" s="890"/>
      <c r="AP99" s="1696" t="s">
        <v>5601</v>
      </c>
      <c r="AQ99" s="890"/>
      <c r="AR99" s="1660" t="s">
        <v>5601</v>
      </c>
      <c r="AS99" s="890"/>
      <c r="AT99" s="1729" t="s">
        <v>5601</v>
      </c>
      <c r="AU99" s="890"/>
      <c r="AV99" s="1687" t="s">
        <v>5601</v>
      </c>
      <c r="AW99" s="890"/>
      <c r="AX99" s="1690"/>
      <c r="AY99" s="890"/>
      <c r="AZ99" s="890"/>
      <c r="BA99" s="890"/>
      <c r="BB99" s="890"/>
      <c r="BC99" s="890"/>
      <c r="BD99" s="1738" t="s">
        <v>5601</v>
      </c>
      <c r="BE99" s="890"/>
      <c r="BF99" s="1693" t="s">
        <v>5601</v>
      </c>
      <c r="BG99" s="890"/>
      <c r="BH99" s="1699" t="s">
        <v>5601</v>
      </c>
      <c r="BI99" s="890"/>
      <c r="BJ99" s="1702" t="s">
        <v>5601</v>
      </c>
      <c r="BK99" s="890"/>
      <c r="BL99" s="890"/>
      <c r="BM99" s="890"/>
      <c r="BN99" s="1732" t="s">
        <v>5601</v>
      </c>
      <c r="BO99" s="890"/>
      <c r="BP99" s="1696" t="s">
        <v>5601</v>
      </c>
      <c r="BQ99" s="890"/>
      <c r="BR99" s="1660" t="s">
        <v>5601</v>
      </c>
      <c r="BS99" s="890"/>
      <c r="BT99" s="1729" t="s">
        <v>5601</v>
      </c>
      <c r="BV99" s="1687"/>
      <c r="BW99" s="890"/>
      <c r="BX99" s="1690"/>
      <c r="BY99" s="891"/>
      <c r="BZ99" s="890"/>
      <c r="CA99" s="890"/>
      <c r="CB99" s="890"/>
      <c r="CD99" s="890"/>
      <c r="CE99" s="893">
        <v>1</v>
      </c>
    </row>
    <row r="100" spans="1:83" s="904" customFormat="1" ht="18" customHeight="1" x14ac:dyDescent="0.25">
      <c r="B100" s="890"/>
      <c r="C100" s="890"/>
      <c r="D100" s="890"/>
      <c r="E100" s="890"/>
      <c r="F100" s="890"/>
      <c r="G100" s="890"/>
      <c r="H100" s="890"/>
      <c r="I100" s="890"/>
      <c r="J100" s="890"/>
      <c r="K100" s="890"/>
      <c r="L100" s="890"/>
      <c r="M100" s="890"/>
      <c r="N100" s="890"/>
      <c r="O100" s="890"/>
      <c r="P100" s="890"/>
      <c r="Q100" s="890"/>
      <c r="R100" s="890"/>
      <c r="S100" s="920"/>
      <c r="T100" s="891"/>
      <c r="U100" s="890"/>
      <c r="V100" s="891"/>
      <c r="W100" s="890"/>
      <c r="X100" s="891"/>
      <c r="Y100" s="890"/>
      <c r="Z100" s="890"/>
      <c r="AA100" s="890"/>
      <c r="AB100" s="890"/>
      <c r="AC100" s="890"/>
      <c r="AD100" s="890"/>
      <c r="AE100" s="890"/>
      <c r="AF100" s="890"/>
      <c r="AG100" s="890"/>
      <c r="AH100" s="890"/>
      <c r="AI100" s="890"/>
      <c r="AJ100" s="890"/>
      <c r="AK100" s="890"/>
      <c r="AL100" s="890"/>
      <c r="AM100" s="890"/>
      <c r="AN100" s="890"/>
      <c r="AO100" s="890"/>
      <c r="AP100" s="890"/>
      <c r="AQ100" s="890"/>
      <c r="AR100" s="890"/>
      <c r="AS100" s="890"/>
      <c r="AT100" s="920"/>
      <c r="AU100" s="890"/>
      <c r="AV100" s="890"/>
      <c r="AW100" s="890"/>
      <c r="AX100" s="890"/>
      <c r="AY100" s="890"/>
      <c r="AZ100" s="890"/>
      <c r="BA100" s="890"/>
      <c r="BB100" s="890"/>
      <c r="BC100" s="890"/>
      <c r="BD100" s="890"/>
      <c r="BE100" s="890"/>
      <c r="BF100" s="890"/>
      <c r="BG100" s="890"/>
      <c r="BH100" s="890"/>
      <c r="BI100" s="890"/>
      <c r="BJ100" s="890"/>
      <c r="BK100" s="890"/>
      <c r="BL100" s="890"/>
      <c r="BM100" s="890"/>
      <c r="BN100" s="890"/>
      <c r="BO100" s="890"/>
      <c r="BP100" s="890"/>
      <c r="BQ100" s="890"/>
      <c r="BR100" s="890"/>
      <c r="BS100" s="890"/>
      <c r="BT100" s="920"/>
      <c r="BV100" s="890"/>
      <c r="BW100" s="890"/>
      <c r="BX100" s="890"/>
      <c r="BY100" s="891"/>
      <c r="BZ100" s="890"/>
      <c r="CA100" s="890"/>
      <c r="CB100" s="890"/>
      <c r="CD100" s="890"/>
      <c r="CE100" s="893"/>
    </row>
    <row r="101" spans="1:83" s="904" customFormat="1" x14ac:dyDescent="0.25">
      <c r="B101" s="1736" t="s">
        <v>6551</v>
      </c>
      <c r="C101" s="890"/>
      <c r="D101" s="1691" t="s">
        <v>5993</v>
      </c>
      <c r="E101" s="890"/>
      <c r="F101" s="1697" t="s">
        <v>5994</v>
      </c>
      <c r="G101" s="890"/>
      <c r="H101" s="1700" t="s">
        <v>5859</v>
      </c>
      <c r="I101" s="890"/>
      <c r="J101" s="890"/>
      <c r="K101" s="890"/>
      <c r="L101" s="1730" t="s">
        <v>6368</v>
      </c>
      <c r="M101" s="890"/>
      <c r="N101" s="1694" t="s">
        <v>6369</v>
      </c>
      <c r="O101" s="890"/>
      <c r="P101" s="1658" t="s">
        <v>6370</v>
      </c>
      <c r="Q101" s="890"/>
      <c r="R101" s="890"/>
      <c r="S101" s="1727"/>
      <c r="T101" s="891"/>
      <c r="U101" s="1685"/>
      <c r="V101" s="891"/>
      <c r="W101" s="1688"/>
      <c r="X101" s="891"/>
      <c r="Y101" s="890"/>
      <c r="Z101" s="890"/>
      <c r="AA101" s="890"/>
      <c r="AB101" s="890"/>
      <c r="AC101" s="890"/>
      <c r="AD101" s="1736" t="s">
        <v>6371</v>
      </c>
      <c r="AE101" s="890"/>
      <c r="AF101" s="1691" t="s">
        <v>5995</v>
      </c>
      <c r="AG101" s="890"/>
      <c r="AH101" s="1697" t="s">
        <v>5996</v>
      </c>
      <c r="AI101" s="890"/>
      <c r="AJ101" s="1700" t="s">
        <v>5865</v>
      </c>
      <c r="AK101" s="890"/>
      <c r="AL101" s="890"/>
      <c r="AM101" s="890"/>
      <c r="AN101" s="1730" t="s">
        <v>6372</v>
      </c>
      <c r="AO101" s="890"/>
      <c r="AP101" s="1694" t="s">
        <v>6373</v>
      </c>
      <c r="AQ101" s="890"/>
      <c r="AR101" s="1658" t="s">
        <v>6374</v>
      </c>
      <c r="AS101" s="890"/>
      <c r="AT101" s="1727" t="s">
        <v>6375</v>
      </c>
      <c r="AU101" s="890"/>
      <c r="AV101" s="1685"/>
      <c r="AW101" s="890"/>
      <c r="AX101" s="1688"/>
      <c r="AY101" s="890"/>
      <c r="AZ101" s="890"/>
      <c r="BA101" s="890"/>
      <c r="BB101" s="890"/>
      <c r="BC101" s="890"/>
      <c r="BD101" s="1736" t="s">
        <v>6376</v>
      </c>
      <c r="BE101" s="890"/>
      <c r="BF101" s="1691" t="s">
        <v>5997</v>
      </c>
      <c r="BG101" s="890"/>
      <c r="BH101" s="1697" t="s">
        <v>5998</v>
      </c>
      <c r="BI101" s="890"/>
      <c r="BJ101" s="1700" t="s">
        <v>5871</v>
      </c>
      <c r="BK101" s="890"/>
      <c r="BL101" s="890"/>
      <c r="BM101" s="890"/>
      <c r="BN101" s="1730" t="s">
        <v>6377</v>
      </c>
      <c r="BO101" s="890"/>
      <c r="BP101" s="1694" t="s">
        <v>6378</v>
      </c>
      <c r="BQ101" s="890"/>
      <c r="BR101" s="1658" t="s">
        <v>6379</v>
      </c>
      <c r="BS101" s="890"/>
      <c r="BT101" s="1727" t="s">
        <v>6380</v>
      </c>
      <c r="BV101" s="1685"/>
      <c r="BW101" s="890"/>
      <c r="BX101" s="1688"/>
      <c r="BY101" s="891"/>
      <c r="BZ101" s="890"/>
      <c r="CA101" s="890"/>
      <c r="CB101" s="890"/>
      <c r="CD101" s="890"/>
      <c r="CE101" s="893">
        <v>1</v>
      </c>
    </row>
    <row r="102" spans="1:83" s="904" customFormat="1" x14ac:dyDescent="0.25">
      <c r="B102" s="1737"/>
      <c r="C102" s="890"/>
      <c r="D102" s="1692"/>
      <c r="E102" s="890"/>
      <c r="F102" s="1698"/>
      <c r="G102" s="890"/>
      <c r="H102" s="1701"/>
      <c r="I102" s="890"/>
      <c r="J102" s="890"/>
      <c r="K102" s="890"/>
      <c r="L102" s="1731"/>
      <c r="M102" s="890"/>
      <c r="N102" s="1695"/>
      <c r="O102" s="890"/>
      <c r="P102" s="1659"/>
      <c r="Q102" s="890"/>
      <c r="R102" s="890"/>
      <c r="S102" s="1728"/>
      <c r="T102" s="891"/>
      <c r="U102" s="1686"/>
      <c r="V102" s="891"/>
      <c r="W102" s="1689"/>
      <c r="X102" s="891"/>
      <c r="Y102" s="890"/>
      <c r="Z102" s="890"/>
      <c r="AA102" s="890"/>
      <c r="AB102" s="890"/>
      <c r="AC102" s="890"/>
      <c r="AD102" s="1737" t="s">
        <v>5601</v>
      </c>
      <c r="AE102" s="890"/>
      <c r="AF102" s="1692" t="s">
        <v>5601</v>
      </c>
      <c r="AG102" s="890"/>
      <c r="AH102" s="1698" t="s">
        <v>5601</v>
      </c>
      <c r="AI102" s="890"/>
      <c r="AJ102" s="1701" t="s">
        <v>5601</v>
      </c>
      <c r="AK102" s="890"/>
      <c r="AL102" s="890"/>
      <c r="AM102" s="890"/>
      <c r="AN102" s="1731" t="s">
        <v>5601</v>
      </c>
      <c r="AO102" s="890"/>
      <c r="AP102" s="1695" t="s">
        <v>5601</v>
      </c>
      <c r="AQ102" s="890"/>
      <c r="AR102" s="1659" t="s">
        <v>5601</v>
      </c>
      <c r="AS102" s="890"/>
      <c r="AT102" s="1728" t="s">
        <v>5601</v>
      </c>
      <c r="AU102" s="890"/>
      <c r="AV102" s="1686"/>
      <c r="AW102" s="890"/>
      <c r="AX102" s="1689"/>
      <c r="AY102" s="890"/>
      <c r="AZ102" s="890"/>
      <c r="BA102" s="890"/>
      <c r="BB102" s="890"/>
      <c r="BC102" s="890"/>
      <c r="BD102" s="1737" t="s">
        <v>5601</v>
      </c>
      <c r="BE102" s="890"/>
      <c r="BF102" s="1692" t="s">
        <v>5601</v>
      </c>
      <c r="BG102" s="890"/>
      <c r="BH102" s="1698" t="s">
        <v>5601</v>
      </c>
      <c r="BI102" s="890"/>
      <c r="BJ102" s="1701" t="s">
        <v>5601</v>
      </c>
      <c r="BK102" s="890"/>
      <c r="BL102" s="890"/>
      <c r="BM102" s="890"/>
      <c r="BN102" s="1731" t="s">
        <v>5601</v>
      </c>
      <c r="BO102" s="890"/>
      <c r="BP102" s="1695" t="s">
        <v>5601</v>
      </c>
      <c r="BQ102" s="890"/>
      <c r="BR102" s="1659" t="s">
        <v>5601</v>
      </c>
      <c r="BS102" s="890"/>
      <c r="BT102" s="1728" t="s">
        <v>5601</v>
      </c>
      <c r="BV102" s="1686" t="s">
        <v>5601</v>
      </c>
      <c r="BW102" s="890"/>
      <c r="BX102" s="1689"/>
      <c r="BY102" s="891"/>
      <c r="BZ102" s="890"/>
      <c r="CA102" s="890"/>
      <c r="CB102" s="890"/>
      <c r="CD102" s="890"/>
      <c r="CE102" s="893">
        <v>1</v>
      </c>
    </row>
    <row r="103" spans="1:83" s="904" customFormat="1" ht="15" customHeight="1" x14ac:dyDescent="0.25">
      <c r="A103" s="890"/>
      <c r="B103" s="1738"/>
      <c r="C103" s="890"/>
      <c r="D103" s="1693"/>
      <c r="E103" s="890"/>
      <c r="F103" s="1699"/>
      <c r="G103" s="890"/>
      <c r="H103" s="1702"/>
      <c r="I103" s="890"/>
      <c r="J103" s="890"/>
      <c r="K103" s="890"/>
      <c r="L103" s="1732"/>
      <c r="M103" s="890"/>
      <c r="N103" s="1696"/>
      <c r="O103" s="890"/>
      <c r="P103" s="1660"/>
      <c r="Q103" s="890"/>
      <c r="R103" s="890"/>
      <c r="S103" s="1729"/>
      <c r="T103" s="891"/>
      <c r="U103" s="1687"/>
      <c r="V103" s="891"/>
      <c r="W103" s="1690"/>
      <c r="X103" s="891"/>
      <c r="Y103" s="890"/>
      <c r="Z103" s="890"/>
      <c r="AA103" s="890"/>
      <c r="AB103" s="890"/>
      <c r="AC103" s="890"/>
      <c r="AD103" s="1738" t="s">
        <v>5601</v>
      </c>
      <c r="AE103" s="890"/>
      <c r="AF103" s="1693" t="s">
        <v>5601</v>
      </c>
      <c r="AG103" s="890"/>
      <c r="AH103" s="1699" t="s">
        <v>5601</v>
      </c>
      <c r="AI103" s="890"/>
      <c r="AJ103" s="1702" t="s">
        <v>5601</v>
      </c>
      <c r="AK103" s="890"/>
      <c r="AL103" s="890"/>
      <c r="AM103" s="890"/>
      <c r="AN103" s="1732" t="s">
        <v>5601</v>
      </c>
      <c r="AO103" s="890"/>
      <c r="AP103" s="1696" t="s">
        <v>5601</v>
      </c>
      <c r="AQ103" s="890"/>
      <c r="AR103" s="1660" t="s">
        <v>5601</v>
      </c>
      <c r="AS103" s="890"/>
      <c r="AT103" s="1729"/>
      <c r="AU103" s="890"/>
      <c r="AV103" s="1687"/>
      <c r="AW103" s="890"/>
      <c r="AX103" s="1690"/>
      <c r="AY103" s="890"/>
      <c r="AZ103" s="890"/>
      <c r="BA103" s="890"/>
      <c r="BB103" s="890"/>
      <c r="BC103" s="890"/>
      <c r="BD103" s="1738" t="s">
        <v>5601</v>
      </c>
      <c r="BE103" s="890"/>
      <c r="BF103" s="1693" t="s">
        <v>5601</v>
      </c>
      <c r="BG103" s="890"/>
      <c r="BH103" s="1699" t="s">
        <v>5601</v>
      </c>
      <c r="BI103" s="890"/>
      <c r="BJ103" s="1702" t="s">
        <v>5601</v>
      </c>
      <c r="BK103" s="890"/>
      <c r="BL103" s="890"/>
      <c r="BM103" s="890"/>
      <c r="BN103" s="1732" t="s">
        <v>5601</v>
      </c>
      <c r="BO103" s="890"/>
      <c r="BP103" s="1696" t="s">
        <v>5601</v>
      </c>
      <c r="BQ103" s="890"/>
      <c r="BR103" s="1660" t="s">
        <v>5601</v>
      </c>
      <c r="BS103" s="890"/>
      <c r="BT103" s="1729" t="s">
        <v>5601</v>
      </c>
      <c r="BV103" s="1687" t="s">
        <v>5601</v>
      </c>
      <c r="BW103" s="890"/>
      <c r="BX103" s="1690"/>
      <c r="BY103" s="891"/>
      <c r="BZ103" s="890"/>
      <c r="CA103" s="890"/>
      <c r="CB103" s="890"/>
      <c r="CD103" s="890"/>
      <c r="CE103" s="893">
        <v>1</v>
      </c>
    </row>
    <row r="104" spans="1:83" s="904" customFormat="1" ht="18" customHeight="1" x14ac:dyDescent="0.25">
      <c r="A104" s="890"/>
      <c r="B104" s="890"/>
      <c r="C104" s="890"/>
      <c r="D104" s="890"/>
      <c r="E104" s="890"/>
      <c r="F104" s="890"/>
      <c r="G104" s="890"/>
      <c r="H104" s="890"/>
      <c r="I104" s="890"/>
      <c r="J104" s="890"/>
      <c r="K104" s="890"/>
      <c r="L104" s="890"/>
      <c r="M104" s="890"/>
      <c r="N104" s="890"/>
      <c r="O104" s="890"/>
      <c r="P104" s="890"/>
      <c r="Q104" s="890"/>
      <c r="R104" s="890"/>
      <c r="S104" s="890"/>
      <c r="T104" s="891"/>
      <c r="U104" s="890"/>
      <c r="V104" s="891"/>
      <c r="W104" s="890"/>
      <c r="X104" s="891"/>
      <c r="Y104" s="890"/>
      <c r="Z104" s="890"/>
      <c r="AA104" s="890"/>
      <c r="AB104" s="890"/>
      <c r="AC104" s="890"/>
      <c r="AD104" s="890"/>
      <c r="AE104" s="890"/>
      <c r="AF104" s="890"/>
      <c r="AG104" s="890"/>
      <c r="AH104" s="890"/>
      <c r="AI104" s="890"/>
      <c r="AJ104" s="890"/>
      <c r="AK104" s="890"/>
      <c r="AL104" s="890"/>
      <c r="AM104" s="890"/>
      <c r="AN104" s="890"/>
      <c r="AO104" s="890"/>
      <c r="AP104" s="890"/>
      <c r="AQ104" s="890"/>
      <c r="AR104" s="890"/>
      <c r="AS104" s="890"/>
      <c r="AT104" s="890"/>
      <c r="AU104" s="890"/>
      <c r="AV104" s="890"/>
      <c r="AW104" s="890"/>
      <c r="AX104" s="890"/>
      <c r="AY104" s="890"/>
      <c r="AZ104" s="890"/>
      <c r="BA104" s="890"/>
      <c r="BB104" s="890"/>
      <c r="BC104" s="890"/>
      <c r="BD104" s="890"/>
      <c r="BE104" s="890"/>
      <c r="BF104" s="890"/>
      <c r="BG104" s="890"/>
      <c r="BH104" s="890"/>
      <c r="BI104" s="890"/>
      <c r="BJ104" s="890"/>
      <c r="BK104" s="890"/>
      <c r="BL104" s="890"/>
      <c r="BM104" s="890"/>
      <c r="BN104" s="890"/>
      <c r="BO104" s="890"/>
      <c r="BP104" s="890"/>
      <c r="BQ104" s="890"/>
      <c r="BR104" s="890"/>
      <c r="BS104" s="890"/>
      <c r="BT104" s="890"/>
      <c r="BV104" s="890"/>
      <c r="BW104" s="890"/>
      <c r="BX104" s="890"/>
      <c r="BY104" s="891"/>
      <c r="BZ104" s="890"/>
      <c r="CA104" s="890"/>
      <c r="CB104" s="890"/>
      <c r="CD104" s="890"/>
      <c r="CE104" s="893"/>
    </row>
    <row r="105" spans="1:83" s="904" customFormat="1" x14ac:dyDescent="0.25">
      <c r="B105" s="1736" t="s">
        <v>6552</v>
      </c>
      <c r="C105" s="890"/>
      <c r="D105" s="1691" t="s">
        <v>5999</v>
      </c>
      <c r="E105" s="890"/>
      <c r="F105" s="1697" t="s">
        <v>6000</v>
      </c>
      <c r="G105" s="890"/>
      <c r="H105" s="1700" t="s">
        <v>6001</v>
      </c>
      <c r="I105" s="890"/>
      <c r="J105" s="890"/>
      <c r="K105" s="890"/>
      <c r="L105" s="1730" t="s">
        <v>6381</v>
      </c>
      <c r="M105" s="890"/>
      <c r="N105" s="1694" t="s">
        <v>6382</v>
      </c>
      <c r="O105" s="890"/>
      <c r="P105" s="1658" t="s">
        <v>6383</v>
      </c>
      <c r="Q105" s="890"/>
      <c r="R105" s="890"/>
      <c r="S105" s="890"/>
      <c r="T105" s="891"/>
      <c r="U105" s="890"/>
      <c r="V105" s="891"/>
      <c r="W105" s="890"/>
      <c r="X105" s="891"/>
      <c r="Y105" s="890"/>
      <c r="Z105" s="890"/>
      <c r="AA105" s="890"/>
      <c r="AB105" s="890"/>
      <c r="AC105" s="890"/>
      <c r="AD105" s="1736" t="s">
        <v>6384</v>
      </c>
      <c r="AE105" s="890"/>
      <c r="AF105" s="1691" t="s">
        <v>6002</v>
      </c>
      <c r="AG105" s="890"/>
      <c r="AH105" s="1697" t="s">
        <v>6003</v>
      </c>
      <c r="AI105" s="890"/>
      <c r="AJ105" s="1700" t="s">
        <v>6004</v>
      </c>
      <c r="AK105" s="890"/>
      <c r="AL105" s="890"/>
      <c r="AM105" s="890"/>
      <c r="AN105" s="1730" t="s">
        <v>6385</v>
      </c>
      <c r="AO105" s="890"/>
      <c r="AP105" s="1694" t="s">
        <v>6386</v>
      </c>
      <c r="AQ105" s="890"/>
      <c r="AR105" s="1658" t="s">
        <v>6387</v>
      </c>
      <c r="AS105" s="890"/>
      <c r="AT105" s="890"/>
      <c r="AU105" s="890"/>
      <c r="AV105" s="890"/>
      <c r="AW105" s="890"/>
      <c r="AX105" s="890"/>
      <c r="AY105" s="890"/>
      <c r="AZ105" s="890"/>
      <c r="BA105" s="890"/>
      <c r="BB105" s="890"/>
      <c r="BC105" s="890"/>
      <c r="BD105" s="1736" t="s">
        <v>6388</v>
      </c>
      <c r="BE105" s="890"/>
      <c r="BF105" s="1691" t="s">
        <v>6005</v>
      </c>
      <c r="BG105" s="890"/>
      <c r="BH105" s="1697" t="s">
        <v>6006</v>
      </c>
      <c r="BI105" s="890"/>
      <c r="BJ105" s="1700" t="s">
        <v>6007</v>
      </c>
      <c r="BK105" s="890"/>
      <c r="BL105" s="890"/>
      <c r="BM105" s="890"/>
      <c r="BN105" s="1730" t="s">
        <v>6389</v>
      </c>
      <c r="BO105" s="890"/>
      <c r="BP105" s="1694" t="s">
        <v>6390</v>
      </c>
      <c r="BQ105" s="890"/>
      <c r="BR105" s="1658" t="s">
        <v>6391</v>
      </c>
      <c r="BS105" s="890"/>
      <c r="BT105" s="890"/>
      <c r="BV105" s="890"/>
      <c r="BW105" s="890"/>
      <c r="BX105" s="890"/>
      <c r="BY105" s="891"/>
      <c r="BZ105" s="890"/>
      <c r="CA105" s="890"/>
      <c r="CB105" s="890"/>
      <c r="CD105" s="890"/>
      <c r="CE105" s="893">
        <v>1</v>
      </c>
    </row>
    <row r="106" spans="1:83" s="904" customFormat="1" x14ac:dyDescent="0.25">
      <c r="B106" s="1737"/>
      <c r="C106" s="890"/>
      <c r="D106" s="1692"/>
      <c r="E106" s="890"/>
      <c r="F106" s="1698"/>
      <c r="G106" s="890"/>
      <c r="H106" s="1701"/>
      <c r="I106" s="890"/>
      <c r="J106" s="890"/>
      <c r="K106" s="890"/>
      <c r="L106" s="1731"/>
      <c r="M106" s="890"/>
      <c r="N106" s="1695"/>
      <c r="O106" s="890"/>
      <c r="P106" s="1659"/>
      <c r="Q106" s="890"/>
      <c r="R106" s="890"/>
      <c r="S106" s="890"/>
      <c r="T106" s="891"/>
      <c r="U106" s="890"/>
      <c r="V106" s="891"/>
      <c r="W106" s="890"/>
      <c r="X106" s="891"/>
      <c r="Y106" s="890"/>
      <c r="Z106" s="890"/>
      <c r="AA106" s="890"/>
      <c r="AB106" s="890"/>
      <c r="AC106" s="890"/>
      <c r="AD106" s="1737" t="s">
        <v>5601</v>
      </c>
      <c r="AE106" s="890"/>
      <c r="AF106" s="1692" t="s">
        <v>5601</v>
      </c>
      <c r="AG106" s="890"/>
      <c r="AH106" s="1698" t="s">
        <v>5601</v>
      </c>
      <c r="AI106" s="890"/>
      <c r="AJ106" s="1701" t="s">
        <v>5601</v>
      </c>
      <c r="AK106" s="890"/>
      <c r="AL106" s="890"/>
      <c r="AM106" s="890"/>
      <c r="AN106" s="1731" t="s">
        <v>5601</v>
      </c>
      <c r="AO106" s="890"/>
      <c r="AP106" s="1695" t="s">
        <v>5601</v>
      </c>
      <c r="AQ106" s="890"/>
      <c r="AR106" s="1659" t="s">
        <v>5601</v>
      </c>
      <c r="AS106" s="890"/>
      <c r="AT106" s="890"/>
      <c r="AU106" s="890"/>
      <c r="AV106" s="890"/>
      <c r="AW106" s="890"/>
      <c r="AX106" s="890"/>
      <c r="AY106" s="890"/>
      <c r="AZ106" s="890"/>
      <c r="BA106" s="890"/>
      <c r="BB106" s="890"/>
      <c r="BC106" s="890"/>
      <c r="BD106" s="1737" t="s">
        <v>5601</v>
      </c>
      <c r="BE106" s="890"/>
      <c r="BF106" s="1692" t="s">
        <v>5601</v>
      </c>
      <c r="BG106" s="890"/>
      <c r="BH106" s="1698" t="s">
        <v>5601</v>
      </c>
      <c r="BI106" s="890"/>
      <c r="BJ106" s="1701" t="s">
        <v>5601</v>
      </c>
      <c r="BK106" s="890"/>
      <c r="BL106" s="890"/>
      <c r="BM106" s="890"/>
      <c r="BN106" s="1731" t="s">
        <v>5601</v>
      </c>
      <c r="BO106" s="890"/>
      <c r="BP106" s="1695" t="s">
        <v>5601</v>
      </c>
      <c r="BQ106" s="890"/>
      <c r="BR106" s="1659" t="s">
        <v>5601</v>
      </c>
      <c r="BS106" s="890"/>
      <c r="BT106" s="890"/>
      <c r="BV106" s="890"/>
      <c r="BW106" s="890"/>
      <c r="BX106" s="890"/>
      <c r="BY106" s="891"/>
      <c r="BZ106" s="890"/>
      <c r="CA106" s="890"/>
      <c r="CB106" s="890"/>
      <c r="CD106" s="890"/>
      <c r="CE106" s="893">
        <v>1</v>
      </c>
    </row>
    <row r="107" spans="1:83" s="904" customFormat="1" ht="15" customHeight="1" x14ac:dyDescent="0.25">
      <c r="B107" s="1738"/>
      <c r="C107" s="890"/>
      <c r="D107" s="1693"/>
      <c r="E107" s="890"/>
      <c r="F107" s="1699"/>
      <c r="G107" s="890"/>
      <c r="H107" s="1702"/>
      <c r="I107" s="890"/>
      <c r="J107" s="890"/>
      <c r="K107" s="890"/>
      <c r="L107" s="1732"/>
      <c r="M107" s="890"/>
      <c r="N107" s="1696"/>
      <c r="O107" s="890"/>
      <c r="P107" s="1660"/>
      <c r="Q107" s="890"/>
      <c r="R107" s="890"/>
      <c r="S107" s="890"/>
      <c r="T107" s="891"/>
      <c r="U107" s="890"/>
      <c r="V107" s="891"/>
      <c r="W107" s="890"/>
      <c r="X107" s="891"/>
      <c r="Y107" s="890"/>
      <c r="Z107" s="890"/>
      <c r="AA107" s="890"/>
      <c r="AB107" s="890"/>
      <c r="AC107" s="890"/>
      <c r="AD107" s="1738" t="s">
        <v>5601</v>
      </c>
      <c r="AE107" s="890"/>
      <c r="AF107" s="1693" t="s">
        <v>5601</v>
      </c>
      <c r="AG107" s="890"/>
      <c r="AH107" s="1699" t="s">
        <v>5601</v>
      </c>
      <c r="AI107" s="890"/>
      <c r="AJ107" s="1702" t="s">
        <v>5601</v>
      </c>
      <c r="AK107" s="890"/>
      <c r="AL107" s="890"/>
      <c r="AM107" s="890"/>
      <c r="AN107" s="1732" t="s">
        <v>5601</v>
      </c>
      <c r="AO107" s="890"/>
      <c r="AP107" s="1696" t="s">
        <v>5601</v>
      </c>
      <c r="AQ107" s="890"/>
      <c r="AR107" s="1660" t="s">
        <v>5601</v>
      </c>
      <c r="AS107" s="890"/>
      <c r="AT107" s="890"/>
      <c r="AU107" s="890"/>
      <c r="AV107" s="890" t="s">
        <v>5601</v>
      </c>
      <c r="AW107" s="890"/>
      <c r="AX107" s="890"/>
      <c r="AY107" s="890"/>
      <c r="AZ107" s="890"/>
      <c r="BA107" s="890"/>
      <c r="BB107" s="890"/>
      <c r="BC107" s="890"/>
      <c r="BD107" s="1738" t="s">
        <v>5601</v>
      </c>
      <c r="BE107" s="890"/>
      <c r="BF107" s="1693" t="s">
        <v>5601</v>
      </c>
      <c r="BG107" s="890"/>
      <c r="BH107" s="1699" t="s">
        <v>5601</v>
      </c>
      <c r="BI107" s="890"/>
      <c r="BJ107" s="1702" t="s">
        <v>5601</v>
      </c>
      <c r="BK107" s="890"/>
      <c r="BL107" s="890"/>
      <c r="BM107" s="890"/>
      <c r="BN107" s="1732" t="s">
        <v>5601</v>
      </c>
      <c r="BO107" s="890"/>
      <c r="BP107" s="1696" t="s">
        <v>5601</v>
      </c>
      <c r="BQ107" s="890"/>
      <c r="BR107" s="1660" t="s">
        <v>5601</v>
      </c>
      <c r="BS107" s="890"/>
      <c r="BT107" s="890"/>
      <c r="BV107" s="890"/>
      <c r="BW107" s="890"/>
      <c r="BX107" s="890"/>
      <c r="BY107" s="891"/>
      <c r="BZ107" s="890"/>
      <c r="CA107" s="890"/>
      <c r="CB107" s="890"/>
      <c r="CD107" s="890"/>
      <c r="CE107" s="893">
        <v>1</v>
      </c>
    </row>
    <row r="108" spans="1:83" s="904" customFormat="1" ht="18" customHeight="1" x14ac:dyDescent="0.25">
      <c r="B108" s="890"/>
      <c r="C108" s="890"/>
      <c r="D108" s="890"/>
      <c r="E108" s="890"/>
      <c r="F108" s="890"/>
      <c r="G108" s="890"/>
      <c r="H108" s="890"/>
      <c r="I108" s="890"/>
      <c r="J108" s="890"/>
      <c r="K108" s="890"/>
      <c r="L108" s="890"/>
      <c r="M108" s="890"/>
      <c r="N108" s="890"/>
      <c r="O108" s="890"/>
      <c r="P108" s="890"/>
      <c r="Q108" s="890"/>
      <c r="R108" s="890"/>
      <c r="S108" s="890"/>
      <c r="T108" s="891"/>
      <c r="U108" s="890"/>
      <c r="V108" s="891"/>
      <c r="W108" s="890"/>
      <c r="X108" s="891"/>
      <c r="Y108" s="890"/>
      <c r="Z108" s="890"/>
      <c r="AA108" s="890"/>
      <c r="AB108" s="890"/>
      <c r="AC108" s="890"/>
      <c r="AD108" s="890"/>
      <c r="AE108" s="890"/>
      <c r="AF108" s="890"/>
      <c r="AG108" s="890"/>
      <c r="AH108" s="890"/>
      <c r="AI108" s="890"/>
      <c r="AJ108" s="890"/>
      <c r="AK108" s="890"/>
      <c r="AL108" s="890"/>
      <c r="AM108" s="890"/>
      <c r="AN108" s="890"/>
      <c r="AO108" s="890"/>
      <c r="AP108" s="890"/>
      <c r="AQ108" s="890"/>
      <c r="AR108" s="890"/>
      <c r="AS108" s="890"/>
      <c r="AT108" s="890"/>
      <c r="AU108" s="890"/>
      <c r="AV108" s="890"/>
      <c r="AW108" s="890"/>
      <c r="AX108" s="890"/>
      <c r="AY108" s="890"/>
      <c r="AZ108" s="890"/>
      <c r="BA108" s="890"/>
      <c r="BB108" s="890"/>
      <c r="BC108" s="890"/>
      <c r="BD108" s="890"/>
      <c r="BE108" s="890"/>
      <c r="BF108" s="890"/>
      <c r="BG108" s="890"/>
      <c r="BH108" s="890"/>
      <c r="BI108" s="890"/>
      <c r="BJ108" s="890"/>
      <c r="BK108" s="890"/>
      <c r="BL108" s="890"/>
      <c r="BM108" s="890"/>
      <c r="BN108" s="890"/>
      <c r="BO108" s="890"/>
      <c r="BP108" s="890"/>
      <c r="BQ108" s="890"/>
      <c r="BR108" s="890"/>
      <c r="BS108" s="890"/>
      <c r="BT108" s="890"/>
      <c r="BV108" s="890"/>
      <c r="BW108" s="890"/>
      <c r="BX108" s="890"/>
      <c r="BY108" s="891"/>
      <c r="BZ108" s="890"/>
      <c r="CA108" s="890"/>
      <c r="CB108" s="890"/>
      <c r="CD108" s="890"/>
      <c r="CE108" s="893"/>
    </row>
    <row r="109" spans="1:83" s="904" customFormat="1" x14ac:dyDescent="0.25">
      <c r="B109" s="1736" t="s">
        <v>6553</v>
      </c>
      <c r="C109" s="890"/>
      <c r="D109" s="1691" t="s">
        <v>6008</v>
      </c>
      <c r="E109" s="890"/>
      <c r="F109" s="1697" t="s">
        <v>6009</v>
      </c>
      <c r="G109" s="890"/>
      <c r="H109" s="1700" t="s">
        <v>6010</v>
      </c>
      <c r="I109" s="890"/>
      <c r="J109" s="890"/>
      <c r="K109" s="890"/>
      <c r="L109" s="910"/>
      <c r="M109" s="890"/>
      <c r="N109" s="1694" t="s">
        <v>6392</v>
      </c>
      <c r="O109" s="890"/>
      <c r="P109" s="1658" t="s">
        <v>6393</v>
      </c>
      <c r="Q109" s="890"/>
      <c r="R109" s="890"/>
      <c r="S109" s="890"/>
      <c r="T109" s="891"/>
      <c r="U109" s="890"/>
      <c r="V109" s="891"/>
      <c r="W109" s="890"/>
      <c r="X109" s="891"/>
      <c r="Y109" s="890"/>
      <c r="Z109" s="890"/>
      <c r="AA109" s="890"/>
      <c r="AB109" s="890"/>
      <c r="AC109" s="890"/>
      <c r="AD109" s="1736" t="s">
        <v>6394</v>
      </c>
      <c r="AE109" s="890"/>
      <c r="AF109" s="1691" t="s">
        <v>6011</v>
      </c>
      <c r="AG109" s="890"/>
      <c r="AH109" s="1697" t="s">
        <v>6012</v>
      </c>
      <c r="AI109" s="890"/>
      <c r="AJ109" s="1700" t="s">
        <v>6013</v>
      </c>
      <c r="AK109" s="890"/>
      <c r="AL109" s="890"/>
      <c r="AM109" s="890"/>
      <c r="AN109" s="910" t="s">
        <v>6395</v>
      </c>
      <c r="AO109" s="890"/>
      <c r="AP109" s="1694" t="s">
        <v>6396</v>
      </c>
      <c r="AQ109" s="890"/>
      <c r="AR109" s="1658" t="s">
        <v>6397</v>
      </c>
      <c r="AS109" s="890"/>
      <c r="AT109" s="890"/>
      <c r="AU109" s="890"/>
      <c r="AV109" s="890"/>
      <c r="AW109" s="890"/>
      <c r="AX109" s="890"/>
      <c r="AY109" s="890"/>
      <c r="AZ109" s="890"/>
      <c r="BA109" s="890"/>
      <c r="BB109" s="890"/>
      <c r="BC109" s="890"/>
      <c r="BD109" s="1736" t="s">
        <v>6398</v>
      </c>
      <c r="BE109" s="890"/>
      <c r="BF109" s="1691" t="s">
        <v>6014</v>
      </c>
      <c r="BG109" s="890"/>
      <c r="BH109" s="1697" t="s">
        <v>6015</v>
      </c>
      <c r="BI109" s="890"/>
      <c r="BJ109" s="1700" t="s">
        <v>6016</v>
      </c>
      <c r="BK109" s="890"/>
      <c r="BL109" s="890"/>
      <c r="BM109" s="890"/>
      <c r="BN109" s="910" t="s">
        <v>6399</v>
      </c>
      <c r="BO109" s="890"/>
      <c r="BP109" s="1694" t="s">
        <v>6400</v>
      </c>
      <c r="BQ109" s="890"/>
      <c r="BR109" s="1658" t="s">
        <v>6401</v>
      </c>
      <c r="BS109" s="890"/>
      <c r="BT109" s="890"/>
      <c r="BV109" s="890"/>
      <c r="BW109" s="890"/>
      <c r="BX109" s="890"/>
      <c r="BY109" s="891"/>
      <c r="BZ109" s="890"/>
      <c r="CA109" s="890"/>
      <c r="CB109" s="890"/>
      <c r="CD109" s="890"/>
      <c r="CE109" s="893">
        <v>1</v>
      </c>
    </row>
    <row r="110" spans="1:83" s="904" customFormat="1" x14ac:dyDescent="0.25">
      <c r="B110" s="1737"/>
      <c r="C110" s="890"/>
      <c r="D110" s="1692"/>
      <c r="E110" s="890"/>
      <c r="F110" s="1698"/>
      <c r="G110" s="890"/>
      <c r="H110" s="1701"/>
      <c r="I110" s="890"/>
      <c r="J110" s="890"/>
      <c r="K110" s="890"/>
      <c r="L110" s="910"/>
      <c r="M110" s="890"/>
      <c r="N110" s="1695"/>
      <c r="O110" s="890"/>
      <c r="P110" s="1659"/>
      <c r="Q110" s="890"/>
      <c r="R110" s="890"/>
      <c r="S110" s="890"/>
      <c r="T110" s="891"/>
      <c r="U110" s="890"/>
      <c r="V110" s="891"/>
      <c r="W110" s="890"/>
      <c r="X110" s="891"/>
      <c r="Y110" s="890"/>
      <c r="Z110" s="890"/>
      <c r="AA110" s="890"/>
      <c r="AB110" s="890"/>
      <c r="AC110" s="890"/>
      <c r="AD110" s="1737" t="s">
        <v>5601</v>
      </c>
      <c r="AE110" s="890"/>
      <c r="AF110" s="1692" t="s">
        <v>5601</v>
      </c>
      <c r="AG110" s="890"/>
      <c r="AH110" s="1698" t="s">
        <v>5601</v>
      </c>
      <c r="AI110" s="890"/>
      <c r="AJ110" s="1701" t="s">
        <v>5601</v>
      </c>
      <c r="AK110" s="890"/>
      <c r="AL110" s="890"/>
      <c r="AM110" s="890"/>
      <c r="AN110" s="910" t="s">
        <v>5601</v>
      </c>
      <c r="AO110" s="890"/>
      <c r="AP110" s="1695" t="s">
        <v>5601</v>
      </c>
      <c r="AQ110" s="890"/>
      <c r="AR110" s="1659" t="s">
        <v>5601</v>
      </c>
      <c r="AS110" s="890"/>
      <c r="AT110" s="890"/>
      <c r="AU110" s="890"/>
      <c r="AV110" s="890"/>
      <c r="AW110" s="890"/>
      <c r="AX110" s="890"/>
      <c r="AY110" s="890"/>
      <c r="AZ110" s="890"/>
      <c r="BA110" s="890"/>
      <c r="BB110" s="890"/>
      <c r="BC110" s="890"/>
      <c r="BD110" s="1737" t="s">
        <v>5601</v>
      </c>
      <c r="BE110" s="890"/>
      <c r="BF110" s="1692" t="s">
        <v>5601</v>
      </c>
      <c r="BG110" s="890"/>
      <c r="BH110" s="1698" t="s">
        <v>5601</v>
      </c>
      <c r="BI110" s="890"/>
      <c r="BJ110" s="1701" t="s">
        <v>5601</v>
      </c>
      <c r="BK110" s="890"/>
      <c r="BL110" s="890"/>
      <c r="BM110" s="890"/>
      <c r="BN110" s="910" t="s">
        <v>5601</v>
      </c>
      <c r="BO110" s="890"/>
      <c r="BP110" s="1695" t="s">
        <v>5601</v>
      </c>
      <c r="BQ110" s="890"/>
      <c r="BR110" s="1659" t="s">
        <v>5601</v>
      </c>
      <c r="BS110" s="890"/>
      <c r="BT110" s="890"/>
      <c r="BV110" s="890"/>
      <c r="BW110" s="890"/>
      <c r="BX110" s="890"/>
      <c r="BY110" s="891"/>
      <c r="BZ110" s="890"/>
      <c r="CA110" s="890"/>
      <c r="CB110" s="890"/>
      <c r="CD110" s="890"/>
      <c r="CE110" s="893">
        <v>1</v>
      </c>
    </row>
    <row r="111" spans="1:83" s="904" customFormat="1" ht="15" customHeight="1" x14ac:dyDescent="0.25">
      <c r="B111" s="1738"/>
      <c r="C111" s="890"/>
      <c r="D111" s="1693"/>
      <c r="E111" s="890"/>
      <c r="F111" s="1699"/>
      <c r="G111" s="890"/>
      <c r="H111" s="1702"/>
      <c r="I111" s="890"/>
      <c r="J111" s="890"/>
      <c r="K111" s="890"/>
      <c r="L111" s="910"/>
      <c r="M111" s="890"/>
      <c r="N111" s="1696"/>
      <c r="O111" s="890"/>
      <c r="P111" s="1660"/>
      <c r="Q111" s="890"/>
      <c r="R111" s="890"/>
      <c r="S111" s="890"/>
      <c r="T111" s="891"/>
      <c r="U111" s="890"/>
      <c r="V111" s="891"/>
      <c r="W111" s="890"/>
      <c r="X111" s="891"/>
      <c r="Y111" s="890"/>
      <c r="Z111" s="890"/>
      <c r="AA111" s="890"/>
      <c r="AB111" s="890"/>
      <c r="AC111" s="890"/>
      <c r="AD111" s="1738" t="s">
        <v>5601</v>
      </c>
      <c r="AE111" s="890"/>
      <c r="AF111" s="1693" t="s">
        <v>5601</v>
      </c>
      <c r="AG111" s="890"/>
      <c r="AH111" s="1699" t="s">
        <v>5601</v>
      </c>
      <c r="AI111" s="890"/>
      <c r="AJ111" s="1702" t="s">
        <v>5601</v>
      </c>
      <c r="AK111" s="890"/>
      <c r="AL111" s="890"/>
      <c r="AM111" s="890"/>
      <c r="AN111" s="910" t="s">
        <v>5601</v>
      </c>
      <c r="AO111" s="890"/>
      <c r="AP111" s="1696" t="s">
        <v>5601</v>
      </c>
      <c r="AQ111" s="890"/>
      <c r="AR111" s="1660" t="s">
        <v>5601</v>
      </c>
      <c r="AS111" s="890"/>
      <c r="AT111" s="890"/>
      <c r="AU111" s="890"/>
      <c r="AV111" s="890"/>
      <c r="AW111" s="890"/>
      <c r="AX111" s="890"/>
      <c r="AY111" s="890"/>
      <c r="AZ111" s="890"/>
      <c r="BA111" s="890"/>
      <c r="BB111" s="890"/>
      <c r="BC111" s="890"/>
      <c r="BD111" s="1738" t="s">
        <v>5601</v>
      </c>
      <c r="BE111" s="890"/>
      <c r="BF111" s="1693" t="s">
        <v>5601</v>
      </c>
      <c r="BG111" s="890"/>
      <c r="BH111" s="1699" t="s">
        <v>5601</v>
      </c>
      <c r="BI111" s="890"/>
      <c r="BJ111" s="1702" t="s">
        <v>5601</v>
      </c>
      <c r="BK111" s="890"/>
      <c r="BL111" s="890"/>
      <c r="BM111" s="890"/>
      <c r="BN111" s="910"/>
      <c r="BO111" s="890"/>
      <c r="BP111" s="1696" t="s">
        <v>5601</v>
      </c>
      <c r="BQ111" s="890"/>
      <c r="BR111" s="1660" t="s">
        <v>5601</v>
      </c>
      <c r="BS111" s="890"/>
      <c r="BT111" s="890"/>
      <c r="BV111" s="890"/>
      <c r="BW111" s="890"/>
      <c r="BX111" s="890"/>
      <c r="BY111" s="891"/>
      <c r="BZ111" s="890"/>
      <c r="CA111" s="890"/>
      <c r="CB111" s="890"/>
      <c r="CD111" s="890"/>
      <c r="CE111" s="893">
        <v>1</v>
      </c>
    </row>
    <row r="112" spans="1:83" s="904" customFormat="1" ht="18" customHeight="1" x14ac:dyDescent="0.25">
      <c r="B112" s="890"/>
      <c r="C112" s="890"/>
      <c r="D112" s="890"/>
      <c r="E112" s="890"/>
      <c r="F112" s="890"/>
      <c r="G112" s="890"/>
      <c r="H112" s="890"/>
      <c r="I112" s="890"/>
      <c r="J112" s="890"/>
      <c r="K112" s="890"/>
      <c r="L112" s="910"/>
      <c r="M112" s="890"/>
      <c r="N112" s="890"/>
      <c r="O112" s="890"/>
      <c r="P112" s="890"/>
      <c r="Q112" s="890"/>
      <c r="R112" s="890"/>
      <c r="S112" s="890"/>
      <c r="T112" s="891"/>
      <c r="U112" s="890"/>
      <c r="V112" s="891"/>
      <c r="W112" s="890"/>
      <c r="X112" s="891"/>
      <c r="Y112" s="890"/>
      <c r="Z112" s="890"/>
      <c r="AA112" s="890"/>
      <c r="AB112" s="890"/>
      <c r="AC112" s="890"/>
      <c r="AD112" s="890"/>
      <c r="AE112" s="890"/>
      <c r="AF112" s="890"/>
      <c r="AG112" s="890"/>
      <c r="AH112" s="890"/>
      <c r="AI112" s="890"/>
      <c r="AJ112" s="890"/>
      <c r="AK112" s="890"/>
      <c r="AL112" s="890"/>
      <c r="AM112" s="890"/>
      <c r="AN112" s="910"/>
      <c r="AO112" s="890"/>
      <c r="AP112" s="890"/>
      <c r="AQ112" s="890"/>
      <c r="AR112" s="890"/>
      <c r="AS112" s="890"/>
      <c r="AT112" s="890"/>
      <c r="AU112" s="890"/>
      <c r="AV112" s="890"/>
      <c r="AW112" s="890"/>
      <c r="AX112" s="890"/>
      <c r="AY112" s="890"/>
      <c r="AZ112" s="890"/>
      <c r="BA112" s="890"/>
      <c r="BB112" s="890"/>
      <c r="BC112" s="890"/>
      <c r="BD112" s="890"/>
      <c r="BE112" s="890"/>
      <c r="BF112" s="890"/>
      <c r="BG112" s="890"/>
      <c r="BH112" s="890"/>
      <c r="BI112" s="890"/>
      <c r="BJ112" s="890"/>
      <c r="BK112" s="890"/>
      <c r="BL112" s="890"/>
      <c r="BM112" s="890"/>
      <c r="BN112" s="910"/>
      <c r="BO112" s="890"/>
      <c r="BP112" s="890"/>
      <c r="BQ112" s="890"/>
      <c r="BR112" s="890"/>
      <c r="BS112" s="890"/>
      <c r="BT112" s="890"/>
      <c r="BV112" s="890"/>
      <c r="BW112" s="890"/>
      <c r="BX112" s="890"/>
      <c r="BY112" s="891"/>
      <c r="BZ112" s="890"/>
      <c r="CA112" s="890"/>
      <c r="CB112" s="890"/>
      <c r="CD112" s="890"/>
      <c r="CE112" s="893"/>
    </row>
    <row r="113" spans="2:83" s="904" customFormat="1" x14ac:dyDescent="0.25">
      <c r="B113" s="1736" t="s">
        <v>6554</v>
      </c>
      <c r="C113" s="890"/>
      <c r="D113" s="1691" t="s">
        <v>6017</v>
      </c>
      <c r="E113" s="890"/>
      <c r="F113" s="1697" t="s">
        <v>6015</v>
      </c>
      <c r="G113" s="890"/>
      <c r="H113" s="1700" t="s">
        <v>6018</v>
      </c>
      <c r="I113" s="890"/>
      <c r="J113" s="890"/>
      <c r="K113" s="890"/>
      <c r="L113" s="910"/>
      <c r="M113" s="890"/>
      <c r="N113" s="1694" t="s">
        <v>6402</v>
      </c>
      <c r="O113" s="890"/>
      <c r="P113" s="1658" t="s">
        <v>6403</v>
      </c>
      <c r="Q113" s="890"/>
      <c r="R113" s="890"/>
      <c r="S113" s="890"/>
      <c r="T113" s="891"/>
      <c r="U113" s="890"/>
      <c r="V113" s="891"/>
      <c r="W113" s="890"/>
      <c r="X113" s="891"/>
      <c r="Y113" s="890"/>
      <c r="Z113" s="890"/>
      <c r="AA113" s="890"/>
      <c r="AB113" s="890"/>
      <c r="AC113" s="890"/>
      <c r="AD113" s="1736" t="s">
        <v>6404</v>
      </c>
      <c r="AE113" s="890"/>
      <c r="AF113" s="1691" t="s">
        <v>6019</v>
      </c>
      <c r="AG113" s="890"/>
      <c r="AH113" s="1697" t="s">
        <v>6020</v>
      </c>
      <c r="AI113" s="890"/>
      <c r="AJ113" s="1700" t="s">
        <v>6021</v>
      </c>
      <c r="AK113" s="890"/>
      <c r="AL113" s="890"/>
      <c r="AM113" s="890"/>
      <c r="AN113" s="910"/>
      <c r="AO113" s="890"/>
      <c r="AP113" s="1694" t="s">
        <v>6405</v>
      </c>
      <c r="AQ113" s="890"/>
      <c r="AR113" s="1658" t="s">
        <v>6406</v>
      </c>
      <c r="AS113" s="890"/>
      <c r="AT113" s="890"/>
      <c r="AU113" s="890"/>
      <c r="AV113" s="890"/>
      <c r="AW113" s="890"/>
      <c r="AX113" s="890"/>
      <c r="AY113" s="890"/>
      <c r="AZ113" s="890"/>
      <c r="BA113" s="890"/>
      <c r="BB113" s="890"/>
      <c r="BC113" s="890"/>
      <c r="BD113" s="1736" t="s">
        <v>6407</v>
      </c>
      <c r="BE113" s="890"/>
      <c r="BF113" s="1691" t="s">
        <v>6022</v>
      </c>
      <c r="BG113" s="890"/>
      <c r="BH113" s="1697" t="s">
        <v>6023</v>
      </c>
      <c r="BI113" s="890"/>
      <c r="BJ113" s="1700" t="s">
        <v>6024</v>
      </c>
      <c r="BK113" s="890"/>
      <c r="BL113" s="890"/>
      <c r="BM113" s="890"/>
      <c r="BN113" s="910"/>
      <c r="BO113" s="890"/>
      <c r="BP113" s="1694" t="s">
        <v>6408</v>
      </c>
      <c r="BQ113" s="890"/>
      <c r="BR113" s="1658" t="s">
        <v>6409</v>
      </c>
      <c r="BS113" s="890"/>
      <c r="BT113" s="890"/>
      <c r="BV113" s="890"/>
      <c r="BW113" s="890"/>
      <c r="BX113" s="890"/>
      <c r="BY113" s="891"/>
      <c r="BZ113" s="890"/>
      <c r="CA113" s="890"/>
      <c r="CB113" s="890"/>
      <c r="CD113" s="890"/>
      <c r="CE113" s="893">
        <v>1</v>
      </c>
    </row>
    <row r="114" spans="2:83" s="904" customFormat="1" x14ac:dyDescent="0.25">
      <c r="B114" s="1737"/>
      <c r="C114" s="890"/>
      <c r="D114" s="1692"/>
      <c r="E114" s="890"/>
      <c r="F114" s="1698"/>
      <c r="G114" s="890"/>
      <c r="H114" s="1701"/>
      <c r="I114" s="890"/>
      <c r="J114" s="890"/>
      <c r="K114" s="890"/>
      <c r="L114" s="910"/>
      <c r="M114" s="890"/>
      <c r="N114" s="1695"/>
      <c r="O114" s="890"/>
      <c r="P114" s="1659"/>
      <c r="Q114" s="890"/>
      <c r="R114" s="890"/>
      <c r="S114" s="890"/>
      <c r="T114" s="891"/>
      <c r="U114" s="890"/>
      <c r="V114" s="891"/>
      <c r="W114" s="890"/>
      <c r="X114" s="891"/>
      <c r="Y114" s="890"/>
      <c r="Z114" s="890"/>
      <c r="AA114" s="890"/>
      <c r="AB114" s="890"/>
      <c r="AC114" s="890"/>
      <c r="AD114" s="1737" t="s">
        <v>5601</v>
      </c>
      <c r="AE114" s="890"/>
      <c r="AF114" s="1692" t="s">
        <v>5601</v>
      </c>
      <c r="AG114" s="890"/>
      <c r="AH114" s="1698" t="s">
        <v>5601</v>
      </c>
      <c r="AI114" s="890"/>
      <c r="AJ114" s="1701" t="s">
        <v>5601</v>
      </c>
      <c r="AK114" s="890"/>
      <c r="AL114" s="890"/>
      <c r="AM114" s="890"/>
      <c r="AN114" s="910"/>
      <c r="AO114" s="890"/>
      <c r="AP114" s="1695" t="s">
        <v>5601</v>
      </c>
      <c r="AQ114" s="890"/>
      <c r="AR114" s="1659" t="s">
        <v>5601</v>
      </c>
      <c r="AS114" s="890"/>
      <c r="AT114" s="890"/>
      <c r="AU114" s="890"/>
      <c r="AV114" s="890"/>
      <c r="AW114" s="890"/>
      <c r="AX114" s="890"/>
      <c r="AY114" s="890"/>
      <c r="AZ114" s="890"/>
      <c r="BA114" s="890"/>
      <c r="BB114" s="890"/>
      <c r="BC114" s="890"/>
      <c r="BD114" s="1737" t="s">
        <v>5601</v>
      </c>
      <c r="BE114" s="890"/>
      <c r="BF114" s="1692" t="s">
        <v>5601</v>
      </c>
      <c r="BG114" s="890"/>
      <c r="BH114" s="1698" t="s">
        <v>5601</v>
      </c>
      <c r="BI114" s="890"/>
      <c r="BJ114" s="1701" t="s">
        <v>5601</v>
      </c>
      <c r="BK114" s="890"/>
      <c r="BL114" s="890"/>
      <c r="BM114" s="890"/>
      <c r="BN114" s="910"/>
      <c r="BO114" s="890"/>
      <c r="BP114" s="1695" t="s">
        <v>5601</v>
      </c>
      <c r="BQ114" s="890"/>
      <c r="BR114" s="1659" t="s">
        <v>5601</v>
      </c>
      <c r="BS114" s="890"/>
      <c r="BT114" s="890"/>
      <c r="BV114" s="890"/>
      <c r="BW114" s="890"/>
      <c r="BX114" s="890"/>
      <c r="BY114" s="891"/>
      <c r="BZ114" s="890"/>
      <c r="CA114" s="890"/>
      <c r="CB114" s="890"/>
      <c r="CD114" s="890"/>
      <c r="CE114" s="893">
        <v>1</v>
      </c>
    </row>
    <row r="115" spans="2:83" s="904" customFormat="1" ht="15" customHeight="1" x14ac:dyDescent="0.25">
      <c r="B115" s="1738"/>
      <c r="C115" s="890"/>
      <c r="D115" s="1693"/>
      <c r="E115" s="890"/>
      <c r="F115" s="1699"/>
      <c r="G115" s="890"/>
      <c r="H115" s="1702"/>
      <c r="I115" s="890"/>
      <c r="J115" s="890"/>
      <c r="K115" s="890"/>
      <c r="L115" s="910"/>
      <c r="M115" s="890"/>
      <c r="N115" s="1696"/>
      <c r="O115" s="890"/>
      <c r="P115" s="1660"/>
      <c r="Q115" s="890"/>
      <c r="R115" s="890"/>
      <c r="S115" s="890"/>
      <c r="T115" s="891"/>
      <c r="U115" s="890"/>
      <c r="V115" s="891"/>
      <c r="W115" s="890"/>
      <c r="X115" s="891"/>
      <c r="Y115" s="890"/>
      <c r="Z115" s="890"/>
      <c r="AA115" s="890"/>
      <c r="AB115" s="890"/>
      <c r="AC115" s="890"/>
      <c r="AD115" s="1738" t="s">
        <v>5601</v>
      </c>
      <c r="AE115" s="890"/>
      <c r="AF115" s="1693" t="s">
        <v>5601</v>
      </c>
      <c r="AG115" s="890"/>
      <c r="AH115" s="1699" t="s">
        <v>5601</v>
      </c>
      <c r="AI115" s="890"/>
      <c r="AJ115" s="1702" t="s">
        <v>5601</v>
      </c>
      <c r="AK115" s="890"/>
      <c r="AL115" s="890"/>
      <c r="AM115" s="890"/>
      <c r="AN115" s="910"/>
      <c r="AO115" s="890"/>
      <c r="AP115" s="1696" t="s">
        <v>5601</v>
      </c>
      <c r="AQ115" s="890"/>
      <c r="AR115" s="1660" t="s">
        <v>5601</v>
      </c>
      <c r="AS115" s="890"/>
      <c r="AT115" s="890"/>
      <c r="AU115" s="890"/>
      <c r="AV115" s="890"/>
      <c r="AW115" s="890"/>
      <c r="AX115" s="890"/>
      <c r="AY115" s="890"/>
      <c r="AZ115" s="890"/>
      <c r="BA115" s="890"/>
      <c r="BB115" s="890"/>
      <c r="BC115" s="890"/>
      <c r="BD115" s="1738" t="s">
        <v>5601</v>
      </c>
      <c r="BE115" s="890"/>
      <c r="BF115" s="1693" t="s">
        <v>5601</v>
      </c>
      <c r="BG115" s="890"/>
      <c r="BH115" s="1699" t="s">
        <v>5601</v>
      </c>
      <c r="BI115" s="890"/>
      <c r="BJ115" s="1702" t="s">
        <v>5601</v>
      </c>
      <c r="BK115" s="890"/>
      <c r="BL115" s="890"/>
      <c r="BM115" s="890"/>
      <c r="BN115" s="910"/>
      <c r="BO115" s="890"/>
      <c r="BP115" s="1696" t="s">
        <v>5601</v>
      </c>
      <c r="BQ115" s="890"/>
      <c r="BR115" s="1660" t="s">
        <v>5601</v>
      </c>
      <c r="BS115" s="890"/>
      <c r="BT115" s="890"/>
      <c r="BV115" s="890"/>
      <c r="BW115" s="890"/>
      <c r="BX115" s="890"/>
      <c r="BY115" s="891"/>
      <c r="BZ115" s="890"/>
      <c r="CA115" s="890"/>
      <c r="CB115" s="890"/>
      <c r="CD115" s="890"/>
      <c r="CE115" s="893">
        <v>1</v>
      </c>
    </row>
    <row r="116" spans="2:83" s="904" customFormat="1" ht="18" customHeight="1" x14ac:dyDescent="0.25">
      <c r="B116" s="890"/>
      <c r="C116" s="890"/>
      <c r="D116" s="890"/>
      <c r="E116" s="890"/>
      <c r="F116" s="890"/>
      <c r="G116" s="890"/>
      <c r="H116" s="890"/>
      <c r="I116" s="890"/>
      <c r="J116" s="890"/>
      <c r="K116" s="890"/>
      <c r="L116" s="910"/>
      <c r="M116" s="890"/>
      <c r="N116" s="890"/>
      <c r="O116" s="890"/>
      <c r="P116" s="890"/>
      <c r="Q116" s="890"/>
      <c r="R116" s="890"/>
      <c r="S116" s="890"/>
      <c r="T116" s="891"/>
      <c r="U116" s="890"/>
      <c r="V116" s="891"/>
      <c r="W116" s="890"/>
      <c r="X116" s="891"/>
      <c r="Y116" s="890"/>
      <c r="Z116" s="890"/>
      <c r="AA116" s="890"/>
      <c r="AB116" s="890"/>
      <c r="AC116" s="890"/>
      <c r="AD116" s="890"/>
      <c r="AE116" s="890"/>
      <c r="AF116" s="890"/>
      <c r="AG116" s="890"/>
      <c r="AH116" s="890"/>
      <c r="AI116" s="890"/>
      <c r="AJ116" s="890"/>
      <c r="AK116" s="890"/>
      <c r="AL116" s="890"/>
      <c r="AM116" s="890"/>
      <c r="AN116" s="910"/>
      <c r="AO116" s="890"/>
      <c r="AP116" s="890"/>
      <c r="AQ116" s="890"/>
      <c r="AR116" s="890"/>
      <c r="AS116" s="890"/>
      <c r="AT116" s="890"/>
      <c r="AU116" s="890"/>
      <c r="AV116" s="890"/>
      <c r="AW116" s="890"/>
      <c r="AX116" s="890"/>
      <c r="AY116" s="890"/>
      <c r="AZ116" s="890"/>
      <c r="BA116" s="890"/>
      <c r="BB116" s="890"/>
      <c r="BC116" s="890"/>
      <c r="BD116" s="890"/>
      <c r="BE116" s="890"/>
      <c r="BF116" s="890"/>
      <c r="BG116" s="890"/>
      <c r="BH116" s="890"/>
      <c r="BI116" s="890"/>
      <c r="BJ116" s="890"/>
      <c r="BK116" s="890"/>
      <c r="BL116" s="890"/>
      <c r="BM116" s="890"/>
      <c r="BN116" s="910"/>
      <c r="BO116" s="890"/>
      <c r="BP116" s="890"/>
      <c r="BQ116" s="890"/>
      <c r="BR116" s="890"/>
      <c r="BS116" s="890"/>
      <c r="BT116" s="890"/>
      <c r="BV116" s="890"/>
      <c r="BW116" s="890"/>
      <c r="BX116" s="890"/>
      <c r="BY116" s="891"/>
      <c r="BZ116" s="890"/>
      <c r="CA116" s="890"/>
      <c r="CB116" s="890"/>
      <c r="CD116" s="890"/>
      <c r="CE116" s="893"/>
    </row>
    <row r="117" spans="2:83" s="904" customFormat="1" x14ac:dyDescent="0.25">
      <c r="B117" s="1736" t="s">
        <v>6555</v>
      </c>
      <c r="C117" s="890"/>
      <c r="D117" s="1691" t="s">
        <v>6025</v>
      </c>
      <c r="E117" s="890"/>
      <c r="F117" s="1697" t="s">
        <v>6026</v>
      </c>
      <c r="G117" s="890"/>
      <c r="H117" s="1700" t="s">
        <v>6027</v>
      </c>
      <c r="I117" s="890"/>
      <c r="J117" s="890"/>
      <c r="K117" s="890"/>
      <c r="L117" s="910"/>
      <c r="M117" s="890"/>
      <c r="N117" s="1694" t="s">
        <v>6410</v>
      </c>
      <c r="O117" s="890"/>
      <c r="P117" s="1658" t="s">
        <v>6411</v>
      </c>
      <c r="Q117" s="890"/>
      <c r="R117" s="890"/>
      <c r="S117" s="890"/>
      <c r="T117" s="891"/>
      <c r="U117" s="890"/>
      <c r="V117" s="891"/>
      <c r="W117" s="890"/>
      <c r="X117" s="891"/>
      <c r="Y117" s="890"/>
      <c r="Z117" s="890"/>
      <c r="AA117" s="890"/>
      <c r="AB117" s="890"/>
      <c r="AC117" s="890"/>
      <c r="AD117" s="1736" t="s">
        <v>6412</v>
      </c>
      <c r="AE117" s="890"/>
      <c r="AF117" s="1691" t="s">
        <v>6028</v>
      </c>
      <c r="AG117" s="890"/>
      <c r="AH117" s="1697" t="s">
        <v>6029</v>
      </c>
      <c r="AI117" s="890"/>
      <c r="AJ117" s="1700" t="s">
        <v>6030</v>
      </c>
      <c r="AK117" s="890"/>
      <c r="AL117" s="890"/>
      <c r="AM117" s="890"/>
      <c r="AN117" s="910"/>
      <c r="AO117" s="890"/>
      <c r="AP117" s="1694" t="s">
        <v>6413</v>
      </c>
      <c r="AQ117" s="890"/>
      <c r="AR117" s="1658" t="s">
        <v>6414</v>
      </c>
      <c r="AS117" s="890"/>
      <c r="AT117" s="890"/>
      <c r="AU117" s="890"/>
      <c r="AV117" s="890"/>
      <c r="AW117" s="890"/>
      <c r="AX117" s="890"/>
      <c r="AY117" s="890"/>
      <c r="AZ117" s="890"/>
      <c r="BA117" s="890"/>
      <c r="BB117" s="890"/>
      <c r="BC117" s="890"/>
      <c r="BD117" s="1736" t="s">
        <v>6415</v>
      </c>
      <c r="BE117" s="890"/>
      <c r="BF117" s="1691" t="s">
        <v>6031</v>
      </c>
      <c r="BG117" s="890"/>
      <c r="BH117" s="1697" t="s">
        <v>6032</v>
      </c>
      <c r="BI117" s="890"/>
      <c r="BJ117" s="1700" t="s">
        <v>6033</v>
      </c>
      <c r="BK117" s="890"/>
      <c r="BL117" s="890"/>
      <c r="BM117" s="890"/>
      <c r="BN117" s="910"/>
      <c r="BO117" s="890"/>
      <c r="BP117" s="1694" t="s">
        <v>6416</v>
      </c>
      <c r="BQ117" s="890"/>
      <c r="BR117" s="1658" t="s">
        <v>6417</v>
      </c>
      <c r="BS117" s="890"/>
      <c r="BT117" s="890"/>
      <c r="BV117" s="890"/>
      <c r="BW117" s="890"/>
      <c r="BX117" s="890"/>
      <c r="BY117" s="891"/>
      <c r="BZ117" s="890"/>
      <c r="CA117" s="890"/>
      <c r="CB117" s="890"/>
      <c r="CD117" s="890"/>
      <c r="CE117" s="893">
        <v>1</v>
      </c>
    </row>
    <row r="118" spans="2:83" s="904" customFormat="1" x14ac:dyDescent="0.25">
      <c r="B118" s="1737"/>
      <c r="C118" s="890"/>
      <c r="D118" s="1692"/>
      <c r="E118" s="890"/>
      <c r="F118" s="1698"/>
      <c r="G118" s="890"/>
      <c r="H118" s="1701"/>
      <c r="I118" s="890"/>
      <c r="J118" s="890"/>
      <c r="K118" s="890"/>
      <c r="L118" s="910"/>
      <c r="M118" s="890"/>
      <c r="N118" s="1695"/>
      <c r="O118" s="890"/>
      <c r="P118" s="1659"/>
      <c r="Q118" s="890"/>
      <c r="R118" s="890"/>
      <c r="S118" s="890"/>
      <c r="T118" s="891"/>
      <c r="U118" s="890"/>
      <c r="V118" s="891"/>
      <c r="W118" s="890"/>
      <c r="X118" s="891"/>
      <c r="Y118" s="890"/>
      <c r="Z118" s="890"/>
      <c r="AA118" s="890"/>
      <c r="AB118" s="890"/>
      <c r="AC118" s="890"/>
      <c r="AD118" s="1737" t="s">
        <v>5601</v>
      </c>
      <c r="AE118" s="890"/>
      <c r="AF118" s="1692" t="s">
        <v>5601</v>
      </c>
      <c r="AG118" s="890"/>
      <c r="AH118" s="1698" t="s">
        <v>5601</v>
      </c>
      <c r="AI118" s="890"/>
      <c r="AJ118" s="1701" t="s">
        <v>5601</v>
      </c>
      <c r="AK118" s="890"/>
      <c r="AL118" s="890"/>
      <c r="AM118" s="890"/>
      <c r="AN118" s="910"/>
      <c r="AO118" s="890"/>
      <c r="AP118" s="1695" t="s">
        <v>5601</v>
      </c>
      <c r="AQ118" s="890"/>
      <c r="AR118" s="1659" t="s">
        <v>5601</v>
      </c>
      <c r="AS118" s="890"/>
      <c r="AT118" s="890"/>
      <c r="AU118" s="890"/>
      <c r="AV118" s="890"/>
      <c r="AW118" s="890"/>
      <c r="AX118" s="890"/>
      <c r="AY118" s="890"/>
      <c r="AZ118" s="890"/>
      <c r="BA118" s="890"/>
      <c r="BB118" s="890"/>
      <c r="BC118" s="890"/>
      <c r="BD118" s="1737" t="s">
        <v>5601</v>
      </c>
      <c r="BE118" s="890"/>
      <c r="BF118" s="1692" t="s">
        <v>5601</v>
      </c>
      <c r="BG118" s="890"/>
      <c r="BH118" s="1698" t="s">
        <v>5601</v>
      </c>
      <c r="BI118" s="890"/>
      <c r="BJ118" s="1701" t="s">
        <v>5601</v>
      </c>
      <c r="BK118" s="890"/>
      <c r="BL118" s="890"/>
      <c r="BM118" s="890"/>
      <c r="BN118" s="910"/>
      <c r="BO118" s="890"/>
      <c r="BP118" s="1695" t="s">
        <v>5601</v>
      </c>
      <c r="BQ118" s="890"/>
      <c r="BR118" s="1659" t="s">
        <v>5601</v>
      </c>
      <c r="BS118" s="890"/>
      <c r="BT118" s="890"/>
      <c r="BV118" s="890"/>
      <c r="BW118" s="890"/>
      <c r="BX118" s="890"/>
      <c r="BY118" s="891"/>
      <c r="BZ118" s="890"/>
      <c r="CA118" s="890"/>
      <c r="CB118" s="890"/>
      <c r="CD118" s="890"/>
      <c r="CE118" s="893">
        <v>1</v>
      </c>
    </row>
    <row r="119" spans="2:83" s="904" customFormat="1" ht="15" customHeight="1" x14ac:dyDescent="0.25">
      <c r="B119" s="1738"/>
      <c r="C119" s="890"/>
      <c r="D119" s="1693"/>
      <c r="E119" s="890"/>
      <c r="F119" s="1699"/>
      <c r="G119" s="890"/>
      <c r="H119" s="1702"/>
      <c r="I119" s="890"/>
      <c r="J119" s="890"/>
      <c r="K119" s="890"/>
      <c r="L119" s="910"/>
      <c r="M119" s="890"/>
      <c r="N119" s="1696"/>
      <c r="O119" s="890"/>
      <c r="P119" s="1660"/>
      <c r="Q119" s="890"/>
      <c r="R119" s="890"/>
      <c r="S119" s="890"/>
      <c r="T119" s="891"/>
      <c r="U119" s="890"/>
      <c r="V119" s="891"/>
      <c r="W119" s="890"/>
      <c r="X119" s="891"/>
      <c r="Y119" s="890"/>
      <c r="Z119" s="890"/>
      <c r="AA119" s="890"/>
      <c r="AB119" s="890"/>
      <c r="AC119" s="890"/>
      <c r="AD119" s="1738" t="s">
        <v>5601</v>
      </c>
      <c r="AE119" s="890"/>
      <c r="AF119" s="1693" t="s">
        <v>5601</v>
      </c>
      <c r="AG119" s="890"/>
      <c r="AH119" s="1699" t="s">
        <v>5601</v>
      </c>
      <c r="AI119" s="890"/>
      <c r="AJ119" s="1702" t="s">
        <v>5601</v>
      </c>
      <c r="AK119" s="890"/>
      <c r="AL119" s="890"/>
      <c r="AM119" s="890"/>
      <c r="AN119" s="910"/>
      <c r="AO119" s="890"/>
      <c r="AP119" s="1696" t="s">
        <v>5601</v>
      </c>
      <c r="AQ119" s="890"/>
      <c r="AR119" s="1660" t="s">
        <v>5601</v>
      </c>
      <c r="AS119" s="890"/>
      <c r="AT119" s="890"/>
      <c r="AU119" s="890"/>
      <c r="AV119" s="890"/>
      <c r="AW119" s="890"/>
      <c r="AX119" s="890"/>
      <c r="AY119" s="890"/>
      <c r="AZ119" s="890"/>
      <c r="BA119" s="890"/>
      <c r="BB119" s="890"/>
      <c r="BC119" s="890"/>
      <c r="BD119" s="1738" t="s">
        <v>5601</v>
      </c>
      <c r="BE119" s="890"/>
      <c r="BF119" s="1693" t="s">
        <v>5601</v>
      </c>
      <c r="BG119" s="890"/>
      <c r="BH119" s="1699" t="s">
        <v>5601</v>
      </c>
      <c r="BI119" s="890"/>
      <c r="BJ119" s="1702" t="s">
        <v>5601</v>
      </c>
      <c r="BK119" s="890"/>
      <c r="BL119" s="890"/>
      <c r="BM119" s="890"/>
      <c r="BN119" s="910"/>
      <c r="BO119" s="890"/>
      <c r="BP119" s="1696" t="s">
        <v>5601</v>
      </c>
      <c r="BQ119" s="890"/>
      <c r="BR119" s="1660" t="s">
        <v>5601</v>
      </c>
      <c r="BS119" s="890"/>
      <c r="BT119" s="890"/>
      <c r="BV119" s="890"/>
      <c r="BW119" s="890"/>
      <c r="BX119" s="890"/>
      <c r="BY119" s="891"/>
      <c r="BZ119" s="890"/>
      <c r="CA119" s="890"/>
      <c r="CB119" s="890"/>
      <c r="CD119" s="890"/>
      <c r="CE119" s="893">
        <v>1</v>
      </c>
    </row>
    <row r="120" spans="2:83" s="904" customFormat="1" ht="18" customHeight="1" x14ac:dyDescent="0.25">
      <c r="B120" s="890"/>
      <c r="C120" s="890"/>
      <c r="D120" s="890"/>
      <c r="E120" s="890"/>
      <c r="F120" s="890"/>
      <c r="G120" s="890"/>
      <c r="H120" s="890"/>
      <c r="I120" s="890"/>
      <c r="J120" s="890"/>
      <c r="K120" s="890"/>
      <c r="L120" s="910"/>
      <c r="M120" s="890"/>
      <c r="N120" s="890"/>
      <c r="O120" s="890"/>
      <c r="P120" s="890"/>
      <c r="Q120" s="890"/>
      <c r="R120" s="890"/>
      <c r="S120" s="890"/>
      <c r="T120" s="891"/>
      <c r="U120" s="890"/>
      <c r="V120" s="891"/>
      <c r="W120" s="890"/>
      <c r="X120" s="891"/>
      <c r="Y120" s="890"/>
      <c r="Z120" s="890"/>
      <c r="AA120" s="890"/>
      <c r="AB120" s="890"/>
      <c r="AC120" s="890"/>
      <c r="AD120" s="890"/>
      <c r="AE120" s="890"/>
      <c r="AF120" s="890"/>
      <c r="AG120" s="890"/>
      <c r="AH120" s="890"/>
      <c r="AI120" s="890"/>
      <c r="AJ120" s="890"/>
      <c r="AK120" s="890"/>
      <c r="AL120" s="890"/>
      <c r="AM120" s="890"/>
      <c r="AN120" s="910"/>
      <c r="AO120" s="890"/>
      <c r="AP120" s="890"/>
      <c r="AQ120" s="890"/>
      <c r="AR120" s="890"/>
      <c r="AS120" s="890"/>
      <c r="AT120" s="890"/>
      <c r="AU120" s="890"/>
      <c r="AV120" s="890"/>
      <c r="AW120" s="890"/>
      <c r="AX120" s="890"/>
      <c r="AY120" s="890"/>
      <c r="AZ120" s="890"/>
      <c r="BA120" s="890"/>
      <c r="BB120" s="890"/>
      <c r="BC120" s="890"/>
      <c r="BD120" s="890"/>
      <c r="BE120" s="890"/>
      <c r="BF120" s="890"/>
      <c r="BG120" s="890"/>
      <c r="BH120" s="890"/>
      <c r="BI120" s="890"/>
      <c r="BJ120" s="890"/>
      <c r="BK120" s="890"/>
      <c r="BL120" s="890"/>
      <c r="BM120" s="890"/>
      <c r="BN120" s="910"/>
      <c r="BO120" s="890"/>
      <c r="BP120" s="890"/>
      <c r="BQ120" s="890"/>
      <c r="BR120" s="890"/>
      <c r="BS120" s="890"/>
      <c r="BT120" s="890"/>
      <c r="BV120" s="890"/>
      <c r="BW120" s="890"/>
      <c r="BX120" s="890"/>
      <c r="BY120" s="891"/>
      <c r="BZ120" s="890"/>
      <c r="CA120" s="890"/>
      <c r="CB120" s="890"/>
      <c r="CD120" s="890"/>
      <c r="CE120" s="893"/>
    </row>
    <row r="121" spans="2:83" s="904" customFormat="1" x14ac:dyDescent="0.25">
      <c r="B121" s="1736" t="s">
        <v>6556</v>
      </c>
      <c r="C121" s="890"/>
      <c r="D121" s="1691" t="s">
        <v>6034</v>
      </c>
      <c r="E121" s="890"/>
      <c r="F121" s="1697" t="s">
        <v>6032</v>
      </c>
      <c r="G121" s="890"/>
      <c r="H121" s="1700" t="s">
        <v>6035</v>
      </c>
      <c r="I121" s="890"/>
      <c r="J121" s="890"/>
      <c r="K121" s="890"/>
      <c r="L121" s="910"/>
      <c r="M121" s="890"/>
      <c r="N121" s="1694" t="s">
        <v>6418</v>
      </c>
      <c r="O121" s="890"/>
      <c r="P121" s="1658" t="s">
        <v>6419</v>
      </c>
      <c r="Q121" s="890"/>
      <c r="R121" s="890"/>
      <c r="S121" s="890"/>
      <c r="T121" s="891"/>
      <c r="U121" s="890"/>
      <c r="V121" s="891"/>
      <c r="W121" s="890"/>
      <c r="X121" s="891"/>
      <c r="Y121" s="890"/>
      <c r="Z121" s="890"/>
      <c r="AA121" s="890"/>
      <c r="AB121" s="890"/>
      <c r="AC121" s="890"/>
      <c r="AD121" s="1736" t="s">
        <v>6420</v>
      </c>
      <c r="AE121" s="890"/>
      <c r="AF121" s="1691" t="s">
        <v>6036</v>
      </c>
      <c r="AG121" s="890"/>
      <c r="AH121" s="1697" t="s">
        <v>6037</v>
      </c>
      <c r="AI121" s="890"/>
      <c r="AJ121" s="1700" t="s">
        <v>6038</v>
      </c>
      <c r="AK121" s="890"/>
      <c r="AL121" s="890"/>
      <c r="AM121" s="890"/>
      <c r="AN121" s="910"/>
      <c r="AO121" s="890"/>
      <c r="AP121" s="1694" t="s">
        <v>6421</v>
      </c>
      <c r="AQ121" s="890"/>
      <c r="AR121" s="1658" t="s">
        <v>6422</v>
      </c>
      <c r="AS121" s="890"/>
      <c r="AT121" s="890"/>
      <c r="AU121" s="890"/>
      <c r="AV121" s="890"/>
      <c r="AW121" s="890"/>
      <c r="AX121" s="890"/>
      <c r="AY121" s="890"/>
      <c r="AZ121" s="890"/>
      <c r="BA121" s="890"/>
      <c r="BB121" s="890"/>
      <c r="BC121" s="890"/>
      <c r="BD121" s="1736" t="s">
        <v>6423</v>
      </c>
      <c r="BE121" s="890"/>
      <c r="BF121" s="1691" t="s">
        <v>6039</v>
      </c>
      <c r="BG121" s="890"/>
      <c r="BH121" s="1697" t="s">
        <v>6040</v>
      </c>
      <c r="BI121" s="890"/>
      <c r="BJ121" s="1700" t="s">
        <v>6041</v>
      </c>
      <c r="BK121" s="890"/>
      <c r="BL121" s="890"/>
      <c r="BM121" s="890"/>
      <c r="BN121" s="910"/>
      <c r="BO121" s="890"/>
      <c r="BP121" s="1694" t="s">
        <v>6424</v>
      </c>
      <c r="BQ121" s="890"/>
      <c r="BR121" s="1658" t="s">
        <v>6425</v>
      </c>
      <c r="BS121" s="890"/>
      <c r="BT121" s="890"/>
      <c r="BV121" s="890"/>
      <c r="BW121" s="890"/>
      <c r="BX121" s="890"/>
      <c r="BY121" s="891"/>
      <c r="BZ121" s="890"/>
      <c r="CA121" s="890"/>
      <c r="CB121" s="890"/>
      <c r="CD121" s="890"/>
      <c r="CE121" s="893">
        <v>1</v>
      </c>
    </row>
    <row r="122" spans="2:83" s="904" customFormat="1" x14ac:dyDescent="0.25">
      <c r="B122" s="1737"/>
      <c r="C122" s="890"/>
      <c r="D122" s="1692"/>
      <c r="E122" s="890"/>
      <c r="F122" s="1698"/>
      <c r="G122" s="890"/>
      <c r="H122" s="1701"/>
      <c r="I122" s="890"/>
      <c r="J122" s="890"/>
      <c r="K122" s="890"/>
      <c r="L122" s="910"/>
      <c r="M122" s="890"/>
      <c r="N122" s="1695"/>
      <c r="O122" s="890"/>
      <c r="P122" s="1659"/>
      <c r="Q122" s="890"/>
      <c r="R122" s="890"/>
      <c r="S122" s="890"/>
      <c r="T122" s="891"/>
      <c r="U122" s="890"/>
      <c r="V122" s="891"/>
      <c r="W122" s="890"/>
      <c r="X122" s="891"/>
      <c r="Y122" s="890"/>
      <c r="Z122" s="890"/>
      <c r="AA122" s="890"/>
      <c r="AB122" s="890"/>
      <c r="AC122" s="890"/>
      <c r="AD122" s="1737" t="s">
        <v>5601</v>
      </c>
      <c r="AE122" s="890"/>
      <c r="AF122" s="1692" t="s">
        <v>5601</v>
      </c>
      <c r="AG122" s="890"/>
      <c r="AH122" s="1698" t="s">
        <v>5601</v>
      </c>
      <c r="AI122" s="890"/>
      <c r="AJ122" s="1701" t="s">
        <v>5601</v>
      </c>
      <c r="AK122" s="890"/>
      <c r="AL122" s="890"/>
      <c r="AM122" s="890"/>
      <c r="AN122" s="910"/>
      <c r="AO122" s="890"/>
      <c r="AP122" s="1695" t="s">
        <v>5601</v>
      </c>
      <c r="AQ122" s="890"/>
      <c r="AR122" s="1659" t="s">
        <v>5601</v>
      </c>
      <c r="AS122" s="890"/>
      <c r="AT122" s="890"/>
      <c r="AU122" s="890"/>
      <c r="AV122" s="890"/>
      <c r="AW122" s="890"/>
      <c r="AX122" s="890"/>
      <c r="AY122" s="890"/>
      <c r="AZ122" s="890"/>
      <c r="BA122" s="890"/>
      <c r="BB122" s="890"/>
      <c r="BC122" s="890"/>
      <c r="BD122" s="1737" t="s">
        <v>5601</v>
      </c>
      <c r="BE122" s="890"/>
      <c r="BF122" s="1692" t="s">
        <v>5601</v>
      </c>
      <c r="BG122" s="890"/>
      <c r="BH122" s="1698" t="s">
        <v>5601</v>
      </c>
      <c r="BI122" s="890"/>
      <c r="BJ122" s="1701" t="s">
        <v>5601</v>
      </c>
      <c r="BK122" s="890"/>
      <c r="BL122" s="890"/>
      <c r="BM122" s="890"/>
      <c r="BN122" s="910"/>
      <c r="BO122" s="890"/>
      <c r="BP122" s="1695" t="s">
        <v>5601</v>
      </c>
      <c r="BQ122" s="890"/>
      <c r="BR122" s="1659" t="s">
        <v>5601</v>
      </c>
      <c r="BS122" s="890"/>
      <c r="BT122" s="890"/>
      <c r="BV122" s="890"/>
      <c r="BW122" s="890"/>
      <c r="BX122" s="890"/>
      <c r="BY122" s="891"/>
      <c r="BZ122" s="890"/>
      <c r="CA122" s="890"/>
      <c r="CB122" s="890"/>
      <c r="CD122" s="890"/>
      <c r="CE122" s="893">
        <v>1</v>
      </c>
    </row>
    <row r="123" spans="2:83" s="904" customFormat="1" ht="15" customHeight="1" x14ac:dyDescent="0.25">
      <c r="B123" s="1738"/>
      <c r="C123" s="890"/>
      <c r="D123" s="1693"/>
      <c r="E123" s="890"/>
      <c r="F123" s="1699"/>
      <c r="G123" s="890"/>
      <c r="H123" s="1702"/>
      <c r="I123" s="890"/>
      <c r="J123" s="890"/>
      <c r="K123" s="890"/>
      <c r="L123" s="910"/>
      <c r="M123" s="890"/>
      <c r="N123" s="1696"/>
      <c r="O123" s="890"/>
      <c r="P123" s="1660"/>
      <c r="Q123" s="890"/>
      <c r="R123" s="890"/>
      <c r="S123" s="890"/>
      <c r="T123" s="891"/>
      <c r="U123" s="890"/>
      <c r="V123" s="891"/>
      <c r="W123" s="890"/>
      <c r="X123" s="891"/>
      <c r="Y123" s="890"/>
      <c r="Z123" s="890"/>
      <c r="AA123" s="890"/>
      <c r="AB123" s="890"/>
      <c r="AC123" s="890"/>
      <c r="AD123" s="1738" t="s">
        <v>5601</v>
      </c>
      <c r="AE123" s="890"/>
      <c r="AF123" s="1693" t="s">
        <v>5601</v>
      </c>
      <c r="AG123" s="890"/>
      <c r="AH123" s="1699" t="s">
        <v>5601</v>
      </c>
      <c r="AI123" s="890"/>
      <c r="AJ123" s="1702" t="s">
        <v>5601</v>
      </c>
      <c r="AK123" s="890"/>
      <c r="AL123" s="890"/>
      <c r="AM123" s="890"/>
      <c r="AN123" s="910"/>
      <c r="AO123" s="890"/>
      <c r="AP123" s="1696" t="s">
        <v>5601</v>
      </c>
      <c r="AQ123" s="890"/>
      <c r="AR123" s="1660" t="s">
        <v>5601</v>
      </c>
      <c r="AS123" s="890"/>
      <c r="AT123" s="890"/>
      <c r="AU123" s="890"/>
      <c r="AV123" s="890"/>
      <c r="AW123" s="890"/>
      <c r="AX123" s="890"/>
      <c r="AY123" s="890"/>
      <c r="AZ123" s="890"/>
      <c r="BA123" s="890"/>
      <c r="BB123" s="890"/>
      <c r="BC123" s="890"/>
      <c r="BD123" s="1738" t="s">
        <v>5601</v>
      </c>
      <c r="BE123" s="890"/>
      <c r="BF123" s="1693" t="s">
        <v>5601</v>
      </c>
      <c r="BG123" s="890"/>
      <c r="BH123" s="1699" t="s">
        <v>5601</v>
      </c>
      <c r="BI123" s="890"/>
      <c r="BJ123" s="1702" t="s">
        <v>5601</v>
      </c>
      <c r="BK123" s="890"/>
      <c r="BL123" s="890"/>
      <c r="BM123" s="890"/>
      <c r="BN123" s="910"/>
      <c r="BO123" s="890"/>
      <c r="BP123" s="1696" t="s">
        <v>5601</v>
      </c>
      <c r="BQ123" s="890"/>
      <c r="BR123" s="1660" t="s">
        <v>5601</v>
      </c>
      <c r="BS123" s="890"/>
      <c r="BT123" s="890"/>
      <c r="BV123" s="890"/>
      <c r="BW123" s="890"/>
      <c r="BX123" s="890"/>
      <c r="BY123" s="891"/>
      <c r="BZ123" s="890"/>
      <c r="CA123" s="890"/>
      <c r="CB123" s="890"/>
      <c r="CD123" s="890"/>
      <c r="CE123" s="893">
        <v>1</v>
      </c>
    </row>
    <row r="124" spans="2:83" s="904" customFormat="1" ht="18" customHeight="1" x14ac:dyDescent="0.25">
      <c r="B124" s="890"/>
      <c r="C124" s="890"/>
      <c r="D124" s="890"/>
      <c r="E124" s="890"/>
      <c r="F124" s="890"/>
      <c r="G124" s="890"/>
      <c r="H124" s="890"/>
      <c r="I124" s="890"/>
      <c r="J124" s="890"/>
      <c r="K124" s="890"/>
      <c r="L124" s="910"/>
      <c r="M124" s="890"/>
      <c r="N124" s="890"/>
      <c r="O124" s="890"/>
      <c r="P124" s="890"/>
      <c r="Q124" s="890"/>
      <c r="R124" s="890"/>
      <c r="S124" s="890"/>
      <c r="T124" s="891"/>
      <c r="U124" s="890"/>
      <c r="V124" s="891"/>
      <c r="W124" s="890"/>
      <c r="X124" s="891"/>
      <c r="Y124" s="890"/>
      <c r="Z124" s="890"/>
      <c r="AA124" s="890"/>
      <c r="AB124" s="890"/>
      <c r="AC124" s="890"/>
      <c r="AD124" s="890"/>
      <c r="AE124" s="890"/>
      <c r="AF124" s="890"/>
      <c r="AG124" s="890"/>
      <c r="AH124" s="890"/>
      <c r="AI124" s="890"/>
      <c r="AJ124" s="890"/>
      <c r="AK124" s="890"/>
      <c r="AL124" s="890"/>
      <c r="AM124" s="890"/>
      <c r="AN124" s="910"/>
      <c r="AO124" s="890"/>
      <c r="AP124" s="890"/>
      <c r="AQ124" s="890"/>
      <c r="AR124" s="890"/>
      <c r="AS124" s="890"/>
      <c r="AT124" s="890"/>
      <c r="AU124" s="890"/>
      <c r="AV124" s="890"/>
      <c r="AW124" s="890"/>
      <c r="AX124" s="890"/>
      <c r="AY124" s="890"/>
      <c r="AZ124" s="890"/>
      <c r="BA124" s="890"/>
      <c r="BB124" s="890"/>
      <c r="BC124" s="890"/>
      <c r="BD124" s="890"/>
      <c r="BE124" s="890"/>
      <c r="BF124" s="890"/>
      <c r="BG124" s="890"/>
      <c r="BH124" s="890"/>
      <c r="BI124" s="890"/>
      <c r="BJ124" s="890"/>
      <c r="BK124" s="890"/>
      <c r="BL124" s="890"/>
      <c r="BM124" s="890"/>
      <c r="BN124" s="910"/>
      <c r="BO124" s="890"/>
      <c r="BP124" s="890"/>
      <c r="BQ124" s="890"/>
      <c r="BR124" s="890"/>
      <c r="BS124" s="890"/>
      <c r="BT124" s="890"/>
      <c r="BV124" s="890"/>
      <c r="BW124" s="890"/>
      <c r="BX124" s="890"/>
      <c r="BY124" s="891"/>
      <c r="BZ124" s="890"/>
      <c r="CA124" s="890"/>
      <c r="CB124" s="890"/>
      <c r="CD124" s="890"/>
      <c r="CE124" s="893"/>
    </row>
    <row r="125" spans="2:83" s="904" customFormat="1" x14ac:dyDescent="0.25">
      <c r="B125" s="1736" t="s">
        <v>6557</v>
      </c>
      <c r="C125" s="890"/>
      <c r="D125" s="1691" t="s">
        <v>6042</v>
      </c>
      <c r="E125" s="890"/>
      <c r="F125" s="1697" t="s">
        <v>6043</v>
      </c>
      <c r="G125" s="890"/>
      <c r="H125" s="1700" t="s">
        <v>6044</v>
      </c>
      <c r="I125" s="890"/>
      <c r="J125" s="890"/>
      <c r="K125" s="890"/>
      <c r="L125" s="910"/>
      <c r="M125" s="890"/>
      <c r="N125" s="1694" t="s">
        <v>6426</v>
      </c>
      <c r="O125" s="890"/>
      <c r="P125" s="1658" t="s">
        <v>6427</v>
      </c>
      <c r="Q125" s="890"/>
      <c r="R125" s="890"/>
      <c r="S125" s="890"/>
      <c r="T125" s="891"/>
      <c r="U125" s="890"/>
      <c r="V125" s="891"/>
      <c r="W125" s="890"/>
      <c r="X125" s="891"/>
      <c r="Y125" s="890"/>
      <c r="Z125" s="890"/>
      <c r="AA125" s="890"/>
      <c r="AB125" s="890"/>
      <c r="AC125" s="890"/>
      <c r="AD125" s="1736"/>
      <c r="AE125" s="890"/>
      <c r="AF125" s="1691" t="s">
        <v>6045</v>
      </c>
      <c r="AG125" s="890"/>
      <c r="AH125" s="1697" t="s">
        <v>6046</v>
      </c>
      <c r="AI125" s="890"/>
      <c r="AJ125" s="1700" t="s">
        <v>6047</v>
      </c>
      <c r="AK125" s="890"/>
      <c r="AL125" s="890"/>
      <c r="AM125" s="890"/>
      <c r="AN125" s="910"/>
      <c r="AO125" s="890"/>
      <c r="AP125" s="1694" t="s">
        <v>6428</v>
      </c>
      <c r="AQ125" s="890"/>
      <c r="AR125" s="1658" t="s">
        <v>6429</v>
      </c>
      <c r="AS125" s="890"/>
      <c r="AT125" s="890"/>
      <c r="AU125" s="890"/>
      <c r="AV125" s="890"/>
      <c r="AW125" s="890"/>
      <c r="AX125" s="890"/>
      <c r="AY125" s="890"/>
      <c r="AZ125" s="890"/>
      <c r="BA125" s="890"/>
      <c r="BB125" s="890"/>
      <c r="BC125" s="890"/>
      <c r="BD125" s="1736"/>
      <c r="BE125" s="890"/>
      <c r="BF125" s="1691" t="s">
        <v>6048</v>
      </c>
      <c r="BG125" s="890"/>
      <c r="BH125" s="1697" t="s">
        <v>6049</v>
      </c>
      <c r="BI125" s="890"/>
      <c r="BJ125" s="1700" t="s">
        <v>6050</v>
      </c>
      <c r="BK125" s="890"/>
      <c r="BL125" s="890"/>
      <c r="BM125" s="890"/>
      <c r="BN125" s="910"/>
      <c r="BO125" s="890"/>
      <c r="BP125" s="1694" t="s">
        <v>6430</v>
      </c>
      <c r="BQ125" s="890"/>
      <c r="BR125" s="1658" t="s">
        <v>6431</v>
      </c>
      <c r="BS125" s="890"/>
      <c r="BT125" s="890"/>
      <c r="BV125" s="890"/>
      <c r="BW125" s="890"/>
      <c r="BX125" s="890"/>
      <c r="BY125" s="891"/>
      <c r="BZ125" s="890"/>
      <c r="CA125" s="890"/>
      <c r="CB125" s="890"/>
      <c r="CD125" s="890"/>
      <c r="CE125" s="893">
        <v>1</v>
      </c>
    </row>
    <row r="126" spans="2:83" s="904" customFormat="1" x14ac:dyDescent="0.25">
      <c r="B126" s="1737"/>
      <c r="C126" s="890"/>
      <c r="D126" s="1692"/>
      <c r="E126" s="890"/>
      <c r="F126" s="1698"/>
      <c r="G126" s="890"/>
      <c r="H126" s="1701"/>
      <c r="I126" s="890"/>
      <c r="J126" s="890"/>
      <c r="K126" s="890"/>
      <c r="L126" s="910"/>
      <c r="M126" s="890"/>
      <c r="N126" s="1695"/>
      <c r="O126" s="890"/>
      <c r="P126" s="1659"/>
      <c r="Q126" s="890"/>
      <c r="R126" s="890"/>
      <c r="S126" s="890"/>
      <c r="T126" s="891"/>
      <c r="U126" s="890"/>
      <c r="V126" s="891"/>
      <c r="W126" s="890"/>
      <c r="X126" s="891"/>
      <c r="Y126" s="890"/>
      <c r="Z126" s="890"/>
      <c r="AA126" s="890"/>
      <c r="AB126" s="890"/>
      <c r="AC126" s="890"/>
      <c r="AD126" s="1737"/>
      <c r="AE126" s="890"/>
      <c r="AF126" s="1692" t="s">
        <v>5601</v>
      </c>
      <c r="AG126" s="890"/>
      <c r="AH126" s="1698" t="s">
        <v>5601</v>
      </c>
      <c r="AI126" s="890"/>
      <c r="AJ126" s="1701" t="s">
        <v>5601</v>
      </c>
      <c r="AK126" s="890"/>
      <c r="AL126" s="890"/>
      <c r="AM126" s="890"/>
      <c r="AN126" s="910"/>
      <c r="AO126" s="890"/>
      <c r="AP126" s="1695" t="s">
        <v>5601</v>
      </c>
      <c r="AQ126" s="890"/>
      <c r="AR126" s="1659" t="s">
        <v>5601</v>
      </c>
      <c r="AS126" s="890"/>
      <c r="AT126" s="890"/>
      <c r="AU126" s="890"/>
      <c r="AV126" s="890"/>
      <c r="AW126" s="890"/>
      <c r="AX126" s="890"/>
      <c r="AY126" s="890"/>
      <c r="AZ126" s="890"/>
      <c r="BA126" s="890"/>
      <c r="BB126" s="890"/>
      <c r="BC126" s="890"/>
      <c r="BD126" s="1737"/>
      <c r="BE126" s="890"/>
      <c r="BF126" s="1692" t="s">
        <v>5601</v>
      </c>
      <c r="BG126" s="890"/>
      <c r="BH126" s="1698" t="s">
        <v>5601</v>
      </c>
      <c r="BI126" s="890"/>
      <c r="BJ126" s="1701" t="s">
        <v>5601</v>
      </c>
      <c r="BK126" s="890"/>
      <c r="BL126" s="890"/>
      <c r="BM126" s="890"/>
      <c r="BN126" s="910"/>
      <c r="BO126" s="890"/>
      <c r="BP126" s="1695" t="s">
        <v>5601</v>
      </c>
      <c r="BQ126" s="890"/>
      <c r="BR126" s="1659" t="s">
        <v>5601</v>
      </c>
      <c r="BS126" s="890"/>
      <c r="BT126" s="890"/>
      <c r="BV126" s="890"/>
      <c r="BW126" s="890"/>
      <c r="BX126" s="890"/>
      <c r="BY126" s="891"/>
      <c r="BZ126" s="890"/>
      <c r="CA126" s="890"/>
      <c r="CB126" s="890"/>
      <c r="CD126" s="890"/>
      <c r="CE126" s="893">
        <v>1</v>
      </c>
    </row>
    <row r="127" spans="2:83" s="904" customFormat="1" ht="15" customHeight="1" x14ac:dyDescent="0.25">
      <c r="B127" s="1738"/>
      <c r="C127" s="890"/>
      <c r="D127" s="1693"/>
      <c r="E127" s="890"/>
      <c r="F127" s="1699"/>
      <c r="G127" s="890"/>
      <c r="H127" s="1702"/>
      <c r="I127" s="890"/>
      <c r="J127" s="890"/>
      <c r="K127" s="890"/>
      <c r="L127" s="910"/>
      <c r="M127" s="890"/>
      <c r="N127" s="1696"/>
      <c r="O127" s="890"/>
      <c r="P127" s="1660"/>
      <c r="Q127" s="890"/>
      <c r="R127" s="890"/>
      <c r="S127" s="890"/>
      <c r="T127" s="891"/>
      <c r="U127" s="890"/>
      <c r="V127" s="891"/>
      <c r="W127" s="890"/>
      <c r="X127" s="891"/>
      <c r="Y127" s="890"/>
      <c r="Z127" s="890"/>
      <c r="AA127" s="890"/>
      <c r="AB127" s="890"/>
      <c r="AC127" s="890"/>
      <c r="AD127" s="1738"/>
      <c r="AE127" s="890"/>
      <c r="AF127" s="1693" t="s">
        <v>5601</v>
      </c>
      <c r="AG127" s="890"/>
      <c r="AH127" s="1699" t="s">
        <v>5601</v>
      </c>
      <c r="AI127" s="890"/>
      <c r="AJ127" s="1702" t="s">
        <v>5601</v>
      </c>
      <c r="AK127" s="890"/>
      <c r="AL127" s="890"/>
      <c r="AM127" s="890"/>
      <c r="AN127" s="910"/>
      <c r="AO127" s="890"/>
      <c r="AP127" s="1696" t="s">
        <v>5601</v>
      </c>
      <c r="AQ127" s="890"/>
      <c r="AR127" s="1660" t="s">
        <v>5601</v>
      </c>
      <c r="AS127" s="890"/>
      <c r="AT127" s="890"/>
      <c r="AU127" s="890"/>
      <c r="AV127" s="890"/>
      <c r="AW127" s="890"/>
      <c r="AX127" s="890"/>
      <c r="AY127" s="890"/>
      <c r="AZ127" s="890"/>
      <c r="BA127" s="890"/>
      <c r="BB127" s="890"/>
      <c r="BC127" s="890"/>
      <c r="BD127" s="1738"/>
      <c r="BE127" s="890"/>
      <c r="BF127" s="1693" t="s">
        <v>5601</v>
      </c>
      <c r="BG127" s="890"/>
      <c r="BH127" s="1699" t="s">
        <v>5601</v>
      </c>
      <c r="BI127" s="890"/>
      <c r="BJ127" s="1702" t="s">
        <v>5601</v>
      </c>
      <c r="BK127" s="890"/>
      <c r="BL127" s="890"/>
      <c r="BM127" s="890"/>
      <c r="BN127" s="910"/>
      <c r="BO127" s="890"/>
      <c r="BP127" s="1696" t="s">
        <v>5601</v>
      </c>
      <c r="BQ127" s="890"/>
      <c r="BR127" s="1660" t="s">
        <v>5601</v>
      </c>
      <c r="BS127" s="890"/>
      <c r="BT127" s="890"/>
      <c r="BV127" s="890"/>
      <c r="BW127" s="890"/>
      <c r="BX127" s="890"/>
      <c r="BY127" s="891"/>
      <c r="BZ127" s="890"/>
      <c r="CA127" s="890"/>
      <c r="CB127" s="890"/>
      <c r="CD127" s="890"/>
      <c r="CE127" s="893">
        <v>1</v>
      </c>
    </row>
    <row r="128" spans="2:83" s="904" customFormat="1" ht="18" customHeight="1" x14ac:dyDescent="0.25">
      <c r="B128" s="890"/>
      <c r="C128" s="890"/>
      <c r="D128" s="890"/>
      <c r="E128" s="890"/>
      <c r="F128" s="890"/>
      <c r="G128" s="890"/>
      <c r="H128" s="890"/>
      <c r="I128" s="890"/>
      <c r="J128" s="890"/>
      <c r="K128" s="890"/>
      <c r="L128" s="910"/>
      <c r="M128" s="890"/>
      <c r="N128" s="890"/>
      <c r="O128" s="890"/>
      <c r="P128" s="890"/>
      <c r="Q128" s="890"/>
      <c r="R128" s="890"/>
      <c r="S128" s="890"/>
      <c r="T128" s="891"/>
      <c r="U128" s="890"/>
      <c r="V128" s="891"/>
      <c r="W128" s="890"/>
      <c r="X128" s="891"/>
      <c r="Y128" s="890"/>
      <c r="Z128" s="890"/>
      <c r="AA128" s="890"/>
      <c r="AB128" s="890"/>
      <c r="AC128" s="890"/>
      <c r="AD128" s="890"/>
      <c r="AE128" s="890"/>
      <c r="AF128" s="890"/>
      <c r="AG128" s="890"/>
      <c r="AH128" s="890"/>
      <c r="AI128" s="890"/>
      <c r="AJ128" s="890"/>
      <c r="AK128" s="890"/>
      <c r="AL128" s="890"/>
      <c r="AM128" s="890"/>
      <c r="AN128" s="910"/>
      <c r="AO128" s="890"/>
      <c r="AP128" s="890"/>
      <c r="AQ128" s="890"/>
      <c r="AR128" s="890"/>
      <c r="AS128" s="890"/>
      <c r="AT128" s="890"/>
      <c r="AU128" s="890"/>
      <c r="AV128" s="890"/>
      <c r="AW128" s="890"/>
      <c r="AX128" s="890"/>
      <c r="AY128" s="890"/>
      <c r="AZ128" s="890"/>
      <c r="BA128" s="890"/>
      <c r="BB128" s="890"/>
      <c r="BC128" s="890"/>
      <c r="BD128" s="890"/>
      <c r="BE128" s="890"/>
      <c r="BF128" s="890"/>
      <c r="BG128" s="890"/>
      <c r="BH128" s="890"/>
      <c r="BI128" s="890"/>
      <c r="BJ128" s="890"/>
      <c r="BK128" s="890"/>
      <c r="BL128" s="890"/>
      <c r="BM128" s="890"/>
      <c r="BN128" s="910"/>
      <c r="BO128" s="890"/>
      <c r="BP128" s="890"/>
      <c r="BQ128" s="890"/>
      <c r="BR128" s="890"/>
      <c r="BS128" s="890"/>
      <c r="BT128" s="890"/>
      <c r="BV128" s="890"/>
      <c r="BW128" s="890"/>
      <c r="BX128" s="890"/>
      <c r="BY128" s="891"/>
      <c r="BZ128" s="890"/>
      <c r="CA128" s="890"/>
      <c r="CB128" s="890"/>
      <c r="CD128" s="890"/>
      <c r="CE128" s="893"/>
    </row>
    <row r="129" spans="2:83" s="904" customFormat="1" x14ac:dyDescent="0.25">
      <c r="B129" s="1736" t="s">
        <v>6558</v>
      </c>
      <c r="C129" s="890"/>
      <c r="D129" s="1691" t="s">
        <v>6051</v>
      </c>
      <c r="E129" s="890"/>
      <c r="F129" s="1697" t="s">
        <v>6052</v>
      </c>
      <c r="G129" s="890"/>
      <c r="H129" s="1700" t="s">
        <v>6053</v>
      </c>
      <c r="I129" s="890"/>
      <c r="J129" s="890"/>
      <c r="K129" s="890"/>
      <c r="L129" s="910"/>
      <c r="M129" s="890"/>
      <c r="N129" s="1694" t="s">
        <v>6432</v>
      </c>
      <c r="O129" s="890"/>
      <c r="P129" s="1658" t="s">
        <v>6433</v>
      </c>
      <c r="Q129" s="890"/>
      <c r="R129" s="890"/>
      <c r="S129" s="890"/>
      <c r="T129" s="891"/>
      <c r="U129" s="890"/>
      <c r="V129" s="891"/>
      <c r="W129" s="890"/>
      <c r="X129" s="891"/>
      <c r="Y129" s="890"/>
      <c r="Z129" s="890"/>
      <c r="AA129" s="890"/>
      <c r="AB129" s="890"/>
      <c r="AC129" s="890"/>
      <c r="AD129" s="1736"/>
      <c r="AE129" s="890"/>
      <c r="AF129" s="1691" t="s">
        <v>6054</v>
      </c>
      <c r="AG129" s="890"/>
      <c r="AH129" s="1697" t="s">
        <v>5644</v>
      </c>
      <c r="AI129" s="890"/>
      <c r="AJ129" s="1700" t="s">
        <v>6055</v>
      </c>
      <c r="AK129" s="890"/>
      <c r="AL129" s="890"/>
      <c r="AM129" s="890"/>
      <c r="AN129" s="910"/>
      <c r="AO129" s="890"/>
      <c r="AP129" s="1694" t="s">
        <v>6434</v>
      </c>
      <c r="AQ129" s="890"/>
      <c r="AR129" s="1658" t="s">
        <v>6435</v>
      </c>
      <c r="AS129" s="890"/>
      <c r="AT129" s="890"/>
      <c r="AU129" s="890"/>
      <c r="AV129" s="890"/>
      <c r="AW129" s="890"/>
      <c r="AX129" s="890"/>
      <c r="AY129" s="890"/>
      <c r="AZ129" s="890"/>
      <c r="BA129" s="890"/>
      <c r="BB129" s="890"/>
      <c r="BC129" s="890"/>
      <c r="BD129" s="1736"/>
      <c r="BE129" s="890"/>
      <c r="BF129" s="1691" t="s">
        <v>6056</v>
      </c>
      <c r="BG129" s="890"/>
      <c r="BH129" s="1697" t="s">
        <v>5650</v>
      </c>
      <c r="BI129" s="890"/>
      <c r="BJ129" s="1700" t="s">
        <v>6057</v>
      </c>
      <c r="BK129" s="890"/>
      <c r="BL129" s="890"/>
      <c r="BM129" s="890"/>
      <c r="BN129" s="910"/>
      <c r="BO129" s="890"/>
      <c r="BP129" s="1694" t="s">
        <v>6436</v>
      </c>
      <c r="BQ129" s="890"/>
      <c r="BR129" s="1658" t="s">
        <v>6437</v>
      </c>
      <c r="BS129" s="890"/>
      <c r="BT129" s="890"/>
      <c r="BV129" s="890"/>
      <c r="BW129" s="890"/>
      <c r="BX129" s="890"/>
      <c r="BY129" s="891"/>
      <c r="BZ129" s="890"/>
      <c r="CA129" s="890"/>
      <c r="CB129" s="890"/>
      <c r="CD129" s="890"/>
      <c r="CE129" s="893">
        <v>1</v>
      </c>
    </row>
    <row r="130" spans="2:83" s="904" customFormat="1" x14ac:dyDescent="0.25">
      <c r="B130" s="1737"/>
      <c r="C130" s="890"/>
      <c r="D130" s="1692"/>
      <c r="E130" s="890"/>
      <c r="F130" s="1698"/>
      <c r="G130" s="890"/>
      <c r="H130" s="1701"/>
      <c r="I130" s="890"/>
      <c r="J130" s="890"/>
      <c r="K130" s="890"/>
      <c r="L130" s="910"/>
      <c r="M130" s="890"/>
      <c r="N130" s="1695"/>
      <c r="O130" s="890"/>
      <c r="P130" s="1659"/>
      <c r="Q130" s="890"/>
      <c r="R130" s="890"/>
      <c r="S130" s="890"/>
      <c r="T130" s="891"/>
      <c r="U130" s="890"/>
      <c r="V130" s="891"/>
      <c r="W130" s="890"/>
      <c r="X130" s="891"/>
      <c r="Y130" s="890"/>
      <c r="Z130" s="890"/>
      <c r="AA130" s="890"/>
      <c r="AB130" s="890"/>
      <c r="AC130" s="890"/>
      <c r="AD130" s="1737"/>
      <c r="AE130" s="890"/>
      <c r="AF130" s="1692" t="s">
        <v>5601</v>
      </c>
      <c r="AG130" s="890"/>
      <c r="AH130" s="1698" t="s">
        <v>5601</v>
      </c>
      <c r="AI130" s="890"/>
      <c r="AJ130" s="1701" t="s">
        <v>5601</v>
      </c>
      <c r="AK130" s="890"/>
      <c r="AL130" s="890"/>
      <c r="AM130" s="890"/>
      <c r="AN130" s="910"/>
      <c r="AO130" s="890"/>
      <c r="AP130" s="1695" t="s">
        <v>5601</v>
      </c>
      <c r="AQ130" s="890"/>
      <c r="AR130" s="1659" t="s">
        <v>5601</v>
      </c>
      <c r="AS130" s="890"/>
      <c r="AT130" s="890"/>
      <c r="AU130" s="890"/>
      <c r="AV130" s="890"/>
      <c r="AW130" s="890"/>
      <c r="AX130" s="890"/>
      <c r="AY130" s="890"/>
      <c r="AZ130" s="890"/>
      <c r="BA130" s="890"/>
      <c r="BB130" s="890"/>
      <c r="BC130" s="890"/>
      <c r="BD130" s="1737"/>
      <c r="BE130" s="890"/>
      <c r="BF130" s="1692" t="s">
        <v>5601</v>
      </c>
      <c r="BG130" s="890"/>
      <c r="BH130" s="1698" t="s">
        <v>5601</v>
      </c>
      <c r="BI130" s="890"/>
      <c r="BJ130" s="1701" t="s">
        <v>5601</v>
      </c>
      <c r="BK130" s="890"/>
      <c r="BL130" s="890"/>
      <c r="BM130" s="890"/>
      <c r="BN130" s="910"/>
      <c r="BO130" s="890"/>
      <c r="BP130" s="1695" t="s">
        <v>5601</v>
      </c>
      <c r="BQ130" s="890"/>
      <c r="BR130" s="1659" t="s">
        <v>5601</v>
      </c>
      <c r="BS130" s="890"/>
      <c r="BT130" s="890"/>
      <c r="BV130" s="890"/>
      <c r="BW130" s="890"/>
      <c r="BX130" s="890"/>
      <c r="BY130" s="891"/>
      <c r="BZ130" s="890"/>
      <c r="CA130" s="890"/>
      <c r="CB130" s="890"/>
      <c r="CD130" s="890"/>
      <c r="CE130" s="893">
        <v>1</v>
      </c>
    </row>
    <row r="131" spans="2:83" s="904" customFormat="1" ht="15" customHeight="1" x14ac:dyDescent="0.25">
      <c r="B131" s="1738"/>
      <c r="C131" s="890"/>
      <c r="D131" s="1693"/>
      <c r="E131" s="890"/>
      <c r="F131" s="1699"/>
      <c r="G131" s="890"/>
      <c r="H131" s="1702"/>
      <c r="I131" s="890"/>
      <c r="J131" s="890"/>
      <c r="K131" s="890"/>
      <c r="L131" s="910"/>
      <c r="M131" s="890"/>
      <c r="N131" s="1696"/>
      <c r="O131" s="890"/>
      <c r="P131" s="1660"/>
      <c r="Q131" s="890"/>
      <c r="R131" s="890"/>
      <c r="S131" s="890"/>
      <c r="T131" s="891"/>
      <c r="U131" s="890"/>
      <c r="V131" s="891"/>
      <c r="W131" s="890"/>
      <c r="X131" s="891"/>
      <c r="Y131" s="890"/>
      <c r="Z131" s="890"/>
      <c r="AA131" s="890"/>
      <c r="AB131" s="890"/>
      <c r="AC131" s="890"/>
      <c r="AD131" s="1738"/>
      <c r="AE131" s="890"/>
      <c r="AF131" s="1693" t="s">
        <v>5601</v>
      </c>
      <c r="AG131" s="890"/>
      <c r="AH131" s="1699" t="s">
        <v>5601</v>
      </c>
      <c r="AI131" s="890"/>
      <c r="AJ131" s="1702" t="s">
        <v>5601</v>
      </c>
      <c r="AK131" s="890"/>
      <c r="AL131" s="890"/>
      <c r="AM131" s="890"/>
      <c r="AN131" s="910"/>
      <c r="AO131" s="890"/>
      <c r="AP131" s="1696" t="s">
        <v>5601</v>
      </c>
      <c r="AQ131" s="890"/>
      <c r="AR131" s="1660" t="s">
        <v>5601</v>
      </c>
      <c r="AS131" s="890"/>
      <c r="AT131" s="890"/>
      <c r="AU131" s="890"/>
      <c r="AV131" s="890"/>
      <c r="AW131" s="890"/>
      <c r="AX131" s="890"/>
      <c r="AY131" s="890"/>
      <c r="AZ131" s="890"/>
      <c r="BA131" s="890"/>
      <c r="BB131" s="890"/>
      <c r="BC131" s="890"/>
      <c r="BD131" s="1738"/>
      <c r="BE131" s="890"/>
      <c r="BF131" s="1693" t="s">
        <v>5601</v>
      </c>
      <c r="BG131" s="890"/>
      <c r="BH131" s="1699"/>
      <c r="BI131" s="890"/>
      <c r="BJ131" s="1702" t="s">
        <v>5601</v>
      </c>
      <c r="BK131" s="890"/>
      <c r="BL131" s="890"/>
      <c r="BM131" s="890"/>
      <c r="BN131" s="910"/>
      <c r="BO131" s="890"/>
      <c r="BP131" s="1696" t="s">
        <v>5601</v>
      </c>
      <c r="BQ131" s="890"/>
      <c r="BR131" s="1660" t="s">
        <v>5601</v>
      </c>
      <c r="BS131" s="890"/>
      <c r="BT131" s="890"/>
      <c r="BV131" s="890"/>
      <c r="BW131" s="890"/>
      <c r="BX131" s="890"/>
      <c r="BY131" s="891"/>
      <c r="BZ131" s="890"/>
      <c r="CA131" s="890"/>
      <c r="CB131" s="890"/>
      <c r="CD131" s="890"/>
      <c r="CE131" s="893">
        <v>1</v>
      </c>
    </row>
    <row r="132" spans="2:83" s="904" customFormat="1" ht="18" customHeight="1" x14ac:dyDescent="0.25">
      <c r="B132" s="890"/>
      <c r="C132" s="890"/>
      <c r="D132" s="890"/>
      <c r="E132" s="890"/>
      <c r="F132" s="890"/>
      <c r="G132" s="890"/>
      <c r="H132" s="890"/>
      <c r="I132" s="890"/>
      <c r="J132" s="890"/>
      <c r="K132" s="890"/>
      <c r="L132" s="910"/>
      <c r="M132" s="890"/>
      <c r="N132" s="890"/>
      <c r="O132" s="890"/>
      <c r="P132" s="890"/>
      <c r="Q132" s="890"/>
      <c r="R132" s="890"/>
      <c r="S132" s="890"/>
      <c r="T132" s="891"/>
      <c r="U132" s="890"/>
      <c r="V132" s="891"/>
      <c r="W132" s="890"/>
      <c r="X132" s="891"/>
      <c r="Y132" s="890"/>
      <c r="Z132" s="890"/>
      <c r="AA132" s="890"/>
      <c r="AB132" s="890"/>
      <c r="AC132" s="890"/>
      <c r="AD132" s="890"/>
      <c r="AE132" s="890"/>
      <c r="AF132" s="890"/>
      <c r="AG132" s="890"/>
      <c r="AH132" s="890"/>
      <c r="AI132" s="890"/>
      <c r="AJ132" s="890"/>
      <c r="AK132" s="890"/>
      <c r="AL132" s="890"/>
      <c r="AM132" s="890"/>
      <c r="AN132" s="910"/>
      <c r="AO132" s="890"/>
      <c r="AP132" s="890"/>
      <c r="AQ132" s="890"/>
      <c r="AR132" s="890"/>
      <c r="AS132" s="890"/>
      <c r="AT132" s="890"/>
      <c r="AU132" s="890"/>
      <c r="AV132" s="890"/>
      <c r="AW132" s="890"/>
      <c r="AX132" s="890"/>
      <c r="AY132" s="890"/>
      <c r="AZ132" s="890"/>
      <c r="BA132" s="890"/>
      <c r="BB132" s="890"/>
      <c r="BC132" s="890"/>
      <c r="BD132" s="890"/>
      <c r="BE132" s="890"/>
      <c r="BF132" s="890"/>
      <c r="BG132" s="890"/>
      <c r="BH132" s="890"/>
      <c r="BI132" s="890"/>
      <c r="BJ132" s="890"/>
      <c r="BK132" s="890"/>
      <c r="BL132" s="890"/>
      <c r="BM132" s="890"/>
      <c r="BN132" s="910"/>
      <c r="BO132" s="890"/>
      <c r="BP132" s="890"/>
      <c r="BQ132" s="890"/>
      <c r="BR132" s="890"/>
      <c r="BS132" s="890"/>
      <c r="BT132" s="890"/>
      <c r="BV132" s="890"/>
      <c r="BW132" s="890"/>
      <c r="BX132" s="890"/>
      <c r="BY132" s="891"/>
      <c r="BZ132" s="890"/>
      <c r="CA132" s="890"/>
      <c r="CB132" s="890"/>
      <c r="CD132" s="890"/>
      <c r="CE132" s="893"/>
    </row>
    <row r="133" spans="2:83" s="904" customFormat="1" x14ac:dyDescent="0.25">
      <c r="B133" s="1736"/>
      <c r="C133" s="890"/>
      <c r="D133" s="1691" t="s">
        <v>6058</v>
      </c>
      <c r="E133" s="890"/>
      <c r="F133" s="1697" t="s">
        <v>5658</v>
      </c>
      <c r="G133" s="890"/>
      <c r="H133" s="1700" t="s">
        <v>6059</v>
      </c>
      <c r="I133" s="890"/>
      <c r="J133" s="890"/>
      <c r="K133" s="890"/>
      <c r="L133" s="910"/>
      <c r="M133" s="890"/>
      <c r="N133" s="1694" t="s">
        <v>6438</v>
      </c>
      <c r="O133" s="890"/>
      <c r="P133" s="1658" t="s">
        <v>6439</v>
      </c>
      <c r="Q133" s="890"/>
      <c r="R133" s="890"/>
      <c r="S133" s="890"/>
      <c r="T133" s="891"/>
      <c r="U133" s="890"/>
      <c r="V133" s="891"/>
      <c r="W133" s="890"/>
      <c r="X133" s="891"/>
      <c r="Y133" s="890"/>
      <c r="Z133" s="890"/>
      <c r="AA133" s="890"/>
      <c r="AB133" s="890"/>
      <c r="AC133" s="890"/>
      <c r="AD133" s="1736"/>
      <c r="AE133" s="890"/>
      <c r="AF133" s="1691" t="s">
        <v>6060</v>
      </c>
      <c r="AG133" s="890"/>
      <c r="AH133" s="1697"/>
      <c r="AI133" s="890"/>
      <c r="AJ133" s="1700" t="s">
        <v>6061</v>
      </c>
      <c r="AK133" s="890"/>
      <c r="AL133" s="890"/>
      <c r="AM133" s="890"/>
      <c r="AN133" s="910"/>
      <c r="AO133" s="890"/>
      <c r="AP133" s="1694" t="s">
        <v>6440</v>
      </c>
      <c r="AQ133" s="890"/>
      <c r="AR133" s="1658" t="s">
        <v>6441</v>
      </c>
      <c r="AS133" s="890"/>
      <c r="AT133" s="890"/>
      <c r="AU133" s="890"/>
      <c r="AV133" s="890"/>
      <c r="AW133" s="890"/>
      <c r="AX133" s="890"/>
      <c r="AY133" s="890"/>
      <c r="AZ133" s="890"/>
      <c r="BA133" s="890"/>
      <c r="BB133" s="890"/>
      <c r="BC133" s="890"/>
      <c r="BD133" s="1736"/>
      <c r="BE133" s="890"/>
      <c r="BF133" s="1691" t="s">
        <v>6062</v>
      </c>
      <c r="BG133" s="890"/>
      <c r="BH133" s="1697"/>
      <c r="BI133" s="890"/>
      <c r="BJ133" s="1700" t="s">
        <v>6063</v>
      </c>
      <c r="BK133" s="890"/>
      <c r="BL133" s="890"/>
      <c r="BM133" s="890"/>
      <c r="BN133" s="910"/>
      <c r="BO133" s="890"/>
      <c r="BP133" s="1694" t="s">
        <v>6442</v>
      </c>
      <c r="BQ133" s="890"/>
      <c r="BR133" s="1658" t="s">
        <v>6443</v>
      </c>
      <c r="BS133" s="890"/>
      <c r="BT133" s="890"/>
      <c r="BV133" s="890"/>
      <c r="BW133" s="890"/>
      <c r="BX133" s="890"/>
      <c r="BY133" s="891"/>
      <c r="BZ133" s="890"/>
      <c r="CA133" s="890"/>
      <c r="CB133" s="890"/>
      <c r="CD133" s="890"/>
      <c r="CE133" s="893">
        <v>1</v>
      </c>
    </row>
    <row r="134" spans="2:83" s="904" customFormat="1" x14ac:dyDescent="0.25">
      <c r="B134" s="1737"/>
      <c r="C134" s="890"/>
      <c r="D134" s="1692"/>
      <c r="E134" s="890"/>
      <c r="F134" s="1698"/>
      <c r="G134" s="890"/>
      <c r="H134" s="1701"/>
      <c r="I134" s="890"/>
      <c r="J134" s="890"/>
      <c r="K134" s="890"/>
      <c r="L134" s="910"/>
      <c r="M134" s="890"/>
      <c r="N134" s="1695"/>
      <c r="O134" s="890"/>
      <c r="P134" s="1659"/>
      <c r="Q134" s="890"/>
      <c r="R134" s="890"/>
      <c r="S134" s="890"/>
      <c r="T134" s="891"/>
      <c r="U134" s="890"/>
      <c r="V134" s="891"/>
      <c r="W134" s="890"/>
      <c r="X134" s="891"/>
      <c r="Y134" s="890"/>
      <c r="Z134" s="890"/>
      <c r="AA134" s="890"/>
      <c r="AB134" s="890"/>
      <c r="AC134" s="890"/>
      <c r="AD134" s="1737"/>
      <c r="AE134" s="890"/>
      <c r="AF134" s="1692" t="s">
        <v>5601</v>
      </c>
      <c r="AG134" s="890"/>
      <c r="AH134" s="1698"/>
      <c r="AI134" s="890"/>
      <c r="AJ134" s="1701" t="s">
        <v>5601</v>
      </c>
      <c r="AK134" s="890"/>
      <c r="AL134" s="890"/>
      <c r="AM134" s="890"/>
      <c r="AN134" s="910"/>
      <c r="AO134" s="890"/>
      <c r="AP134" s="1695" t="s">
        <v>5601</v>
      </c>
      <c r="AQ134" s="890"/>
      <c r="AR134" s="1659" t="s">
        <v>5601</v>
      </c>
      <c r="AS134" s="890"/>
      <c r="AT134" s="890"/>
      <c r="AU134" s="890"/>
      <c r="AV134" s="890"/>
      <c r="AW134" s="890"/>
      <c r="AX134" s="890"/>
      <c r="AY134" s="890"/>
      <c r="AZ134" s="890"/>
      <c r="BA134" s="890"/>
      <c r="BB134" s="890"/>
      <c r="BC134" s="890"/>
      <c r="BD134" s="1737"/>
      <c r="BE134" s="890"/>
      <c r="BF134" s="1692" t="s">
        <v>5601</v>
      </c>
      <c r="BG134" s="890"/>
      <c r="BH134" s="1698"/>
      <c r="BI134" s="890"/>
      <c r="BJ134" s="1701" t="s">
        <v>5601</v>
      </c>
      <c r="BK134" s="890"/>
      <c r="BL134" s="890"/>
      <c r="BM134" s="890"/>
      <c r="BN134" s="910"/>
      <c r="BO134" s="890"/>
      <c r="BP134" s="1695" t="s">
        <v>5601</v>
      </c>
      <c r="BQ134" s="890"/>
      <c r="BR134" s="1659" t="s">
        <v>5601</v>
      </c>
      <c r="BS134" s="890"/>
      <c r="BT134" s="890"/>
      <c r="BV134" s="890"/>
      <c r="BW134" s="890"/>
      <c r="BX134" s="890"/>
      <c r="BY134" s="891"/>
      <c r="BZ134" s="890"/>
      <c r="CA134" s="890"/>
      <c r="CB134" s="890"/>
      <c r="CD134" s="890"/>
      <c r="CE134" s="893">
        <v>1</v>
      </c>
    </row>
    <row r="135" spans="2:83" s="904" customFormat="1" ht="15" customHeight="1" x14ac:dyDescent="0.25">
      <c r="B135" s="1738"/>
      <c r="C135" s="890"/>
      <c r="D135" s="1693"/>
      <c r="E135" s="890"/>
      <c r="F135" s="1699"/>
      <c r="G135" s="890"/>
      <c r="H135" s="1702"/>
      <c r="I135" s="890"/>
      <c r="J135" s="890"/>
      <c r="K135" s="890"/>
      <c r="L135" s="910"/>
      <c r="M135" s="890"/>
      <c r="N135" s="1696">
        <v>1</v>
      </c>
      <c r="O135" s="890"/>
      <c r="P135" s="1660">
        <v>1</v>
      </c>
      <c r="Q135" s="890"/>
      <c r="R135" s="890"/>
      <c r="S135" s="890"/>
      <c r="T135" s="891"/>
      <c r="U135" s="890"/>
      <c r="V135" s="891"/>
      <c r="W135" s="890"/>
      <c r="X135" s="891"/>
      <c r="Y135" s="890"/>
      <c r="Z135" s="890"/>
      <c r="AA135" s="890"/>
      <c r="AB135" s="890"/>
      <c r="AC135" s="890"/>
      <c r="AD135" s="1738"/>
      <c r="AE135" s="890"/>
      <c r="AF135" s="1693" t="s">
        <v>5601</v>
      </c>
      <c r="AG135" s="890"/>
      <c r="AH135" s="1699"/>
      <c r="AI135" s="890"/>
      <c r="AJ135" s="1702" t="s">
        <v>5601</v>
      </c>
      <c r="AK135" s="890"/>
      <c r="AL135" s="890"/>
      <c r="AM135" s="890"/>
      <c r="AN135" s="910"/>
      <c r="AO135" s="890"/>
      <c r="AP135" s="1696" t="s">
        <v>5601</v>
      </c>
      <c r="AQ135" s="890"/>
      <c r="AR135" s="1660" t="s">
        <v>5601</v>
      </c>
      <c r="AS135" s="890"/>
      <c r="AT135" s="890"/>
      <c r="AU135" s="890"/>
      <c r="AV135" s="890"/>
      <c r="AW135" s="890"/>
      <c r="AX135" s="890"/>
      <c r="AY135" s="890"/>
      <c r="AZ135" s="890"/>
      <c r="BA135" s="890"/>
      <c r="BB135" s="890"/>
      <c r="BC135" s="890"/>
      <c r="BD135" s="1738"/>
      <c r="BE135" s="890"/>
      <c r="BF135" s="1693" t="s">
        <v>5601</v>
      </c>
      <c r="BG135" s="890"/>
      <c r="BH135" s="1699"/>
      <c r="BI135" s="890"/>
      <c r="BJ135" s="1702" t="s">
        <v>5601</v>
      </c>
      <c r="BK135" s="890"/>
      <c r="BL135" s="890"/>
      <c r="BM135" s="890"/>
      <c r="BN135" s="910"/>
      <c r="BO135" s="890"/>
      <c r="BP135" s="1696" t="s">
        <v>5601</v>
      </c>
      <c r="BQ135" s="890"/>
      <c r="BR135" s="1660" t="s">
        <v>5601</v>
      </c>
      <c r="BS135" s="890"/>
      <c r="BT135" s="890"/>
      <c r="BV135" s="890"/>
      <c r="BW135" s="890"/>
      <c r="BX135" s="890"/>
      <c r="BY135" s="891"/>
      <c r="BZ135" s="890"/>
      <c r="CA135" s="890"/>
      <c r="CB135" s="890"/>
      <c r="CD135" s="890"/>
      <c r="CE135" s="893">
        <v>1</v>
      </c>
    </row>
    <row r="136" spans="2:83" s="904" customFormat="1" ht="18" customHeight="1" x14ac:dyDescent="0.25">
      <c r="B136" s="911"/>
      <c r="C136" s="890"/>
      <c r="D136" s="911"/>
      <c r="E136" s="890"/>
      <c r="F136" s="890"/>
      <c r="G136" s="890"/>
      <c r="H136" s="890"/>
      <c r="I136" s="890"/>
      <c r="J136" s="890"/>
      <c r="K136" s="890"/>
      <c r="L136" s="910"/>
      <c r="M136" s="890"/>
      <c r="N136" s="921"/>
      <c r="O136" s="890"/>
      <c r="P136" s="921"/>
      <c r="Q136" s="890"/>
      <c r="R136" s="890"/>
      <c r="S136" s="890"/>
      <c r="T136" s="891"/>
      <c r="U136" s="890"/>
      <c r="V136" s="891"/>
      <c r="W136" s="890"/>
      <c r="X136" s="891"/>
      <c r="Y136" s="890"/>
      <c r="Z136" s="890"/>
      <c r="AA136" s="890"/>
      <c r="AB136" s="890"/>
      <c r="AC136" s="890"/>
      <c r="AD136" s="911"/>
      <c r="AE136" s="890"/>
      <c r="AF136" s="911"/>
      <c r="AG136" s="890"/>
      <c r="AH136" s="890"/>
      <c r="AI136" s="890"/>
      <c r="AJ136" s="890"/>
      <c r="AK136" s="890"/>
      <c r="AL136" s="890"/>
      <c r="AM136" s="890"/>
      <c r="AN136" s="910"/>
      <c r="AO136" s="890"/>
      <c r="AP136" s="921"/>
      <c r="AQ136" s="890"/>
      <c r="AR136" s="921"/>
      <c r="AS136" s="890"/>
      <c r="AT136" s="890"/>
      <c r="AU136" s="890"/>
      <c r="AV136" s="890"/>
      <c r="AW136" s="890"/>
      <c r="AX136" s="890"/>
      <c r="AY136" s="890"/>
      <c r="AZ136" s="890"/>
      <c r="BA136" s="890"/>
      <c r="BB136" s="890"/>
      <c r="BC136" s="890"/>
      <c r="BD136" s="911"/>
      <c r="BE136" s="890"/>
      <c r="BF136" s="911"/>
      <c r="BG136" s="890"/>
      <c r="BH136" s="890"/>
      <c r="BI136" s="890"/>
      <c r="BJ136" s="890"/>
      <c r="BK136" s="890"/>
      <c r="BL136" s="890"/>
      <c r="BM136" s="890"/>
      <c r="BN136" s="910"/>
      <c r="BO136" s="890"/>
      <c r="BP136" s="921"/>
      <c r="BQ136" s="890"/>
      <c r="BR136" s="921"/>
      <c r="BS136" s="890"/>
      <c r="BT136" s="890"/>
      <c r="BV136" s="890"/>
      <c r="BW136" s="890"/>
      <c r="BX136" s="890"/>
      <c r="BY136" s="891"/>
      <c r="BZ136" s="890"/>
      <c r="CA136" s="890"/>
      <c r="CB136" s="890"/>
      <c r="CD136" s="890"/>
      <c r="CE136" s="893"/>
    </row>
    <row r="137" spans="2:83" s="904" customFormat="1" x14ac:dyDescent="0.25">
      <c r="B137" s="890"/>
      <c r="C137" s="890"/>
      <c r="D137" s="1691" t="s">
        <v>6064</v>
      </c>
      <c r="E137" s="890"/>
      <c r="F137" s="1697"/>
      <c r="G137" s="890"/>
      <c r="H137" s="1700" t="s">
        <v>5659</v>
      </c>
      <c r="I137" s="890"/>
      <c r="J137" s="910"/>
      <c r="K137" s="890"/>
      <c r="L137" s="910"/>
      <c r="M137" s="890"/>
      <c r="N137" s="1694" t="s">
        <v>6444</v>
      </c>
      <c r="O137" s="890"/>
      <c r="P137" s="1658" t="s">
        <v>6445</v>
      </c>
      <c r="Q137" s="890"/>
      <c r="R137" s="890"/>
      <c r="S137" s="890"/>
      <c r="T137" s="891"/>
      <c r="U137" s="890"/>
      <c r="V137" s="891"/>
      <c r="W137" s="890"/>
      <c r="X137" s="891"/>
      <c r="Y137" s="890"/>
      <c r="Z137" s="890"/>
      <c r="AA137" s="890"/>
      <c r="AB137" s="890"/>
      <c r="AC137" s="890"/>
      <c r="AD137" s="890"/>
      <c r="AE137" s="890"/>
      <c r="AF137" s="1691" t="s">
        <v>6065</v>
      </c>
      <c r="AG137" s="890"/>
      <c r="AH137" s="1697"/>
      <c r="AI137" s="890"/>
      <c r="AJ137" s="1700" t="s">
        <v>5667</v>
      </c>
      <c r="AK137" s="890"/>
      <c r="AL137" s="910"/>
      <c r="AM137" s="890"/>
      <c r="AN137" s="910"/>
      <c r="AO137" s="890"/>
      <c r="AP137" s="1694" t="s">
        <v>6446</v>
      </c>
      <c r="AQ137" s="890"/>
      <c r="AR137" s="1658" t="s">
        <v>6447</v>
      </c>
      <c r="AS137" s="890"/>
      <c r="AT137" s="890"/>
      <c r="AU137" s="890"/>
      <c r="AV137" s="890"/>
      <c r="AW137" s="890"/>
      <c r="AX137" s="890"/>
      <c r="AY137" s="890"/>
      <c r="AZ137" s="890"/>
      <c r="BA137" s="890"/>
      <c r="BB137" s="890"/>
      <c r="BC137" s="890"/>
      <c r="BD137" s="890"/>
      <c r="BE137" s="890"/>
      <c r="BF137" s="1691" t="s">
        <v>6066</v>
      </c>
      <c r="BG137" s="890"/>
      <c r="BH137" s="1697"/>
      <c r="BI137" s="890"/>
      <c r="BJ137" s="1700" t="s">
        <v>5673</v>
      </c>
      <c r="BK137" s="890"/>
      <c r="BL137" s="910"/>
      <c r="BM137" s="890"/>
      <c r="BN137" s="910"/>
      <c r="BO137" s="890"/>
      <c r="BP137" s="1694" t="s">
        <v>6448</v>
      </c>
      <c r="BQ137" s="890"/>
      <c r="BR137" s="1658" t="s">
        <v>6449</v>
      </c>
      <c r="BS137" s="890"/>
      <c r="BT137" s="890"/>
      <c r="BV137" s="890"/>
      <c r="BW137" s="890"/>
      <c r="BX137" s="890"/>
      <c r="BY137" s="891"/>
      <c r="BZ137" s="890"/>
      <c r="CA137" s="890"/>
      <c r="CB137" s="890"/>
      <c r="CD137" s="890"/>
      <c r="CE137" s="893">
        <v>1</v>
      </c>
    </row>
    <row r="138" spans="2:83" s="904" customFormat="1" x14ac:dyDescent="0.25">
      <c r="B138" s="890"/>
      <c r="C138" s="890"/>
      <c r="D138" s="1692"/>
      <c r="E138" s="890"/>
      <c r="F138" s="1698"/>
      <c r="G138" s="890"/>
      <c r="H138" s="1701"/>
      <c r="I138" s="890"/>
      <c r="J138" s="910"/>
      <c r="K138" s="890"/>
      <c r="L138" s="910"/>
      <c r="M138" s="890"/>
      <c r="N138" s="1695"/>
      <c r="O138" s="890"/>
      <c r="P138" s="1659"/>
      <c r="Q138" s="890"/>
      <c r="R138" s="890"/>
      <c r="S138" s="890"/>
      <c r="T138" s="891"/>
      <c r="U138" s="890"/>
      <c r="V138" s="891"/>
      <c r="W138" s="890"/>
      <c r="X138" s="891"/>
      <c r="Y138" s="890"/>
      <c r="Z138" s="890"/>
      <c r="AA138" s="890"/>
      <c r="AB138" s="890"/>
      <c r="AC138" s="890"/>
      <c r="AD138" s="890"/>
      <c r="AE138" s="890"/>
      <c r="AF138" s="1692" t="s">
        <v>5601</v>
      </c>
      <c r="AG138" s="890"/>
      <c r="AH138" s="1698"/>
      <c r="AI138" s="890"/>
      <c r="AJ138" s="1701" t="s">
        <v>5601</v>
      </c>
      <c r="AK138" s="890"/>
      <c r="AL138" s="910"/>
      <c r="AM138" s="890"/>
      <c r="AN138" s="910"/>
      <c r="AO138" s="890"/>
      <c r="AP138" s="1695" t="s">
        <v>5601</v>
      </c>
      <c r="AQ138" s="890"/>
      <c r="AR138" s="1659" t="s">
        <v>5601</v>
      </c>
      <c r="AS138" s="890"/>
      <c r="AT138" s="890"/>
      <c r="AU138" s="890"/>
      <c r="AV138" s="890"/>
      <c r="AW138" s="890"/>
      <c r="AX138" s="890"/>
      <c r="AY138" s="890"/>
      <c r="AZ138" s="890"/>
      <c r="BA138" s="890"/>
      <c r="BB138" s="890"/>
      <c r="BC138" s="890"/>
      <c r="BD138" s="890"/>
      <c r="BE138" s="890"/>
      <c r="BF138" s="1692" t="s">
        <v>5601</v>
      </c>
      <c r="BG138" s="890"/>
      <c r="BH138" s="1698"/>
      <c r="BI138" s="890"/>
      <c r="BJ138" s="1701" t="s">
        <v>5601</v>
      </c>
      <c r="BK138" s="890"/>
      <c r="BL138" s="910"/>
      <c r="BM138" s="890"/>
      <c r="BN138" s="910"/>
      <c r="BO138" s="890"/>
      <c r="BP138" s="1695" t="s">
        <v>5601</v>
      </c>
      <c r="BQ138" s="890"/>
      <c r="BR138" s="1659" t="s">
        <v>5601</v>
      </c>
      <c r="BS138" s="890"/>
      <c r="BT138" s="890"/>
      <c r="BV138" s="890"/>
      <c r="BW138" s="890"/>
      <c r="BX138" s="890"/>
      <c r="BY138" s="891"/>
      <c r="BZ138" s="890"/>
      <c r="CA138" s="890"/>
      <c r="CB138" s="890"/>
      <c r="CD138" s="890"/>
      <c r="CE138" s="893">
        <v>1</v>
      </c>
    </row>
    <row r="139" spans="2:83" s="904" customFormat="1" x14ac:dyDescent="0.25">
      <c r="B139" s="890"/>
      <c r="C139" s="890"/>
      <c r="D139" s="1693"/>
      <c r="E139" s="890"/>
      <c r="F139" s="1699"/>
      <c r="G139" s="890"/>
      <c r="H139" s="1702"/>
      <c r="I139" s="890"/>
      <c r="J139" s="910"/>
      <c r="K139" s="890"/>
      <c r="L139" s="910"/>
      <c r="M139" s="890"/>
      <c r="N139" s="1696">
        <v>1</v>
      </c>
      <c r="O139" s="890"/>
      <c r="P139" s="1660">
        <v>1</v>
      </c>
      <c r="Q139" s="890"/>
      <c r="R139" s="890"/>
      <c r="S139" s="890"/>
      <c r="T139" s="891"/>
      <c r="U139" s="890"/>
      <c r="V139" s="891"/>
      <c r="W139" s="890"/>
      <c r="X139" s="891"/>
      <c r="Y139" s="890"/>
      <c r="Z139" s="890"/>
      <c r="AA139" s="890"/>
      <c r="AB139" s="890"/>
      <c r="AC139" s="890"/>
      <c r="AD139" s="890"/>
      <c r="AE139" s="890"/>
      <c r="AF139" s="1693" t="s">
        <v>5601</v>
      </c>
      <c r="AG139" s="890"/>
      <c r="AH139" s="1699"/>
      <c r="AI139" s="890"/>
      <c r="AJ139" s="1702" t="s">
        <v>5601</v>
      </c>
      <c r="AK139" s="890"/>
      <c r="AL139" s="910"/>
      <c r="AM139" s="890"/>
      <c r="AN139" s="910"/>
      <c r="AO139" s="890"/>
      <c r="AP139" s="1696" t="s">
        <v>5601</v>
      </c>
      <c r="AQ139" s="890"/>
      <c r="AR139" s="1660" t="s">
        <v>5601</v>
      </c>
      <c r="AS139" s="890"/>
      <c r="AT139" s="890"/>
      <c r="AU139" s="890"/>
      <c r="AV139" s="890"/>
      <c r="AW139" s="890"/>
      <c r="AX139" s="890"/>
      <c r="AY139" s="890"/>
      <c r="AZ139" s="890"/>
      <c r="BA139" s="890"/>
      <c r="BB139" s="890"/>
      <c r="BC139" s="890"/>
      <c r="BD139" s="890"/>
      <c r="BE139" s="890"/>
      <c r="BF139" s="1693" t="s">
        <v>5601</v>
      </c>
      <c r="BG139" s="890"/>
      <c r="BH139" s="1699"/>
      <c r="BI139" s="890"/>
      <c r="BJ139" s="1702"/>
      <c r="BK139" s="890"/>
      <c r="BL139" s="910"/>
      <c r="BM139" s="890"/>
      <c r="BN139" s="910"/>
      <c r="BO139" s="890"/>
      <c r="BP139" s="1696" t="s">
        <v>5601</v>
      </c>
      <c r="BQ139" s="890"/>
      <c r="BR139" s="1660" t="s">
        <v>5601</v>
      </c>
      <c r="BS139" s="890"/>
      <c r="BT139" s="890"/>
      <c r="BV139" s="890"/>
      <c r="BW139" s="890"/>
      <c r="BX139" s="890"/>
      <c r="BY139" s="891"/>
      <c r="BZ139" s="890"/>
      <c r="CA139" s="890"/>
      <c r="CB139" s="890"/>
      <c r="CD139" s="890"/>
      <c r="CE139" s="893">
        <v>1</v>
      </c>
    </row>
    <row r="140" spans="2:83" s="904" customFormat="1" ht="18" customHeight="1" x14ac:dyDescent="0.25">
      <c r="B140" s="890"/>
      <c r="C140" s="890"/>
      <c r="D140" s="911"/>
      <c r="E140" s="890"/>
      <c r="F140" s="910"/>
      <c r="G140" s="890"/>
      <c r="H140" s="910"/>
      <c r="I140" s="890"/>
      <c r="J140" s="910"/>
      <c r="K140" s="890"/>
      <c r="L140" s="910"/>
      <c r="M140" s="890"/>
      <c r="N140" s="921"/>
      <c r="O140" s="890"/>
      <c r="P140" s="921"/>
      <c r="Q140" s="890"/>
      <c r="R140" s="890"/>
      <c r="S140" s="890"/>
      <c r="T140" s="891"/>
      <c r="U140" s="890"/>
      <c r="V140" s="891"/>
      <c r="W140" s="890"/>
      <c r="X140" s="891"/>
      <c r="Y140" s="890"/>
      <c r="Z140" s="890"/>
      <c r="AA140" s="890"/>
      <c r="AB140" s="890"/>
      <c r="AC140" s="890"/>
      <c r="AD140" s="890"/>
      <c r="AE140" s="890"/>
      <c r="AF140" s="911"/>
      <c r="AG140" s="890"/>
      <c r="AH140" s="910"/>
      <c r="AI140" s="890"/>
      <c r="AJ140" s="910"/>
      <c r="AK140" s="890"/>
      <c r="AL140" s="910"/>
      <c r="AM140" s="890"/>
      <c r="AN140" s="910"/>
      <c r="AO140" s="890"/>
      <c r="AP140" s="921"/>
      <c r="AQ140" s="890"/>
      <c r="AR140" s="921"/>
      <c r="AS140" s="890"/>
      <c r="AT140" s="890"/>
      <c r="AU140" s="890"/>
      <c r="AV140" s="890"/>
      <c r="AW140" s="890"/>
      <c r="AX140" s="890"/>
      <c r="AY140" s="890"/>
      <c r="AZ140" s="890"/>
      <c r="BA140" s="890"/>
      <c r="BB140" s="890"/>
      <c r="BC140" s="890"/>
      <c r="BD140" s="890"/>
      <c r="BE140" s="890"/>
      <c r="BF140" s="911"/>
      <c r="BG140" s="890"/>
      <c r="BH140" s="910"/>
      <c r="BI140" s="890"/>
      <c r="BJ140" s="910"/>
      <c r="BK140" s="890"/>
      <c r="BL140" s="910"/>
      <c r="BM140" s="890"/>
      <c r="BN140" s="910"/>
      <c r="BO140" s="890"/>
      <c r="BP140" s="921"/>
      <c r="BQ140" s="890"/>
      <c r="BR140" s="921"/>
      <c r="BS140" s="890"/>
      <c r="BT140" s="890"/>
      <c r="BV140" s="890"/>
      <c r="BW140" s="890"/>
      <c r="BX140" s="890"/>
      <c r="BY140" s="891"/>
      <c r="BZ140" s="890"/>
      <c r="CA140" s="890"/>
      <c r="CB140" s="890"/>
      <c r="CD140" s="890"/>
      <c r="CE140" s="893"/>
    </row>
    <row r="141" spans="2:83" s="904" customFormat="1" x14ac:dyDescent="0.25">
      <c r="B141" s="890"/>
      <c r="C141" s="890"/>
      <c r="D141" s="1691" t="s">
        <v>6067</v>
      </c>
      <c r="E141" s="890"/>
      <c r="F141" s="910"/>
      <c r="G141" s="890"/>
      <c r="H141" s="910"/>
      <c r="I141" s="890"/>
      <c r="J141" s="910"/>
      <c r="K141" s="890"/>
      <c r="L141" s="910"/>
      <c r="M141" s="890"/>
      <c r="N141" s="1694" t="s">
        <v>6450</v>
      </c>
      <c r="O141" s="890"/>
      <c r="P141" s="1658" t="s">
        <v>6451</v>
      </c>
      <c r="Q141" s="890"/>
      <c r="R141" s="890"/>
      <c r="S141" s="890"/>
      <c r="T141" s="891"/>
      <c r="U141" s="890"/>
      <c r="V141" s="891"/>
      <c r="W141" s="890"/>
      <c r="X141" s="891"/>
      <c r="Y141" s="890"/>
      <c r="Z141" s="890"/>
      <c r="AA141" s="890"/>
      <c r="AB141" s="890"/>
      <c r="AC141" s="890"/>
      <c r="AD141" s="890"/>
      <c r="AE141" s="890"/>
      <c r="AF141" s="1691" t="s">
        <v>6002</v>
      </c>
      <c r="AG141" s="890"/>
      <c r="AH141" s="910"/>
      <c r="AI141" s="890"/>
      <c r="AJ141" s="910"/>
      <c r="AK141" s="890"/>
      <c r="AL141" s="910"/>
      <c r="AM141" s="890"/>
      <c r="AN141" s="910"/>
      <c r="AO141" s="890"/>
      <c r="AP141" s="1694" t="s">
        <v>6452</v>
      </c>
      <c r="AQ141" s="890"/>
      <c r="AR141" s="1658" t="s">
        <v>6453</v>
      </c>
      <c r="AS141" s="890"/>
      <c r="AT141" s="890"/>
      <c r="AU141" s="890"/>
      <c r="AV141" s="890"/>
      <c r="AW141" s="890"/>
      <c r="AX141" s="890"/>
      <c r="AY141" s="890"/>
      <c r="AZ141" s="890"/>
      <c r="BA141" s="890"/>
      <c r="BB141" s="890"/>
      <c r="BC141" s="890"/>
      <c r="BD141" s="890"/>
      <c r="BE141" s="890"/>
      <c r="BF141" s="1691" t="s">
        <v>6005</v>
      </c>
      <c r="BG141" s="890"/>
      <c r="BH141" s="910"/>
      <c r="BI141" s="890"/>
      <c r="BJ141" s="910"/>
      <c r="BK141" s="890"/>
      <c r="BL141" s="910"/>
      <c r="BM141" s="890"/>
      <c r="BN141" s="910"/>
      <c r="BO141" s="890"/>
      <c r="BP141" s="1694" t="s">
        <v>6454</v>
      </c>
      <c r="BQ141" s="890"/>
      <c r="BR141" s="1658" t="s">
        <v>6455</v>
      </c>
      <c r="BS141" s="890"/>
      <c r="BT141" s="890"/>
      <c r="BV141" s="890"/>
      <c r="BW141" s="890"/>
      <c r="BX141" s="890"/>
      <c r="BY141" s="891"/>
      <c r="BZ141" s="890"/>
      <c r="CA141" s="890"/>
      <c r="CB141" s="890"/>
      <c r="CD141" s="890"/>
      <c r="CE141" s="893">
        <v>1</v>
      </c>
    </row>
    <row r="142" spans="2:83" s="904" customFormat="1" x14ac:dyDescent="0.25">
      <c r="B142" s="890"/>
      <c r="C142" s="890"/>
      <c r="D142" s="1692"/>
      <c r="E142" s="890"/>
      <c r="F142" s="910"/>
      <c r="G142" s="890"/>
      <c r="H142" s="910"/>
      <c r="I142" s="890"/>
      <c r="J142" s="910"/>
      <c r="K142" s="890"/>
      <c r="L142" s="910"/>
      <c r="M142" s="890"/>
      <c r="N142" s="1695"/>
      <c r="O142" s="890"/>
      <c r="P142" s="1659"/>
      <c r="Q142" s="890"/>
      <c r="R142" s="890"/>
      <c r="S142" s="890"/>
      <c r="T142" s="891"/>
      <c r="U142" s="890"/>
      <c r="V142" s="891"/>
      <c r="W142" s="890"/>
      <c r="X142" s="891"/>
      <c r="Y142" s="890"/>
      <c r="Z142" s="890"/>
      <c r="AA142" s="890"/>
      <c r="AB142" s="890"/>
      <c r="AC142" s="890"/>
      <c r="AD142" s="890"/>
      <c r="AE142" s="890"/>
      <c r="AF142" s="1692" t="s">
        <v>5601</v>
      </c>
      <c r="AG142" s="890"/>
      <c r="AH142" s="910"/>
      <c r="AI142" s="890"/>
      <c r="AJ142" s="910"/>
      <c r="AK142" s="890"/>
      <c r="AL142" s="910"/>
      <c r="AM142" s="890"/>
      <c r="AN142" s="910"/>
      <c r="AO142" s="890"/>
      <c r="AP142" s="1695" t="s">
        <v>5601</v>
      </c>
      <c r="AQ142" s="890"/>
      <c r="AR142" s="1659" t="s">
        <v>5601</v>
      </c>
      <c r="AS142" s="890"/>
      <c r="AT142" s="890"/>
      <c r="AU142" s="890"/>
      <c r="AV142" s="890"/>
      <c r="AW142" s="890"/>
      <c r="AX142" s="890"/>
      <c r="AY142" s="890"/>
      <c r="AZ142" s="890"/>
      <c r="BA142" s="890"/>
      <c r="BB142" s="890"/>
      <c r="BC142" s="890"/>
      <c r="BD142" s="890"/>
      <c r="BE142" s="890"/>
      <c r="BF142" s="1692" t="s">
        <v>5601</v>
      </c>
      <c r="BG142" s="890"/>
      <c r="BH142" s="910"/>
      <c r="BI142" s="890"/>
      <c r="BJ142" s="910"/>
      <c r="BK142" s="890"/>
      <c r="BL142" s="910"/>
      <c r="BM142" s="890"/>
      <c r="BN142" s="910"/>
      <c r="BO142" s="890"/>
      <c r="BP142" s="1695" t="s">
        <v>5601</v>
      </c>
      <c r="BQ142" s="890"/>
      <c r="BR142" s="1659" t="s">
        <v>5601</v>
      </c>
      <c r="BS142" s="890"/>
      <c r="BT142" s="890"/>
      <c r="BV142" s="890"/>
      <c r="BW142" s="890"/>
      <c r="BX142" s="890"/>
      <c r="BY142" s="891"/>
      <c r="BZ142" s="890"/>
      <c r="CA142" s="890"/>
      <c r="CB142" s="890"/>
      <c r="CD142" s="890"/>
      <c r="CE142" s="893">
        <v>1</v>
      </c>
    </row>
    <row r="143" spans="2:83" s="904" customFormat="1" x14ac:dyDescent="0.25">
      <c r="B143" s="890"/>
      <c r="C143" s="890"/>
      <c r="D143" s="1693"/>
      <c r="E143" s="890"/>
      <c r="F143" s="910"/>
      <c r="G143" s="890"/>
      <c r="H143" s="910"/>
      <c r="I143" s="890"/>
      <c r="J143" s="910"/>
      <c r="K143" s="890"/>
      <c r="L143" s="910"/>
      <c r="M143" s="890"/>
      <c r="N143" s="1696">
        <v>1</v>
      </c>
      <c r="O143" s="890"/>
      <c r="P143" s="1660">
        <v>1</v>
      </c>
      <c r="Q143" s="890"/>
      <c r="R143" s="890"/>
      <c r="S143" s="890"/>
      <c r="T143" s="891"/>
      <c r="U143" s="890"/>
      <c r="V143" s="891"/>
      <c r="W143" s="890"/>
      <c r="X143" s="891"/>
      <c r="Y143" s="890"/>
      <c r="Z143" s="890"/>
      <c r="AA143" s="890"/>
      <c r="AB143" s="890"/>
      <c r="AC143" s="890"/>
      <c r="AD143" s="890"/>
      <c r="AE143" s="890"/>
      <c r="AF143" s="1693" t="s">
        <v>5601</v>
      </c>
      <c r="AG143" s="890"/>
      <c r="AH143" s="910"/>
      <c r="AI143" s="890"/>
      <c r="AJ143" s="910"/>
      <c r="AK143" s="890"/>
      <c r="AL143" s="910"/>
      <c r="AM143" s="890"/>
      <c r="AN143" s="910"/>
      <c r="AO143" s="890"/>
      <c r="AP143" s="1696" t="s">
        <v>5601</v>
      </c>
      <c r="AQ143" s="890"/>
      <c r="AR143" s="1660" t="s">
        <v>5601</v>
      </c>
      <c r="AS143" s="890"/>
      <c r="AT143" s="890"/>
      <c r="AU143" s="890"/>
      <c r="AV143" s="890"/>
      <c r="AW143" s="890"/>
      <c r="AX143" s="890"/>
      <c r="AY143" s="890"/>
      <c r="AZ143" s="890"/>
      <c r="BA143" s="890"/>
      <c r="BB143" s="890"/>
      <c r="BC143" s="890"/>
      <c r="BD143" s="890"/>
      <c r="BE143" s="890"/>
      <c r="BF143" s="1693" t="s">
        <v>5601</v>
      </c>
      <c r="BG143" s="890"/>
      <c r="BH143" s="910"/>
      <c r="BI143" s="890"/>
      <c r="BJ143" s="910"/>
      <c r="BK143" s="890"/>
      <c r="BL143" s="910"/>
      <c r="BM143" s="890"/>
      <c r="BN143" s="910"/>
      <c r="BO143" s="890"/>
      <c r="BP143" s="1696" t="s">
        <v>5601</v>
      </c>
      <c r="BQ143" s="890"/>
      <c r="BR143" s="1660" t="s">
        <v>5601</v>
      </c>
      <c r="BS143" s="890"/>
      <c r="BT143" s="890"/>
      <c r="BV143" s="890"/>
      <c r="BW143" s="890"/>
      <c r="BX143" s="890"/>
      <c r="BY143" s="891"/>
      <c r="BZ143" s="890"/>
      <c r="CA143" s="890"/>
      <c r="CB143" s="890"/>
      <c r="CD143" s="890"/>
      <c r="CE143" s="893">
        <v>1</v>
      </c>
    </row>
    <row r="144" spans="2:83" s="904" customFormat="1" ht="18" customHeight="1" x14ac:dyDescent="0.25">
      <c r="B144" s="890"/>
      <c r="C144" s="890"/>
      <c r="D144" s="911"/>
      <c r="E144" s="890"/>
      <c r="F144" s="910"/>
      <c r="G144" s="890"/>
      <c r="H144" s="910"/>
      <c r="I144" s="890"/>
      <c r="J144" s="910"/>
      <c r="K144" s="890"/>
      <c r="L144" s="910"/>
      <c r="M144" s="890"/>
      <c r="N144" s="921"/>
      <c r="O144" s="890"/>
      <c r="P144" s="921"/>
      <c r="Q144" s="890"/>
      <c r="R144" s="890"/>
      <c r="S144" s="890"/>
      <c r="T144" s="891"/>
      <c r="U144" s="890"/>
      <c r="V144" s="891"/>
      <c r="W144" s="890"/>
      <c r="X144" s="891"/>
      <c r="Y144" s="890"/>
      <c r="Z144" s="890"/>
      <c r="AA144" s="890"/>
      <c r="AB144" s="890"/>
      <c r="AC144" s="890"/>
      <c r="AD144" s="890"/>
      <c r="AE144" s="890"/>
      <c r="AF144" s="911"/>
      <c r="AG144" s="890"/>
      <c r="AH144" s="910"/>
      <c r="AI144" s="890"/>
      <c r="AJ144" s="910"/>
      <c r="AK144" s="890"/>
      <c r="AL144" s="910"/>
      <c r="AM144" s="890"/>
      <c r="AN144" s="910"/>
      <c r="AO144" s="890"/>
      <c r="AP144" s="921"/>
      <c r="AQ144" s="890"/>
      <c r="AR144" s="921"/>
      <c r="AS144" s="890"/>
      <c r="AT144" s="890"/>
      <c r="AU144" s="890"/>
      <c r="AV144" s="890"/>
      <c r="AW144" s="890"/>
      <c r="AX144" s="890"/>
      <c r="AY144" s="890"/>
      <c r="AZ144" s="890"/>
      <c r="BA144" s="890"/>
      <c r="BB144" s="890"/>
      <c r="BC144" s="890"/>
      <c r="BD144" s="890"/>
      <c r="BE144" s="890"/>
      <c r="BF144" s="911"/>
      <c r="BG144" s="890"/>
      <c r="BH144" s="910"/>
      <c r="BI144" s="890"/>
      <c r="BJ144" s="910"/>
      <c r="BK144" s="890"/>
      <c r="BL144" s="910"/>
      <c r="BM144" s="890"/>
      <c r="BN144" s="910"/>
      <c r="BO144" s="890"/>
      <c r="BP144" s="921"/>
      <c r="BQ144" s="890"/>
      <c r="BR144" s="921"/>
      <c r="BS144" s="890"/>
      <c r="BT144" s="890"/>
      <c r="BV144" s="890"/>
      <c r="BW144" s="890"/>
      <c r="BX144" s="890"/>
      <c r="BY144" s="891"/>
      <c r="BZ144" s="890"/>
      <c r="CA144" s="890"/>
      <c r="CB144" s="890"/>
      <c r="CD144" s="890"/>
      <c r="CE144" s="893"/>
    </row>
    <row r="145" spans="2:83" s="904" customFormat="1" x14ac:dyDescent="0.25">
      <c r="B145" s="890"/>
      <c r="C145" s="890"/>
      <c r="D145" s="1691" t="s">
        <v>6068</v>
      </c>
      <c r="E145" s="890"/>
      <c r="F145" s="910"/>
      <c r="G145" s="890"/>
      <c r="H145" s="910"/>
      <c r="I145" s="890"/>
      <c r="J145" s="910"/>
      <c r="K145" s="890"/>
      <c r="L145" s="910"/>
      <c r="M145" s="890"/>
      <c r="N145" s="1694" t="s">
        <v>6456</v>
      </c>
      <c r="O145" s="890"/>
      <c r="P145" s="1658" t="s">
        <v>6457</v>
      </c>
      <c r="Q145" s="890"/>
      <c r="R145" s="890"/>
      <c r="S145" s="890"/>
      <c r="T145" s="891"/>
      <c r="U145" s="890"/>
      <c r="V145" s="891"/>
      <c r="W145" s="890"/>
      <c r="X145" s="891"/>
      <c r="Y145" s="890"/>
      <c r="Z145" s="890"/>
      <c r="AA145" s="890"/>
      <c r="AB145" s="890"/>
      <c r="AC145" s="890"/>
      <c r="AD145" s="890"/>
      <c r="AE145" s="890"/>
      <c r="AF145" s="1691" t="s">
        <v>6069</v>
      </c>
      <c r="AG145" s="890"/>
      <c r="AH145" s="910"/>
      <c r="AI145" s="890"/>
      <c r="AJ145" s="910"/>
      <c r="AK145" s="890"/>
      <c r="AL145" s="910"/>
      <c r="AM145" s="890"/>
      <c r="AN145" s="910"/>
      <c r="AO145" s="890"/>
      <c r="AP145" s="1694" t="s">
        <v>6458</v>
      </c>
      <c r="AQ145" s="890"/>
      <c r="AR145" s="1658" t="s">
        <v>6459</v>
      </c>
      <c r="AS145" s="890"/>
      <c r="AT145" s="890"/>
      <c r="AU145" s="890"/>
      <c r="AV145" s="890"/>
      <c r="AW145" s="890"/>
      <c r="AX145" s="890"/>
      <c r="AY145" s="890"/>
      <c r="AZ145" s="890"/>
      <c r="BA145" s="890"/>
      <c r="BB145" s="890"/>
      <c r="BC145" s="890"/>
      <c r="BD145" s="890"/>
      <c r="BE145" s="890"/>
      <c r="BF145" s="1691" t="s">
        <v>6070</v>
      </c>
      <c r="BG145" s="890"/>
      <c r="BH145" s="910"/>
      <c r="BI145" s="890"/>
      <c r="BJ145" s="910"/>
      <c r="BK145" s="890"/>
      <c r="BL145" s="910"/>
      <c r="BM145" s="890"/>
      <c r="BN145" s="910"/>
      <c r="BO145" s="890"/>
      <c r="BP145" s="1694" t="s">
        <v>6460</v>
      </c>
      <c r="BQ145" s="890"/>
      <c r="BR145" s="1658" t="s">
        <v>6461</v>
      </c>
      <c r="BS145" s="890"/>
      <c r="BT145" s="890"/>
      <c r="BV145" s="890"/>
      <c r="BW145" s="890"/>
      <c r="BX145" s="890"/>
      <c r="BY145" s="891"/>
      <c r="BZ145" s="890"/>
      <c r="CA145" s="890"/>
      <c r="CB145" s="890"/>
      <c r="CD145" s="890"/>
      <c r="CE145" s="893">
        <v>1</v>
      </c>
    </row>
    <row r="146" spans="2:83" s="904" customFormat="1" x14ac:dyDescent="0.25">
      <c r="B146" s="890"/>
      <c r="C146" s="890"/>
      <c r="D146" s="1692"/>
      <c r="E146" s="890"/>
      <c r="F146" s="910"/>
      <c r="G146" s="890"/>
      <c r="H146" s="910"/>
      <c r="I146" s="890"/>
      <c r="J146" s="910"/>
      <c r="K146" s="890"/>
      <c r="L146" s="910"/>
      <c r="M146" s="890"/>
      <c r="N146" s="1695"/>
      <c r="O146" s="890"/>
      <c r="P146" s="1659"/>
      <c r="Q146" s="890"/>
      <c r="R146" s="890"/>
      <c r="S146" s="890"/>
      <c r="T146" s="891"/>
      <c r="U146" s="890"/>
      <c r="V146" s="891"/>
      <c r="W146" s="890"/>
      <c r="X146" s="891"/>
      <c r="Y146" s="890"/>
      <c r="Z146" s="890"/>
      <c r="AA146" s="890"/>
      <c r="AB146" s="890"/>
      <c r="AC146" s="890"/>
      <c r="AD146" s="890"/>
      <c r="AE146" s="890"/>
      <c r="AF146" s="1692" t="s">
        <v>5601</v>
      </c>
      <c r="AG146" s="890"/>
      <c r="AH146" s="910"/>
      <c r="AI146" s="890"/>
      <c r="AJ146" s="910"/>
      <c r="AK146" s="890"/>
      <c r="AL146" s="910"/>
      <c r="AM146" s="890"/>
      <c r="AN146" s="910"/>
      <c r="AO146" s="890"/>
      <c r="AP146" s="1695" t="s">
        <v>5601</v>
      </c>
      <c r="AQ146" s="890"/>
      <c r="AR146" s="1659" t="s">
        <v>5601</v>
      </c>
      <c r="AS146" s="890"/>
      <c r="AT146" s="890"/>
      <c r="AU146" s="890"/>
      <c r="AV146" s="890"/>
      <c r="AW146" s="890"/>
      <c r="AX146" s="890"/>
      <c r="AY146" s="890"/>
      <c r="AZ146" s="890"/>
      <c r="BA146" s="890"/>
      <c r="BB146" s="890"/>
      <c r="BC146" s="890"/>
      <c r="BD146" s="890"/>
      <c r="BE146" s="890"/>
      <c r="BF146" s="1692" t="s">
        <v>5601</v>
      </c>
      <c r="BG146" s="890"/>
      <c r="BH146" s="910"/>
      <c r="BI146" s="890"/>
      <c r="BJ146" s="910"/>
      <c r="BK146" s="890"/>
      <c r="BL146" s="910"/>
      <c r="BM146" s="890"/>
      <c r="BN146" s="910"/>
      <c r="BO146" s="890"/>
      <c r="BP146" s="1695" t="s">
        <v>5601</v>
      </c>
      <c r="BQ146" s="890"/>
      <c r="BR146" s="1659" t="s">
        <v>5601</v>
      </c>
      <c r="BS146" s="890"/>
      <c r="BT146" s="890"/>
      <c r="BV146" s="890"/>
      <c r="BW146" s="890"/>
      <c r="BX146" s="890"/>
      <c r="BY146" s="891"/>
      <c r="BZ146" s="890"/>
      <c r="CA146" s="890"/>
      <c r="CB146" s="890"/>
      <c r="CD146" s="890"/>
      <c r="CE146" s="893">
        <v>1</v>
      </c>
    </row>
    <row r="147" spans="2:83" s="904" customFormat="1" x14ac:dyDescent="0.25">
      <c r="B147" s="890"/>
      <c r="C147" s="890"/>
      <c r="D147" s="1693"/>
      <c r="E147" s="890"/>
      <c r="F147" s="910"/>
      <c r="G147" s="890"/>
      <c r="H147" s="910"/>
      <c r="I147" s="890"/>
      <c r="J147" s="910"/>
      <c r="K147" s="890"/>
      <c r="L147" s="910"/>
      <c r="M147" s="890"/>
      <c r="N147" s="1696">
        <v>1</v>
      </c>
      <c r="O147" s="890"/>
      <c r="P147" s="1660">
        <v>1</v>
      </c>
      <c r="Q147" s="890"/>
      <c r="R147" s="890"/>
      <c r="S147" s="890"/>
      <c r="T147" s="891"/>
      <c r="U147" s="890"/>
      <c r="V147" s="891"/>
      <c r="W147" s="890"/>
      <c r="X147" s="891"/>
      <c r="Y147" s="890"/>
      <c r="Z147" s="890"/>
      <c r="AA147" s="890"/>
      <c r="AB147" s="890"/>
      <c r="AC147" s="890"/>
      <c r="AD147" s="890"/>
      <c r="AE147" s="890"/>
      <c r="AF147" s="1693" t="s">
        <v>5601</v>
      </c>
      <c r="AG147" s="890"/>
      <c r="AH147" s="910"/>
      <c r="AI147" s="890"/>
      <c r="AJ147" s="910"/>
      <c r="AK147" s="890"/>
      <c r="AL147" s="910"/>
      <c r="AM147" s="890"/>
      <c r="AN147" s="910"/>
      <c r="AO147" s="890"/>
      <c r="AP147" s="1696" t="s">
        <v>5601</v>
      </c>
      <c r="AQ147" s="890"/>
      <c r="AR147" s="1660" t="s">
        <v>5601</v>
      </c>
      <c r="AS147" s="890"/>
      <c r="AT147" s="890"/>
      <c r="AU147" s="890"/>
      <c r="AV147" s="890"/>
      <c r="AW147" s="890"/>
      <c r="AX147" s="890"/>
      <c r="AY147" s="890"/>
      <c r="AZ147" s="890"/>
      <c r="BA147" s="890"/>
      <c r="BB147" s="890"/>
      <c r="BC147" s="890"/>
      <c r="BD147" s="890"/>
      <c r="BE147" s="890"/>
      <c r="BF147" s="1693" t="s">
        <v>5601</v>
      </c>
      <c r="BG147" s="890"/>
      <c r="BH147" s="910"/>
      <c r="BI147" s="890"/>
      <c r="BJ147" s="910"/>
      <c r="BK147" s="890"/>
      <c r="BL147" s="910"/>
      <c r="BM147" s="890"/>
      <c r="BN147" s="910"/>
      <c r="BO147" s="890"/>
      <c r="BP147" s="1696" t="s">
        <v>5601</v>
      </c>
      <c r="BQ147" s="890"/>
      <c r="BR147" s="1660" t="s">
        <v>5601</v>
      </c>
      <c r="BS147" s="890"/>
      <c r="BT147" s="890"/>
      <c r="BV147" s="890"/>
      <c r="BW147" s="890"/>
      <c r="BX147" s="890"/>
      <c r="BY147" s="891"/>
      <c r="BZ147" s="890"/>
      <c r="CA147" s="890"/>
      <c r="CB147" s="890"/>
      <c r="CD147" s="890"/>
      <c r="CE147" s="893">
        <v>1</v>
      </c>
    </row>
    <row r="148" spans="2:83" s="904" customFormat="1" ht="18" customHeight="1" x14ac:dyDescent="0.25">
      <c r="B148" s="890"/>
      <c r="C148" s="890"/>
      <c r="D148" s="911"/>
      <c r="E148" s="890"/>
      <c r="F148" s="910"/>
      <c r="G148" s="890"/>
      <c r="H148" s="910"/>
      <c r="I148" s="890"/>
      <c r="J148" s="910"/>
      <c r="K148" s="890"/>
      <c r="L148" s="910"/>
      <c r="M148" s="890"/>
      <c r="N148" s="921"/>
      <c r="O148" s="890"/>
      <c r="P148" s="921"/>
      <c r="Q148" s="890"/>
      <c r="R148" s="890"/>
      <c r="S148" s="890"/>
      <c r="T148" s="891"/>
      <c r="U148" s="890"/>
      <c r="V148" s="891"/>
      <c r="W148" s="890"/>
      <c r="X148" s="891"/>
      <c r="Y148" s="890"/>
      <c r="Z148" s="890"/>
      <c r="AA148" s="890"/>
      <c r="AB148" s="890"/>
      <c r="AC148" s="890"/>
      <c r="AD148" s="890"/>
      <c r="AE148" s="890"/>
      <c r="AF148" s="911"/>
      <c r="AG148" s="890"/>
      <c r="AH148" s="910"/>
      <c r="AI148" s="890"/>
      <c r="AJ148" s="910"/>
      <c r="AK148" s="890"/>
      <c r="AL148" s="910"/>
      <c r="AM148" s="890"/>
      <c r="AN148" s="910"/>
      <c r="AO148" s="890"/>
      <c r="AP148" s="921"/>
      <c r="AQ148" s="890"/>
      <c r="AR148" s="921"/>
      <c r="AS148" s="890"/>
      <c r="AT148" s="890"/>
      <c r="AU148" s="890"/>
      <c r="AV148" s="890"/>
      <c r="AW148" s="890"/>
      <c r="AX148" s="890"/>
      <c r="AY148" s="890"/>
      <c r="AZ148" s="890"/>
      <c r="BA148" s="890"/>
      <c r="BB148" s="890"/>
      <c r="BC148" s="890"/>
      <c r="BD148" s="890"/>
      <c r="BE148" s="890"/>
      <c r="BF148" s="911"/>
      <c r="BG148" s="890"/>
      <c r="BH148" s="910"/>
      <c r="BI148" s="890"/>
      <c r="BJ148" s="910"/>
      <c r="BK148" s="890"/>
      <c r="BL148" s="910"/>
      <c r="BM148" s="890"/>
      <c r="BN148" s="910"/>
      <c r="BO148" s="890"/>
      <c r="BP148" s="921"/>
      <c r="BQ148" s="890"/>
      <c r="BR148" s="921"/>
      <c r="BS148" s="890"/>
      <c r="BT148" s="890"/>
      <c r="BV148" s="890"/>
      <c r="BW148" s="890"/>
      <c r="BX148" s="890"/>
      <c r="BY148" s="891"/>
      <c r="BZ148" s="890"/>
      <c r="CA148" s="890"/>
      <c r="CB148" s="890"/>
      <c r="CD148" s="890"/>
      <c r="CE148" s="893"/>
    </row>
    <row r="149" spans="2:83" s="904" customFormat="1" x14ac:dyDescent="0.25">
      <c r="B149" s="890"/>
      <c r="C149" s="890"/>
      <c r="D149" s="1691" t="s">
        <v>6071</v>
      </c>
      <c r="E149" s="890"/>
      <c r="F149" s="910"/>
      <c r="G149" s="890"/>
      <c r="H149" s="910"/>
      <c r="I149" s="890"/>
      <c r="J149" s="910"/>
      <c r="K149" s="890"/>
      <c r="L149" s="910"/>
      <c r="M149" s="890"/>
      <c r="N149" s="1694" t="s">
        <v>6462</v>
      </c>
      <c r="O149" s="890"/>
      <c r="P149" s="1658" t="s">
        <v>6463</v>
      </c>
      <c r="Q149" s="890"/>
      <c r="R149" s="890"/>
      <c r="S149" s="890"/>
      <c r="T149" s="891"/>
      <c r="U149" s="890"/>
      <c r="V149" s="891"/>
      <c r="W149" s="890"/>
      <c r="X149" s="891"/>
      <c r="Y149" s="890"/>
      <c r="Z149" s="890"/>
      <c r="AA149" s="890"/>
      <c r="AB149" s="890"/>
      <c r="AC149" s="890"/>
      <c r="AD149" s="890"/>
      <c r="AE149" s="890"/>
      <c r="AF149" s="1691" t="s">
        <v>6072</v>
      </c>
      <c r="AG149" s="890"/>
      <c r="AH149" s="910"/>
      <c r="AI149" s="890"/>
      <c r="AJ149" s="910"/>
      <c r="AK149" s="890"/>
      <c r="AL149" s="910"/>
      <c r="AM149" s="890"/>
      <c r="AN149" s="910"/>
      <c r="AO149" s="890"/>
      <c r="AP149" s="1694" t="s">
        <v>6464</v>
      </c>
      <c r="AQ149" s="890"/>
      <c r="AR149" s="1658" t="s">
        <v>6465</v>
      </c>
      <c r="AS149" s="890"/>
      <c r="AT149" s="890"/>
      <c r="AU149" s="890"/>
      <c r="AV149" s="890"/>
      <c r="AW149" s="890"/>
      <c r="AX149" s="890"/>
      <c r="AY149" s="890"/>
      <c r="AZ149" s="890"/>
      <c r="BA149" s="890"/>
      <c r="BB149" s="890"/>
      <c r="BC149" s="890"/>
      <c r="BD149" s="890"/>
      <c r="BE149" s="890"/>
      <c r="BF149" s="1691" t="s">
        <v>6073</v>
      </c>
      <c r="BG149" s="890"/>
      <c r="BH149" s="910"/>
      <c r="BI149" s="890"/>
      <c r="BJ149" s="910"/>
      <c r="BK149" s="890"/>
      <c r="BL149" s="910"/>
      <c r="BM149" s="890"/>
      <c r="BN149" s="910"/>
      <c r="BO149" s="890"/>
      <c r="BP149" s="1694" t="s">
        <v>6466</v>
      </c>
      <c r="BQ149" s="890"/>
      <c r="BR149" s="1658" t="s">
        <v>6467</v>
      </c>
      <c r="BS149" s="890"/>
      <c r="BT149" s="890"/>
      <c r="BV149" s="890"/>
      <c r="BW149" s="890"/>
      <c r="BX149" s="890"/>
      <c r="BY149" s="891"/>
      <c r="BZ149" s="890"/>
      <c r="CA149" s="890"/>
      <c r="CB149" s="890"/>
      <c r="CD149" s="890"/>
      <c r="CE149" s="893">
        <v>1</v>
      </c>
    </row>
    <row r="150" spans="2:83" s="904" customFormat="1" x14ac:dyDescent="0.25">
      <c r="B150" s="890"/>
      <c r="C150" s="890"/>
      <c r="D150" s="1692"/>
      <c r="E150" s="890"/>
      <c r="F150" s="910"/>
      <c r="G150" s="890"/>
      <c r="H150" s="910"/>
      <c r="I150" s="890"/>
      <c r="J150" s="910"/>
      <c r="K150" s="890"/>
      <c r="L150" s="910"/>
      <c r="M150" s="890"/>
      <c r="N150" s="1695"/>
      <c r="O150" s="890"/>
      <c r="P150" s="1659"/>
      <c r="Q150" s="890"/>
      <c r="R150" s="890"/>
      <c r="S150" s="890"/>
      <c r="T150" s="891"/>
      <c r="U150" s="890"/>
      <c r="V150" s="891"/>
      <c r="W150" s="890"/>
      <c r="X150" s="891"/>
      <c r="Y150" s="890"/>
      <c r="Z150" s="890"/>
      <c r="AA150" s="890"/>
      <c r="AB150" s="890"/>
      <c r="AC150" s="890"/>
      <c r="AD150" s="890"/>
      <c r="AE150" s="890"/>
      <c r="AF150" s="1692" t="s">
        <v>5601</v>
      </c>
      <c r="AG150" s="890"/>
      <c r="AH150" s="910"/>
      <c r="AI150" s="890"/>
      <c r="AJ150" s="910"/>
      <c r="AK150" s="890"/>
      <c r="AL150" s="910"/>
      <c r="AM150" s="890"/>
      <c r="AN150" s="910"/>
      <c r="AO150" s="890"/>
      <c r="AP150" s="1695" t="s">
        <v>5601</v>
      </c>
      <c r="AQ150" s="890"/>
      <c r="AR150" s="1659" t="s">
        <v>5601</v>
      </c>
      <c r="AS150" s="890"/>
      <c r="AT150" s="890"/>
      <c r="AU150" s="890"/>
      <c r="AV150" s="890"/>
      <c r="AW150" s="890"/>
      <c r="AX150" s="890"/>
      <c r="AY150" s="890"/>
      <c r="AZ150" s="890"/>
      <c r="BA150" s="890"/>
      <c r="BB150" s="890"/>
      <c r="BC150" s="890"/>
      <c r="BD150" s="890"/>
      <c r="BE150" s="890"/>
      <c r="BF150" s="1692" t="s">
        <v>5601</v>
      </c>
      <c r="BG150" s="890"/>
      <c r="BH150" s="910"/>
      <c r="BI150" s="890"/>
      <c r="BJ150" s="910"/>
      <c r="BK150" s="890"/>
      <c r="BL150" s="910"/>
      <c r="BM150" s="890"/>
      <c r="BN150" s="910"/>
      <c r="BO150" s="890"/>
      <c r="BP150" s="1695" t="s">
        <v>5601</v>
      </c>
      <c r="BQ150" s="890"/>
      <c r="BR150" s="1659" t="s">
        <v>5601</v>
      </c>
      <c r="BS150" s="890"/>
      <c r="BT150" s="890"/>
      <c r="BV150" s="890"/>
      <c r="BW150" s="890"/>
      <c r="BX150" s="890"/>
      <c r="BY150" s="891"/>
      <c r="BZ150" s="890"/>
      <c r="CA150" s="890"/>
      <c r="CB150" s="890"/>
      <c r="CD150" s="890"/>
      <c r="CE150" s="893">
        <v>1</v>
      </c>
    </row>
    <row r="151" spans="2:83" s="904" customFormat="1" x14ac:dyDescent="0.25">
      <c r="B151" s="890"/>
      <c r="C151" s="890"/>
      <c r="D151" s="1693"/>
      <c r="E151" s="890"/>
      <c r="F151" s="910"/>
      <c r="G151" s="890"/>
      <c r="H151" s="910"/>
      <c r="I151" s="890"/>
      <c r="J151" s="910"/>
      <c r="K151" s="890"/>
      <c r="L151" s="910"/>
      <c r="M151" s="890"/>
      <c r="N151" s="1696">
        <v>1</v>
      </c>
      <c r="O151" s="890"/>
      <c r="P151" s="1660">
        <v>1</v>
      </c>
      <c r="Q151" s="890"/>
      <c r="R151" s="890"/>
      <c r="S151" s="890"/>
      <c r="T151" s="891"/>
      <c r="U151" s="890"/>
      <c r="V151" s="891"/>
      <c r="W151" s="890"/>
      <c r="X151" s="891"/>
      <c r="Y151" s="890"/>
      <c r="Z151" s="890"/>
      <c r="AA151" s="890"/>
      <c r="AB151" s="890"/>
      <c r="AC151" s="890"/>
      <c r="AD151" s="890"/>
      <c r="AE151" s="890"/>
      <c r="AF151" s="1693" t="s">
        <v>5601</v>
      </c>
      <c r="AG151" s="890"/>
      <c r="AH151" s="910"/>
      <c r="AI151" s="890"/>
      <c r="AJ151" s="910"/>
      <c r="AK151" s="890"/>
      <c r="AL151" s="910"/>
      <c r="AM151" s="890"/>
      <c r="AN151" s="910"/>
      <c r="AO151" s="890"/>
      <c r="AP151" s="1696" t="s">
        <v>5601</v>
      </c>
      <c r="AQ151" s="890"/>
      <c r="AR151" s="1660" t="s">
        <v>5601</v>
      </c>
      <c r="AS151" s="890"/>
      <c r="AT151" s="890"/>
      <c r="AU151" s="890"/>
      <c r="AV151" s="890"/>
      <c r="AW151" s="890"/>
      <c r="AX151" s="890"/>
      <c r="AY151" s="890"/>
      <c r="AZ151" s="890"/>
      <c r="BA151" s="890"/>
      <c r="BB151" s="890"/>
      <c r="BC151" s="890"/>
      <c r="BD151" s="890"/>
      <c r="BE151" s="890"/>
      <c r="BF151" s="1693"/>
      <c r="BG151" s="890"/>
      <c r="BH151" s="910"/>
      <c r="BI151" s="890"/>
      <c r="BJ151" s="910"/>
      <c r="BK151" s="890"/>
      <c r="BL151" s="910"/>
      <c r="BM151" s="890"/>
      <c r="BN151" s="910"/>
      <c r="BO151" s="890"/>
      <c r="BP151" s="1696" t="s">
        <v>5601</v>
      </c>
      <c r="BQ151" s="890"/>
      <c r="BR151" s="1660" t="s">
        <v>5601</v>
      </c>
      <c r="BS151" s="890"/>
      <c r="BT151" s="890"/>
      <c r="BV151" s="890"/>
      <c r="BW151" s="890"/>
      <c r="BX151" s="890"/>
      <c r="BY151" s="891"/>
      <c r="BZ151" s="890"/>
      <c r="CA151" s="890"/>
      <c r="CB151" s="890"/>
      <c r="CD151" s="890"/>
      <c r="CE151" s="893">
        <v>1</v>
      </c>
    </row>
    <row r="152" spans="2:83" s="904" customFormat="1" ht="18" customHeight="1" x14ac:dyDescent="0.25">
      <c r="B152" s="890"/>
      <c r="C152" s="890"/>
      <c r="D152" s="911"/>
      <c r="E152" s="890"/>
      <c r="F152" s="910"/>
      <c r="G152" s="890"/>
      <c r="H152" s="910"/>
      <c r="I152" s="890"/>
      <c r="J152" s="910"/>
      <c r="K152" s="890"/>
      <c r="L152" s="910"/>
      <c r="M152" s="890"/>
      <c r="N152" s="921"/>
      <c r="O152" s="890"/>
      <c r="P152" s="921"/>
      <c r="Q152" s="890"/>
      <c r="R152" s="890"/>
      <c r="S152" s="890"/>
      <c r="T152" s="891"/>
      <c r="U152" s="890"/>
      <c r="V152" s="891"/>
      <c r="W152" s="890"/>
      <c r="X152" s="891"/>
      <c r="Y152" s="890"/>
      <c r="Z152" s="890"/>
      <c r="AA152" s="890"/>
      <c r="AB152" s="890"/>
      <c r="AC152" s="890"/>
      <c r="AD152" s="890"/>
      <c r="AE152" s="890"/>
      <c r="AF152" s="911"/>
      <c r="AG152" s="890"/>
      <c r="AH152" s="910"/>
      <c r="AI152" s="890"/>
      <c r="AJ152" s="910"/>
      <c r="AK152" s="890"/>
      <c r="AL152" s="910"/>
      <c r="AM152" s="890"/>
      <c r="AN152" s="910"/>
      <c r="AO152" s="890"/>
      <c r="AP152" s="921"/>
      <c r="AQ152" s="890"/>
      <c r="AR152" s="921"/>
      <c r="AS152" s="890"/>
      <c r="AT152" s="890"/>
      <c r="AU152" s="890"/>
      <c r="AV152" s="890"/>
      <c r="AW152" s="890"/>
      <c r="AX152" s="890"/>
      <c r="AY152" s="890"/>
      <c r="AZ152" s="890"/>
      <c r="BA152" s="890"/>
      <c r="BB152" s="890"/>
      <c r="BC152" s="890"/>
      <c r="BD152" s="890"/>
      <c r="BE152" s="890"/>
      <c r="BF152" s="911"/>
      <c r="BG152" s="890"/>
      <c r="BH152" s="910"/>
      <c r="BI152" s="890"/>
      <c r="BJ152" s="910"/>
      <c r="BK152" s="890"/>
      <c r="BL152" s="910"/>
      <c r="BM152" s="890"/>
      <c r="BN152" s="910"/>
      <c r="BO152" s="890"/>
      <c r="BP152" s="921"/>
      <c r="BQ152" s="890"/>
      <c r="BR152" s="921"/>
      <c r="BS152" s="890"/>
      <c r="BT152" s="890"/>
      <c r="BV152" s="890"/>
      <c r="BW152" s="890"/>
      <c r="BX152" s="890"/>
      <c r="BY152" s="891"/>
      <c r="BZ152" s="890"/>
      <c r="CA152" s="890"/>
      <c r="CB152" s="890"/>
      <c r="CD152" s="890"/>
      <c r="CE152" s="893"/>
    </row>
    <row r="153" spans="2:83" s="904" customFormat="1" x14ac:dyDescent="0.25">
      <c r="B153" s="890"/>
      <c r="C153" s="890"/>
      <c r="D153" s="1691" t="s">
        <v>6074</v>
      </c>
      <c r="E153" s="890"/>
      <c r="F153" s="910"/>
      <c r="G153" s="890"/>
      <c r="H153" s="910"/>
      <c r="I153" s="890"/>
      <c r="J153" s="910"/>
      <c r="K153" s="890"/>
      <c r="L153" s="910"/>
      <c r="M153" s="890"/>
      <c r="N153" s="1694" t="s">
        <v>6468</v>
      </c>
      <c r="O153" s="890"/>
      <c r="P153" s="1658" t="s">
        <v>6469</v>
      </c>
      <c r="Q153" s="890"/>
      <c r="R153" s="890"/>
      <c r="S153" s="890"/>
      <c r="T153" s="891"/>
      <c r="U153" s="890"/>
      <c r="V153" s="891"/>
      <c r="W153" s="890"/>
      <c r="X153" s="891"/>
      <c r="Y153" s="890"/>
      <c r="Z153" s="890"/>
      <c r="AA153" s="890"/>
      <c r="AB153" s="890"/>
      <c r="AC153" s="890"/>
      <c r="AD153" s="890"/>
      <c r="AE153" s="890"/>
      <c r="AF153" s="1691"/>
      <c r="AG153" s="890"/>
      <c r="AH153" s="910"/>
      <c r="AI153" s="890"/>
      <c r="AJ153" s="910"/>
      <c r="AK153" s="890"/>
      <c r="AL153" s="910"/>
      <c r="AM153" s="890"/>
      <c r="AN153" s="910"/>
      <c r="AO153" s="890"/>
      <c r="AP153" s="1694" t="s">
        <v>6470</v>
      </c>
      <c r="AQ153" s="890"/>
      <c r="AR153" s="1658" t="s">
        <v>6471</v>
      </c>
      <c r="AS153" s="890"/>
      <c r="AT153" s="890"/>
      <c r="AU153" s="890"/>
      <c r="AV153" s="890"/>
      <c r="AW153" s="890"/>
      <c r="AX153" s="890"/>
      <c r="AY153" s="890"/>
      <c r="AZ153" s="890"/>
      <c r="BA153" s="890"/>
      <c r="BB153" s="890"/>
      <c r="BC153" s="890"/>
      <c r="BD153" s="890"/>
      <c r="BE153" s="890"/>
      <c r="BF153" s="1691"/>
      <c r="BG153" s="890"/>
      <c r="BH153" s="910"/>
      <c r="BI153" s="890"/>
      <c r="BJ153" s="910"/>
      <c r="BK153" s="890"/>
      <c r="BL153" s="910"/>
      <c r="BM153" s="890"/>
      <c r="BN153" s="910"/>
      <c r="BO153" s="890"/>
      <c r="BP153" s="1694" t="s">
        <v>6472</v>
      </c>
      <c r="BQ153" s="890"/>
      <c r="BR153" s="1658" t="s">
        <v>6473</v>
      </c>
      <c r="BS153" s="890"/>
      <c r="BT153" s="890"/>
      <c r="BV153" s="890"/>
      <c r="BW153" s="890"/>
      <c r="BX153" s="890"/>
      <c r="BY153" s="891"/>
      <c r="BZ153" s="890"/>
      <c r="CA153" s="890"/>
      <c r="CB153" s="890"/>
      <c r="CD153" s="890"/>
      <c r="CE153" s="893">
        <v>1</v>
      </c>
    </row>
    <row r="154" spans="2:83" s="904" customFormat="1" x14ac:dyDescent="0.25">
      <c r="B154" s="890"/>
      <c r="C154" s="890"/>
      <c r="D154" s="1692"/>
      <c r="E154" s="890"/>
      <c r="F154" s="910"/>
      <c r="G154" s="890"/>
      <c r="H154" s="910"/>
      <c r="I154" s="890"/>
      <c r="J154" s="910"/>
      <c r="K154" s="890"/>
      <c r="L154" s="910"/>
      <c r="M154" s="890"/>
      <c r="N154" s="1695"/>
      <c r="O154" s="890"/>
      <c r="P154" s="1659"/>
      <c r="Q154" s="890"/>
      <c r="R154" s="890"/>
      <c r="S154" s="890"/>
      <c r="T154" s="891"/>
      <c r="U154" s="890"/>
      <c r="V154" s="891"/>
      <c r="W154" s="890"/>
      <c r="X154" s="891"/>
      <c r="Y154" s="890"/>
      <c r="Z154" s="890"/>
      <c r="AA154" s="890"/>
      <c r="AB154" s="890"/>
      <c r="AC154" s="890"/>
      <c r="AD154" s="890"/>
      <c r="AE154" s="890"/>
      <c r="AF154" s="1692"/>
      <c r="AG154" s="890"/>
      <c r="AH154" s="910"/>
      <c r="AI154" s="890"/>
      <c r="AJ154" s="910"/>
      <c r="AK154" s="890"/>
      <c r="AL154" s="910"/>
      <c r="AM154" s="890"/>
      <c r="AN154" s="910"/>
      <c r="AO154" s="890"/>
      <c r="AP154" s="1695" t="s">
        <v>5601</v>
      </c>
      <c r="AQ154" s="890"/>
      <c r="AR154" s="1659" t="s">
        <v>5601</v>
      </c>
      <c r="AS154" s="890"/>
      <c r="AT154" s="890"/>
      <c r="AU154" s="890"/>
      <c r="AV154" s="890"/>
      <c r="AW154" s="890"/>
      <c r="AX154" s="890"/>
      <c r="AY154" s="890"/>
      <c r="AZ154" s="890"/>
      <c r="BA154" s="890"/>
      <c r="BB154" s="890"/>
      <c r="BC154" s="890"/>
      <c r="BD154" s="890"/>
      <c r="BE154" s="890"/>
      <c r="BF154" s="1692"/>
      <c r="BG154" s="890"/>
      <c r="BH154" s="910"/>
      <c r="BI154" s="890"/>
      <c r="BJ154" s="910"/>
      <c r="BK154" s="890"/>
      <c r="BL154" s="910"/>
      <c r="BM154" s="890"/>
      <c r="BN154" s="910"/>
      <c r="BO154" s="890"/>
      <c r="BP154" s="1695" t="s">
        <v>5601</v>
      </c>
      <c r="BQ154" s="890"/>
      <c r="BR154" s="1659" t="s">
        <v>5601</v>
      </c>
      <c r="BS154" s="890"/>
      <c r="BT154" s="890"/>
      <c r="BV154" s="890"/>
      <c r="BW154" s="890"/>
      <c r="BX154" s="890"/>
      <c r="BY154" s="891"/>
      <c r="BZ154" s="890"/>
      <c r="CA154" s="890"/>
      <c r="CB154" s="890"/>
      <c r="CD154" s="890"/>
      <c r="CE154" s="893">
        <v>1</v>
      </c>
    </row>
    <row r="155" spans="2:83" s="904" customFormat="1" x14ac:dyDescent="0.25">
      <c r="B155" s="890"/>
      <c r="C155" s="890"/>
      <c r="D155" s="1693"/>
      <c r="E155" s="890"/>
      <c r="F155" s="910"/>
      <c r="G155" s="890"/>
      <c r="H155" s="910"/>
      <c r="I155" s="890"/>
      <c r="J155" s="910"/>
      <c r="K155" s="890"/>
      <c r="L155" s="910"/>
      <c r="M155" s="890"/>
      <c r="N155" s="1696">
        <v>1</v>
      </c>
      <c r="O155" s="890"/>
      <c r="P155" s="1660">
        <v>1</v>
      </c>
      <c r="Q155" s="890"/>
      <c r="R155" s="890"/>
      <c r="S155" s="890"/>
      <c r="T155" s="891"/>
      <c r="U155" s="890"/>
      <c r="V155" s="891"/>
      <c r="W155" s="890"/>
      <c r="X155" s="891"/>
      <c r="Y155" s="890"/>
      <c r="Z155" s="890"/>
      <c r="AA155" s="890"/>
      <c r="AB155" s="890"/>
      <c r="AC155" s="890"/>
      <c r="AD155" s="890"/>
      <c r="AE155" s="890"/>
      <c r="AF155" s="1693"/>
      <c r="AG155" s="890"/>
      <c r="AH155" s="910"/>
      <c r="AI155" s="890"/>
      <c r="AJ155" s="910"/>
      <c r="AK155" s="890"/>
      <c r="AL155" s="910"/>
      <c r="AM155" s="890"/>
      <c r="AN155" s="910"/>
      <c r="AO155" s="890"/>
      <c r="AP155" s="1696" t="s">
        <v>5601</v>
      </c>
      <c r="AQ155" s="890"/>
      <c r="AR155" s="1660" t="s">
        <v>5601</v>
      </c>
      <c r="AS155" s="890"/>
      <c r="AT155" s="890"/>
      <c r="AU155" s="890"/>
      <c r="AV155" s="890"/>
      <c r="AW155" s="890"/>
      <c r="AX155" s="890"/>
      <c r="AY155" s="890"/>
      <c r="AZ155" s="890"/>
      <c r="BA155" s="890"/>
      <c r="BB155" s="890"/>
      <c r="BC155" s="890"/>
      <c r="BD155" s="890"/>
      <c r="BE155" s="890"/>
      <c r="BF155" s="1693"/>
      <c r="BG155" s="890"/>
      <c r="BH155" s="910"/>
      <c r="BI155" s="890"/>
      <c r="BJ155" s="910"/>
      <c r="BK155" s="890"/>
      <c r="BL155" s="910"/>
      <c r="BM155" s="890"/>
      <c r="BN155" s="910"/>
      <c r="BO155" s="890"/>
      <c r="BP155" s="1696" t="s">
        <v>5601</v>
      </c>
      <c r="BQ155" s="890"/>
      <c r="BR155" s="1660" t="s">
        <v>5601</v>
      </c>
      <c r="BS155" s="890"/>
      <c r="BT155" s="890"/>
      <c r="BV155" s="890"/>
      <c r="BW155" s="890"/>
      <c r="BX155" s="890"/>
      <c r="BY155" s="891"/>
      <c r="BZ155" s="890"/>
      <c r="CA155" s="890"/>
      <c r="CB155" s="890"/>
      <c r="CD155" s="890"/>
      <c r="CE155" s="893">
        <v>1</v>
      </c>
    </row>
    <row r="156" spans="2:83" s="904" customFormat="1" ht="18" customHeight="1" x14ac:dyDescent="0.25">
      <c r="B156" s="890"/>
      <c r="C156" s="890"/>
      <c r="D156" s="911"/>
      <c r="E156" s="890"/>
      <c r="F156" s="910"/>
      <c r="G156" s="890"/>
      <c r="H156" s="910"/>
      <c r="I156" s="890"/>
      <c r="J156" s="910"/>
      <c r="K156" s="890"/>
      <c r="L156" s="910"/>
      <c r="M156" s="890"/>
      <c r="N156" s="921"/>
      <c r="O156" s="890"/>
      <c r="P156" s="921"/>
      <c r="Q156" s="890"/>
      <c r="R156" s="890"/>
      <c r="S156" s="890"/>
      <c r="T156" s="891"/>
      <c r="U156" s="890"/>
      <c r="V156" s="891"/>
      <c r="W156" s="890"/>
      <c r="X156" s="891"/>
      <c r="Y156" s="890"/>
      <c r="Z156" s="890"/>
      <c r="AA156" s="890"/>
      <c r="AB156" s="890"/>
      <c r="AC156" s="890"/>
      <c r="AD156" s="890"/>
      <c r="AE156" s="890"/>
      <c r="AF156" s="911"/>
      <c r="AG156" s="890"/>
      <c r="AH156" s="910"/>
      <c r="AI156" s="890"/>
      <c r="AJ156" s="910"/>
      <c r="AK156" s="890"/>
      <c r="AL156" s="910"/>
      <c r="AM156" s="890"/>
      <c r="AN156" s="910"/>
      <c r="AO156" s="890"/>
      <c r="AP156" s="921"/>
      <c r="AQ156" s="890"/>
      <c r="AR156" s="921"/>
      <c r="AS156" s="890"/>
      <c r="AT156" s="890"/>
      <c r="AU156" s="890"/>
      <c r="AV156" s="890"/>
      <c r="AW156" s="890"/>
      <c r="AX156" s="890"/>
      <c r="AY156" s="890"/>
      <c r="AZ156" s="890"/>
      <c r="BA156" s="890"/>
      <c r="BB156" s="890"/>
      <c r="BC156" s="890"/>
      <c r="BD156" s="890"/>
      <c r="BE156" s="890"/>
      <c r="BF156" s="911"/>
      <c r="BG156" s="890"/>
      <c r="BH156" s="910"/>
      <c r="BI156" s="890"/>
      <c r="BJ156" s="910"/>
      <c r="BK156" s="890"/>
      <c r="BL156" s="910"/>
      <c r="BM156" s="890"/>
      <c r="BN156" s="910"/>
      <c r="BO156" s="890"/>
      <c r="BP156" s="921"/>
      <c r="BQ156" s="890"/>
      <c r="BR156" s="921"/>
      <c r="BS156" s="890"/>
      <c r="BT156" s="890"/>
      <c r="BV156" s="890"/>
      <c r="BW156" s="890"/>
      <c r="BX156" s="890"/>
      <c r="BY156" s="891"/>
      <c r="BZ156" s="890"/>
      <c r="CA156" s="890"/>
      <c r="CB156" s="890"/>
      <c r="CD156" s="890"/>
      <c r="CE156" s="893"/>
    </row>
    <row r="157" spans="2:83" s="904" customFormat="1" x14ac:dyDescent="0.25">
      <c r="B157" s="890"/>
      <c r="C157" s="890"/>
      <c r="D157" s="1691"/>
      <c r="E157" s="890"/>
      <c r="F157" s="910"/>
      <c r="G157" s="890"/>
      <c r="H157" s="910"/>
      <c r="I157" s="890"/>
      <c r="J157" s="910"/>
      <c r="K157" s="890"/>
      <c r="L157" s="910"/>
      <c r="M157" s="890"/>
      <c r="N157" s="1694" t="s">
        <v>6474</v>
      </c>
      <c r="O157" s="890"/>
      <c r="P157" s="1658" t="s">
        <v>6475</v>
      </c>
      <c r="Q157" s="890"/>
      <c r="R157" s="890"/>
      <c r="S157" s="890"/>
      <c r="T157" s="891"/>
      <c r="U157" s="890"/>
      <c r="V157" s="891"/>
      <c r="W157" s="890"/>
      <c r="X157" s="891"/>
      <c r="Y157" s="890"/>
      <c r="Z157" s="890"/>
      <c r="AA157" s="890"/>
      <c r="AB157" s="890"/>
      <c r="AC157" s="890"/>
      <c r="AD157" s="890"/>
      <c r="AE157" s="890"/>
      <c r="AF157" s="1691"/>
      <c r="AG157" s="890"/>
      <c r="AH157" s="910"/>
      <c r="AI157" s="890"/>
      <c r="AJ157" s="910"/>
      <c r="AK157" s="890"/>
      <c r="AL157" s="910"/>
      <c r="AM157" s="890"/>
      <c r="AN157" s="910"/>
      <c r="AO157" s="890"/>
      <c r="AP157" s="1694" t="s">
        <v>6476</v>
      </c>
      <c r="AQ157" s="890"/>
      <c r="AR157" s="1658" t="s">
        <v>6477</v>
      </c>
      <c r="AS157" s="890"/>
      <c r="AT157" s="890"/>
      <c r="AU157" s="890"/>
      <c r="AV157" s="890"/>
      <c r="AW157" s="890"/>
      <c r="AX157" s="890"/>
      <c r="AY157" s="890"/>
      <c r="AZ157" s="890"/>
      <c r="BA157" s="890"/>
      <c r="BB157" s="890"/>
      <c r="BC157" s="890"/>
      <c r="BD157" s="890"/>
      <c r="BE157" s="890"/>
      <c r="BF157" s="1691"/>
      <c r="BG157" s="890"/>
      <c r="BH157" s="910"/>
      <c r="BI157" s="890"/>
      <c r="BJ157" s="910"/>
      <c r="BK157" s="890"/>
      <c r="BL157" s="910"/>
      <c r="BM157" s="890"/>
      <c r="BN157" s="910"/>
      <c r="BO157" s="890"/>
      <c r="BP157" s="1694" t="s">
        <v>6478</v>
      </c>
      <c r="BQ157" s="890"/>
      <c r="BR157" s="1658" t="s">
        <v>6479</v>
      </c>
      <c r="BS157" s="890"/>
      <c r="BT157" s="890"/>
      <c r="BV157" s="890"/>
      <c r="BW157" s="890"/>
      <c r="BX157" s="890"/>
      <c r="BY157" s="891"/>
      <c r="BZ157" s="890"/>
      <c r="CA157" s="890"/>
      <c r="CB157" s="890"/>
      <c r="CD157" s="890"/>
      <c r="CE157" s="893">
        <v>1</v>
      </c>
    </row>
    <row r="158" spans="2:83" s="904" customFormat="1" x14ac:dyDescent="0.25">
      <c r="B158" s="890"/>
      <c r="C158" s="890"/>
      <c r="D158" s="1692"/>
      <c r="E158" s="890"/>
      <c r="F158" s="910"/>
      <c r="G158" s="890"/>
      <c r="H158" s="910"/>
      <c r="I158" s="890"/>
      <c r="J158" s="910"/>
      <c r="K158" s="890"/>
      <c r="L158" s="910"/>
      <c r="M158" s="890"/>
      <c r="N158" s="1695"/>
      <c r="O158" s="890"/>
      <c r="P158" s="1659"/>
      <c r="Q158" s="890"/>
      <c r="R158" s="890"/>
      <c r="S158" s="890"/>
      <c r="T158" s="891"/>
      <c r="U158" s="890"/>
      <c r="V158" s="891"/>
      <c r="W158" s="890"/>
      <c r="X158" s="891"/>
      <c r="Y158" s="890"/>
      <c r="Z158" s="890"/>
      <c r="AA158" s="890"/>
      <c r="AB158" s="890"/>
      <c r="AC158" s="890"/>
      <c r="AD158" s="890"/>
      <c r="AE158" s="890"/>
      <c r="AF158" s="1692"/>
      <c r="AG158" s="890"/>
      <c r="AH158" s="910"/>
      <c r="AI158" s="890"/>
      <c r="AJ158" s="910"/>
      <c r="AK158" s="890"/>
      <c r="AL158" s="910"/>
      <c r="AM158" s="890"/>
      <c r="AN158" s="910"/>
      <c r="AO158" s="890"/>
      <c r="AP158" s="1695" t="s">
        <v>5601</v>
      </c>
      <c r="AQ158" s="890"/>
      <c r="AR158" s="1659" t="s">
        <v>5601</v>
      </c>
      <c r="AS158" s="890"/>
      <c r="AT158" s="890"/>
      <c r="AU158" s="890"/>
      <c r="AV158" s="890"/>
      <c r="AW158" s="890"/>
      <c r="AX158" s="890"/>
      <c r="AY158" s="890"/>
      <c r="AZ158" s="890"/>
      <c r="BA158" s="890"/>
      <c r="BB158" s="890"/>
      <c r="BC158" s="890"/>
      <c r="BD158" s="890"/>
      <c r="BE158" s="890"/>
      <c r="BF158" s="1692"/>
      <c r="BG158" s="890"/>
      <c r="BH158" s="910"/>
      <c r="BI158" s="890"/>
      <c r="BJ158" s="910"/>
      <c r="BK158" s="890"/>
      <c r="BL158" s="910"/>
      <c r="BM158" s="890"/>
      <c r="BN158" s="910"/>
      <c r="BO158" s="890"/>
      <c r="BP158" s="1695" t="s">
        <v>5601</v>
      </c>
      <c r="BQ158" s="890"/>
      <c r="BR158" s="1659" t="s">
        <v>5601</v>
      </c>
      <c r="BS158" s="890"/>
      <c r="BT158" s="890"/>
      <c r="BV158" s="890"/>
      <c r="BW158" s="890"/>
      <c r="BX158" s="890"/>
      <c r="BY158" s="891"/>
      <c r="BZ158" s="890"/>
      <c r="CA158" s="890"/>
      <c r="CB158" s="890"/>
      <c r="CD158" s="890"/>
      <c r="CE158" s="893">
        <v>1</v>
      </c>
    </row>
    <row r="159" spans="2:83" s="904" customFormat="1" x14ac:dyDescent="0.25">
      <c r="B159" s="890"/>
      <c r="C159" s="890"/>
      <c r="D159" s="1693"/>
      <c r="E159" s="890"/>
      <c r="F159" s="910"/>
      <c r="G159" s="890"/>
      <c r="H159" s="910"/>
      <c r="I159" s="890"/>
      <c r="J159" s="910"/>
      <c r="K159" s="890"/>
      <c r="L159" s="910"/>
      <c r="M159" s="890"/>
      <c r="N159" s="1696">
        <v>1</v>
      </c>
      <c r="O159" s="890"/>
      <c r="P159" s="1660">
        <v>1</v>
      </c>
      <c r="Q159" s="890"/>
      <c r="R159" s="890"/>
      <c r="S159" s="890"/>
      <c r="T159" s="891"/>
      <c r="U159" s="890"/>
      <c r="V159" s="891"/>
      <c r="W159" s="890"/>
      <c r="X159" s="891"/>
      <c r="Y159" s="890"/>
      <c r="Z159" s="890"/>
      <c r="AA159" s="890"/>
      <c r="AB159" s="890"/>
      <c r="AC159" s="890"/>
      <c r="AD159" s="890"/>
      <c r="AE159" s="890"/>
      <c r="AF159" s="1693"/>
      <c r="AG159" s="890"/>
      <c r="AH159" s="910"/>
      <c r="AI159" s="890"/>
      <c r="AJ159" s="910"/>
      <c r="AK159" s="890"/>
      <c r="AL159" s="910"/>
      <c r="AM159" s="890"/>
      <c r="AN159" s="910"/>
      <c r="AO159" s="890"/>
      <c r="AP159" s="1696" t="s">
        <v>5601</v>
      </c>
      <c r="AQ159" s="890"/>
      <c r="AR159" s="1660" t="s">
        <v>5601</v>
      </c>
      <c r="AS159" s="890"/>
      <c r="AT159" s="890"/>
      <c r="AU159" s="890"/>
      <c r="AV159" s="890"/>
      <c r="AW159" s="890"/>
      <c r="AX159" s="890"/>
      <c r="AY159" s="890"/>
      <c r="AZ159" s="890"/>
      <c r="BA159" s="890"/>
      <c r="BB159" s="890"/>
      <c r="BC159" s="890"/>
      <c r="BD159" s="890"/>
      <c r="BE159" s="890"/>
      <c r="BF159" s="1693"/>
      <c r="BG159" s="890"/>
      <c r="BH159" s="910"/>
      <c r="BI159" s="890"/>
      <c r="BJ159" s="910"/>
      <c r="BK159" s="890"/>
      <c r="BL159" s="910"/>
      <c r="BM159" s="890"/>
      <c r="BN159" s="910"/>
      <c r="BO159" s="890"/>
      <c r="BP159" s="1696" t="s">
        <v>5601</v>
      </c>
      <c r="BQ159" s="890"/>
      <c r="BR159" s="1660" t="s">
        <v>5601</v>
      </c>
      <c r="BS159" s="890"/>
      <c r="BT159" s="890"/>
      <c r="BV159" s="890"/>
      <c r="BW159" s="890"/>
      <c r="BX159" s="890"/>
      <c r="BY159" s="891"/>
      <c r="BZ159" s="890"/>
      <c r="CA159" s="890"/>
      <c r="CB159" s="890"/>
      <c r="CD159" s="890"/>
      <c r="CE159" s="893">
        <v>1</v>
      </c>
    </row>
    <row r="160" spans="2:83" s="904" customFormat="1" ht="18" customHeight="1" x14ac:dyDescent="0.25">
      <c r="B160" s="890"/>
      <c r="C160" s="890"/>
      <c r="D160" s="911"/>
      <c r="E160" s="890"/>
      <c r="F160" s="910"/>
      <c r="G160" s="890"/>
      <c r="H160" s="910"/>
      <c r="I160" s="890"/>
      <c r="J160" s="910"/>
      <c r="K160" s="890"/>
      <c r="L160" s="910"/>
      <c r="M160" s="890"/>
      <c r="N160" s="921"/>
      <c r="O160" s="890"/>
      <c r="P160" s="921"/>
      <c r="Q160" s="890"/>
      <c r="R160" s="890"/>
      <c r="S160" s="890"/>
      <c r="T160" s="891"/>
      <c r="U160" s="890"/>
      <c r="V160" s="891"/>
      <c r="W160" s="890"/>
      <c r="X160" s="891"/>
      <c r="Y160" s="890"/>
      <c r="Z160" s="890"/>
      <c r="AA160" s="890"/>
      <c r="AB160" s="890"/>
      <c r="AC160" s="890"/>
      <c r="AD160" s="890"/>
      <c r="AE160" s="890"/>
      <c r="AF160" s="911"/>
      <c r="AG160" s="890"/>
      <c r="AH160" s="910"/>
      <c r="AI160" s="890"/>
      <c r="AJ160" s="910"/>
      <c r="AK160" s="890"/>
      <c r="AL160" s="910"/>
      <c r="AM160" s="890"/>
      <c r="AN160" s="910"/>
      <c r="AO160" s="890"/>
      <c r="AP160" s="921"/>
      <c r="AQ160" s="890"/>
      <c r="AR160" s="921"/>
      <c r="AS160" s="890"/>
      <c r="AT160" s="890"/>
      <c r="AU160" s="890"/>
      <c r="AV160" s="890"/>
      <c r="AW160" s="890"/>
      <c r="AX160" s="890"/>
      <c r="AY160" s="890"/>
      <c r="AZ160" s="890"/>
      <c r="BA160" s="890"/>
      <c r="BB160" s="890"/>
      <c r="BC160" s="890"/>
      <c r="BD160" s="890"/>
      <c r="BE160" s="890"/>
      <c r="BF160" s="911"/>
      <c r="BG160" s="890"/>
      <c r="BH160" s="910"/>
      <c r="BI160" s="890"/>
      <c r="BJ160" s="910"/>
      <c r="BK160" s="890"/>
      <c r="BL160" s="910"/>
      <c r="BM160" s="890"/>
      <c r="BN160" s="910"/>
      <c r="BO160" s="890"/>
      <c r="BP160" s="921"/>
      <c r="BQ160" s="890"/>
      <c r="BR160" s="921"/>
      <c r="BS160" s="890"/>
      <c r="BT160" s="890"/>
      <c r="BV160" s="890"/>
      <c r="BW160" s="890"/>
      <c r="BX160" s="890"/>
      <c r="BY160" s="891"/>
      <c r="BZ160" s="890"/>
      <c r="CA160" s="890"/>
      <c r="CB160" s="890"/>
      <c r="CD160" s="890"/>
      <c r="CE160" s="893"/>
    </row>
    <row r="161" spans="2:83" s="904" customFormat="1" x14ac:dyDescent="0.25">
      <c r="B161" s="890"/>
      <c r="C161" s="890"/>
      <c r="D161" s="919"/>
      <c r="E161" s="890"/>
      <c r="F161" s="910"/>
      <c r="G161" s="890"/>
      <c r="H161" s="910"/>
      <c r="I161" s="890"/>
      <c r="J161" s="910"/>
      <c r="K161" s="890"/>
      <c r="L161" s="910"/>
      <c r="M161" s="890"/>
      <c r="N161" s="1694" t="s">
        <v>6480</v>
      </c>
      <c r="O161" s="890"/>
      <c r="P161" s="1658" t="s">
        <v>6481</v>
      </c>
      <c r="Q161" s="890"/>
      <c r="R161" s="890"/>
      <c r="S161" s="890"/>
      <c r="T161" s="891"/>
      <c r="U161" s="890"/>
      <c r="V161" s="891"/>
      <c r="W161" s="890"/>
      <c r="X161" s="891"/>
      <c r="Y161" s="890"/>
      <c r="Z161" s="890"/>
      <c r="AA161" s="890"/>
      <c r="AB161" s="890"/>
      <c r="AC161" s="890"/>
      <c r="AD161" s="890"/>
      <c r="AE161" s="890"/>
      <c r="AF161" s="919"/>
      <c r="AG161" s="890"/>
      <c r="AH161" s="910"/>
      <c r="AI161" s="890"/>
      <c r="AJ161" s="910"/>
      <c r="AK161" s="890"/>
      <c r="AL161" s="910"/>
      <c r="AM161" s="890"/>
      <c r="AN161" s="910"/>
      <c r="AO161" s="890"/>
      <c r="AP161" s="1694" t="s">
        <v>6482</v>
      </c>
      <c r="AQ161" s="890"/>
      <c r="AR161" s="1658" t="s">
        <v>6483</v>
      </c>
      <c r="AS161" s="890"/>
      <c r="AT161" s="890"/>
      <c r="AU161" s="890"/>
      <c r="AV161" s="890"/>
      <c r="AW161" s="890"/>
      <c r="AX161" s="890"/>
      <c r="AY161" s="890"/>
      <c r="AZ161" s="890"/>
      <c r="BA161" s="890"/>
      <c r="BB161" s="890"/>
      <c r="BC161" s="890"/>
      <c r="BD161" s="890"/>
      <c r="BE161" s="890"/>
      <c r="BF161" s="919"/>
      <c r="BG161" s="890"/>
      <c r="BH161" s="910"/>
      <c r="BI161" s="890"/>
      <c r="BJ161" s="910"/>
      <c r="BK161" s="890"/>
      <c r="BL161" s="910"/>
      <c r="BM161" s="890"/>
      <c r="BN161" s="910"/>
      <c r="BO161" s="890"/>
      <c r="BP161" s="1694" t="s">
        <v>6484</v>
      </c>
      <c r="BQ161" s="890"/>
      <c r="BR161" s="1658" t="s">
        <v>6485</v>
      </c>
      <c r="BS161" s="890"/>
      <c r="BT161" s="890"/>
      <c r="BV161" s="890"/>
      <c r="BW161" s="890"/>
      <c r="BX161" s="890"/>
      <c r="BY161" s="891"/>
      <c r="BZ161" s="890"/>
      <c r="CA161" s="890"/>
      <c r="CB161" s="890"/>
      <c r="CD161" s="890"/>
      <c r="CE161" s="893">
        <v>1</v>
      </c>
    </row>
    <row r="162" spans="2:83" s="904" customFormat="1" x14ac:dyDescent="0.25">
      <c r="B162" s="890"/>
      <c r="C162" s="890"/>
      <c r="D162" s="919"/>
      <c r="E162" s="890"/>
      <c r="F162" s="910"/>
      <c r="G162" s="890"/>
      <c r="H162" s="910"/>
      <c r="I162" s="890"/>
      <c r="J162" s="910"/>
      <c r="K162" s="890"/>
      <c r="L162" s="910"/>
      <c r="M162" s="890"/>
      <c r="N162" s="1695"/>
      <c r="O162" s="890"/>
      <c r="P162" s="1659"/>
      <c r="Q162" s="890"/>
      <c r="R162" s="890"/>
      <c r="S162" s="890"/>
      <c r="T162" s="891"/>
      <c r="U162" s="890"/>
      <c r="V162" s="891"/>
      <c r="W162" s="890"/>
      <c r="X162" s="891"/>
      <c r="Y162" s="890"/>
      <c r="Z162" s="890"/>
      <c r="AA162" s="890"/>
      <c r="AB162" s="890"/>
      <c r="AC162" s="890"/>
      <c r="AD162" s="890"/>
      <c r="AE162" s="890"/>
      <c r="AF162" s="919"/>
      <c r="AG162" s="890"/>
      <c r="AH162" s="910"/>
      <c r="AI162" s="890"/>
      <c r="AJ162" s="910"/>
      <c r="AK162" s="890"/>
      <c r="AL162" s="910"/>
      <c r="AM162" s="890"/>
      <c r="AN162" s="910"/>
      <c r="AO162" s="890"/>
      <c r="AP162" s="1695" t="s">
        <v>5601</v>
      </c>
      <c r="AQ162" s="890"/>
      <c r="AR162" s="1659" t="s">
        <v>5601</v>
      </c>
      <c r="AS162" s="890"/>
      <c r="AT162" s="890"/>
      <c r="AU162" s="890"/>
      <c r="AV162" s="890"/>
      <c r="AW162" s="890"/>
      <c r="AX162" s="890"/>
      <c r="AY162" s="890"/>
      <c r="AZ162" s="890"/>
      <c r="BA162" s="890"/>
      <c r="BB162" s="890"/>
      <c r="BC162" s="890"/>
      <c r="BD162" s="890"/>
      <c r="BE162" s="890"/>
      <c r="BF162" s="919"/>
      <c r="BG162" s="890"/>
      <c r="BH162" s="910"/>
      <c r="BI162" s="890"/>
      <c r="BJ162" s="910"/>
      <c r="BK162" s="890"/>
      <c r="BL162" s="910"/>
      <c r="BM162" s="890"/>
      <c r="BN162" s="910"/>
      <c r="BO162" s="890"/>
      <c r="BP162" s="1695" t="s">
        <v>5601</v>
      </c>
      <c r="BQ162" s="890"/>
      <c r="BR162" s="1659" t="s">
        <v>5601</v>
      </c>
      <c r="BS162" s="890"/>
      <c r="BT162" s="890"/>
      <c r="BV162" s="890"/>
      <c r="BW162" s="890"/>
      <c r="BX162" s="890"/>
      <c r="BY162" s="891"/>
      <c r="BZ162" s="890"/>
      <c r="CA162" s="890"/>
      <c r="CB162" s="890"/>
      <c r="CD162" s="890"/>
      <c r="CE162" s="893">
        <v>1</v>
      </c>
    </row>
    <row r="163" spans="2:83" s="904" customFormat="1" x14ac:dyDescent="0.25">
      <c r="B163" s="890"/>
      <c r="C163" s="890"/>
      <c r="D163" s="919"/>
      <c r="E163" s="890"/>
      <c r="F163" s="910"/>
      <c r="G163" s="890"/>
      <c r="H163" s="910"/>
      <c r="I163" s="890"/>
      <c r="J163" s="910"/>
      <c r="K163" s="890"/>
      <c r="L163" s="910"/>
      <c r="M163" s="890"/>
      <c r="N163" s="1696">
        <v>1</v>
      </c>
      <c r="O163" s="890"/>
      <c r="P163" s="1660">
        <v>1</v>
      </c>
      <c r="Q163" s="890"/>
      <c r="R163" s="890"/>
      <c r="S163" s="890"/>
      <c r="T163" s="891"/>
      <c r="U163" s="890"/>
      <c r="V163" s="891"/>
      <c r="W163" s="890"/>
      <c r="X163" s="891"/>
      <c r="Y163" s="890"/>
      <c r="Z163" s="890"/>
      <c r="AA163" s="890"/>
      <c r="AB163" s="890"/>
      <c r="AC163" s="890"/>
      <c r="AD163" s="890"/>
      <c r="AE163" s="890"/>
      <c r="AF163" s="919"/>
      <c r="AG163" s="890"/>
      <c r="AH163" s="910"/>
      <c r="AI163" s="890"/>
      <c r="AJ163" s="910"/>
      <c r="AK163" s="890"/>
      <c r="AL163" s="910"/>
      <c r="AM163" s="890"/>
      <c r="AN163" s="910"/>
      <c r="AO163" s="890"/>
      <c r="AP163" s="1696" t="s">
        <v>5601</v>
      </c>
      <c r="AQ163" s="890"/>
      <c r="AR163" s="1660" t="s">
        <v>5601</v>
      </c>
      <c r="AS163" s="890"/>
      <c r="AT163" s="890"/>
      <c r="AU163" s="890"/>
      <c r="AV163" s="890"/>
      <c r="AW163" s="890"/>
      <c r="AX163" s="890"/>
      <c r="AY163" s="890"/>
      <c r="AZ163" s="890"/>
      <c r="BA163" s="890"/>
      <c r="BB163" s="890"/>
      <c r="BC163" s="890"/>
      <c r="BD163" s="890"/>
      <c r="BE163" s="890"/>
      <c r="BF163" s="919"/>
      <c r="BG163" s="890"/>
      <c r="BH163" s="910"/>
      <c r="BI163" s="890"/>
      <c r="BJ163" s="910"/>
      <c r="BK163" s="890"/>
      <c r="BL163" s="910"/>
      <c r="BM163" s="890"/>
      <c r="BN163" s="910"/>
      <c r="BO163" s="890"/>
      <c r="BP163" s="1696" t="s">
        <v>5601</v>
      </c>
      <c r="BQ163" s="890"/>
      <c r="BR163" s="1660" t="s">
        <v>5601</v>
      </c>
      <c r="BS163" s="890"/>
      <c r="BT163" s="890"/>
      <c r="BV163" s="890"/>
      <c r="BW163" s="890"/>
      <c r="BX163" s="890"/>
      <c r="BY163" s="891"/>
      <c r="BZ163" s="890"/>
      <c r="CA163" s="890"/>
      <c r="CB163" s="890"/>
      <c r="CD163" s="890"/>
      <c r="CE163" s="893">
        <v>1</v>
      </c>
    </row>
    <row r="164" spans="2:83" s="904" customFormat="1" ht="18" customHeight="1" x14ac:dyDescent="0.25">
      <c r="B164" s="890"/>
      <c r="C164" s="890"/>
      <c r="D164" s="919"/>
      <c r="E164" s="890"/>
      <c r="F164" s="910"/>
      <c r="G164" s="890"/>
      <c r="H164" s="910"/>
      <c r="I164" s="890"/>
      <c r="J164" s="910"/>
      <c r="K164" s="890"/>
      <c r="L164" s="910"/>
      <c r="M164" s="890"/>
      <c r="N164" s="921"/>
      <c r="O164" s="890"/>
      <c r="P164" s="921"/>
      <c r="Q164" s="890"/>
      <c r="R164" s="890"/>
      <c r="S164" s="890"/>
      <c r="T164" s="891"/>
      <c r="U164" s="890"/>
      <c r="V164" s="891"/>
      <c r="W164" s="890"/>
      <c r="X164" s="891"/>
      <c r="Y164" s="890"/>
      <c r="Z164" s="890"/>
      <c r="AA164" s="890"/>
      <c r="AB164" s="890"/>
      <c r="AC164" s="890"/>
      <c r="AD164" s="890"/>
      <c r="AE164" s="890"/>
      <c r="AF164" s="919"/>
      <c r="AG164" s="890"/>
      <c r="AH164" s="910"/>
      <c r="AI164" s="890"/>
      <c r="AJ164" s="910"/>
      <c r="AK164" s="890"/>
      <c r="AL164" s="910"/>
      <c r="AM164" s="890"/>
      <c r="AN164" s="910"/>
      <c r="AO164" s="890"/>
      <c r="AP164" s="921"/>
      <c r="AQ164" s="890"/>
      <c r="AR164" s="921"/>
      <c r="AS164" s="890"/>
      <c r="AT164" s="890"/>
      <c r="AU164" s="890"/>
      <c r="AV164" s="890"/>
      <c r="AW164" s="890"/>
      <c r="AX164" s="890"/>
      <c r="AY164" s="890"/>
      <c r="AZ164" s="890"/>
      <c r="BA164" s="890"/>
      <c r="BB164" s="890"/>
      <c r="BC164" s="890"/>
      <c r="BD164" s="890"/>
      <c r="BE164" s="890"/>
      <c r="BF164" s="919"/>
      <c r="BG164" s="890"/>
      <c r="BH164" s="910"/>
      <c r="BI164" s="890"/>
      <c r="BJ164" s="910"/>
      <c r="BK164" s="890"/>
      <c r="BL164" s="910"/>
      <c r="BM164" s="890"/>
      <c r="BN164" s="910"/>
      <c r="BO164" s="890"/>
      <c r="BP164" s="921"/>
      <c r="BQ164" s="890"/>
      <c r="BR164" s="921"/>
      <c r="BS164" s="890"/>
      <c r="BT164" s="890"/>
      <c r="BV164" s="890"/>
      <c r="BW164" s="890"/>
      <c r="BX164" s="890"/>
      <c r="BY164" s="891"/>
      <c r="BZ164" s="890"/>
      <c r="CA164" s="890"/>
      <c r="CB164" s="890"/>
      <c r="CD164" s="890"/>
      <c r="CE164" s="893"/>
    </row>
    <row r="165" spans="2:83" s="904" customFormat="1" x14ac:dyDescent="0.25">
      <c r="B165" s="890"/>
      <c r="C165" s="890"/>
      <c r="D165" s="919"/>
      <c r="E165" s="890"/>
      <c r="F165" s="910"/>
      <c r="G165" s="890"/>
      <c r="H165" s="910"/>
      <c r="I165" s="890"/>
      <c r="J165" s="910"/>
      <c r="K165" s="890"/>
      <c r="L165" s="910"/>
      <c r="M165" s="890"/>
      <c r="N165" s="1694" t="s">
        <v>6486</v>
      </c>
      <c r="O165" s="890"/>
      <c r="P165" s="1658" t="s">
        <v>6487</v>
      </c>
      <c r="Q165" s="890"/>
      <c r="R165" s="890"/>
      <c r="S165" s="890"/>
      <c r="T165" s="891"/>
      <c r="U165" s="890"/>
      <c r="V165" s="891"/>
      <c r="W165" s="890"/>
      <c r="X165" s="891"/>
      <c r="Y165" s="890"/>
      <c r="Z165" s="890"/>
      <c r="AA165" s="890"/>
      <c r="AB165" s="890"/>
      <c r="AC165" s="890"/>
      <c r="AD165" s="890"/>
      <c r="AE165" s="890"/>
      <c r="AF165" s="919"/>
      <c r="AG165" s="890"/>
      <c r="AH165" s="910"/>
      <c r="AI165" s="890"/>
      <c r="AJ165" s="910"/>
      <c r="AK165" s="890"/>
      <c r="AL165" s="910"/>
      <c r="AM165" s="890"/>
      <c r="AN165" s="910"/>
      <c r="AO165" s="890"/>
      <c r="AP165" s="1694" t="s">
        <v>6488</v>
      </c>
      <c r="AQ165" s="890"/>
      <c r="AR165" s="1658" t="s">
        <v>6489</v>
      </c>
      <c r="AS165" s="890"/>
      <c r="AT165" s="890"/>
      <c r="AU165" s="890"/>
      <c r="AV165" s="890"/>
      <c r="AW165" s="890"/>
      <c r="AX165" s="890"/>
      <c r="AY165" s="890"/>
      <c r="AZ165" s="890"/>
      <c r="BA165" s="890"/>
      <c r="BB165" s="890"/>
      <c r="BC165" s="890"/>
      <c r="BD165" s="890"/>
      <c r="BE165" s="890"/>
      <c r="BF165" s="919"/>
      <c r="BG165" s="890"/>
      <c r="BH165" s="910"/>
      <c r="BI165" s="890"/>
      <c r="BJ165" s="910"/>
      <c r="BK165" s="890"/>
      <c r="BL165" s="910"/>
      <c r="BM165" s="890"/>
      <c r="BN165" s="910"/>
      <c r="BO165" s="890"/>
      <c r="BP165" s="1694" t="s">
        <v>6490</v>
      </c>
      <c r="BQ165" s="890"/>
      <c r="BR165" s="1658" t="s">
        <v>6491</v>
      </c>
      <c r="BS165" s="890"/>
      <c r="BT165" s="890"/>
      <c r="BV165" s="890"/>
      <c r="BW165" s="890"/>
      <c r="BX165" s="890"/>
      <c r="BY165" s="891"/>
      <c r="BZ165" s="890"/>
      <c r="CA165" s="890"/>
      <c r="CB165" s="890"/>
      <c r="CD165" s="890"/>
      <c r="CE165" s="893">
        <v>1</v>
      </c>
    </row>
    <row r="166" spans="2:83" s="904" customFormat="1" x14ac:dyDescent="0.25">
      <c r="B166" s="890"/>
      <c r="C166" s="890"/>
      <c r="D166" s="919"/>
      <c r="E166" s="890"/>
      <c r="F166" s="910"/>
      <c r="G166" s="890"/>
      <c r="H166" s="910"/>
      <c r="I166" s="890"/>
      <c r="J166" s="910"/>
      <c r="K166" s="890"/>
      <c r="L166" s="910"/>
      <c r="M166" s="890"/>
      <c r="N166" s="1695"/>
      <c r="O166" s="890"/>
      <c r="P166" s="1659"/>
      <c r="Q166" s="890"/>
      <c r="R166" s="890"/>
      <c r="S166" s="890"/>
      <c r="T166" s="891"/>
      <c r="U166" s="890"/>
      <c r="V166" s="891"/>
      <c r="W166" s="890"/>
      <c r="X166" s="891"/>
      <c r="Y166" s="890"/>
      <c r="Z166" s="890"/>
      <c r="AA166" s="890"/>
      <c r="AB166" s="890"/>
      <c r="AC166" s="890"/>
      <c r="AD166" s="890"/>
      <c r="AE166" s="890"/>
      <c r="AF166" s="919"/>
      <c r="AG166" s="890"/>
      <c r="AH166" s="910"/>
      <c r="AI166" s="890"/>
      <c r="AJ166" s="910"/>
      <c r="AK166" s="890"/>
      <c r="AL166" s="910"/>
      <c r="AM166" s="890"/>
      <c r="AN166" s="910"/>
      <c r="AO166" s="890"/>
      <c r="AP166" s="1695" t="s">
        <v>5601</v>
      </c>
      <c r="AQ166" s="890"/>
      <c r="AR166" s="1659" t="s">
        <v>5601</v>
      </c>
      <c r="AS166" s="890"/>
      <c r="AT166" s="890"/>
      <c r="AU166" s="890"/>
      <c r="AV166" s="890"/>
      <c r="AW166" s="890"/>
      <c r="AX166" s="890"/>
      <c r="AY166" s="890"/>
      <c r="AZ166" s="890"/>
      <c r="BA166" s="890"/>
      <c r="BB166" s="890"/>
      <c r="BC166" s="890"/>
      <c r="BD166" s="890"/>
      <c r="BE166" s="890"/>
      <c r="BF166" s="919"/>
      <c r="BG166" s="890"/>
      <c r="BH166" s="910"/>
      <c r="BI166" s="890"/>
      <c r="BJ166" s="910"/>
      <c r="BK166" s="890"/>
      <c r="BL166" s="910"/>
      <c r="BM166" s="890"/>
      <c r="BN166" s="910"/>
      <c r="BO166" s="890"/>
      <c r="BP166" s="1695" t="s">
        <v>5601</v>
      </c>
      <c r="BQ166" s="890"/>
      <c r="BR166" s="1659" t="s">
        <v>5601</v>
      </c>
      <c r="BS166" s="890"/>
      <c r="BT166" s="890"/>
      <c r="BV166" s="890"/>
      <c r="BW166" s="890"/>
      <c r="BX166" s="890"/>
      <c r="BY166" s="891"/>
      <c r="BZ166" s="890"/>
      <c r="CA166" s="890"/>
      <c r="CB166" s="890"/>
      <c r="CD166" s="890"/>
      <c r="CE166" s="893">
        <v>1</v>
      </c>
    </row>
    <row r="167" spans="2:83" s="904" customFormat="1" x14ac:dyDescent="0.25">
      <c r="B167" s="890"/>
      <c r="C167" s="890"/>
      <c r="D167" s="919"/>
      <c r="E167" s="890"/>
      <c r="F167" s="910"/>
      <c r="G167" s="890"/>
      <c r="H167" s="910"/>
      <c r="I167" s="890"/>
      <c r="J167" s="910"/>
      <c r="K167" s="890"/>
      <c r="L167" s="910"/>
      <c r="M167" s="890"/>
      <c r="N167" s="1696">
        <v>1</v>
      </c>
      <c r="O167" s="890"/>
      <c r="P167" s="1660">
        <v>1</v>
      </c>
      <c r="Q167" s="890"/>
      <c r="R167" s="890"/>
      <c r="S167" s="890"/>
      <c r="T167" s="891"/>
      <c r="U167" s="890"/>
      <c r="V167" s="891"/>
      <c r="W167" s="890"/>
      <c r="X167" s="891"/>
      <c r="Y167" s="890"/>
      <c r="Z167" s="890"/>
      <c r="AA167" s="890"/>
      <c r="AB167" s="890"/>
      <c r="AC167" s="890"/>
      <c r="AD167" s="890"/>
      <c r="AE167" s="890"/>
      <c r="AF167" s="919"/>
      <c r="AG167" s="890"/>
      <c r="AH167" s="910"/>
      <c r="AI167" s="890"/>
      <c r="AJ167" s="910"/>
      <c r="AK167" s="890"/>
      <c r="AL167" s="910"/>
      <c r="AM167" s="890"/>
      <c r="AN167" s="910"/>
      <c r="AO167" s="890"/>
      <c r="AP167" s="1696" t="s">
        <v>5601</v>
      </c>
      <c r="AQ167" s="890"/>
      <c r="AR167" s="1660" t="s">
        <v>5601</v>
      </c>
      <c r="AS167" s="890"/>
      <c r="AT167" s="890"/>
      <c r="AU167" s="890"/>
      <c r="AV167" s="890"/>
      <c r="AW167" s="890"/>
      <c r="AX167" s="890"/>
      <c r="AY167" s="890"/>
      <c r="AZ167" s="890"/>
      <c r="BA167" s="890"/>
      <c r="BB167" s="890"/>
      <c r="BC167" s="890"/>
      <c r="BD167" s="890"/>
      <c r="BE167" s="890"/>
      <c r="BF167" s="919"/>
      <c r="BG167" s="890"/>
      <c r="BH167" s="910"/>
      <c r="BI167" s="890"/>
      <c r="BJ167" s="910"/>
      <c r="BK167" s="890"/>
      <c r="BL167" s="910"/>
      <c r="BM167" s="890"/>
      <c r="BN167" s="910"/>
      <c r="BO167" s="890"/>
      <c r="BP167" s="1696" t="s">
        <v>5601</v>
      </c>
      <c r="BQ167" s="890"/>
      <c r="BR167" s="1660" t="s">
        <v>5601</v>
      </c>
      <c r="BS167" s="890"/>
      <c r="BT167" s="890"/>
      <c r="BV167" s="890"/>
      <c r="BW167" s="890"/>
      <c r="BX167" s="890"/>
      <c r="BY167" s="891"/>
      <c r="BZ167" s="890"/>
      <c r="CA167" s="890"/>
      <c r="CB167" s="890"/>
      <c r="CD167" s="890"/>
      <c r="CE167" s="893">
        <v>1</v>
      </c>
    </row>
    <row r="168" spans="2:83" s="904" customFormat="1" ht="18" customHeight="1" x14ac:dyDescent="0.25">
      <c r="B168" s="890"/>
      <c r="C168" s="890"/>
      <c r="D168" s="919"/>
      <c r="E168" s="890"/>
      <c r="F168" s="910"/>
      <c r="G168" s="890"/>
      <c r="H168" s="910"/>
      <c r="I168" s="890"/>
      <c r="J168" s="910"/>
      <c r="K168" s="890"/>
      <c r="L168" s="910"/>
      <c r="M168" s="890"/>
      <c r="N168" s="921"/>
      <c r="O168" s="890"/>
      <c r="P168" s="921"/>
      <c r="Q168" s="890"/>
      <c r="R168" s="890"/>
      <c r="S168" s="890"/>
      <c r="T168" s="891"/>
      <c r="U168" s="890"/>
      <c r="V168" s="891"/>
      <c r="W168" s="890"/>
      <c r="X168" s="891"/>
      <c r="Y168" s="890"/>
      <c r="Z168" s="890"/>
      <c r="AA168" s="890"/>
      <c r="AB168" s="890"/>
      <c r="AC168" s="890"/>
      <c r="AD168" s="890"/>
      <c r="AE168" s="890"/>
      <c r="AF168" s="919"/>
      <c r="AG168" s="890"/>
      <c r="AH168" s="910"/>
      <c r="AI168" s="890"/>
      <c r="AJ168" s="910"/>
      <c r="AK168" s="890"/>
      <c r="AL168" s="910"/>
      <c r="AM168" s="890"/>
      <c r="AN168" s="910"/>
      <c r="AO168" s="890"/>
      <c r="AP168" s="921"/>
      <c r="AQ168" s="890"/>
      <c r="AR168" s="921"/>
      <c r="AS168" s="890"/>
      <c r="AT168" s="890"/>
      <c r="AU168" s="890"/>
      <c r="AV168" s="890"/>
      <c r="AW168" s="890"/>
      <c r="AX168" s="890"/>
      <c r="AY168" s="890"/>
      <c r="AZ168" s="890"/>
      <c r="BA168" s="890"/>
      <c r="BB168" s="890"/>
      <c r="BC168" s="890"/>
      <c r="BD168" s="890"/>
      <c r="BE168" s="890"/>
      <c r="BF168" s="919"/>
      <c r="BG168" s="890"/>
      <c r="BH168" s="910"/>
      <c r="BI168" s="890"/>
      <c r="BJ168" s="910"/>
      <c r="BK168" s="890"/>
      <c r="BL168" s="910"/>
      <c r="BM168" s="890"/>
      <c r="BN168" s="910"/>
      <c r="BO168" s="890"/>
      <c r="BP168" s="921"/>
      <c r="BQ168" s="890"/>
      <c r="BR168" s="921"/>
      <c r="BS168" s="890"/>
      <c r="BT168" s="890"/>
      <c r="BV168" s="890"/>
      <c r="BW168" s="890"/>
      <c r="BX168" s="890"/>
      <c r="BY168" s="891"/>
      <c r="BZ168" s="890"/>
      <c r="CA168" s="890"/>
      <c r="CB168" s="890"/>
      <c r="CD168" s="890"/>
      <c r="CE168" s="893"/>
    </row>
    <row r="169" spans="2:83" s="904" customFormat="1" x14ac:dyDescent="0.25">
      <c r="B169" s="890"/>
      <c r="C169" s="890"/>
      <c r="D169" s="919"/>
      <c r="E169" s="890"/>
      <c r="F169" s="910"/>
      <c r="G169" s="890"/>
      <c r="H169" s="910"/>
      <c r="I169" s="890"/>
      <c r="J169" s="910"/>
      <c r="K169" s="890"/>
      <c r="L169" s="910"/>
      <c r="M169" s="890"/>
      <c r="N169" s="1694" t="s">
        <v>6492</v>
      </c>
      <c r="O169" s="890"/>
      <c r="P169" s="1658" t="s">
        <v>6493</v>
      </c>
      <c r="Q169" s="890"/>
      <c r="R169" s="890"/>
      <c r="S169" s="890"/>
      <c r="T169" s="891"/>
      <c r="U169" s="890"/>
      <c r="V169" s="891"/>
      <c r="W169" s="890"/>
      <c r="X169" s="891"/>
      <c r="Y169" s="890"/>
      <c r="Z169" s="890"/>
      <c r="AA169" s="890"/>
      <c r="AB169" s="890"/>
      <c r="AC169" s="890"/>
      <c r="AD169" s="890"/>
      <c r="AE169" s="890"/>
      <c r="AF169" s="919"/>
      <c r="AG169" s="890"/>
      <c r="AH169" s="910"/>
      <c r="AI169" s="890"/>
      <c r="AJ169" s="910"/>
      <c r="AK169" s="890"/>
      <c r="AL169" s="910"/>
      <c r="AM169" s="890"/>
      <c r="AN169" s="910"/>
      <c r="AO169" s="890"/>
      <c r="AP169" s="1694" t="s">
        <v>6494</v>
      </c>
      <c r="AQ169" s="890"/>
      <c r="AR169" s="1658" t="s">
        <v>6495</v>
      </c>
      <c r="AS169" s="890"/>
      <c r="AT169" s="890"/>
      <c r="AU169" s="890"/>
      <c r="AV169" s="890"/>
      <c r="AW169" s="890"/>
      <c r="AX169" s="890"/>
      <c r="AY169" s="890"/>
      <c r="AZ169" s="890"/>
      <c r="BA169" s="890"/>
      <c r="BB169" s="890"/>
      <c r="BC169" s="890"/>
      <c r="BD169" s="890"/>
      <c r="BE169" s="890"/>
      <c r="BF169" s="919"/>
      <c r="BG169" s="890"/>
      <c r="BH169" s="910"/>
      <c r="BI169" s="890"/>
      <c r="BJ169" s="910"/>
      <c r="BK169" s="890"/>
      <c r="BL169" s="910"/>
      <c r="BM169" s="890"/>
      <c r="BN169" s="910"/>
      <c r="BO169" s="890"/>
      <c r="BP169" s="1694" t="s">
        <v>6496</v>
      </c>
      <c r="BQ169" s="890"/>
      <c r="BR169" s="1658" t="s">
        <v>6497</v>
      </c>
      <c r="BS169" s="890"/>
      <c r="BT169" s="890"/>
      <c r="BV169" s="890"/>
      <c r="BW169" s="890"/>
      <c r="BX169" s="890"/>
      <c r="BY169" s="891"/>
      <c r="BZ169" s="890"/>
      <c r="CA169" s="890"/>
      <c r="CB169" s="890"/>
      <c r="CD169" s="890"/>
      <c r="CE169" s="893">
        <v>1</v>
      </c>
    </row>
    <row r="170" spans="2:83" s="904" customFormat="1" x14ac:dyDescent="0.25">
      <c r="B170" s="890"/>
      <c r="C170" s="890"/>
      <c r="D170" s="919"/>
      <c r="E170" s="890"/>
      <c r="F170" s="910"/>
      <c r="G170" s="890"/>
      <c r="H170" s="910"/>
      <c r="I170" s="890"/>
      <c r="J170" s="910"/>
      <c r="K170" s="890"/>
      <c r="L170" s="910"/>
      <c r="M170" s="890"/>
      <c r="N170" s="1695"/>
      <c r="O170" s="890"/>
      <c r="P170" s="1659"/>
      <c r="Q170" s="890"/>
      <c r="R170" s="890"/>
      <c r="S170" s="890"/>
      <c r="T170" s="891"/>
      <c r="U170" s="890"/>
      <c r="V170" s="891"/>
      <c r="W170" s="890"/>
      <c r="X170" s="891"/>
      <c r="Y170" s="890"/>
      <c r="Z170" s="890"/>
      <c r="AA170" s="890"/>
      <c r="AB170" s="890"/>
      <c r="AC170" s="890"/>
      <c r="AD170" s="890"/>
      <c r="AE170" s="890"/>
      <c r="AF170" s="919"/>
      <c r="AG170" s="890"/>
      <c r="AH170" s="910"/>
      <c r="AI170" s="890"/>
      <c r="AJ170" s="910"/>
      <c r="AK170" s="890"/>
      <c r="AL170" s="910"/>
      <c r="AM170" s="890"/>
      <c r="AN170" s="910"/>
      <c r="AO170" s="890"/>
      <c r="AP170" s="1695" t="s">
        <v>5601</v>
      </c>
      <c r="AQ170" s="890"/>
      <c r="AR170" s="1659" t="s">
        <v>5601</v>
      </c>
      <c r="AS170" s="890"/>
      <c r="AT170" s="890"/>
      <c r="AU170" s="890"/>
      <c r="AV170" s="890"/>
      <c r="AW170" s="890"/>
      <c r="AX170" s="890"/>
      <c r="AY170" s="890"/>
      <c r="AZ170" s="890"/>
      <c r="BA170" s="890"/>
      <c r="BB170" s="890"/>
      <c r="BC170" s="890"/>
      <c r="BD170" s="890"/>
      <c r="BE170" s="890"/>
      <c r="BF170" s="919"/>
      <c r="BG170" s="890"/>
      <c r="BH170" s="910"/>
      <c r="BI170" s="890"/>
      <c r="BJ170" s="910"/>
      <c r="BK170" s="890"/>
      <c r="BL170" s="910"/>
      <c r="BM170" s="890"/>
      <c r="BN170" s="910"/>
      <c r="BO170" s="890"/>
      <c r="BP170" s="1695" t="s">
        <v>5601</v>
      </c>
      <c r="BQ170" s="890"/>
      <c r="BR170" s="1659" t="s">
        <v>5601</v>
      </c>
      <c r="BS170" s="890"/>
      <c r="BT170" s="890"/>
      <c r="BV170" s="890"/>
      <c r="BW170" s="890"/>
      <c r="BX170" s="890"/>
      <c r="BY170" s="891"/>
      <c r="BZ170" s="890"/>
      <c r="CA170" s="890"/>
      <c r="CB170" s="890"/>
      <c r="CD170" s="890"/>
      <c r="CE170" s="893">
        <v>1</v>
      </c>
    </row>
    <row r="171" spans="2:83" s="904" customFormat="1" x14ac:dyDescent="0.25">
      <c r="B171" s="890"/>
      <c r="C171" s="890"/>
      <c r="D171" s="919"/>
      <c r="E171" s="890"/>
      <c r="F171" s="910"/>
      <c r="G171" s="890"/>
      <c r="H171" s="910"/>
      <c r="I171" s="890"/>
      <c r="J171" s="910"/>
      <c r="K171" s="890"/>
      <c r="L171" s="910"/>
      <c r="M171" s="890"/>
      <c r="N171" s="1696">
        <v>1</v>
      </c>
      <c r="O171" s="890"/>
      <c r="P171" s="1660">
        <v>1</v>
      </c>
      <c r="Q171" s="890"/>
      <c r="R171" s="890"/>
      <c r="S171" s="890"/>
      <c r="T171" s="891"/>
      <c r="U171" s="890"/>
      <c r="V171" s="891"/>
      <c r="W171" s="890"/>
      <c r="X171" s="891"/>
      <c r="Y171" s="890"/>
      <c r="Z171" s="890"/>
      <c r="AA171" s="890"/>
      <c r="AB171" s="890"/>
      <c r="AC171" s="890"/>
      <c r="AD171" s="890"/>
      <c r="AE171" s="890"/>
      <c r="AF171" s="919"/>
      <c r="AG171" s="890"/>
      <c r="AH171" s="910"/>
      <c r="AI171" s="890"/>
      <c r="AJ171" s="910"/>
      <c r="AK171" s="890"/>
      <c r="AL171" s="910"/>
      <c r="AM171" s="890"/>
      <c r="AN171" s="910"/>
      <c r="AO171" s="890"/>
      <c r="AP171" s="1696" t="s">
        <v>5601</v>
      </c>
      <c r="AQ171" s="890"/>
      <c r="AR171" s="1660" t="s">
        <v>5601</v>
      </c>
      <c r="AS171" s="890"/>
      <c r="AT171" s="890"/>
      <c r="AU171" s="890"/>
      <c r="AV171" s="890"/>
      <c r="AW171" s="890"/>
      <c r="AX171" s="890"/>
      <c r="AY171" s="890"/>
      <c r="AZ171" s="890"/>
      <c r="BA171" s="890"/>
      <c r="BB171" s="890"/>
      <c r="BC171" s="890"/>
      <c r="BD171" s="890"/>
      <c r="BE171" s="890"/>
      <c r="BF171" s="919"/>
      <c r="BG171" s="890"/>
      <c r="BH171" s="910"/>
      <c r="BI171" s="890"/>
      <c r="BJ171" s="910"/>
      <c r="BK171" s="890"/>
      <c r="BL171" s="910"/>
      <c r="BM171" s="890"/>
      <c r="BN171" s="910"/>
      <c r="BO171" s="890"/>
      <c r="BP171" s="1696" t="s">
        <v>5601</v>
      </c>
      <c r="BQ171" s="890"/>
      <c r="BR171" s="1660" t="s">
        <v>5601</v>
      </c>
      <c r="BS171" s="890"/>
      <c r="BT171" s="890"/>
      <c r="BV171" s="890"/>
      <c r="BW171" s="890"/>
      <c r="BX171" s="890"/>
      <c r="BY171" s="891"/>
      <c r="BZ171" s="890"/>
      <c r="CA171" s="890"/>
      <c r="CB171" s="890"/>
      <c r="CD171" s="890"/>
      <c r="CE171" s="893">
        <v>1</v>
      </c>
    </row>
    <row r="172" spans="2:83" s="904" customFormat="1" ht="18" customHeight="1" x14ac:dyDescent="0.25">
      <c r="B172" s="890"/>
      <c r="C172" s="890"/>
      <c r="D172" s="919"/>
      <c r="E172" s="890"/>
      <c r="F172" s="910"/>
      <c r="G172" s="890"/>
      <c r="H172" s="910"/>
      <c r="I172" s="890"/>
      <c r="J172" s="910"/>
      <c r="K172" s="890"/>
      <c r="L172" s="910"/>
      <c r="M172" s="890"/>
      <c r="N172" s="921"/>
      <c r="O172" s="890"/>
      <c r="P172" s="921"/>
      <c r="Q172" s="890"/>
      <c r="R172" s="890"/>
      <c r="S172" s="890"/>
      <c r="T172" s="891"/>
      <c r="U172" s="890"/>
      <c r="V172" s="891"/>
      <c r="W172" s="890"/>
      <c r="X172" s="891"/>
      <c r="Y172" s="890"/>
      <c r="Z172" s="890"/>
      <c r="AA172" s="890"/>
      <c r="AB172" s="890"/>
      <c r="AC172" s="890"/>
      <c r="AD172" s="890"/>
      <c r="AE172" s="890"/>
      <c r="AF172" s="919"/>
      <c r="AG172" s="890"/>
      <c r="AH172" s="910"/>
      <c r="AI172" s="890"/>
      <c r="AJ172" s="910"/>
      <c r="AK172" s="890"/>
      <c r="AL172" s="910"/>
      <c r="AM172" s="890"/>
      <c r="AN172" s="910"/>
      <c r="AO172" s="890"/>
      <c r="AP172" s="921"/>
      <c r="AQ172" s="890"/>
      <c r="AR172" s="921"/>
      <c r="AS172" s="890"/>
      <c r="AT172" s="890"/>
      <c r="AU172" s="890"/>
      <c r="AV172" s="890"/>
      <c r="AW172" s="890"/>
      <c r="AX172" s="890"/>
      <c r="AY172" s="890"/>
      <c r="AZ172" s="890"/>
      <c r="BA172" s="890"/>
      <c r="BB172" s="890"/>
      <c r="BC172" s="890"/>
      <c r="BD172" s="890"/>
      <c r="BE172" s="890"/>
      <c r="BF172" s="919"/>
      <c r="BG172" s="890"/>
      <c r="BH172" s="910"/>
      <c r="BI172" s="890"/>
      <c r="BJ172" s="910"/>
      <c r="BK172" s="890"/>
      <c r="BL172" s="910"/>
      <c r="BM172" s="890"/>
      <c r="BN172" s="910"/>
      <c r="BO172" s="890"/>
      <c r="BP172" s="921"/>
      <c r="BQ172" s="890"/>
      <c r="BR172" s="921"/>
      <c r="BS172" s="890"/>
      <c r="BT172" s="890"/>
      <c r="BV172" s="890"/>
      <c r="BW172" s="890"/>
      <c r="BX172" s="890"/>
      <c r="BY172" s="891"/>
      <c r="BZ172" s="890"/>
      <c r="CA172" s="890"/>
      <c r="CB172" s="890"/>
      <c r="CD172" s="890"/>
      <c r="CE172" s="893"/>
    </row>
    <row r="173" spans="2:83" s="904" customFormat="1" x14ac:dyDescent="0.25">
      <c r="B173" s="890"/>
      <c r="C173" s="890"/>
      <c r="D173" s="919"/>
      <c r="E173" s="890"/>
      <c r="F173" s="910"/>
      <c r="G173" s="890"/>
      <c r="H173" s="910"/>
      <c r="I173" s="890"/>
      <c r="J173" s="910"/>
      <c r="K173" s="890"/>
      <c r="L173" s="910"/>
      <c r="M173" s="890"/>
      <c r="N173" s="1694" t="s">
        <v>6498</v>
      </c>
      <c r="O173" s="890"/>
      <c r="P173" s="1658" t="s">
        <v>6499</v>
      </c>
      <c r="Q173" s="890"/>
      <c r="R173" s="890"/>
      <c r="S173" s="890"/>
      <c r="T173" s="891"/>
      <c r="U173" s="890"/>
      <c r="V173" s="891"/>
      <c r="W173" s="890"/>
      <c r="X173" s="891"/>
      <c r="Y173" s="890"/>
      <c r="Z173" s="890"/>
      <c r="AA173" s="890"/>
      <c r="AB173" s="890"/>
      <c r="AC173" s="890"/>
      <c r="AD173" s="890"/>
      <c r="AE173" s="890"/>
      <c r="AF173" s="919"/>
      <c r="AG173" s="890"/>
      <c r="AH173" s="910"/>
      <c r="AI173" s="890"/>
      <c r="AJ173" s="910"/>
      <c r="AK173" s="890"/>
      <c r="AL173" s="910"/>
      <c r="AM173" s="890"/>
      <c r="AN173" s="910"/>
      <c r="AO173" s="890"/>
      <c r="AP173" s="1694" t="s">
        <v>6500</v>
      </c>
      <c r="AQ173" s="890"/>
      <c r="AR173" s="1658" t="s">
        <v>6501</v>
      </c>
      <c r="AS173" s="890"/>
      <c r="AT173" s="890"/>
      <c r="AU173" s="890"/>
      <c r="AV173" s="890"/>
      <c r="AW173" s="890"/>
      <c r="AX173" s="890"/>
      <c r="AY173" s="890"/>
      <c r="AZ173" s="890"/>
      <c r="BA173" s="890"/>
      <c r="BB173" s="890"/>
      <c r="BC173" s="890"/>
      <c r="BD173" s="890"/>
      <c r="BE173" s="890"/>
      <c r="BF173" s="919"/>
      <c r="BG173" s="890"/>
      <c r="BH173" s="910"/>
      <c r="BI173" s="890"/>
      <c r="BJ173" s="910"/>
      <c r="BK173" s="890"/>
      <c r="BL173" s="910"/>
      <c r="BM173" s="890"/>
      <c r="BN173" s="910"/>
      <c r="BO173" s="890"/>
      <c r="BP173" s="1694" t="s">
        <v>6502</v>
      </c>
      <c r="BQ173" s="890"/>
      <c r="BR173" s="1658" t="s">
        <v>6503</v>
      </c>
      <c r="BS173" s="890"/>
      <c r="BT173" s="890"/>
      <c r="BV173" s="890"/>
      <c r="BW173" s="890"/>
      <c r="BX173" s="890"/>
      <c r="BY173" s="891"/>
      <c r="BZ173" s="890"/>
      <c r="CA173" s="890"/>
      <c r="CB173" s="890"/>
      <c r="CD173" s="890"/>
      <c r="CE173" s="893">
        <v>1</v>
      </c>
    </row>
    <row r="174" spans="2:83" s="904" customFormat="1" x14ac:dyDescent="0.25">
      <c r="B174" s="890"/>
      <c r="C174" s="890"/>
      <c r="D174" s="919"/>
      <c r="E174" s="890"/>
      <c r="F174" s="910"/>
      <c r="G174" s="890"/>
      <c r="H174" s="910"/>
      <c r="I174" s="890"/>
      <c r="J174" s="910"/>
      <c r="K174" s="890"/>
      <c r="L174" s="910"/>
      <c r="M174" s="890"/>
      <c r="N174" s="1695"/>
      <c r="O174" s="890"/>
      <c r="P174" s="1659"/>
      <c r="Q174" s="890"/>
      <c r="R174" s="890"/>
      <c r="S174" s="890"/>
      <c r="T174" s="891"/>
      <c r="U174" s="890"/>
      <c r="V174" s="891"/>
      <c r="W174" s="890"/>
      <c r="X174" s="891"/>
      <c r="Y174" s="890"/>
      <c r="Z174" s="890"/>
      <c r="AA174" s="890"/>
      <c r="AB174" s="890"/>
      <c r="AC174" s="890"/>
      <c r="AD174" s="890"/>
      <c r="AE174" s="890"/>
      <c r="AF174" s="919"/>
      <c r="AG174" s="890"/>
      <c r="AH174" s="910"/>
      <c r="AI174" s="890"/>
      <c r="AJ174" s="910"/>
      <c r="AK174" s="890"/>
      <c r="AL174" s="910"/>
      <c r="AM174" s="890"/>
      <c r="AN174" s="910"/>
      <c r="AO174" s="890"/>
      <c r="AP174" s="1695" t="s">
        <v>5601</v>
      </c>
      <c r="AQ174" s="890"/>
      <c r="AR174" s="1659" t="s">
        <v>5601</v>
      </c>
      <c r="AS174" s="890"/>
      <c r="AT174" s="890"/>
      <c r="AU174" s="890"/>
      <c r="AV174" s="890"/>
      <c r="AW174" s="890"/>
      <c r="AX174" s="890"/>
      <c r="AY174" s="890"/>
      <c r="AZ174" s="890"/>
      <c r="BA174" s="890"/>
      <c r="BB174" s="890"/>
      <c r="BC174" s="890"/>
      <c r="BD174" s="890"/>
      <c r="BE174" s="890"/>
      <c r="BF174" s="919"/>
      <c r="BG174" s="890"/>
      <c r="BH174" s="910"/>
      <c r="BI174" s="890"/>
      <c r="BJ174" s="910"/>
      <c r="BK174" s="890"/>
      <c r="BL174" s="910"/>
      <c r="BM174" s="890"/>
      <c r="BN174" s="910"/>
      <c r="BO174" s="890"/>
      <c r="BP174" s="1695" t="s">
        <v>5601</v>
      </c>
      <c r="BQ174" s="890"/>
      <c r="BR174" s="1659" t="s">
        <v>5601</v>
      </c>
      <c r="BS174" s="890"/>
      <c r="BT174" s="890"/>
      <c r="BV174" s="890"/>
      <c r="BW174" s="890"/>
      <c r="BX174" s="890"/>
      <c r="BY174" s="891"/>
      <c r="BZ174" s="890"/>
      <c r="CA174" s="890"/>
      <c r="CB174" s="890"/>
      <c r="CD174" s="890"/>
      <c r="CE174" s="893">
        <v>1</v>
      </c>
    </row>
    <row r="175" spans="2:83" s="904" customFormat="1" x14ac:dyDescent="0.25">
      <c r="B175" s="890"/>
      <c r="C175" s="890"/>
      <c r="D175" s="919"/>
      <c r="E175" s="890"/>
      <c r="F175" s="910"/>
      <c r="G175" s="890"/>
      <c r="H175" s="910"/>
      <c r="I175" s="890"/>
      <c r="J175" s="910"/>
      <c r="K175" s="890"/>
      <c r="L175" s="910"/>
      <c r="M175" s="890"/>
      <c r="N175" s="1696">
        <v>1</v>
      </c>
      <c r="O175" s="890"/>
      <c r="P175" s="1660">
        <v>1</v>
      </c>
      <c r="Q175" s="890"/>
      <c r="R175" s="890"/>
      <c r="S175" s="890"/>
      <c r="T175" s="891"/>
      <c r="U175" s="890"/>
      <c r="V175" s="891"/>
      <c r="W175" s="890"/>
      <c r="X175" s="891"/>
      <c r="Y175" s="890"/>
      <c r="Z175" s="890"/>
      <c r="AA175" s="890"/>
      <c r="AB175" s="890"/>
      <c r="AC175" s="890"/>
      <c r="AD175" s="890"/>
      <c r="AE175" s="890"/>
      <c r="AF175" s="919"/>
      <c r="AG175" s="890"/>
      <c r="AH175" s="910"/>
      <c r="AI175" s="890"/>
      <c r="AJ175" s="910"/>
      <c r="AK175" s="890"/>
      <c r="AL175" s="910"/>
      <c r="AM175" s="890"/>
      <c r="AN175" s="910"/>
      <c r="AO175" s="890"/>
      <c r="AP175" s="1696" t="s">
        <v>5601</v>
      </c>
      <c r="AQ175" s="890"/>
      <c r="AR175" s="1660" t="s">
        <v>5601</v>
      </c>
      <c r="AS175" s="890"/>
      <c r="AT175" s="890"/>
      <c r="AU175" s="890"/>
      <c r="AV175" s="890"/>
      <c r="AW175" s="890"/>
      <c r="AX175" s="890"/>
      <c r="AY175" s="890"/>
      <c r="AZ175" s="890"/>
      <c r="BA175" s="890"/>
      <c r="BB175" s="890"/>
      <c r="BC175" s="890"/>
      <c r="BD175" s="890"/>
      <c r="BE175" s="890"/>
      <c r="BF175" s="919"/>
      <c r="BG175" s="890"/>
      <c r="BH175" s="910"/>
      <c r="BI175" s="890"/>
      <c r="BJ175" s="910"/>
      <c r="BK175" s="890"/>
      <c r="BL175" s="910"/>
      <c r="BM175" s="890"/>
      <c r="BN175" s="910"/>
      <c r="BO175" s="890"/>
      <c r="BP175" s="1696" t="s">
        <v>5601</v>
      </c>
      <c r="BQ175" s="890"/>
      <c r="BR175" s="1660" t="s">
        <v>5601</v>
      </c>
      <c r="BS175" s="890"/>
      <c r="BT175" s="890"/>
      <c r="BV175" s="890"/>
      <c r="BW175" s="890"/>
      <c r="BX175" s="890"/>
      <c r="BY175" s="891"/>
      <c r="BZ175" s="890"/>
      <c r="CA175" s="890"/>
      <c r="CB175" s="890"/>
      <c r="CD175" s="890"/>
      <c r="CE175" s="893">
        <v>1</v>
      </c>
    </row>
    <row r="176" spans="2:83" s="904" customFormat="1" ht="18" customHeight="1" x14ac:dyDescent="0.25">
      <c r="B176" s="890"/>
      <c r="C176" s="890"/>
      <c r="D176" s="919"/>
      <c r="E176" s="890"/>
      <c r="F176" s="910"/>
      <c r="G176" s="890"/>
      <c r="H176" s="910"/>
      <c r="I176" s="890"/>
      <c r="J176" s="910"/>
      <c r="K176" s="890"/>
      <c r="L176" s="910"/>
      <c r="M176" s="890"/>
      <c r="N176" s="921"/>
      <c r="O176" s="890"/>
      <c r="P176" s="921"/>
      <c r="Q176" s="890"/>
      <c r="R176" s="890"/>
      <c r="S176" s="890"/>
      <c r="T176" s="891"/>
      <c r="U176" s="890"/>
      <c r="V176" s="891"/>
      <c r="W176" s="890"/>
      <c r="X176" s="891"/>
      <c r="Y176" s="890"/>
      <c r="Z176" s="890"/>
      <c r="AA176" s="890"/>
      <c r="AB176" s="890"/>
      <c r="AC176" s="890"/>
      <c r="AD176" s="890"/>
      <c r="AE176" s="890"/>
      <c r="AF176" s="919"/>
      <c r="AG176" s="890"/>
      <c r="AH176" s="910"/>
      <c r="AI176" s="890"/>
      <c r="AJ176" s="910"/>
      <c r="AK176" s="890"/>
      <c r="AL176" s="910"/>
      <c r="AM176" s="890"/>
      <c r="AN176" s="910"/>
      <c r="AO176" s="890"/>
      <c r="AP176" s="921"/>
      <c r="AQ176" s="890"/>
      <c r="AR176" s="921"/>
      <c r="AS176" s="890"/>
      <c r="AT176" s="890"/>
      <c r="AU176" s="890"/>
      <c r="AV176" s="890"/>
      <c r="AW176" s="890"/>
      <c r="AX176" s="890"/>
      <c r="AY176" s="890"/>
      <c r="AZ176" s="890"/>
      <c r="BA176" s="890"/>
      <c r="BB176" s="890"/>
      <c r="BC176" s="890"/>
      <c r="BD176" s="890"/>
      <c r="BE176" s="890"/>
      <c r="BF176" s="919"/>
      <c r="BG176" s="890"/>
      <c r="BH176" s="910"/>
      <c r="BI176" s="890"/>
      <c r="BJ176" s="910"/>
      <c r="BK176" s="890"/>
      <c r="BL176" s="910"/>
      <c r="BM176" s="890"/>
      <c r="BN176" s="910"/>
      <c r="BO176" s="890"/>
      <c r="BP176" s="921"/>
      <c r="BQ176" s="890"/>
      <c r="BR176" s="921"/>
      <c r="BS176" s="890"/>
      <c r="BT176" s="890"/>
      <c r="BV176" s="890"/>
      <c r="BW176" s="890"/>
      <c r="BX176" s="890"/>
      <c r="BY176" s="891"/>
      <c r="BZ176" s="890"/>
      <c r="CA176" s="890"/>
      <c r="CB176" s="890"/>
      <c r="CD176" s="890"/>
      <c r="CE176" s="893"/>
    </row>
    <row r="177" spans="2:83" s="904" customFormat="1" x14ac:dyDescent="0.25">
      <c r="B177" s="919"/>
      <c r="C177" s="890"/>
      <c r="D177" s="919"/>
      <c r="E177" s="890"/>
      <c r="F177" s="910"/>
      <c r="G177" s="890"/>
      <c r="H177" s="910"/>
      <c r="I177" s="890"/>
      <c r="J177" s="910"/>
      <c r="K177" s="890"/>
      <c r="L177" s="910"/>
      <c r="M177" s="890"/>
      <c r="N177" s="1694" t="s">
        <v>6504</v>
      </c>
      <c r="O177" s="890"/>
      <c r="P177" s="1658" t="s">
        <v>6505</v>
      </c>
      <c r="Q177" s="890"/>
      <c r="R177" s="890"/>
      <c r="S177" s="890"/>
      <c r="T177" s="891"/>
      <c r="U177" s="890"/>
      <c r="V177" s="891"/>
      <c r="W177" s="890"/>
      <c r="X177" s="891"/>
      <c r="Y177" s="890"/>
      <c r="Z177" s="890"/>
      <c r="AA177" s="890"/>
      <c r="AB177" s="890"/>
      <c r="AC177" s="890"/>
      <c r="AD177" s="919"/>
      <c r="AE177" s="890"/>
      <c r="AF177" s="919"/>
      <c r="AG177" s="890"/>
      <c r="AH177" s="910"/>
      <c r="AI177" s="890"/>
      <c r="AJ177" s="910"/>
      <c r="AK177" s="890"/>
      <c r="AL177" s="910"/>
      <c r="AM177" s="890"/>
      <c r="AN177" s="910"/>
      <c r="AO177" s="890"/>
      <c r="AP177" s="1694" t="s">
        <v>6506</v>
      </c>
      <c r="AQ177" s="890"/>
      <c r="AR177" s="1658" t="s">
        <v>6507</v>
      </c>
      <c r="AS177" s="890"/>
      <c r="AT177" s="890"/>
      <c r="AU177" s="890"/>
      <c r="AV177" s="890"/>
      <c r="AW177" s="890"/>
      <c r="AX177" s="890"/>
      <c r="AY177" s="890"/>
      <c r="AZ177" s="890"/>
      <c r="BA177" s="890"/>
      <c r="BB177" s="890"/>
      <c r="BC177" s="890"/>
      <c r="BD177" s="919"/>
      <c r="BE177" s="890"/>
      <c r="BF177" s="919"/>
      <c r="BG177" s="890"/>
      <c r="BH177" s="910"/>
      <c r="BI177" s="890"/>
      <c r="BJ177" s="910"/>
      <c r="BK177" s="890"/>
      <c r="BL177" s="910"/>
      <c r="BM177" s="890"/>
      <c r="BN177" s="910"/>
      <c r="BO177" s="890"/>
      <c r="BP177" s="1694" t="s">
        <v>6508</v>
      </c>
      <c r="BQ177" s="890"/>
      <c r="BR177" s="1658" t="s">
        <v>6509</v>
      </c>
      <c r="BS177" s="890"/>
      <c r="BT177" s="890"/>
      <c r="BV177" s="890"/>
      <c r="BW177" s="890"/>
      <c r="BX177" s="890"/>
      <c r="BY177" s="891"/>
      <c r="BZ177" s="890"/>
      <c r="CA177" s="890"/>
      <c r="CB177" s="890"/>
      <c r="CD177" s="890"/>
      <c r="CE177" s="893">
        <v>1</v>
      </c>
    </row>
    <row r="178" spans="2:83" s="904" customFormat="1" x14ac:dyDescent="0.25">
      <c r="B178" s="919"/>
      <c r="C178" s="890"/>
      <c r="D178" s="919"/>
      <c r="E178" s="890"/>
      <c r="F178" s="910"/>
      <c r="G178" s="890"/>
      <c r="H178" s="910"/>
      <c r="I178" s="890"/>
      <c r="J178" s="910"/>
      <c r="K178" s="890"/>
      <c r="L178" s="910"/>
      <c r="M178" s="890"/>
      <c r="N178" s="1695"/>
      <c r="O178" s="890"/>
      <c r="P178" s="1659"/>
      <c r="Q178" s="890"/>
      <c r="R178" s="890"/>
      <c r="S178" s="890"/>
      <c r="T178" s="891"/>
      <c r="U178" s="890"/>
      <c r="V178" s="891"/>
      <c r="W178" s="890"/>
      <c r="X178" s="891"/>
      <c r="Y178" s="890"/>
      <c r="Z178" s="890"/>
      <c r="AA178" s="890"/>
      <c r="AB178" s="890"/>
      <c r="AC178" s="890"/>
      <c r="AD178" s="919"/>
      <c r="AE178" s="890"/>
      <c r="AF178" s="919"/>
      <c r="AG178" s="890"/>
      <c r="AH178" s="910"/>
      <c r="AI178" s="890"/>
      <c r="AJ178" s="910"/>
      <c r="AK178" s="890"/>
      <c r="AL178" s="910"/>
      <c r="AM178" s="890"/>
      <c r="AN178" s="910"/>
      <c r="AO178" s="890"/>
      <c r="AP178" s="1695" t="s">
        <v>5601</v>
      </c>
      <c r="AQ178" s="890"/>
      <c r="AR178" s="1659" t="s">
        <v>5601</v>
      </c>
      <c r="AS178" s="890"/>
      <c r="AT178" s="890"/>
      <c r="AU178" s="890"/>
      <c r="AV178" s="890"/>
      <c r="AW178" s="890"/>
      <c r="AX178" s="890"/>
      <c r="AY178" s="890"/>
      <c r="AZ178" s="890"/>
      <c r="BA178" s="890"/>
      <c r="BB178" s="890"/>
      <c r="BC178" s="890"/>
      <c r="BD178" s="919"/>
      <c r="BE178" s="890"/>
      <c r="BF178" s="919"/>
      <c r="BG178" s="890"/>
      <c r="BH178" s="910"/>
      <c r="BI178" s="890"/>
      <c r="BJ178" s="910"/>
      <c r="BK178" s="890"/>
      <c r="BL178" s="910"/>
      <c r="BM178" s="890"/>
      <c r="BN178" s="910"/>
      <c r="BO178" s="890"/>
      <c r="BP178" s="1695" t="s">
        <v>5601</v>
      </c>
      <c r="BQ178" s="890"/>
      <c r="BR178" s="1659" t="s">
        <v>5601</v>
      </c>
      <c r="BS178" s="890"/>
      <c r="BT178" s="890"/>
      <c r="BV178" s="890"/>
      <c r="BW178" s="890"/>
      <c r="BX178" s="890"/>
      <c r="BY178" s="891"/>
      <c r="BZ178" s="890"/>
      <c r="CA178" s="890"/>
      <c r="CB178" s="890"/>
      <c r="CD178" s="890"/>
      <c r="CE178" s="893">
        <v>1</v>
      </c>
    </row>
    <row r="179" spans="2:83" s="904" customFormat="1" x14ac:dyDescent="0.25">
      <c r="B179" s="919"/>
      <c r="C179" s="890"/>
      <c r="D179" s="919"/>
      <c r="E179" s="890"/>
      <c r="F179" s="910"/>
      <c r="G179" s="890"/>
      <c r="H179" s="910"/>
      <c r="I179" s="890"/>
      <c r="J179" s="910"/>
      <c r="K179" s="890"/>
      <c r="L179" s="910"/>
      <c r="M179" s="890"/>
      <c r="N179" s="1696">
        <v>1</v>
      </c>
      <c r="O179" s="890"/>
      <c r="P179" s="1660">
        <v>1</v>
      </c>
      <c r="Q179" s="890"/>
      <c r="R179" s="890"/>
      <c r="S179" s="890"/>
      <c r="T179" s="891"/>
      <c r="U179" s="890"/>
      <c r="V179" s="891"/>
      <c r="W179" s="890"/>
      <c r="X179" s="891"/>
      <c r="Y179" s="890"/>
      <c r="Z179" s="890"/>
      <c r="AA179" s="890"/>
      <c r="AB179" s="890"/>
      <c r="AC179" s="890"/>
      <c r="AD179" s="919"/>
      <c r="AE179" s="890"/>
      <c r="AF179" s="919"/>
      <c r="AG179" s="890"/>
      <c r="AH179" s="910"/>
      <c r="AI179" s="890"/>
      <c r="AJ179" s="910"/>
      <c r="AK179" s="890"/>
      <c r="AL179" s="910"/>
      <c r="AM179" s="890"/>
      <c r="AN179" s="910"/>
      <c r="AO179" s="890"/>
      <c r="AP179" s="1696" t="s">
        <v>5601</v>
      </c>
      <c r="AQ179" s="890"/>
      <c r="AR179" s="1660" t="s">
        <v>5601</v>
      </c>
      <c r="AS179" s="890"/>
      <c r="AT179" s="890"/>
      <c r="AU179" s="890"/>
      <c r="AV179" s="890"/>
      <c r="AW179" s="890"/>
      <c r="AX179" s="890"/>
      <c r="AY179" s="890"/>
      <c r="AZ179" s="890"/>
      <c r="BA179" s="890"/>
      <c r="BB179" s="890"/>
      <c r="BC179" s="890"/>
      <c r="BD179" s="919"/>
      <c r="BE179" s="890"/>
      <c r="BF179" s="919"/>
      <c r="BG179" s="890"/>
      <c r="BH179" s="910"/>
      <c r="BI179" s="890"/>
      <c r="BJ179" s="910"/>
      <c r="BK179" s="890"/>
      <c r="BL179" s="910"/>
      <c r="BM179" s="890"/>
      <c r="BN179" s="910"/>
      <c r="BO179" s="890"/>
      <c r="BP179" s="1696" t="s">
        <v>5601</v>
      </c>
      <c r="BQ179" s="890"/>
      <c r="BR179" s="1660" t="s">
        <v>5601</v>
      </c>
      <c r="BS179" s="890"/>
      <c r="BT179" s="890"/>
      <c r="BV179" s="890"/>
      <c r="BW179" s="890"/>
      <c r="BX179" s="890"/>
      <c r="BY179" s="891"/>
      <c r="BZ179" s="890"/>
      <c r="CA179" s="890"/>
      <c r="CB179" s="890"/>
      <c r="CD179" s="890"/>
      <c r="CE179" s="893">
        <v>1</v>
      </c>
    </row>
    <row r="180" spans="2:83" s="904" customFormat="1" ht="18" customHeight="1" x14ac:dyDescent="0.25">
      <c r="B180" s="919"/>
      <c r="C180" s="890"/>
      <c r="D180" s="919"/>
      <c r="E180" s="890"/>
      <c r="F180" s="910"/>
      <c r="G180" s="890"/>
      <c r="H180" s="910"/>
      <c r="I180" s="890"/>
      <c r="J180" s="910"/>
      <c r="K180" s="890"/>
      <c r="L180" s="910"/>
      <c r="M180" s="890"/>
      <c r="N180" s="921"/>
      <c r="O180" s="890"/>
      <c r="P180" s="921"/>
      <c r="Q180" s="890"/>
      <c r="R180" s="890"/>
      <c r="S180" s="890"/>
      <c r="T180" s="891"/>
      <c r="U180" s="890"/>
      <c r="V180" s="891"/>
      <c r="W180" s="890"/>
      <c r="X180" s="891"/>
      <c r="Y180" s="890"/>
      <c r="Z180" s="890"/>
      <c r="AA180" s="890"/>
      <c r="AB180" s="890"/>
      <c r="AC180" s="890"/>
      <c r="AD180" s="919"/>
      <c r="AE180" s="890"/>
      <c r="AF180" s="919"/>
      <c r="AG180" s="890"/>
      <c r="AH180" s="910"/>
      <c r="AI180" s="890"/>
      <c r="AJ180" s="910"/>
      <c r="AK180" s="890"/>
      <c r="AL180" s="910"/>
      <c r="AM180" s="890"/>
      <c r="AN180" s="910"/>
      <c r="AO180" s="890"/>
      <c r="AP180" s="921"/>
      <c r="AQ180" s="890"/>
      <c r="AR180" s="921"/>
      <c r="AS180" s="890"/>
      <c r="AT180" s="890"/>
      <c r="AU180" s="890"/>
      <c r="AV180" s="890"/>
      <c r="AW180" s="890"/>
      <c r="AX180" s="890"/>
      <c r="AY180" s="890"/>
      <c r="AZ180" s="890"/>
      <c r="BA180" s="890"/>
      <c r="BB180" s="890"/>
      <c r="BC180" s="890"/>
      <c r="BD180" s="919"/>
      <c r="BE180" s="890"/>
      <c r="BF180" s="919"/>
      <c r="BG180" s="890"/>
      <c r="BH180" s="910"/>
      <c r="BI180" s="890"/>
      <c r="BJ180" s="910"/>
      <c r="BK180" s="890"/>
      <c r="BL180" s="910"/>
      <c r="BM180" s="890"/>
      <c r="BN180" s="910"/>
      <c r="BO180" s="890"/>
      <c r="BP180" s="921"/>
      <c r="BQ180" s="890"/>
      <c r="BR180" s="921"/>
      <c r="BS180" s="890"/>
      <c r="BT180" s="890"/>
      <c r="BV180" s="890"/>
      <c r="BW180" s="890"/>
      <c r="BX180" s="890"/>
      <c r="BY180" s="891"/>
      <c r="BZ180" s="890"/>
      <c r="CA180" s="890"/>
      <c r="CB180" s="890"/>
      <c r="CD180" s="890"/>
      <c r="CE180" s="893"/>
    </row>
    <row r="181" spans="2:83" s="904" customFormat="1" x14ac:dyDescent="0.25">
      <c r="B181" s="919"/>
      <c r="C181" s="890"/>
      <c r="D181" s="919"/>
      <c r="E181" s="890"/>
      <c r="F181" s="910"/>
      <c r="G181" s="890"/>
      <c r="H181" s="910"/>
      <c r="I181" s="890"/>
      <c r="J181" s="910"/>
      <c r="K181" s="890"/>
      <c r="L181" s="910"/>
      <c r="M181" s="890"/>
      <c r="N181" s="1694" t="s">
        <v>6510</v>
      </c>
      <c r="O181" s="890"/>
      <c r="P181" s="1658" t="s">
        <v>6511</v>
      </c>
      <c r="Q181" s="890"/>
      <c r="R181" s="890"/>
      <c r="S181" s="890"/>
      <c r="T181" s="891"/>
      <c r="U181" s="890"/>
      <c r="V181" s="891"/>
      <c r="W181" s="890"/>
      <c r="X181" s="891"/>
      <c r="Y181" s="890"/>
      <c r="Z181" s="890"/>
      <c r="AA181" s="890"/>
      <c r="AB181" s="890"/>
      <c r="AC181" s="890"/>
      <c r="AD181" s="919"/>
      <c r="AE181" s="890"/>
      <c r="AF181" s="919"/>
      <c r="AG181" s="890"/>
      <c r="AH181" s="910"/>
      <c r="AI181" s="890"/>
      <c r="AJ181" s="910"/>
      <c r="AK181" s="890"/>
      <c r="AL181" s="910"/>
      <c r="AM181" s="890"/>
      <c r="AN181" s="910"/>
      <c r="AO181" s="890"/>
      <c r="AP181" s="1694" t="s">
        <v>6512</v>
      </c>
      <c r="AQ181" s="890"/>
      <c r="AR181" s="1658" t="s">
        <v>6513</v>
      </c>
      <c r="AS181" s="890"/>
      <c r="AT181" s="890"/>
      <c r="AU181" s="890"/>
      <c r="AV181" s="890"/>
      <c r="AW181" s="890"/>
      <c r="AX181" s="890"/>
      <c r="AY181" s="890"/>
      <c r="AZ181" s="890"/>
      <c r="BA181" s="890"/>
      <c r="BB181" s="890"/>
      <c r="BC181" s="890"/>
      <c r="BD181" s="919"/>
      <c r="BE181" s="890"/>
      <c r="BF181" s="919"/>
      <c r="BG181" s="890"/>
      <c r="BH181" s="910"/>
      <c r="BI181" s="890"/>
      <c r="BJ181" s="910"/>
      <c r="BK181" s="890"/>
      <c r="BL181" s="910"/>
      <c r="BM181" s="890"/>
      <c r="BN181" s="910"/>
      <c r="BO181" s="890"/>
      <c r="BP181" s="1694" t="s">
        <v>6514</v>
      </c>
      <c r="BQ181" s="890"/>
      <c r="BR181" s="1658" t="s">
        <v>6515</v>
      </c>
      <c r="BS181" s="890"/>
      <c r="BT181" s="890"/>
      <c r="BV181" s="890"/>
      <c r="BW181" s="890"/>
      <c r="BX181" s="890"/>
      <c r="BY181" s="891"/>
      <c r="BZ181" s="890"/>
      <c r="CA181" s="890"/>
      <c r="CB181" s="890"/>
      <c r="CD181" s="890"/>
      <c r="CE181" s="893">
        <v>1</v>
      </c>
    </row>
    <row r="182" spans="2:83" s="904" customFormat="1" x14ac:dyDescent="0.25">
      <c r="B182" s="919"/>
      <c r="C182" s="890"/>
      <c r="D182" s="919"/>
      <c r="E182" s="890"/>
      <c r="F182" s="910"/>
      <c r="G182" s="890"/>
      <c r="H182" s="910"/>
      <c r="I182" s="890"/>
      <c r="J182" s="910"/>
      <c r="K182" s="890"/>
      <c r="L182" s="910"/>
      <c r="M182" s="890"/>
      <c r="N182" s="1695"/>
      <c r="O182" s="890"/>
      <c r="P182" s="1659"/>
      <c r="Q182" s="890"/>
      <c r="R182" s="890"/>
      <c r="S182" s="890"/>
      <c r="T182" s="891"/>
      <c r="U182" s="890"/>
      <c r="V182" s="891"/>
      <c r="W182" s="890"/>
      <c r="X182" s="891"/>
      <c r="Y182" s="890"/>
      <c r="Z182" s="890"/>
      <c r="AA182" s="890"/>
      <c r="AB182" s="890"/>
      <c r="AC182" s="890"/>
      <c r="AD182" s="919"/>
      <c r="AE182" s="890"/>
      <c r="AF182" s="919"/>
      <c r="AG182" s="890"/>
      <c r="AH182" s="910"/>
      <c r="AI182" s="890"/>
      <c r="AJ182" s="910"/>
      <c r="AK182" s="890"/>
      <c r="AL182" s="910"/>
      <c r="AM182" s="890"/>
      <c r="AN182" s="910"/>
      <c r="AO182" s="890"/>
      <c r="AP182" s="1695" t="s">
        <v>5601</v>
      </c>
      <c r="AQ182" s="890"/>
      <c r="AR182" s="1659" t="s">
        <v>5601</v>
      </c>
      <c r="AS182" s="890"/>
      <c r="AT182" s="890"/>
      <c r="AU182" s="890"/>
      <c r="AV182" s="890"/>
      <c r="AW182" s="890"/>
      <c r="AX182" s="890"/>
      <c r="AY182" s="890"/>
      <c r="AZ182" s="890"/>
      <c r="BA182" s="890"/>
      <c r="BB182" s="890"/>
      <c r="BC182" s="890"/>
      <c r="BD182" s="919"/>
      <c r="BE182" s="890"/>
      <c r="BF182" s="919"/>
      <c r="BG182" s="890"/>
      <c r="BH182" s="910"/>
      <c r="BI182" s="890"/>
      <c r="BJ182" s="910"/>
      <c r="BK182" s="890"/>
      <c r="BL182" s="910"/>
      <c r="BM182" s="890"/>
      <c r="BN182" s="910"/>
      <c r="BO182" s="890"/>
      <c r="BP182" s="1695" t="s">
        <v>5601</v>
      </c>
      <c r="BQ182" s="890"/>
      <c r="BR182" s="1659" t="s">
        <v>5601</v>
      </c>
      <c r="BS182" s="890"/>
      <c r="BT182" s="890"/>
      <c r="BV182" s="890"/>
      <c r="BW182" s="890"/>
      <c r="BX182" s="890"/>
      <c r="BY182" s="891"/>
      <c r="BZ182" s="890"/>
      <c r="CA182" s="890"/>
      <c r="CB182" s="890"/>
      <c r="CD182" s="890"/>
      <c r="CE182" s="893">
        <v>1</v>
      </c>
    </row>
    <row r="183" spans="2:83" s="904" customFormat="1" x14ac:dyDescent="0.25">
      <c r="B183" s="919"/>
      <c r="C183" s="890"/>
      <c r="D183" s="919"/>
      <c r="E183" s="890"/>
      <c r="F183" s="910"/>
      <c r="G183" s="890"/>
      <c r="H183" s="910"/>
      <c r="I183" s="890"/>
      <c r="J183" s="910"/>
      <c r="K183" s="890"/>
      <c r="L183" s="910"/>
      <c r="M183" s="890"/>
      <c r="N183" s="1696"/>
      <c r="O183" s="890"/>
      <c r="P183" s="1660">
        <v>1</v>
      </c>
      <c r="Q183" s="890"/>
      <c r="R183" s="890"/>
      <c r="S183" s="890"/>
      <c r="T183" s="891"/>
      <c r="U183" s="890"/>
      <c r="V183" s="891"/>
      <c r="W183" s="890"/>
      <c r="X183" s="891"/>
      <c r="Y183" s="890"/>
      <c r="Z183" s="890"/>
      <c r="AA183" s="890"/>
      <c r="AB183" s="890"/>
      <c r="AC183" s="890"/>
      <c r="AD183" s="919"/>
      <c r="AE183" s="890"/>
      <c r="AF183" s="919"/>
      <c r="AG183" s="890"/>
      <c r="AH183" s="910"/>
      <c r="AI183" s="890"/>
      <c r="AJ183" s="910"/>
      <c r="AK183" s="890"/>
      <c r="AL183" s="910"/>
      <c r="AM183" s="890"/>
      <c r="AN183" s="910"/>
      <c r="AO183" s="890"/>
      <c r="AP183" s="1696" t="s">
        <v>5601</v>
      </c>
      <c r="AQ183" s="890"/>
      <c r="AR183" s="1660" t="s">
        <v>5601</v>
      </c>
      <c r="AS183" s="890"/>
      <c r="AT183" s="890"/>
      <c r="AU183" s="890"/>
      <c r="AV183" s="890"/>
      <c r="AW183" s="890"/>
      <c r="AX183" s="890"/>
      <c r="AY183" s="890"/>
      <c r="AZ183" s="890"/>
      <c r="BA183" s="890"/>
      <c r="BB183" s="890"/>
      <c r="BC183" s="890"/>
      <c r="BD183" s="919"/>
      <c r="BE183" s="890"/>
      <c r="BF183" s="919"/>
      <c r="BG183" s="890"/>
      <c r="BH183" s="910"/>
      <c r="BI183" s="890"/>
      <c r="BJ183" s="910"/>
      <c r="BK183" s="890"/>
      <c r="BL183" s="910"/>
      <c r="BM183" s="890"/>
      <c r="BN183" s="910"/>
      <c r="BO183" s="890"/>
      <c r="BP183" s="1696" t="s">
        <v>5601</v>
      </c>
      <c r="BQ183" s="890"/>
      <c r="BR183" s="1660" t="s">
        <v>5601</v>
      </c>
      <c r="BS183" s="890"/>
      <c r="BT183" s="890"/>
      <c r="BV183" s="890"/>
      <c r="BW183" s="890"/>
      <c r="BX183" s="890"/>
      <c r="BY183" s="891"/>
      <c r="BZ183" s="890"/>
      <c r="CA183" s="890"/>
      <c r="CB183" s="890"/>
      <c r="CD183" s="890"/>
      <c r="CE183" s="893">
        <v>1</v>
      </c>
    </row>
    <row r="184" spans="2:83" s="904" customFormat="1" ht="18" customHeight="1" x14ac:dyDescent="0.25">
      <c r="B184" s="919"/>
      <c r="C184" s="890"/>
      <c r="D184" s="919"/>
      <c r="E184" s="890"/>
      <c r="F184" s="910"/>
      <c r="G184" s="890"/>
      <c r="H184" s="910"/>
      <c r="I184" s="890"/>
      <c r="J184" s="910"/>
      <c r="K184" s="890"/>
      <c r="L184" s="910"/>
      <c r="M184" s="890"/>
      <c r="N184" s="890"/>
      <c r="O184" s="890"/>
      <c r="P184" s="890"/>
      <c r="Q184" s="890"/>
      <c r="R184" s="890"/>
      <c r="S184" s="890"/>
      <c r="T184" s="891"/>
      <c r="U184" s="890"/>
      <c r="V184" s="891"/>
      <c r="W184" s="890"/>
      <c r="X184" s="891"/>
      <c r="Y184" s="890"/>
      <c r="Z184" s="890"/>
      <c r="AA184" s="890"/>
      <c r="AB184" s="890"/>
      <c r="AC184" s="890"/>
      <c r="AD184" s="919"/>
      <c r="AE184" s="890"/>
      <c r="AF184" s="919"/>
      <c r="AG184" s="890"/>
      <c r="AH184" s="910"/>
      <c r="AI184" s="890"/>
      <c r="AJ184" s="910"/>
      <c r="AK184" s="890"/>
      <c r="AL184" s="910"/>
      <c r="AM184" s="890"/>
      <c r="AN184" s="910"/>
      <c r="AO184" s="890"/>
      <c r="AP184" s="890"/>
      <c r="AQ184" s="890"/>
      <c r="AR184" s="890"/>
      <c r="AS184" s="890"/>
      <c r="AT184" s="890"/>
      <c r="AU184" s="890"/>
      <c r="AV184" s="890"/>
      <c r="AW184" s="890"/>
      <c r="AX184" s="890"/>
      <c r="AY184" s="890"/>
      <c r="AZ184" s="890"/>
      <c r="BA184" s="890"/>
      <c r="BB184" s="890"/>
      <c r="BC184" s="890"/>
      <c r="BD184" s="919"/>
      <c r="BE184" s="890"/>
      <c r="BF184" s="919"/>
      <c r="BG184" s="890"/>
      <c r="BH184" s="910"/>
      <c r="BI184" s="890"/>
      <c r="BJ184" s="910"/>
      <c r="BK184" s="890"/>
      <c r="BL184" s="910"/>
      <c r="BM184" s="890"/>
      <c r="BN184" s="910"/>
      <c r="BO184" s="890"/>
      <c r="BP184" s="890"/>
      <c r="BQ184" s="890"/>
      <c r="BR184" s="890"/>
      <c r="BS184" s="890"/>
      <c r="BT184" s="890"/>
      <c r="BV184" s="890"/>
      <c r="BW184" s="890"/>
      <c r="BX184" s="890"/>
      <c r="BY184" s="891"/>
      <c r="BZ184" s="890"/>
      <c r="CA184" s="890"/>
      <c r="CB184" s="890"/>
      <c r="CD184" s="890"/>
      <c r="CE184" s="893"/>
    </row>
    <row r="185" spans="2:83" s="904" customFormat="1" x14ac:dyDescent="0.25">
      <c r="B185" s="919"/>
      <c r="C185" s="890"/>
      <c r="D185" s="919"/>
      <c r="E185" s="890"/>
      <c r="F185" s="910"/>
      <c r="G185" s="890"/>
      <c r="H185" s="910"/>
      <c r="I185" s="890"/>
      <c r="J185" s="910"/>
      <c r="K185" s="890"/>
      <c r="L185" s="910"/>
      <c r="M185" s="890"/>
      <c r="N185" s="1694"/>
      <c r="O185" s="890"/>
      <c r="P185" s="1658" t="s">
        <v>6516</v>
      </c>
      <c r="Q185" s="890"/>
      <c r="R185" s="890"/>
      <c r="S185" s="890"/>
      <c r="T185" s="891"/>
      <c r="U185" s="890"/>
      <c r="V185" s="891"/>
      <c r="W185" s="890"/>
      <c r="X185" s="891"/>
      <c r="Y185" s="890"/>
      <c r="Z185" s="890"/>
      <c r="AA185" s="890"/>
      <c r="AB185" s="890"/>
      <c r="AC185" s="890"/>
      <c r="AD185" s="919"/>
      <c r="AE185" s="890"/>
      <c r="AF185" s="919"/>
      <c r="AG185" s="890"/>
      <c r="AH185" s="910"/>
      <c r="AI185" s="890"/>
      <c r="AJ185" s="910"/>
      <c r="AK185" s="890"/>
      <c r="AL185" s="910"/>
      <c r="AM185" s="890"/>
      <c r="AN185" s="910"/>
      <c r="AO185" s="890"/>
      <c r="AP185" s="1694" t="s">
        <v>6517</v>
      </c>
      <c r="AQ185" s="890"/>
      <c r="AR185" s="1658" t="s">
        <v>6518</v>
      </c>
      <c r="AS185" s="890"/>
      <c r="AT185" s="890"/>
      <c r="AU185" s="890"/>
      <c r="AV185" s="890"/>
      <c r="AW185" s="890"/>
      <c r="AX185" s="890"/>
      <c r="AY185" s="890"/>
      <c r="AZ185" s="890"/>
      <c r="BA185" s="890"/>
      <c r="BB185" s="890"/>
      <c r="BC185" s="890"/>
      <c r="BD185" s="919"/>
      <c r="BE185" s="890"/>
      <c r="BF185" s="919"/>
      <c r="BG185" s="890"/>
      <c r="BH185" s="910"/>
      <c r="BI185" s="890"/>
      <c r="BJ185" s="910"/>
      <c r="BK185" s="890"/>
      <c r="BL185" s="910"/>
      <c r="BM185" s="890"/>
      <c r="BN185" s="910"/>
      <c r="BO185" s="890"/>
      <c r="BP185" s="1694" t="s">
        <v>6519</v>
      </c>
      <c r="BQ185" s="890"/>
      <c r="BR185" s="1658" t="s">
        <v>6520</v>
      </c>
      <c r="BS185" s="890"/>
      <c r="BT185" s="890"/>
      <c r="BV185" s="890"/>
      <c r="BW185" s="890"/>
      <c r="BX185" s="890"/>
      <c r="BY185" s="891"/>
      <c r="BZ185" s="890"/>
      <c r="CA185" s="890"/>
      <c r="CB185" s="890"/>
      <c r="CD185" s="890"/>
      <c r="CE185" s="893">
        <v>1</v>
      </c>
    </row>
    <row r="186" spans="2:83" s="904" customFormat="1" x14ac:dyDescent="0.25">
      <c r="B186" s="919"/>
      <c r="C186" s="890"/>
      <c r="D186" s="919"/>
      <c r="E186" s="890"/>
      <c r="F186" s="910"/>
      <c r="G186" s="890"/>
      <c r="H186" s="910"/>
      <c r="I186" s="890"/>
      <c r="J186" s="910"/>
      <c r="K186" s="890"/>
      <c r="L186" s="910"/>
      <c r="M186" s="890"/>
      <c r="N186" s="1695"/>
      <c r="O186" s="890"/>
      <c r="P186" s="1659"/>
      <c r="Q186" s="890"/>
      <c r="R186" s="890"/>
      <c r="S186" s="890"/>
      <c r="T186" s="891"/>
      <c r="U186" s="890"/>
      <c r="V186" s="891"/>
      <c r="W186" s="890"/>
      <c r="X186" s="891"/>
      <c r="Y186" s="890"/>
      <c r="Z186" s="890"/>
      <c r="AA186" s="890"/>
      <c r="AB186" s="890"/>
      <c r="AC186" s="890"/>
      <c r="AD186" s="919"/>
      <c r="AE186" s="890"/>
      <c r="AF186" s="919"/>
      <c r="AG186" s="890"/>
      <c r="AH186" s="910"/>
      <c r="AI186" s="890"/>
      <c r="AJ186" s="910"/>
      <c r="AK186" s="890"/>
      <c r="AL186" s="910"/>
      <c r="AM186" s="890"/>
      <c r="AN186" s="910"/>
      <c r="AO186" s="890"/>
      <c r="AP186" s="1695" t="s">
        <v>5601</v>
      </c>
      <c r="AQ186" s="890"/>
      <c r="AR186" s="1659" t="s">
        <v>5601</v>
      </c>
      <c r="AS186" s="890"/>
      <c r="AT186" s="890"/>
      <c r="AU186" s="890"/>
      <c r="AV186" s="890"/>
      <c r="AW186" s="890"/>
      <c r="AX186" s="890"/>
      <c r="AY186" s="890"/>
      <c r="AZ186" s="890"/>
      <c r="BA186" s="890"/>
      <c r="BB186" s="890"/>
      <c r="BC186" s="890"/>
      <c r="BD186" s="919"/>
      <c r="BE186" s="890"/>
      <c r="BF186" s="919"/>
      <c r="BG186" s="890"/>
      <c r="BH186" s="910"/>
      <c r="BI186" s="890"/>
      <c r="BJ186" s="910" t="s">
        <v>5601</v>
      </c>
      <c r="BK186" s="890"/>
      <c r="BL186" s="910"/>
      <c r="BM186" s="890"/>
      <c r="BN186" s="910" t="s">
        <v>5601</v>
      </c>
      <c r="BO186" s="890"/>
      <c r="BP186" s="1695" t="s">
        <v>5601</v>
      </c>
      <c r="BQ186" s="890"/>
      <c r="BR186" s="1659" t="s">
        <v>5601</v>
      </c>
      <c r="BS186" s="890"/>
      <c r="BT186" s="890"/>
      <c r="BV186" s="890"/>
      <c r="BW186" s="890"/>
      <c r="BX186" s="890"/>
      <c r="BY186" s="891"/>
      <c r="BZ186" s="890"/>
      <c r="CA186" s="890"/>
      <c r="CB186" s="890"/>
      <c r="CD186" s="890"/>
      <c r="CE186" s="893">
        <v>1</v>
      </c>
    </row>
    <row r="187" spans="2:83" s="904" customFormat="1" x14ac:dyDescent="0.25">
      <c r="B187" s="919"/>
      <c r="C187" s="890"/>
      <c r="D187" s="919"/>
      <c r="E187" s="890"/>
      <c r="F187" s="910"/>
      <c r="G187" s="890"/>
      <c r="H187" s="910"/>
      <c r="I187" s="890"/>
      <c r="J187" s="910"/>
      <c r="K187" s="890"/>
      <c r="L187" s="910"/>
      <c r="M187" s="890"/>
      <c r="N187" s="1696"/>
      <c r="O187" s="890"/>
      <c r="P187" s="1660">
        <v>1</v>
      </c>
      <c r="Q187" s="890"/>
      <c r="R187" s="890"/>
      <c r="S187" s="890"/>
      <c r="T187" s="891"/>
      <c r="U187" s="890"/>
      <c r="V187" s="891"/>
      <c r="W187" s="890"/>
      <c r="X187" s="891"/>
      <c r="Y187" s="890"/>
      <c r="Z187" s="890"/>
      <c r="AA187" s="890"/>
      <c r="AB187" s="890"/>
      <c r="AC187" s="890"/>
      <c r="AD187" s="919"/>
      <c r="AE187" s="890"/>
      <c r="AF187" s="919"/>
      <c r="AG187" s="890"/>
      <c r="AH187" s="910"/>
      <c r="AI187" s="890"/>
      <c r="AJ187" s="910"/>
      <c r="AK187" s="890"/>
      <c r="AL187" s="910"/>
      <c r="AM187" s="890"/>
      <c r="AN187" s="910"/>
      <c r="AO187" s="890"/>
      <c r="AP187" s="1696"/>
      <c r="AQ187" s="890"/>
      <c r="AR187" s="1660" t="s">
        <v>5601</v>
      </c>
      <c r="AS187" s="890"/>
      <c r="AT187" s="890"/>
      <c r="AU187" s="890"/>
      <c r="AV187" s="890"/>
      <c r="AW187" s="890"/>
      <c r="AX187" s="890"/>
      <c r="AY187" s="890"/>
      <c r="AZ187" s="890"/>
      <c r="BA187" s="890"/>
      <c r="BB187" s="890"/>
      <c r="BC187" s="890"/>
      <c r="BD187" s="919"/>
      <c r="BE187" s="890"/>
      <c r="BF187" s="919"/>
      <c r="BG187" s="890"/>
      <c r="BH187" s="910"/>
      <c r="BI187" s="890"/>
      <c r="BJ187" s="910" t="s">
        <v>5601</v>
      </c>
      <c r="BK187" s="890"/>
      <c r="BL187" s="910"/>
      <c r="BM187" s="890"/>
      <c r="BN187" s="910" t="s">
        <v>5601</v>
      </c>
      <c r="BO187" s="890"/>
      <c r="BP187" s="1696" t="s">
        <v>5601</v>
      </c>
      <c r="BQ187" s="890"/>
      <c r="BR187" s="1660" t="s">
        <v>5601</v>
      </c>
      <c r="BS187" s="890"/>
      <c r="BT187" s="890"/>
      <c r="BV187" s="890"/>
      <c r="BW187" s="890"/>
      <c r="BX187" s="890"/>
      <c r="BY187" s="891"/>
      <c r="BZ187" s="890"/>
      <c r="CA187" s="890"/>
      <c r="CB187" s="890"/>
      <c r="CD187" s="890"/>
      <c r="CE187" s="893">
        <v>1</v>
      </c>
    </row>
    <row r="188" spans="2:83" s="904" customFormat="1" ht="18" customHeight="1" x14ac:dyDescent="0.25">
      <c r="B188" s="919"/>
      <c r="C188" s="890"/>
      <c r="D188" s="919"/>
      <c r="E188" s="890"/>
      <c r="F188" s="910"/>
      <c r="G188" s="890"/>
      <c r="H188" s="910"/>
      <c r="I188" s="890"/>
      <c r="J188" s="910"/>
      <c r="K188" s="890"/>
      <c r="L188" s="910"/>
      <c r="M188" s="890"/>
      <c r="N188" s="890"/>
      <c r="O188" s="890"/>
      <c r="P188" s="890"/>
      <c r="Q188" s="890"/>
      <c r="R188" s="890"/>
      <c r="S188" s="890"/>
      <c r="T188" s="891"/>
      <c r="U188" s="890"/>
      <c r="V188" s="891"/>
      <c r="W188" s="890"/>
      <c r="X188" s="891"/>
      <c r="Y188" s="890"/>
      <c r="Z188" s="890"/>
      <c r="AA188" s="890"/>
      <c r="AB188" s="890"/>
      <c r="AC188" s="890"/>
      <c r="AD188" s="919"/>
      <c r="AE188" s="890"/>
      <c r="AF188" s="919"/>
      <c r="AG188" s="890"/>
      <c r="AH188" s="910"/>
      <c r="AI188" s="890"/>
      <c r="AJ188" s="910"/>
      <c r="AK188" s="890"/>
      <c r="AL188" s="910"/>
      <c r="AM188" s="890"/>
      <c r="AN188" s="910"/>
      <c r="AO188" s="890"/>
      <c r="AP188" s="890"/>
      <c r="AQ188" s="890"/>
      <c r="AR188" s="890"/>
      <c r="AS188" s="890"/>
      <c r="AT188" s="890"/>
      <c r="AU188" s="890"/>
      <c r="AV188" s="890"/>
      <c r="AW188" s="890"/>
      <c r="AX188" s="890"/>
      <c r="AY188" s="890"/>
      <c r="AZ188" s="890"/>
      <c r="BA188" s="890"/>
      <c r="BB188" s="890"/>
      <c r="BC188" s="890"/>
      <c r="BD188" s="919"/>
      <c r="BE188" s="890"/>
      <c r="BF188" s="919"/>
      <c r="BG188" s="890"/>
      <c r="BH188" s="910"/>
      <c r="BI188" s="890"/>
      <c r="BJ188" s="910"/>
      <c r="BK188" s="890"/>
      <c r="BL188" s="910"/>
      <c r="BM188" s="890"/>
      <c r="BN188" s="910"/>
      <c r="BO188" s="890"/>
      <c r="BP188" s="890"/>
      <c r="BQ188" s="890"/>
      <c r="BR188" s="890"/>
      <c r="BS188" s="890"/>
      <c r="BT188" s="890"/>
      <c r="BV188" s="890"/>
      <c r="BW188" s="890"/>
      <c r="BX188" s="890"/>
      <c r="BY188" s="891"/>
      <c r="BZ188" s="890"/>
      <c r="CA188" s="890"/>
      <c r="CB188" s="890"/>
      <c r="CD188" s="890"/>
      <c r="CE188" s="893"/>
    </row>
    <row r="189" spans="2:83" s="904" customFormat="1" x14ac:dyDescent="0.25">
      <c r="B189" s="919"/>
      <c r="C189" s="890"/>
      <c r="D189" s="919"/>
      <c r="E189" s="890"/>
      <c r="F189" s="910"/>
      <c r="G189" s="890"/>
      <c r="H189" s="910"/>
      <c r="I189" s="890"/>
      <c r="J189" s="910"/>
      <c r="K189" s="890"/>
      <c r="L189" s="910"/>
      <c r="M189" s="890"/>
      <c r="N189" s="890"/>
      <c r="O189" s="890"/>
      <c r="P189" s="1658" t="s">
        <v>6075</v>
      </c>
      <c r="Q189" s="890"/>
      <c r="R189" s="890"/>
      <c r="S189" s="890"/>
      <c r="T189" s="891"/>
      <c r="U189" s="890"/>
      <c r="V189" s="891"/>
      <c r="W189" s="890"/>
      <c r="X189" s="891"/>
      <c r="Y189" s="890"/>
      <c r="Z189" s="890"/>
      <c r="AA189" s="890"/>
      <c r="AB189" s="890"/>
      <c r="AC189" s="890"/>
      <c r="AD189" s="919"/>
      <c r="AE189" s="890"/>
      <c r="AF189" s="919"/>
      <c r="AG189" s="890"/>
      <c r="AH189" s="910"/>
      <c r="AI189" s="890"/>
      <c r="AJ189" s="910"/>
      <c r="AK189" s="890"/>
      <c r="AL189" s="910"/>
      <c r="AM189" s="890"/>
      <c r="AN189" s="910"/>
      <c r="AO189" s="890"/>
      <c r="AP189" s="890"/>
      <c r="AQ189" s="890"/>
      <c r="AR189" s="1658" t="s">
        <v>6521</v>
      </c>
      <c r="AS189" s="890"/>
      <c r="AT189" s="890"/>
      <c r="AU189" s="890"/>
      <c r="AV189" s="890"/>
      <c r="AW189" s="890"/>
      <c r="AX189" s="890"/>
      <c r="AY189" s="890"/>
      <c r="AZ189" s="890"/>
      <c r="BA189" s="890"/>
      <c r="BB189" s="890"/>
      <c r="BC189" s="890"/>
      <c r="BD189" s="919"/>
      <c r="BE189" s="890"/>
      <c r="BF189" s="919"/>
      <c r="BG189" s="890"/>
      <c r="BH189" s="910"/>
      <c r="BI189" s="890"/>
      <c r="BJ189" s="910"/>
      <c r="BK189" s="890"/>
      <c r="BL189" s="910"/>
      <c r="BM189" s="890"/>
      <c r="BN189" s="910"/>
      <c r="BO189" s="890"/>
      <c r="BP189" s="890"/>
      <c r="BQ189" s="890"/>
      <c r="BR189" s="1658" t="s">
        <v>6522</v>
      </c>
      <c r="BS189" s="890"/>
      <c r="BT189" s="890"/>
      <c r="BV189" s="890"/>
      <c r="BW189" s="890"/>
      <c r="BX189" s="890"/>
      <c r="BY189" s="891"/>
      <c r="BZ189" s="890"/>
      <c r="CA189" s="890"/>
      <c r="CB189" s="890"/>
      <c r="CD189" s="890"/>
      <c r="CE189" s="893">
        <v>1</v>
      </c>
    </row>
    <row r="190" spans="2:83" s="904" customFormat="1" x14ac:dyDescent="0.25">
      <c r="B190" s="919"/>
      <c r="C190" s="890"/>
      <c r="D190" s="919"/>
      <c r="E190" s="890"/>
      <c r="F190" s="910"/>
      <c r="G190" s="890"/>
      <c r="H190" s="910"/>
      <c r="I190" s="890"/>
      <c r="J190" s="910"/>
      <c r="K190" s="890"/>
      <c r="L190" s="910"/>
      <c r="M190" s="890"/>
      <c r="N190" s="890"/>
      <c r="O190" s="890"/>
      <c r="P190" s="1659"/>
      <c r="Q190" s="890"/>
      <c r="R190" s="890"/>
      <c r="S190" s="890"/>
      <c r="T190" s="891"/>
      <c r="U190" s="890"/>
      <c r="V190" s="891"/>
      <c r="W190" s="890"/>
      <c r="X190" s="891"/>
      <c r="Y190" s="890"/>
      <c r="Z190" s="890"/>
      <c r="AA190" s="890"/>
      <c r="AB190" s="890"/>
      <c r="AC190" s="890"/>
      <c r="AD190" s="919"/>
      <c r="AE190" s="890"/>
      <c r="AF190" s="919"/>
      <c r="AG190" s="890"/>
      <c r="AH190" s="910"/>
      <c r="AI190" s="890"/>
      <c r="AJ190" s="910"/>
      <c r="AK190" s="890"/>
      <c r="AL190" s="910"/>
      <c r="AM190" s="890"/>
      <c r="AN190" s="910"/>
      <c r="AO190" s="890"/>
      <c r="AP190" s="890"/>
      <c r="AQ190" s="890"/>
      <c r="AR190" s="1659" t="s">
        <v>5601</v>
      </c>
      <c r="AS190" s="890"/>
      <c r="AT190" s="890"/>
      <c r="AU190" s="890"/>
      <c r="AV190" s="890"/>
      <c r="AW190" s="890"/>
      <c r="AX190" s="890"/>
      <c r="AY190" s="890"/>
      <c r="AZ190" s="890"/>
      <c r="BA190" s="890"/>
      <c r="BB190" s="890"/>
      <c r="BC190" s="890"/>
      <c r="BD190" s="919"/>
      <c r="BE190" s="890"/>
      <c r="BF190" s="919"/>
      <c r="BG190" s="890"/>
      <c r="BH190" s="910"/>
      <c r="BI190" s="890"/>
      <c r="BJ190" s="910"/>
      <c r="BK190" s="890"/>
      <c r="BL190" s="910"/>
      <c r="BM190" s="890"/>
      <c r="BN190" s="910"/>
      <c r="BO190" s="890"/>
      <c r="BP190" s="890"/>
      <c r="BQ190" s="890"/>
      <c r="BR190" s="1659" t="s">
        <v>5601</v>
      </c>
      <c r="BS190" s="890"/>
      <c r="BT190" s="890"/>
      <c r="BV190" s="890"/>
      <c r="BW190" s="890"/>
      <c r="BX190" s="890"/>
      <c r="BY190" s="891"/>
      <c r="BZ190" s="890"/>
      <c r="CA190" s="890"/>
      <c r="CB190" s="890"/>
      <c r="CD190" s="890"/>
      <c r="CE190" s="893">
        <v>1</v>
      </c>
    </row>
    <row r="191" spans="2:83" s="904" customFormat="1" x14ac:dyDescent="0.25">
      <c r="B191" s="919"/>
      <c r="C191" s="890"/>
      <c r="D191" s="919"/>
      <c r="E191" s="890"/>
      <c r="F191" s="910"/>
      <c r="G191" s="890"/>
      <c r="H191" s="910"/>
      <c r="I191" s="890"/>
      <c r="J191" s="910"/>
      <c r="K191" s="890"/>
      <c r="L191" s="910"/>
      <c r="M191" s="890"/>
      <c r="N191" s="890"/>
      <c r="O191" s="890"/>
      <c r="P191" s="1660">
        <v>1</v>
      </c>
      <c r="Q191" s="890"/>
      <c r="R191" s="890"/>
      <c r="S191" s="890"/>
      <c r="T191" s="891"/>
      <c r="U191" s="890"/>
      <c r="V191" s="891"/>
      <c r="W191" s="890"/>
      <c r="X191" s="891"/>
      <c r="Y191" s="890"/>
      <c r="Z191" s="890"/>
      <c r="AA191" s="890"/>
      <c r="AB191" s="890"/>
      <c r="AC191" s="890"/>
      <c r="AD191" s="919"/>
      <c r="AE191" s="890"/>
      <c r="AF191" s="919"/>
      <c r="AG191" s="890"/>
      <c r="AH191" s="910"/>
      <c r="AI191" s="890"/>
      <c r="AJ191" s="910"/>
      <c r="AK191" s="890"/>
      <c r="AL191" s="910"/>
      <c r="AM191" s="890"/>
      <c r="AN191" s="910"/>
      <c r="AO191" s="890"/>
      <c r="AP191" s="890"/>
      <c r="AQ191" s="890"/>
      <c r="AR191" s="1660" t="s">
        <v>5601</v>
      </c>
      <c r="AS191" s="890"/>
      <c r="AT191" s="890"/>
      <c r="AU191" s="890"/>
      <c r="AV191" s="890"/>
      <c r="AW191" s="890"/>
      <c r="AX191" s="890"/>
      <c r="AY191" s="890"/>
      <c r="AZ191" s="890"/>
      <c r="BA191" s="890"/>
      <c r="BB191" s="890"/>
      <c r="BC191" s="890"/>
      <c r="BD191" s="919"/>
      <c r="BE191" s="890"/>
      <c r="BF191" s="919"/>
      <c r="BG191" s="890"/>
      <c r="BH191" s="910"/>
      <c r="BI191" s="890"/>
      <c r="BJ191" s="910"/>
      <c r="BK191" s="890"/>
      <c r="BL191" s="910"/>
      <c r="BM191" s="890"/>
      <c r="BN191" s="910"/>
      <c r="BO191" s="890"/>
      <c r="BP191" s="890"/>
      <c r="BQ191" s="890"/>
      <c r="BR191" s="1660" t="s">
        <v>5601</v>
      </c>
      <c r="BS191" s="890"/>
      <c r="BT191" s="890"/>
      <c r="BV191" s="890"/>
      <c r="BW191" s="890"/>
      <c r="BX191" s="890"/>
      <c r="BY191" s="891"/>
      <c r="BZ191" s="890"/>
      <c r="CA191" s="890"/>
      <c r="CB191" s="890"/>
      <c r="CD191" s="890"/>
      <c r="CE191" s="893">
        <v>1</v>
      </c>
    </row>
    <row r="192" spans="2:83" s="904" customFormat="1" ht="18" customHeight="1" x14ac:dyDescent="0.25">
      <c r="B192" s="919"/>
      <c r="C192" s="890"/>
      <c r="D192" s="919"/>
      <c r="E192" s="890"/>
      <c r="F192" s="910"/>
      <c r="G192" s="890"/>
      <c r="H192" s="910"/>
      <c r="I192" s="890"/>
      <c r="J192" s="910"/>
      <c r="K192" s="890"/>
      <c r="L192" s="910"/>
      <c r="M192" s="890"/>
      <c r="N192" s="890"/>
      <c r="O192" s="890"/>
      <c r="P192" s="890"/>
      <c r="Q192" s="890"/>
      <c r="R192" s="890"/>
      <c r="S192" s="890"/>
      <c r="T192" s="891"/>
      <c r="U192" s="890"/>
      <c r="V192" s="891"/>
      <c r="W192" s="890"/>
      <c r="X192" s="891"/>
      <c r="Y192" s="890"/>
      <c r="Z192" s="890"/>
      <c r="AA192" s="890"/>
      <c r="AB192" s="890"/>
      <c r="AC192" s="890"/>
      <c r="AD192" s="919"/>
      <c r="AE192" s="890"/>
      <c r="AF192" s="919"/>
      <c r="AG192" s="890"/>
      <c r="AH192" s="910"/>
      <c r="AI192" s="890"/>
      <c r="AJ192" s="910"/>
      <c r="AK192" s="890"/>
      <c r="AL192" s="910"/>
      <c r="AM192" s="890"/>
      <c r="AN192" s="910"/>
      <c r="AO192" s="890"/>
      <c r="AP192" s="890"/>
      <c r="AQ192" s="890"/>
      <c r="AR192" s="890"/>
      <c r="AS192" s="890"/>
      <c r="AT192" s="890"/>
      <c r="AU192" s="890"/>
      <c r="AV192" s="890"/>
      <c r="AW192" s="890"/>
      <c r="AX192" s="890"/>
      <c r="AY192" s="890"/>
      <c r="AZ192" s="890"/>
      <c r="BA192" s="890"/>
      <c r="BB192" s="890"/>
      <c r="BC192" s="890"/>
      <c r="BD192" s="919"/>
      <c r="BE192" s="890"/>
      <c r="BF192" s="919"/>
      <c r="BG192" s="890"/>
      <c r="BH192" s="910"/>
      <c r="BI192" s="890"/>
      <c r="BJ192" s="910"/>
      <c r="BK192" s="890"/>
      <c r="BL192" s="910"/>
      <c r="BM192" s="890"/>
      <c r="BN192" s="910"/>
      <c r="BO192" s="890"/>
      <c r="BP192" s="890"/>
      <c r="BQ192" s="890"/>
      <c r="BR192" s="890"/>
      <c r="BS192" s="890"/>
      <c r="BT192" s="890"/>
      <c r="BV192" s="890"/>
      <c r="BW192" s="890"/>
      <c r="BX192" s="890"/>
      <c r="BY192" s="891"/>
      <c r="BZ192" s="890"/>
      <c r="CA192" s="890"/>
      <c r="CB192" s="890"/>
      <c r="CD192" s="890"/>
      <c r="CE192" s="893"/>
    </row>
    <row r="193" spans="2:83" s="904" customFormat="1" x14ac:dyDescent="0.25">
      <c r="B193" s="919"/>
      <c r="C193" s="890"/>
      <c r="D193" s="919"/>
      <c r="E193" s="890"/>
      <c r="F193" s="910"/>
      <c r="G193" s="890"/>
      <c r="H193" s="910"/>
      <c r="I193" s="890"/>
      <c r="J193" s="910"/>
      <c r="K193" s="890"/>
      <c r="L193" s="910"/>
      <c r="M193" s="890"/>
      <c r="N193" s="890"/>
      <c r="O193" s="890"/>
      <c r="P193" s="1658" t="s">
        <v>6523</v>
      </c>
      <c r="Q193" s="890"/>
      <c r="R193" s="890"/>
      <c r="S193" s="890"/>
      <c r="T193" s="891"/>
      <c r="U193" s="890"/>
      <c r="V193" s="891"/>
      <c r="W193" s="890"/>
      <c r="X193" s="891"/>
      <c r="Y193" s="890"/>
      <c r="Z193" s="890"/>
      <c r="AA193" s="890"/>
      <c r="AB193" s="890"/>
      <c r="AC193" s="890"/>
      <c r="AD193" s="919"/>
      <c r="AE193" s="890"/>
      <c r="AF193" s="919"/>
      <c r="AG193" s="890"/>
      <c r="AH193" s="910"/>
      <c r="AI193" s="890"/>
      <c r="AJ193" s="910"/>
      <c r="AK193" s="890"/>
      <c r="AL193" s="910"/>
      <c r="AM193" s="890"/>
      <c r="AN193" s="910"/>
      <c r="AO193" s="890"/>
      <c r="AP193" s="890"/>
      <c r="AQ193" s="890"/>
      <c r="AR193" s="1658" t="s">
        <v>6076</v>
      </c>
      <c r="AS193" s="890"/>
      <c r="AT193" s="890"/>
      <c r="AU193" s="890"/>
      <c r="AV193" s="890"/>
      <c r="AW193" s="890"/>
      <c r="AX193" s="890"/>
      <c r="AY193" s="890"/>
      <c r="AZ193" s="890"/>
      <c r="BA193" s="890"/>
      <c r="BB193" s="890"/>
      <c r="BC193" s="890"/>
      <c r="BD193" s="919"/>
      <c r="BE193" s="890"/>
      <c r="BF193" s="919"/>
      <c r="BG193" s="890"/>
      <c r="BH193" s="910"/>
      <c r="BI193" s="890"/>
      <c r="BJ193" s="910"/>
      <c r="BK193" s="890"/>
      <c r="BL193" s="910"/>
      <c r="BM193" s="890"/>
      <c r="BN193" s="910"/>
      <c r="BO193" s="890"/>
      <c r="BP193" s="890"/>
      <c r="BQ193" s="890"/>
      <c r="BR193" s="1658" t="s">
        <v>6077</v>
      </c>
      <c r="BS193" s="890"/>
      <c r="BT193" s="890"/>
      <c r="BV193" s="890"/>
      <c r="BW193" s="890"/>
      <c r="BX193" s="890"/>
      <c r="BY193" s="891"/>
      <c r="BZ193" s="890"/>
      <c r="CA193" s="890"/>
      <c r="CB193" s="890"/>
      <c r="CD193" s="890"/>
      <c r="CE193" s="893">
        <v>1</v>
      </c>
    </row>
    <row r="194" spans="2:83" s="904" customFormat="1" x14ac:dyDescent="0.25">
      <c r="B194" s="919"/>
      <c r="C194" s="890"/>
      <c r="D194" s="919"/>
      <c r="E194" s="890"/>
      <c r="F194" s="910"/>
      <c r="G194" s="890"/>
      <c r="H194" s="910"/>
      <c r="I194" s="890"/>
      <c r="J194" s="910"/>
      <c r="K194" s="890"/>
      <c r="L194" s="910"/>
      <c r="M194" s="890"/>
      <c r="N194" s="890"/>
      <c r="O194" s="890"/>
      <c r="P194" s="1659"/>
      <c r="Q194" s="890"/>
      <c r="R194" s="890"/>
      <c r="S194" s="890"/>
      <c r="T194" s="891"/>
      <c r="U194" s="890"/>
      <c r="V194" s="891"/>
      <c r="W194" s="890"/>
      <c r="X194" s="891"/>
      <c r="Y194" s="890"/>
      <c r="Z194" s="890"/>
      <c r="AA194" s="890"/>
      <c r="AB194" s="890"/>
      <c r="AC194" s="890"/>
      <c r="AD194" s="919"/>
      <c r="AE194" s="890"/>
      <c r="AF194" s="919"/>
      <c r="AG194" s="890"/>
      <c r="AH194" s="910"/>
      <c r="AI194" s="890"/>
      <c r="AJ194" s="910"/>
      <c r="AK194" s="890"/>
      <c r="AL194" s="910"/>
      <c r="AM194" s="890"/>
      <c r="AN194" s="910"/>
      <c r="AO194" s="890"/>
      <c r="AP194" s="890"/>
      <c r="AQ194" s="890"/>
      <c r="AR194" s="1659" t="s">
        <v>5601</v>
      </c>
      <c r="AS194" s="890"/>
      <c r="AT194" s="890"/>
      <c r="AU194" s="890"/>
      <c r="AV194" s="890"/>
      <c r="AW194" s="890"/>
      <c r="AX194" s="890"/>
      <c r="AY194" s="890"/>
      <c r="AZ194" s="890"/>
      <c r="BA194" s="890"/>
      <c r="BB194" s="890"/>
      <c r="BC194" s="890"/>
      <c r="BD194" s="919"/>
      <c r="BE194" s="890"/>
      <c r="BF194" s="919"/>
      <c r="BG194" s="890"/>
      <c r="BH194" s="910"/>
      <c r="BI194" s="890"/>
      <c r="BJ194" s="910"/>
      <c r="BK194" s="890"/>
      <c r="BL194" s="910"/>
      <c r="BM194" s="890"/>
      <c r="BN194" s="910"/>
      <c r="BO194" s="890"/>
      <c r="BP194" s="890"/>
      <c r="BQ194" s="890"/>
      <c r="BR194" s="1659" t="s">
        <v>5601</v>
      </c>
      <c r="BS194" s="890"/>
      <c r="BT194" s="890"/>
      <c r="BV194" s="890"/>
      <c r="BW194" s="890"/>
      <c r="BX194" s="890"/>
      <c r="BY194" s="891"/>
      <c r="BZ194" s="890"/>
      <c r="CA194" s="890"/>
      <c r="CB194" s="890"/>
      <c r="CD194" s="890"/>
      <c r="CE194" s="893">
        <v>1</v>
      </c>
    </row>
    <row r="195" spans="2:83" s="904" customFormat="1" x14ac:dyDescent="0.25">
      <c r="B195" s="919"/>
      <c r="C195" s="890"/>
      <c r="D195" s="919"/>
      <c r="E195" s="890"/>
      <c r="F195" s="910"/>
      <c r="G195" s="890"/>
      <c r="H195" s="910"/>
      <c r="I195" s="890"/>
      <c r="J195" s="910"/>
      <c r="K195" s="890"/>
      <c r="L195" s="910"/>
      <c r="M195" s="890"/>
      <c r="N195" s="890"/>
      <c r="O195" s="890"/>
      <c r="P195" s="1660">
        <v>1</v>
      </c>
      <c r="Q195" s="890"/>
      <c r="R195" s="890"/>
      <c r="S195" s="890"/>
      <c r="T195" s="891"/>
      <c r="U195" s="890"/>
      <c r="V195" s="891"/>
      <c r="W195" s="890"/>
      <c r="X195" s="891"/>
      <c r="Y195" s="890"/>
      <c r="Z195" s="890"/>
      <c r="AA195" s="890"/>
      <c r="AB195" s="890"/>
      <c r="AC195" s="890"/>
      <c r="AD195" s="919"/>
      <c r="AE195" s="890"/>
      <c r="AF195" s="919"/>
      <c r="AG195" s="890"/>
      <c r="AH195" s="910"/>
      <c r="AI195" s="890"/>
      <c r="AJ195" s="910"/>
      <c r="AK195" s="890"/>
      <c r="AL195" s="910"/>
      <c r="AM195" s="890"/>
      <c r="AN195" s="910"/>
      <c r="AO195" s="890"/>
      <c r="AP195" s="890"/>
      <c r="AQ195" s="890"/>
      <c r="AR195" s="1660" t="s">
        <v>5601</v>
      </c>
      <c r="AS195" s="890"/>
      <c r="AT195" s="890"/>
      <c r="AU195" s="890"/>
      <c r="AV195" s="890"/>
      <c r="AW195" s="890"/>
      <c r="AX195" s="890"/>
      <c r="AY195" s="890"/>
      <c r="AZ195" s="890"/>
      <c r="BA195" s="890"/>
      <c r="BB195" s="890"/>
      <c r="BC195" s="890"/>
      <c r="BD195" s="919"/>
      <c r="BE195" s="890"/>
      <c r="BF195" s="919"/>
      <c r="BG195" s="890"/>
      <c r="BH195" s="910"/>
      <c r="BI195" s="890"/>
      <c r="BJ195" s="910"/>
      <c r="BK195" s="890"/>
      <c r="BL195" s="910"/>
      <c r="BM195" s="890"/>
      <c r="BN195" s="910"/>
      <c r="BO195" s="890"/>
      <c r="BP195" s="890"/>
      <c r="BQ195" s="890"/>
      <c r="BR195" s="1660" t="s">
        <v>5601</v>
      </c>
      <c r="BS195" s="890"/>
      <c r="BT195" s="890"/>
      <c r="BV195" s="890"/>
      <c r="BW195" s="890"/>
      <c r="BX195" s="890"/>
      <c r="BY195" s="891"/>
      <c r="BZ195" s="890"/>
      <c r="CA195" s="890"/>
      <c r="CB195" s="890"/>
      <c r="CD195" s="890"/>
      <c r="CE195" s="893">
        <v>1</v>
      </c>
    </row>
    <row r="196" spans="2:83" s="904" customFormat="1" ht="18" customHeight="1" x14ac:dyDescent="0.25">
      <c r="B196" s="919"/>
      <c r="C196" s="890"/>
      <c r="D196" s="919"/>
      <c r="E196" s="890"/>
      <c r="F196" s="910"/>
      <c r="G196" s="890"/>
      <c r="H196" s="910"/>
      <c r="I196" s="890"/>
      <c r="J196" s="910"/>
      <c r="K196" s="890"/>
      <c r="L196" s="910"/>
      <c r="M196" s="890"/>
      <c r="N196" s="890"/>
      <c r="O196" s="890"/>
      <c r="P196" s="890"/>
      <c r="Q196" s="890"/>
      <c r="R196" s="890"/>
      <c r="S196" s="890"/>
      <c r="T196" s="891"/>
      <c r="U196" s="890"/>
      <c r="V196" s="891"/>
      <c r="W196" s="890"/>
      <c r="X196" s="891"/>
      <c r="Y196" s="890"/>
      <c r="Z196" s="890"/>
      <c r="AA196" s="890"/>
      <c r="AB196" s="890"/>
      <c r="AC196" s="890"/>
      <c r="AD196" s="919"/>
      <c r="AE196" s="890"/>
      <c r="AF196" s="919"/>
      <c r="AG196" s="890"/>
      <c r="AH196" s="910"/>
      <c r="AI196" s="890"/>
      <c r="AJ196" s="910"/>
      <c r="AK196" s="890"/>
      <c r="AL196" s="910"/>
      <c r="AM196" s="890"/>
      <c r="AN196" s="910"/>
      <c r="AO196" s="890"/>
      <c r="AP196" s="890"/>
      <c r="AQ196" s="890"/>
      <c r="AR196" s="890"/>
      <c r="AS196" s="890"/>
      <c r="AT196" s="890"/>
      <c r="AU196" s="890"/>
      <c r="AV196" s="890"/>
      <c r="AW196" s="890"/>
      <c r="AX196" s="890"/>
      <c r="AY196" s="890"/>
      <c r="AZ196" s="890"/>
      <c r="BA196" s="890"/>
      <c r="BB196" s="890"/>
      <c r="BC196" s="890"/>
      <c r="BD196" s="919"/>
      <c r="BE196" s="890"/>
      <c r="BF196" s="919"/>
      <c r="BG196" s="890"/>
      <c r="BH196" s="910"/>
      <c r="BI196" s="890"/>
      <c r="BJ196" s="910"/>
      <c r="BK196" s="890"/>
      <c r="BL196" s="910"/>
      <c r="BM196" s="890"/>
      <c r="BN196" s="910"/>
      <c r="BO196" s="890"/>
      <c r="BP196" s="890"/>
      <c r="BQ196" s="890"/>
      <c r="BR196" s="890"/>
      <c r="BS196" s="890"/>
      <c r="BT196" s="890"/>
      <c r="BV196" s="890"/>
      <c r="BW196" s="890"/>
      <c r="BX196" s="890"/>
      <c r="BY196" s="891"/>
      <c r="BZ196" s="890"/>
      <c r="CA196" s="890"/>
      <c r="CB196" s="890"/>
      <c r="CD196" s="890"/>
      <c r="CE196" s="893"/>
    </row>
    <row r="197" spans="2:83" s="904" customFormat="1" x14ac:dyDescent="0.25">
      <c r="B197" s="919"/>
      <c r="C197" s="890"/>
      <c r="D197" s="919"/>
      <c r="E197" s="890"/>
      <c r="F197" s="910"/>
      <c r="G197" s="890"/>
      <c r="H197" s="910"/>
      <c r="I197" s="890"/>
      <c r="J197" s="910"/>
      <c r="K197" s="890"/>
      <c r="L197" s="910"/>
      <c r="M197" s="890"/>
      <c r="N197" s="890"/>
      <c r="O197" s="890"/>
      <c r="P197" s="1658" t="s">
        <v>6524</v>
      </c>
      <c r="Q197" s="890"/>
      <c r="R197" s="890"/>
      <c r="S197" s="890"/>
      <c r="T197" s="891"/>
      <c r="U197" s="890"/>
      <c r="V197" s="891"/>
      <c r="W197" s="890"/>
      <c r="X197" s="891"/>
      <c r="Y197" s="890"/>
      <c r="Z197" s="890"/>
      <c r="AA197" s="890"/>
      <c r="AB197" s="890"/>
      <c r="AC197" s="890"/>
      <c r="AD197" s="919"/>
      <c r="AE197" s="890"/>
      <c r="AF197" s="919"/>
      <c r="AG197" s="890"/>
      <c r="AH197" s="910"/>
      <c r="AI197" s="890"/>
      <c r="AJ197" s="910"/>
      <c r="AK197" s="890"/>
      <c r="AL197" s="910"/>
      <c r="AM197" s="890"/>
      <c r="AN197" s="910"/>
      <c r="AO197" s="890"/>
      <c r="AP197" s="890"/>
      <c r="AQ197" s="890"/>
      <c r="AR197" s="1658" t="s">
        <v>6525</v>
      </c>
      <c r="AS197" s="890"/>
      <c r="AT197" s="890"/>
      <c r="AU197" s="890"/>
      <c r="AV197" s="890"/>
      <c r="AW197" s="890"/>
      <c r="AX197" s="890"/>
      <c r="AY197" s="890"/>
      <c r="AZ197" s="890"/>
      <c r="BA197" s="890"/>
      <c r="BB197" s="890"/>
      <c r="BC197" s="890"/>
      <c r="BD197" s="919"/>
      <c r="BE197" s="890"/>
      <c r="BF197" s="919"/>
      <c r="BG197" s="890"/>
      <c r="BH197" s="910"/>
      <c r="BI197" s="890"/>
      <c r="BJ197" s="910"/>
      <c r="BK197" s="890"/>
      <c r="BL197" s="910"/>
      <c r="BM197" s="890"/>
      <c r="BN197" s="910"/>
      <c r="BO197" s="890"/>
      <c r="BP197" s="890"/>
      <c r="BQ197" s="890"/>
      <c r="BR197" s="1658" t="s">
        <v>6526</v>
      </c>
      <c r="BS197" s="890"/>
      <c r="BT197" s="890"/>
      <c r="BV197" s="890"/>
      <c r="BW197" s="890"/>
      <c r="BX197" s="890"/>
      <c r="BY197" s="891"/>
      <c r="BZ197" s="890"/>
      <c r="CA197" s="890"/>
      <c r="CB197" s="890"/>
      <c r="CD197" s="890"/>
      <c r="CE197" s="893">
        <v>1</v>
      </c>
    </row>
    <row r="198" spans="2:83" s="904" customFormat="1" x14ac:dyDescent="0.25">
      <c r="B198" s="919"/>
      <c r="C198" s="890"/>
      <c r="D198" s="919"/>
      <c r="E198" s="890"/>
      <c r="F198" s="910"/>
      <c r="G198" s="890"/>
      <c r="H198" s="910"/>
      <c r="I198" s="890"/>
      <c r="J198" s="910"/>
      <c r="K198" s="890"/>
      <c r="L198" s="910"/>
      <c r="M198" s="890"/>
      <c r="N198" s="890"/>
      <c r="O198" s="890"/>
      <c r="P198" s="1659"/>
      <c r="Q198" s="890"/>
      <c r="R198" s="890"/>
      <c r="S198" s="890"/>
      <c r="T198" s="891"/>
      <c r="U198" s="890"/>
      <c r="V198" s="891"/>
      <c r="W198" s="890"/>
      <c r="X198" s="891"/>
      <c r="Y198" s="890"/>
      <c r="Z198" s="890"/>
      <c r="AA198" s="890"/>
      <c r="AB198" s="890"/>
      <c r="AC198" s="890"/>
      <c r="AD198" s="919"/>
      <c r="AE198" s="890"/>
      <c r="AF198" s="919"/>
      <c r="AG198" s="890"/>
      <c r="AH198" s="910"/>
      <c r="AI198" s="890"/>
      <c r="AJ198" s="910"/>
      <c r="AK198" s="890"/>
      <c r="AL198" s="910"/>
      <c r="AM198" s="890"/>
      <c r="AN198" s="910"/>
      <c r="AO198" s="890"/>
      <c r="AP198" s="890"/>
      <c r="AQ198" s="890"/>
      <c r="AR198" s="1659" t="s">
        <v>5601</v>
      </c>
      <c r="AS198" s="890"/>
      <c r="AT198" s="890"/>
      <c r="AU198" s="890"/>
      <c r="AV198" s="890"/>
      <c r="AW198" s="890"/>
      <c r="AX198" s="890"/>
      <c r="AY198" s="890"/>
      <c r="AZ198" s="890"/>
      <c r="BA198" s="890"/>
      <c r="BB198" s="890"/>
      <c r="BC198" s="890"/>
      <c r="BD198" s="919"/>
      <c r="BE198" s="890"/>
      <c r="BF198" s="919"/>
      <c r="BG198" s="890"/>
      <c r="BH198" s="910"/>
      <c r="BI198" s="890"/>
      <c r="BJ198" s="910"/>
      <c r="BK198" s="890"/>
      <c r="BL198" s="910"/>
      <c r="BM198" s="890"/>
      <c r="BN198" s="910"/>
      <c r="BO198" s="890"/>
      <c r="BP198" s="890"/>
      <c r="BQ198" s="890"/>
      <c r="BR198" s="1659" t="s">
        <v>5601</v>
      </c>
      <c r="BS198" s="890"/>
      <c r="BT198" s="890"/>
      <c r="BV198" s="890"/>
      <c r="BW198" s="890"/>
      <c r="BX198" s="890"/>
      <c r="BY198" s="891"/>
      <c r="BZ198" s="890"/>
      <c r="CA198" s="890"/>
      <c r="CB198" s="890"/>
      <c r="CD198" s="890"/>
      <c r="CE198" s="893">
        <v>1</v>
      </c>
    </row>
    <row r="199" spans="2:83" s="904" customFormat="1" x14ac:dyDescent="0.25">
      <c r="B199" s="919"/>
      <c r="C199" s="890"/>
      <c r="D199" s="919"/>
      <c r="E199" s="890"/>
      <c r="F199" s="910"/>
      <c r="G199" s="890"/>
      <c r="H199" s="910"/>
      <c r="I199" s="890"/>
      <c r="J199" s="910"/>
      <c r="K199" s="890"/>
      <c r="L199" s="910"/>
      <c r="M199" s="890"/>
      <c r="N199" s="890"/>
      <c r="O199" s="890"/>
      <c r="P199" s="1660">
        <v>1</v>
      </c>
      <c r="Q199" s="890"/>
      <c r="R199" s="890"/>
      <c r="S199" s="890"/>
      <c r="T199" s="891"/>
      <c r="U199" s="890"/>
      <c r="V199" s="891"/>
      <c r="W199" s="890"/>
      <c r="X199" s="891"/>
      <c r="Y199" s="890"/>
      <c r="Z199" s="890"/>
      <c r="AA199" s="890"/>
      <c r="AB199" s="890"/>
      <c r="AC199" s="890"/>
      <c r="AD199" s="919"/>
      <c r="AE199" s="890"/>
      <c r="AF199" s="919"/>
      <c r="AG199" s="890"/>
      <c r="AH199" s="910"/>
      <c r="AI199" s="890"/>
      <c r="AJ199" s="910"/>
      <c r="AK199" s="890"/>
      <c r="AL199" s="910"/>
      <c r="AM199" s="890"/>
      <c r="AN199" s="910"/>
      <c r="AO199" s="890"/>
      <c r="AP199" s="890"/>
      <c r="AQ199" s="890"/>
      <c r="AR199" s="1660" t="s">
        <v>5601</v>
      </c>
      <c r="AS199" s="890"/>
      <c r="AT199" s="890"/>
      <c r="AU199" s="890"/>
      <c r="AV199" s="890"/>
      <c r="AW199" s="890"/>
      <c r="AX199" s="890"/>
      <c r="AY199" s="890"/>
      <c r="AZ199" s="890"/>
      <c r="BA199" s="890"/>
      <c r="BB199" s="890"/>
      <c r="BC199" s="890"/>
      <c r="BD199" s="919"/>
      <c r="BE199" s="890"/>
      <c r="BF199" s="919"/>
      <c r="BG199" s="890"/>
      <c r="BH199" s="910"/>
      <c r="BI199" s="890"/>
      <c r="BJ199" s="910"/>
      <c r="BK199" s="890"/>
      <c r="BL199" s="910"/>
      <c r="BM199" s="890"/>
      <c r="BN199" s="910"/>
      <c r="BO199" s="890"/>
      <c r="BP199" s="890"/>
      <c r="BQ199" s="890"/>
      <c r="BR199" s="1660" t="s">
        <v>5601</v>
      </c>
      <c r="BS199" s="890"/>
      <c r="BT199" s="890"/>
      <c r="BV199" s="890"/>
      <c r="BW199" s="890"/>
      <c r="BX199" s="890"/>
      <c r="BY199" s="891"/>
      <c r="BZ199" s="890"/>
      <c r="CA199" s="890"/>
      <c r="CB199" s="890"/>
      <c r="CD199" s="890"/>
      <c r="CE199" s="893">
        <v>1</v>
      </c>
    </row>
    <row r="200" spans="2:83" s="904" customFormat="1" ht="18" customHeight="1" x14ac:dyDescent="0.25">
      <c r="B200" s="919"/>
      <c r="C200" s="890"/>
      <c r="D200" s="919"/>
      <c r="E200" s="890"/>
      <c r="F200" s="910"/>
      <c r="G200" s="890"/>
      <c r="H200" s="910"/>
      <c r="I200" s="890"/>
      <c r="J200" s="910"/>
      <c r="K200" s="890"/>
      <c r="L200" s="910"/>
      <c r="M200" s="890"/>
      <c r="N200" s="890"/>
      <c r="O200" s="890"/>
      <c r="P200" s="890"/>
      <c r="Q200" s="890"/>
      <c r="R200" s="890"/>
      <c r="S200" s="890"/>
      <c r="T200" s="891"/>
      <c r="U200" s="890"/>
      <c r="V200" s="891"/>
      <c r="W200" s="890"/>
      <c r="X200" s="891"/>
      <c r="Y200" s="890"/>
      <c r="Z200" s="890"/>
      <c r="AA200" s="890"/>
      <c r="AB200" s="890"/>
      <c r="AC200" s="890"/>
      <c r="AD200" s="919"/>
      <c r="AE200" s="890"/>
      <c r="AF200" s="919"/>
      <c r="AG200" s="890"/>
      <c r="AH200" s="910"/>
      <c r="AI200" s="890"/>
      <c r="AJ200" s="910"/>
      <c r="AK200" s="890"/>
      <c r="AL200" s="910"/>
      <c r="AM200" s="890"/>
      <c r="AN200" s="910"/>
      <c r="AO200" s="890"/>
      <c r="AP200" s="890"/>
      <c r="AQ200" s="890"/>
      <c r="AR200" s="890"/>
      <c r="AS200" s="890"/>
      <c r="AT200" s="890"/>
      <c r="AU200" s="890"/>
      <c r="AV200" s="890"/>
      <c r="AW200" s="890"/>
      <c r="AX200" s="890"/>
      <c r="AY200" s="890"/>
      <c r="AZ200" s="890"/>
      <c r="BA200" s="890"/>
      <c r="BB200" s="890"/>
      <c r="BC200" s="890"/>
      <c r="BD200" s="919"/>
      <c r="BE200" s="890"/>
      <c r="BF200" s="919"/>
      <c r="BG200" s="890"/>
      <c r="BH200" s="910"/>
      <c r="BI200" s="890"/>
      <c r="BJ200" s="910"/>
      <c r="BK200" s="890"/>
      <c r="BL200" s="910"/>
      <c r="BM200" s="890"/>
      <c r="BN200" s="910"/>
      <c r="BO200" s="890"/>
      <c r="BP200" s="890"/>
      <c r="BQ200" s="890"/>
      <c r="BR200" s="890"/>
      <c r="BS200" s="890"/>
      <c r="BT200" s="890"/>
      <c r="BV200" s="890"/>
      <c r="BW200" s="890"/>
      <c r="BX200" s="890"/>
      <c r="BY200" s="891"/>
      <c r="BZ200" s="890"/>
      <c r="CA200" s="890"/>
      <c r="CB200" s="890"/>
      <c r="CD200" s="890"/>
      <c r="CE200" s="893"/>
    </row>
    <row r="201" spans="2:83" s="904" customFormat="1" x14ac:dyDescent="0.25">
      <c r="B201" s="919"/>
      <c r="C201" s="890"/>
      <c r="D201" s="919"/>
      <c r="E201" s="890"/>
      <c r="F201" s="910"/>
      <c r="G201" s="890"/>
      <c r="H201" s="910"/>
      <c r="I201" s="890"/>
      <c r="J201" s="910"/>
      <c r="K201" s="890"/>
      <c r="L201" s="910"/>
      <c r="M201" s="890"/>
      <c r="N201" s="890"/>
      <c r="O201" s="890"/>
      <c r="P201" s="1658" t="s">
        <v>6527</v>
      </c>
      <c r="Q201" s="890"/>
      <c r="R201" s="890"/>
      <c r="S201" s="890"/>
      <c r="T201" s="891"/>
      <c r="U201" s="890"/>
      <c r="V201" s="891"/>
      <c r="W201" s="890"/>
      <c r="X201" s="891"/>
      <c r="Y201" s="890"/>
      <c r="Z201" s="890"/>
      <c r="AA201" s="890"/>
      <c r="AB201" s="890"/>
      <c r="AC201" s="890"/>
      <c r="AD201" s="919"/>
      <c r="AE201" s="890"/>
      <c r="AF201" s="919"/>
      <c r="AG201" s="890"/>
      <c r="AH201" s="910"/>
      <c r="AI201" s="890"/>
      <c r="AJ201" s="910"/>
      <c r="AK201" s="890"/>
      <c r="AL201" s="910"/>
      <c r="AM201" s="890"/>
      <c r="AN201" s="910"/>
      <c r="AO201" s="890"/>
      <c r="AP201" s="890"/>
      <c r="AQ201" s="890"/>
      <c r="AR201" s="1658" t="s">
        <v>6528</v>
      </c>
      <c r="AS201" s="890"/>
      <c r="AT201" s="890"/>
      <c r="AU201" s="890"/>
      <c r="AV201" s="890"/>
      <c r="AW201" s="890"/>
      <c r="AX201" s="890"/>
      <c r="AY201" s="890"/>
      <c r="AZ201" s="890"/>
      <c r="BA201" s="890"/>
      <c r="BB201" s="890"/>
      <c r="BC201" s="890"/>
      <c r="BD201" s="919"/>
      <c r="BE201" s="890"/>
      <c r="BF201" s="919"/>
      <c r="BG201" s="890"/>
      <c r="BH201" s="910"/>
      <c r="BI201" s="890"/>
      <c r="BJ201" s="910"/>
      <c r="BK201" s="890"/>
      <c r="BL201" s="910"/>
      <c r="BM201" s="890"/>
      <c r="BN201" s="910"/>
      <c r="BO201" s="890"/>
      <c r="BP201" s="890"/>
      <c r="BQ201" s="890"/>
      <c r="BR201" s="1658" t="s">
        <v>6524</v>
      </c>
      <c r="BS201" s="890"/>
      <c r="BT201" s="890"/>
      <c r="BV201" s="890"/>
      <c r="BW201" s="890"/>
      <c r="BX201" s="890"/>
      <c r="BY201" s="891"/>
      <c r="BZ201" s="890"/>
      <c r="CA201" s="890"/>
      <c r="CB201" s="890"/>
      <c r="CD201" s="890"/>
      <c r="CE201" s="893">
        <v>1</v>
      </c>
    </row>
    <row r="202" spans="2:83" s="904" customFormat="1" x14ac:dyDescent="0.25">
      <c r="B202" s="919"/>
      <c r="C202" s="890"/>
      <c r="D202" s="919"/>
      <c r="E202" s="890"/>
      <c r="F202" s="910"/>
      <c r="G202" s="890"/>
      <c r="H202" s="910"/>
      <c r="I202" s="890"/>
      <c r="J202" s="910"/>
      <c r="K202" s="890"/>
      <c r="L202" s="910"/>
      <c r="M202" s="890"/>
      <c r="N202" s="890"/>
      <c r="O202" s="890"/>
      <c r="P202" s="1659"/>
      <c r="Q202" s="890"/>
      <c r="R202" s="890"/>
      <c r="S202" s="890"/>
      <c r="T202" s="891"/>
      <c r="U202" s="890"/>
      <c r="V202" s="891"/>
      <c r="W202" s="890"/>
      <c r="X202" s="891"/>
      <c r="Y202" s="890"/>
      <c r="Z202" s="890"/>
      <c r="AA202" s="890"/>
      <c r="AB202" s="890"/>
      <c r="AC202" s="890"/>
      <c r="AD202" s="919"/>
      <c r="AE202" s="890"/>
      <c r="AF202" s="919"/>
      <c r="AG202" s="890"/>
      <c r="AH202" s="910"/>
      <c r="AI202" s="890"/>
      <c r="AJ202" s="910"/>
      <c r="AK202" s="890"/>
      <c r="AL202" s="910"/>
      <c r="AM202" s="890"/>
      <c r="AN202" s="910"/>
      <c r="AO202" s="890"/>
      <c r="AP202" s="890"/>
      <c r="AQ202" s="890"/>
      <c r="AR202" s="1659" t="s">
        <v>5601</v>
      </c>
      <c r="AS202" s="890"/>
      <c r="AT202" s="890"/>
      <c r="AU202" s="890"/>
      <c r="AV202" s="890"/>
      <c r="AW202" s="890"/>
      <c r="AX202" s="890"/>
      <c r="AY202" s="890"/>
      <c r="AZ202" s="890"/>
      <c r="BA202" s="890"/>
      <c r="BB202" s="890"/>
      <c r="BC202" s="890"/>
      <c r="BD202" s="919"/>
      <c r="BE202" s="890"/>
      <c r="BF202" s="919"/>
      <c r="BG202" s="890"/>
      <c r="BH202" s="910"/>
      <c r="BI202" s="890"/>
      <c r="BJ202" s="910"/>
      <c r="BK202" s="890"/>
      <c r="BL202" s="910"/>
      <c r="BM202" s="890"/>
      <c r="BN202" s="910"/>
      <c r="BO202" s="890"/>
      <c r="BP202" s="890"/>
      <c r="BQ202" s="890"/>
      <c r="BR202" s="1659" t="s">
        <v>5601</v>
      </c>
      <c r="BS202" s="890"/>
      <c r="BT202" s="890"/>
      <c r="BV202" s="890"/>
      <c r="BW202" s="890"/>
      <c r="BX202" s="890"/>
      <c r="BY202" s="891"/>
      <c r="BZ202" s="890"/>
      <c r="CA202" s="890"/>
      <c r="CB202" s="890"/>
      <c r="CD202" s="890"/>
      <c r="CE202" s="893">
        <v>1</v>
      </c>
    </row>
    <row r="203" spans="2:83" s="904" customFormat="1" x14ac:dyDescent="0.25">
      <c r="B203" s="919"/>
      <c r="C203" s="890"/>
      <c r="D203" s="919"/>
      <c r="E203" s="890"/>
      <c r="F203" s="910"/>
      <c r="G203" s="890"/>
      <c r="H203" s="910"/>
      <c r="I203" s="890"/>
      <c r="J203" s="910"/>
      <c r="K203" s="890"/>
      <c r="L203" s="910"/>
      <c r="M203" s="890"/>
      <c r="N203" s="890"/>
      <c r="O203" s="890"/>
      <c r="P203" s="1660">
        <v>1</v>
      </c>
      <c r="Q203" s="890"/>
      <c r="R203" s="890"/>
      <c r="S203" s="890"/>
      <c r="T203" s="891"/>
      <c r="U203" s="890"/>
      <c r="V203" s="891"/>
      <c r="W203" s="890"/>
      <c r="X203" s="891"/>
      <c r="Y203" s="890"/>
      <c r="Z203" s="890"/>
      <c r="AA203" s="890"/>
      <c r="AB203" s="890"/>
      <c r="AC203" s="890"/>
      <c r="AD203" s="919"/>
      <c r="AE203" s="890"/>
      <c r="AF203" s="919"/>
      <c r="AG203" s="890"/>
      <c r="AH203" s="910"/>
      <c r="AI203" s="890"/>
      <c r="AJ203" s="910"/>
      <c r="AK203" s="890"/>
      <c r="AL203" s="910"/>
      <c r="AM203" s="890"/>
      <c r="AN203" s="910"/>
      <c r="AO203" s="890"/>
      <c r="AP203" s="890"/>
      <c r="AQ203" s="890"/>
      <c r="AR203" s="1660" t="s">
        <v>5601</v>
      </c>
      <c r="AS203" s="890"/>
      <c r="AT203" s="890"/>
      <c r="AU203" s="890"/>
      <c r="AV203" s="890"/>
      <c r="AW203" s="890"/>
      <c r="AX203" s="890"/>
      <c r="AY203" s="890"/>
      <c r="AZ203" s="890"/>
      <c r="BA203" s="890"/>
      <c r="BB203" s="890"/>
      <c r="BC203" s="890"/>
      <c r="BD203" s="919"/>
      <c r="BE203" s="890"/>
      <c r="BF203" s="919"/>
      <c r="BG203" s="890"/>
      <c r="BH203" s="910"/>
      <c r="BI203" s="890"/>
      <c r="BJ203" s="910"/>
      <c r="BK203" s="890"/>
      <c r="BL203" s="910"/>
      <c r="BM203" s="890"/>
      <c r="BN203" s="910"/>
      <c r="BO203" s="890"/>
      <c r="BP203" s="890"/>
      <c r="BQ203" s="890"/>
      <c r="BR203" s="1660" t="s">
        <v>5601</v>
      </c>
      <c r="BS203" s="890"/>
      <c r="BT203" s="890"/>
      <c r="BV203" s="890"/>
      <c r="BW203" s="890"/>
      <c r="BX203" s="890"/>
      <c r="BY203" s="891"/>
      <c r="BZ203" s="890"/>
      <c r="CA203" s="890"/>
      <c r="CB203" s="890"/>
      <c r="CD203" s="890"/>
      <c r="CE203" s="893">
        <v>1</v>
      </c>
    </row>
    <row r="204" spans="2:83" s="904" customFormat="1" ht="18" customHeight="1" x14ac:dyDescent="0.25">
      <c r="B204" s="919"/>
      <c r="C204" s="890"/>
      <c r="D204" s="919"/>
      <c r="E204" s="890"/>
      <c r="F204" s="890"/>
      <c r="G204" s="890"/>
      <c r="H204" s="890"/>
      <c r="I204" s="890"/>
      <c r="J204" s="890"/>
      <c r="K204" s="890"/>
      <c r="L204" s="890"/>
      <c r="M204" s="890"/>
      <c r="N204" s="890"/>
      <c r="O204" s="890"/>
      <c r="P204" s="890"/>
      <c r="Q204" s="890"/>
      <c r="R204" s="890"/>
      <c r="S204" s="890"/>
      <c r="T204" s="891"/>
      <c r="U204" s="890"/>
      <c r="V204" s="891"/>
      <c r="W204" s="890"/>
      <c r="X204" s="891"/>
      <c r="Y204" s="890"/>
      <c r="Z204" s="890"/>
      <c r="AA204" s="890"/>
      <c r="AB204" s="890"/>
      <c r="AC204" s="890"/>
      <c r="AD204" s="919"/>
      <c r="AE204" s="890"/>
      <c r="AF204" s="919"/>
      <c r="AG204" s="890"/>
      <c r="AH204" s="890"/>
      <c r="AI204" s="890"/>
      <c r="AJ204" s="890"/>
      <c r="AK204" s="890"/>
      <c r="AL204" s="890"/>
      <c r="AM204" s="890"/>
      <c r="AN204" s="890"/>
      <c r="AO204" s="890"/>
      <c r="AP204" s="890"/>
      <c r="AQ204" s="890"/>
      <c r="AR204" s="890"/>
      <c r="AS204" s="890"/>
      <c r="AT204" s="890"/>
      <c r="AU204" s="890"/>
      <c r="AV204" s="890"/>
      <c r="AW204" s="890"/>
      <c r="AX204" s="890"/>
      <c r="AY204" s="890"/>
      <c r="AZ204" s="890"/>
      <c r="BA204" s="890"/>
      <c r="BB204" s="890"/>
      <c r="BC204" s="890"/>
      <c r="BD204" s="919"/>
      <c r="BE204" s="890"/>
      <c r="BF204" s="919"/>
      <c r="BG204" s="890"/>
      <c r="BH204" s="890"/>
      <c r="BI204" s="890"/>
      <c r="BJ204" s="890"/>
      <c r="BK204" s="890"/>
      <c r="BL204" s="890"/>
      <c r="BM204" s="890"/>
      <c r="BN204" s="890"/>
      <c r="BO204" s="890"/>
      <c r="BP204" s="890"/>
      <c r="BQ204" s="890"/>
      <c r="BR204" s="890"/>
      <c r="BS204" s="890"/>
      <c r="BT204" s="890"/>
      <c r="BV204" s="890"/>
      <c r="BW204" s="890"/>
      <c r="BX204" s="890"/>
      <c r="BY204" s="891"/>
      <c r="BZ204" s="890"/>
      <c r="CA204" s="890"/>
      <c r="CB204" s="890"/>
      <c r="CD204" s="890"/>
      <c r="CE204" s="893"/>
    </row>
    <row r="205" spans="2:83" s="904" customFormat="1" x14ac:dyDescent="0.25">
      <c r="B205" s="919"/>
      <c r="C205" s="890"/>
      <c r="D205" s="919"/>
      <c r="E205" s="890"/>
      <c r="F205" s="890"/>
      <c r="G205" s="890"/>
      <c r="H205" s="890"/>
      <c r="I205" s="890"/>
      <c r="J205" s="890"/>
      <c r="K205" s="890"/>
      <c r="L205" s="890"/>
      <c r="M205" s="890"/>
      <c r="N205" s="890"/>
      <c r="O205" s="890"/>
      <c r="P205" s="1658" t="s">
        <v>6529</v>
      </c>
      <c r="Q205" s="890"/>
      <c r="R205" s="890"/>
      <c r="S205" s="890"/>
      <c r="T205" s="891"/>
      <c r="U205" s="890"/>
      <c r="V205" s="891"/>
      <c r="W205" s="890"/>
      <c r="X205" s="891"/>
      <c r="Y205" s="890"/>
      <c r="Z205" s="890"/>
      <c r="AA205" s="890"/>
      <c r="AB205" s="890"/>
      <c r="AC205" s="890"/>
      <c r="AD205" s="919"/>
      <c r="AE205" s="890"/>
      <c r="AF205" s="919"/>
      <c r="AG205" s="890"/>
      <c r="AH205" s="890"/>
      <c r="AI205" s="890"/>
      <c r="AJ205" s="890"/>
      <c r="AK205" s="890"/>
      <c r="AL205" s="890"/>
      <c r="AM205" s="890"/>
      <c r="AN205" s="890"/>
      <c r="AO205" s="890"/>
      <c r="AP205" s="890"/>
      <c r="AQ205" s="890"/>
      <c r="AR205" s="1658" t="s">
        <v>6530</v>
      </c>
      <c r="AS205" s="890"/>
      <c r="AT205" s="890"/>
      <c r="AU205" s="890"/>
      <c r="AV205" s="890"/>
      <c r="AW205" s="890"/>
      <c r="AX205" s="890"/>
      <c r="AY205" s="890"/>
      <c r="AZ205" s="890"/>
      <c r="BA205" s="890"/>
      <c r="BB205" s="890"/>
      <c r="BC205" s="890"/>
      <c r="BD205" s="919"/>
      <c r="BE205" s="890"/>
      <c r="BF205" s="919"/>
      <c r="BG205" s="890"/>
      <c r="BH205" s="890"/>
      <c r="BI205" s="890"/>
      <c r="BJ205" s="890"/>
      <c r="BK205" s="890"/>
      <c r="BL205" s="890"/>
      <c r="BM205" s="890"/>
      <c r="BN205" s="890"/>
      <c r="BO205" s="890"/>
      <c r="BP205" s="890"/>
      <c r="BQ205" s="890"/>
      <c r="BR205" s="1658" t="s">
        <v>6527</v>
      </c>
      <c r="BS205" s="890"/>
      <c r="BT205" s="890"/>
      <c r="BV205" s="890"/>
      <c r="BW205" s="890"/>
      <c r="BX205" s="890"/>
      <c r="BY205" s="891"/>
      <c r="BZ205" s="890"/>
      <c r="CA205" s="890"/>
      <c r="CB205" s="890"/>
      <c r="CD205" s="890"/>
      <c r="CE205" s="893">
        <v>1</v>
      </c>
    </row>
    <row r="206" spans="2:83" s="904" customFormat="1" x14ac:dyDescent="0.25">
      <c r="B206" s="919"/>
      <c r="C206" s="890"/>
      <c r="D206" s="919"/>
      <c r="E206" s="890"/>
      <c r="F206" s="890"/>
      <c r="G206" s="890"/>
      <c r="H206" s="890"/>
      <c r="I206" s="890"/>
      <c r="J206" s="890"/>
      <c r="K206" s="890"/>
      <c r="L206" s="890"/>
      <c r="M206" s="890"/>
      <c r="N206" s="890"/>
      <c r="O206" s="890"/>
      <c r="P206" s="1659"/>
      <c r="Q206" s="890"/>
      <c r="R206" s="890"/>
      <c r="S206" s="890"/>
      <c r="T206" s="891"/>
      <c r="U206" s="890"/>
      <c r="V206" s="891"/>
      <c r="W206" s="890"/>
      <c r="X206" s="891"/>
      <c r="Y206" s="890"/>
      <c r="Z206" s="890"/>
      <c r="AA206" s="890"/>
      <c r="AB206" s="890"/>
      <c r="AC206" s="890"/>
      <c r="AD206" s="919"/>
      <c r="AE206" s="890"/>
      <c r="AF206" s="919"/>
      <c r="AG206" s="890"/>
      <c r="AH206" s="890"/>
      <c r="AI206" s="890"/>
      <c r="AJ206" s="890"/>
      <c r="AK206" s="890"/>
      <c r="AL206" s="890"/>
      <c r="AM206" s="890"/>
      <c r="AN206" s="890"/>
      <c r="AO206" s="890"/>
      <c r="AP206" s="890"/>
      <c r="AQ206" s="890"/>
      <c r="AR206" s="1659" t="s">
        <v>5601</v>
      </c>
      <c r="AS206" s="890"/>
      <c r="AT206" s="890"/>
      <c r="AU206" s="890"/>
      <c r="AV206" s="890"/>
      <c r="AW206" s="890"/>
      <c r="AX206" s="890"/>
      <c r="AY206" s="890"/>
      <c r="AZ206" s="890"/>
      <c r="BA206" s="890"/>
      <c r="BB206" s="890"/>
      <c r="BC206" s="890"/>
      <c r="BD206" s="919"/>
      <c r="BE206" s="890"/>
      <c r="BF206" s="919"/>
      <c r="BG206" s="890"/>
      <c r="BH206" s="890"/>
      <c r="BI206" s="890"/>
      <c r="BJ206" s="890"/>
      <c r="BK206" s="890"/>
      <c r="BL206" s="890"/>
      <c r="BM206" s="890"/>
      <c r="BN206" s="890"/>
      <c r="BO206" s="890"/>
      <c r="BP206" s="890"/>
      <c r="BQ206" s="890"/>
      <c r="BR206" s="1659" t="s">
        <v>5601</v>
      </c>
      <c r="BS206" s="890"/>
      <c r="BT206" s="890"/>
      <c r="BV206" s="890"/>
      <c r="BW206" s="890"/>
      <c r="BX206" s="890"/>
      <c r="BY206" s="891"/>
      <c r="BZ206" s="890"/>
      <c r="CA206" s="890"/>
      <c r="CB206" s="890"/>
      <c r="CD206" s="890"/>
      <c r="CE206" s="893">
        <v>1</v>
      </c>
    </row>
    <row r="207" spans="2:83" s="904" customFormat="1" x14ac:dyDescent="0.25">
      <c r="B207" s="919"/>
      <c r="C207" s="890"/>
      <c r="D207" s="919"/>
      <c r="E207" s="890"/>
      <c r="F207" s="890"/>
      <c r="G207" s="890"/>
      <c r="H207" s="890"/>
      <c r="I207" s="890"/>
      <c r="J207" s="890"/>
      <c r="K207" s="890"/>
      <c r="L207" s="890"/>
      <c r="M207" s="890"/>
      <c r="N207" s="890"/>
      <c r="O207" s="890"/>
      <c r="P207" s="1660">
        <v>1</v>
      </c>
      <c r="Q207" s="890"/>
      <c r="R207" s="890"/>
      <c r="S207" s="890"/>
      <c r="T207" s="891"/>
      <c r="U207" s="890"/>
      <c r="V207" s="891"/>
      <c r="W207" s="890"/>
      <c r="X207" s="891"/>
      <c r="Y207" s="890"/>
      <c r="Z207" s="890"/>
      <c r="AA207" s="890"/>
      <c r="AB207" s="890"/>
      <c r="AC207" s="890"/>
      <c r="AD207" s="919"/>
      <c r="AE207" s="890"/>
      <c r="AF207" s="919"/>
      <c r="AG207" s="890"/>
      <c r="AH207" s="890"/>
      <c r="AI207" s="890"/>
      <c r="AJ207" s="890"/>
      <c r="AK207" s="890"/>
      <c r="AL207" s="890"/>
      <c r="AM207" s="890"/>
      <c r="AN207" s="890"/>
      <c r="AO207" s="890"/>
      <c r="AP207" s="890"/>
      <c r="AQ207" s="890"/>
      <c r="AR207" s="1660" t="s">
        <v>5601</v>
      </c>
      <c r="AS207" s="890"/>
      <c r="AT207" s="890"/>
      <c r="AU207" s="890"/>
      <c r="AV207" s="890"/>
      <c r="AW207" s="890"/>
      <c r="AX207" s="890"/>
      <c r="AY207" s="890"/>
      <c r="AZ207" s="890"/>
      <c r="BA207" s="890"/>
      <c r="BB207" s="890"/>
      <c r="BC207" s="890"/>
      <c r="BD207" s="919"/>
      <c r="BE207" s="890"/>
      <c r="BF207" s="919"/>
      <c r="BG207" s="890"/>
      <c r="BH207" s="890"/>
      <c r="BI207" s="890"/>
      <c r="BJ207" s="890"/>
      <c r="BK207" s="890"/>
      <c r="BL207" s="890"/>
      <c r="BM207" s="890"/>
      <c r="BN207" s="890"/>
      <c r="BO207" s="890"/>
      <c r="BP207" s="890"/>
      <c r="BQ207" s="890"/>
      <c r="BR207" s="1660" t="s">
        <v>5601</v>
      </c>
      <c r="BS207" s="890"/>
      <c r="BT207" s="890"/>
      <c r="BV207" s="890"/>
      <c r="BW207" s="890"/>
      <c r="BX207" s="890"/>
      <c r="BY207" s="891"/>
      <c r="BZ207" s="890"/>
      <c r="CA207" s="890"/>
      <c r="CB207" s="890"/>
      <c r="CD207" s="890"/>
      <c r="CE207" s="893">
        <v>1</v>
      </c>
    </row>
    <row r="208" spans="2:83" s="904" customFormat="1" ht="18" customHeight="1" x14ac:dyDescent="0.25">
      <c r="B208" s="919"/>
      <c r="C208" s="890"/>
      <c r="D208" s="919"/>
      <c r="E208" s="890"/>
      <c r="F208" s="890"/>
      <c r="G208" s="890"/>
      <c r="H208" s="890"/>
      <c r="I208" s="890"/>
      <c r="J208" s="890"/>
      <c r="K208" s="890"/>
      <c r="L208" s="890"/>
      <c r="M208" s="890"/>
      <c r="N208" s="890"/>
      <c r="O208" s="890"/>
      <c r="P208" s="890"/>
      <c r="Q208" s="890"/>
      <c r="R208" s="890"/>
      <c r="S208" s="890"/>
      <c r="T208" s="891"/>
      <c r="U208" s="890"/>
      <c r="V208" s="891"/>
      <c r="W208" s="890"/>
      <c r="X208" s="891"/>
      <c r="Y208" s="890"/>
      <c r="Z208" s="890"/>
      <c r="AA208" s="890"/>
      <c r="AB208" s="890"/>
      <c r="AC208" s="890"/>
      <c r="AD208" s="919"/>
      <c r="AE208" s="890"/>
      <c r="AF208" s="919"/>
      <c r="AG208" s="890"/>
      <c r="AH208" s="890"/>
      <c r="AI208" s="890"/>
      <c r="AJ208" s="890"/>
      <c r="AK208" s="890"/>
      <c r="AL208" s="890"/>
      <c r="AM208" s="890"/>
      <c r="AN208" s="890"/>
      <c r="AO208" s="890"/>
      <c r="AP208" s="890"/>
      <c r="AQ208" s="890"/>
      <c r="AR208" s="890"/>
      <c r="AS208" s="890"/>
      <c r="AT208" s="890"/>
      <c r="AU208" s="890"/>
      <c r="AV208" s="890"/>
      <c r="AW208" s="890"/>
      <c r="AX208" s="890"/>
      <c r="AY208" s="890"/>
      <c r="AZ208" s="890"/>
      <c r="BA208" s="890"/>
      <c r="BB208" s="890"/>
      <c r="BC208" s="890"/>
      <c r="BD208" s="919"/>
      <c r="BE208" s="890"/>
      <c r="BF208" s="919"/>
      <c r="BG208" s="890"/>
      <c r="BH208" s="890"/>
      <c r="BI208" s="890"/>
      <c r="BJ208" s="890"/>
      <c r="BK208" s="890"/>
      <c r="BL208" s="890"/>
      <c r="BM208" s="890"/>
      <c r="BN208" s="890"/>
      <c r="BO208" s="890"/>
      <c r="BP208" s="890"/>
      <c r="BQ208" s="890"/>
      <c r="BR208" s="890"/>
      <c r="BS208" s="890"/>
      <c r="BT208" s="890"/>
      <c r="BV208" s="890"/>
      <c r="BW208" s="890"/>
      <c r="BX208" s="890"/>
      <c r="BY208" s="891"/>
      <c r="BZ208" s="890"/>
      <c r="CA208" s="890"/>
      <c r="CB208" s="890"/>
      <c r="CD208" s="890"/>
      <c r="CE208" s="893"/>
    </row>
    <row r="209" spans="1:83" s="904" customFormat="1" x14ac:dyDescent="0.25">
      <c r="B209" s="919"/>
      <c r="C209" s="890"/>
      <c r="D209" s="919"/>
      <c r="E209" s="890"/>
      <c r="F209" s="890"/>
      <c r="G209" s="890"/>
      <c r="H209" s="890"/>
      <c r="I209" s="890"/>
      <c r="J209" s="890"/>
      <c r="K209" s="890"/>
      <c r="L209" s="890"/>
      <c r="M209" s="890"/>
      <c r="N209" s="890"/>
      <c r="O209" s="890"/>
      <c r="P209" s="1658" t="s">
        <v>6531</v>
      </c>
      <c r="Q209" s="890"/>
      <c r="R209" s="890"/>
      <c r="S209" s="890"/>
      <c r="T209" s="891"/>
      <c r="U209" s="890"/>
      <c r="V209" s="891"/>
      <c r="W209" s="890"/>
      <c r="X209" s="891"/>
      <c r="Y209" s="890"/>
      <c r="Z209" s="890"/>
      <c r="AA209" s="890"/>
      <c r="AB209" s="890"/>
      <c r="AC209" s="890"/>
      <c r="AD209" s="919"/>
      <c r="AE209" s="890"/>
      <c r="AF209" s="919"/>
      <c r="AG209" s="890"/>
      <c r="AH209" s="890"/>
      <c r="AI209" s="890"/>
      <c r="AJ209" s="890"/>
      <c r="AK209" s="890"/>
      <c r="AL209" s="890"/>
      <c r="AM209" s="890"/>
      <c r="AN209" s="890"/>
      <c r="AO209" s="890"/>
      <c r="AP209" s="890"/>
      <c r="AQ209" s="890"/>
      <c r="AR209" s="1658" t="s">
        <v>6532</v>
      </c>
      <c r="AS209" s="890"/>
      <c r="AT209" s="890"/>
      <c r="AU209" s="890"/>
      <c r="AV209" s="890"/>
      <c r="AW209" s="890"/>
      <c r="AX209" s="890"/>
      <c r="AY209" s="890"/>
      <c r="AZ209" s="890"/>
      <c r="BA209" s="890"/>
      <c r="BB209" s="890"/>
      <c r="BC209" s="890"/>
      <c r="BD209" s="919"/>
      <c r="BE209" s="890"/>
      <c r="BF209" s="919"/>
      <c r="BG209" s="890"/>
      <c r="BH209" s="890"/>
      <c r="BI209" s="890"/>
      <c r="BJ209" s="890"/>
      <c r="BK209" s="890"/>
      <c r="BL209" s="890"/>
      <c r="BM209" s="890"/>
      <c r="BN209" s="890"/>
      <c r="BO209" s="890"/>
      <c r="BP209" s="890"/>
      <c r="BQ209" s="890"/>
      <c r="BR209" s="1658" t="s">
        <v>6533</v>
      </c>
      <c r="BS209" s="890"/>
      <c r="BT209" s="890"/>
      <c r="BV209" s="890"/>
      <c r="BW209" s="890"/>
      <c r="BX209" s="890"/>
      <c r="BY209" s="891"/>
      <c r="BZ209" s="890"/>
      <c r="CA209" s="890"/>
      <c r="CB209" s="890"/>
      <c r="CD209" s="890"/>
      <c r="CE209" s="893">
        <v>1</v>
      </c>
    </row>
    <row r="210" spans="1:83" s="904" customFormat="1" x14ac:dyDescent="0.25">
      <c r="B210" s="919"/>
      <c r="C210" s="890"/>
      <c r="D210" s="919"/>
      <c r="E210" s="890"/>
      <c r="F210" s="890"/>
      <c r="G210" s="890"/>
      <c r="H210" s="890"/>
      <c r="I210" s="890"/>
      <c r="J210" s="890"/>
      <c r="K210" s="890"/>
      <c r="L210" s="890"/>
      <c r="M210" s="890"/>
      <c r="N210" s="890"/>
      <c r="O210" s="890"/>
      <c r="P210" s="1659"/>
      <c r="Q210" s="890"/>
      <c r="R210" s="890"/>
      <c r="S210" s="890"/>
      <c r="T210" s="891"/>
      <c r="U210" s="890"/>
      <c r="V210" s="891"/>
      <c r="W210" s="890"/>
      <c r="X210" s="891"/>
      <c r="Y210" s="890"/>
      <c r="Z210" s="890"/>
      <c r="AA210" s="890"/>
      <c r="AB210" s="890"/>
      <c r="AC210" s="890"/>
      <c r="AD210" s="919"/>
      <c r="AE210" s="890"/>
      <c r="AF210" s="919"/>
      <c r="AG210" s="890"/>
      <c r="AH210" s="890"/>
      <c r="AI210" s="890"/>
      <c r="AJ210" s="890"/>
      <c r="AK210" s="890"/>
      <c r="AL210" s="890"/>
      <c r="AM210" s="890"/>
      <c r="AN210" s="890"/>
      <c r="AO210" s="890"/>
      <c r="AP210" s="890"/>
      <c r="AQ210" s="890"/>
      <c r="AR210" s="1659" t="s">
        <v>5601</v>
      </c>
      <c r="AS210" s="890"/>
      <c r="AT210" s="890"/>
      <c r="AU210" s="890"/>
      <c r="AV210" s="890"/>
      <c r="AW210" s="890"/>
      <c r="AX210" s="890"/>
      <c r="AY210" s="890"/>
      <c r="AZ210" s="890"/>
      <c r="BA210" s="890"/>
      <c r="BB210" s="890"/>
      <c r="BC210" s="890"/>
      <c r="BD210" s="919"/>
      <c r="BE210" s="890"/>
      <c r="BF210" s="919"/>
      <c r="BG210" s="890"/>
      <c r="BH210" s="890"/>
      <c r="BI210" s="890"/>
      <c r="BJ210" s="890"/>
      <c r="BK210" s="890"/>
      <c r="BL210" s="890"/>
      <c r="BM210" s="890"/>
      <c r="BN210" s="890"/>
      <c r="BO210" s="890"/>
      <c r="BP210" s="890"/>
      <c r="BQ210" s="890"/>
      <c r="BR210" s="1659" t="s">
        <v>5601</v>
      </c>
      <c r="BS210" s="890"/>
      <c r="BT210" s="890"/>
      <c r="BV210" s="890"/>
      <c r="BW210" s="890"/>
      <c r="BX210" s="890"/>
      <c r="BY210" s="891"/>
      <c r="BZ210" s="890"/>
      <c r="CA210" s="890"/>
      <c r="CB210" s="890"/>
      <c r="CD210" s="890"/>
      <c r="CE210" s="893">
        <v>1</v>
      </c>
    </row>
    <row r="211" spans="1:83" s="904" customFormat="1" x14ac:dyDescent="0.25">
      <c r="A211" s="890"/>
      <c r="B211" s="919"/>
      <c r="C211" s="890"/>
      <c r="D211" s="919"/>
      <c r="E211" s="890"/>
      <c r="F211" s="890"/>
      <c r="G211" s="890"/>
      <c r="H211" s="890"/>
      <c r="I211" s="890"/>
      <c r="J211" s="890"/>
      <c r="K211" s="890"/>
      <c r="L211" s="890"/>
      <c r="M211" s="890"/>
      <c r="N211" s="890"/>
      <c r="O211" s="890"/>
      <c r="P211" s="1660">
        <v>1</v>
      </c>
      <c r="Q211" s="890"/>
      <c r="R211" s="890"/>
      <c r="S211" s="890"/>
      <c r="T211" s="891"/>
      <c r="U211" s="890"/>
      <c r="V211" s="891"/>
      <c r="W211" s="890"/>
      <c r="X211" s="891"/>
      <c r="Y211" s="890"/>
      <c r="Z211" s="890"/>
      <c r="AA211" s="890"/>
      <c r="AB211" s="890"/>
      <c r="AC211" s="890"/>
      <c r="AD211" s="919"/>
      <c r="AE211" s="890"/>
      <c r="AF211" s="919"/>
      <c r="AG211" s="890"/>
      <c r="AH211" s="890"/>
      <c r="AI211" s="890"/>
      <c r="AJ211" s="890"/>
      <c r="AK211" s="890"/>
      <c r="AL211" s="890"/>
      <c r="AM211" s="890"/>
      <c r="AN211" s="890"/>
      <c r="AO211" s="890"/>
      <c r="AP211" s="890"/>
      <c r="AQ211" s="890"/>
      <c r="AR211" s="1660" t="s">
        <v>5601</v>
      </c>
      <c r="AS211" s="890"/>
      <c r="AT211" s="890"/>
      <c r="AU211" s="890"/>
      <c r="AV211" s="890"/>
      <c r="AW211" s="890"/>
      <c r="AX211" s="890"/>
      <c r="AY211" s="890"/>
      <c r="AZ211" s="890"/>
      <c r="BA211" s="890"/>
      <c r="BB211" s="890"/>
      <c r="BC211" s="890"/>
      <c r="BD211" s="919"/>
      <c r="BE211" s="890"/>
      <c r="BF211" s="919"/>
      <c r="BG211" s="890"/>
      <c r="BH211" s="890"/>
      <c r="BI211" s="890"/>
      <c r="BJ211" s="890"/>
      <c r="BK211" s="890"/>
      <c r="BL211" s="890"/>
      <c r="BM211" s="890"/>
      <c r="BN211" s="890"/>
      <c r="BO211" s="890"/>
      <c r="BP211" s="890"/>
      <c r="BQ211" s="890"/>
      <c r="BR211" s="1660" t="s">
        <v>5601</v>
      </c>
      <c r="BS211" s="890"/>
      <c r="BT211" s="890"/>
      <c r="BU211" s="890"/>
      <c r="BV211" s="890"/>
      <c r="BW211" s="890"/>
      <c r="BX211" s="890"/>
      <c r="BY211" s="891"/>
      <c r="BZ211" s="890"/>
      <c r="CA211" s="890"/>
      <c r="CB211" s="890"/>
      <c r="CC211" s="890"/>
      <c r="CD211" s="890"/>
      <c r="CE211" s="893">
        <v>1</v>
      </c>
    </row>
    <row r="212" spans="1:83" s="904" customFormat="1" ht="18" customHeight="1" x14ac:dyDescent="0.25">
      <c r="A212" s="890"/>
      <c r="B212" s="919"/>
      <c r="C212" s="890"/>
      <c r="D212" s="919"/>
      <c r="E212" s="890"/>
      <c r="F212" s="890"/>
      <c r="G212" s="890"/>
      <c r="H212" s="890"/>
      <c r="I212" s="890"/>
      <c r="J212" s="890"/>
      <c r="K212" s="890"/>
      <c r="L212" s="890"/>
      <c r="M212" s="890"/>
      <c r="N212" s="890"/>
      <c r="O212" s="890"/>
      <c r="P212" s="890"/>
      <c r="Q212" s="890"/>
      <c r="R212" s="890"/>
      <c r="S212" s="890"/>
      <c r="T212" s="891"/>
      <c r="U212" s="890"/>
      <c r="V212" s="891"/>
      <c r="W212" s="890"/>
      <c r="X212" s="891"/>
      <c r="Y212" s="890"/>
      <c r="Z212" s="890"/>
      <c r="AA212" s="890"/>
      <c r="AB212" s="890"/>
      <c r="AC212" s="890"/>
      <c r="AD212" s="919"/>
      <c r="AE212" s="890"/>
      <c r="AF212" s="919"/>
      <c r="AG212" s="890"/>
      <c r="AH212" s="890"/>
      <c r="AI212" s="890"/>
      <c r="AJ212" s="890"/>
      <c r="AK212" s="890"/>
      <c r="AL212" s="890"/>
      <c r="AM212" s="890"/>
      <c r="AN212" s="890"/>
      <c r="AO212" s="890"/>
      <c r="AP212" s="890"/>
      <c r="AQ212" s="890"/>
      <c r="AR212" s="890"/>
      <c r="AS212" s="890"/>
      <c r="AT212" s="890"/>
      <c r="AU212" s="890"/>
      <c r="AV212" s="890"/>
      <c r="AW212" s="890"/>
      <c r="AX212" s="890"/>
      <c r="AY212" s="890"/>
      <c r="AZ212" s="890"/>
      <c r="BA212" s="890"/>
      <c r="BB212" s="890"/>
      <c r="BC212" s="890"/>
      <c r="BD212" s="919"/>
      <c r="BE212" s="890"/>
      <c r="BF212" s="919"/>
      <c r="BG212" s="890"/>
      <c r="BH212" s="890"/>
      <c r="BI212" s="890"/>
      <c r="BJ212" s="890"/>
      <c r="BK212" s="890"/>
      <c r="BL212" s="890"/>
      <c r="BM212" s="890"/>
      <c r="BN212" s="890"/>
      <c r="BO212" s="890"/>
      <c r="BP212" s="890"/>
      <c r="BQ212" s="890"/>
      <c r="BR212" s="890"/>
      <c r="BS212" s="890"/>
      <c r="BT212" s="890"/>
      <c r="BU212" s="890"/>
      <c r="BV212" s="890"/>
      <c r="BW212" s="890"/>
      <c r="BX212" s="890"/>
      <c r="BY212" s="891"/>
      <c r="BZ212" s="890"/>
      <c r="CA212" s="890"/>
      <c r="CB212" s="890"/>
      <c r="CC212" s="890"/>
      <c r="CD212" s="890"/>
      <c r="CE212" s="893"/>
    </row>
    <row r="213" spans="1:83" x14ac:dyDescent="0.25">
      <c r="B213" s="919"/>
      <c r="D213" s="919"/>
      <c r="P213" s="1658" t="s">
        <v>6534</v>
      </c>
      <c r="AD213" s="919"/>
      <c r="AF213" s="919"/>
      <c r="AR213" s="1658" t="s">
        <v>6535</v>
      </c>
      <c r="BD213" s="919"/>
      <c r="BF213" s="919"/>
      <c r="BR213" s="1658" t="s">
        <v>6531</v>
      </c>
      <c r="CE213" s="893">
        <v>1</v>
      </c>
    </row>
    <row r="214" spans="1:83" x14ac:dyDescent="0.25">
      <c r="B214" s="919"/>
      <c r="D214" s="919"/>
      <c r="P214" s="1659"/>
      <c r="AD214" s="919"/>
      <c r="AF214" s="919"/>
      <c r="AR214" s="1659" t="s">
        <v>5601</v>
      </c>
      <c r="BD214" s="919"/>
      <c r="BF214" s="919"/>
      <c r="BR214" s="1659" t="s">
        <v>5601</v>
      </c>
      <c r="CE214" s="893">
        <v>1</v>
      </c>
    </row>
    <row r="215" spans="1:83" x14ac:dyDescent="0.25">
      <c r="B215" s="919"/>
      <c r="D215" s="919"/>
      <c r="P215" s="1660">
        <v>1</v>
      </c>
      <c r="AD215" s="919"/>
      <c r="AF215" s="919"/>
      <c r="AR215" s="1660" t="s">
        <v>5601</v>
      </c>
      <c r="BD215" s="919"/>
      <c r="BF215" s="919"/>
      <c r="BR215" s="1660" t="s">
        <v>5601</v>
      </c>
      <c r="CE215" s="893">
        <v>1</v>
      </c>
    </row>
    <row r="216" spans="1:83" x14ac:dyDescent="0.25">
      <c r="B216" s="919"/>
      <c r="D216" s="919"/>
      <c r="AD216" s="919"/>
      <c r="AF216" s="919"/>
      <c r="BD216" s="919"/>
      <c r="BF216" s="919"/>
      <c r="CE216" s="893"/>
    </row>
    <row r="217" spans="1:83" x14ac:dyDescent="0.25">
      <c r="B217" s="919"/>
      <c r="D217" s="919"/>
      <c r="P217" s="1658" t="s">
        <v>6536</v>
      </c>
      <c r="AD217" s="919"/>
      <c r="AF217" s="919"/>
      <c r="AR217" s="1658" t="s">
        <v>6537</v>
      </c>
      <c r="BD217" s="919"/>
      <c r="BF217" s="919"/>
      <c r="BR217" s="1658" t="s">
        <v>6538</v>
      </c>
      <c r="CE217" s="893">
        <v>1</v>
      </c>
    </row>
    <row r="218" spans="1:83" x14ac:dyDescent="0.25">
      <c r="B218" s="919"/>
      <c r="D218" s="919"/>
      <c r="P218" s="1659"/>
      <c r="AD218" s="919"/>
      <c r="AF218" s="919"/>
      <c r="AR218" s="1659" t="s">
        <v>5601</v>
      </c>
      <c r="BD218" s="919"/>
      <c r="BF218" s="919"/>
      <c r="BR218" s="1659" t="s">
        <v>5601</v>
      </c>
      <c r="CE218" s="893">
        <v>1</v>
      </c>
    </row>
    <row r="219" spans="1:83" x14ac:dyDescent="0.25">
      <c r="B219" s="919"/>
      <c r="D219" s="919"/>
      <c r="P219" s="1660"/>
      <c r="AD219" s="919"/>
      <c r="AF219" s="919"/>
      <c r="AR219" s="1660" t="s">
        <v>5601</v>
      </c>
      <c r="BD219" s="919"/>
      <c r="BF219" s="919"/>
      <c r="BR219" s="1660" t="s">
        <v>5601</v>
      </c>
      <c r="CE219" s="893">
        <v>1</v>
      </c>
    </row>
    <row r="220" spans="1:83" x14ac:dyDescent="0.25">
      <c r="B220" s="919"/>
      <c r="D220" s="919"/>
      <c r="AD220" s="919"/>
      <c r="AF220" s="919"/>
      <c r="BD220" s="919"/>
      <c r="BF220" s="919"/>
      <c r="CE220" s="893"/>
    </row>
    <row r="221" spans="1:83" ht="15" customHeight="1" x14ac:dyDescent="0.25">
      <c r="B221" s="919"/>
      <c r="D221" s="919"/>
      <c r="AD221" s="919"/>
      <c r="AF221" s="919"/>
      <c r="AR221" s="1658" t="s">
        <v>6539</v>
      </c>
      <c r="BD221" s="919"/>
      <c r="BF221" s="919"/>
      <c r="BR221" s="1658" t="s">
        <v>6540</v>
      </c>
      <c r="CE221" s="893">
        <v>1</v>
      </c>
    </row>
    <row r="222" spans="1:83" ht="15" customHeight="1" x14ac:dyDescent="0.25">
      <c r="B222" s="919"/>
      <c r="D222" s="919"/>
      <c r="T222" s="890"/>
      <c r="V222" s="890"/>
      <c r="X222" s="890"/>
      <c r="AD222" s="919"/>
      <c r="AF222" s="919" t="s">
        <v>5601</v>
      </c>
      <c r="AH222" s="890" t="s">
        <v>5601</v>
      </c>
      <c r="AR222" s="1659" t="s">
        <v>5601</v>
      </c>
      <c r="BD222" s="919"/>
      <c r="BF222" s="919"/>
      <c r="BR222" s="1659" t="s">
        <v>5601</v>
      </c>
      <c r="BY222" s="890"/>
      <c r="CE222" s="893">
        <v>1</v>
      </c>
    </row>
    <row r="223" spans="1:83" x14ac:dyDescent="0.25">
      <c r="B223" s="919"/>
      <c r="D223" s="919"/>
      <c r="T223" s="890"/>
      <c r="V223" s="890"/>
      <c r="X223" s="890"/>
      <c r="AD223" s="919"/>
      <c r="AF223" s="919"/>
      <c r="AR223" s="1660"/>
      <c r="BD223" s="919"/>
      <c r="BF223" s="919"/>
      <c r="BR223" s="1660"/>
      <c r="BY223" s="890"/>
      <c r="CE223" s="893">
        <v>1</v>
      </c>
    </row>
    <row r="224" spans="1:83" x14ac:dyDescent="0.25">
      <c r="B224" s="919"/>
      <c r="D224" s="919"/>
      <c r="T224" s="890"/>
      <c r="V224" s="890"/>
      <c r="X224" s="890"/>
      <c r="AD224" s="919"/>
      <c r="AF224" s="919"/>
      <c r="BD224" s="919"/>
      <c r="BF224" s="919"/>
      <c r="BY224" s="890"/>
      <c r="CE224" s="893">
        <v>1</v>
      </c>
    </row>
    <row r="225" spans="1:85" x14ac:dyDescent="0.25">
      <c r="CE225" s="912" t="s">
        <v>6078</v>
      </c>
      <c r="CF225" s="890"/>
      <c r="CG225" s="890"/>
    </row>
    <row r="226" spans="1:85" x14ac:dyDescent="0.25">
      <c r="A226" s="893">
        <v>1</v>
      </c>
      <c r="B226" s="893">
        <v>1</v>
      </c>
      <c r="C226" s="893"/>
      <c r="D226" s="893">
        <v>1</v>
      </c>
      <c r="E226" s="893">
        <v>1</v>
      </c>
      <c r="F226" s="893">
        <v>1</v>
      </c>
      <c r="G226" s="893">
        <v>1</v>
      </c>
      <c r="H226" s="893">
        <v>1</v>
      </c>
      <c r="I226" s="893">
        <v>1</v>
      </c>
      <c r="J226" s="893">
        <v>1</v>
      </c>
      <c r="K226" s="893"/>
      <c r="L226" s="893">
        <v>1</v>
      </c>
      <c r="M226" s="893"/>
      <c r="N226" s="893">
        <v>1</v>
      </c>
      <c r="O226" s="893">
        <v>1</v>
      </c>
      <c r="P226" s="893">
        <v>1</v>
      </c>
      <c r="Q226" s="893"/>
      <c r="R226" s="893">
        <v>1</v>
      </c>
      <c r="S226" s="893">
        <v>1</v>
      </c>
      <c r="T226" s="893">
        <v>1</v>
      </c>
      <c r="U226" s="893">
        <v>1</v>
      </c>
      <c r="V226" s="893">
        <v>1</v>
      </c>
      <c r="W226" s="893">
        <v>1</v>
      </c>
      <c r="X226" s="893">
        <v>1</v>
      </c>
      <c r="Y226" s="893">
        <v>1</v>
      </c>
      <c r="Z226" s="893">
        <v>1</v>
      </c>
      <c r="AA226" s="893">
        <v>1</v>
      </c>
      <c r="AB226" s="893">
        <v>1</v>
      </c>
      <c r="AC226" s="893">
        <v>1</v>
      </c>
      <c r="AD226" s="893">
        <v>1</v>
      </c>
      <c r="AE226" s="893">
        <v>1</v>
      </c>
      <c r="AF226" s="893">
        <v>1</v>
      </c>
      <c r="AG226" s="893">
        <v>1</v>
      </c>
      <c r="AH226" s="893">
        <v>1</v>
      </c>
      <c r="AI226" s="893">
        <v>1</v>
      </c>
      <c r="AJ226" s="893">
        <v>1</v>
      </c>
      <c r="AK226" s="893">
        <v>1</v>
      </c>
      <c r="AL226" s="893">
        <v>1</v>
      </c>
      <c r="AM226" s="893">
        <v>1</v>
      </c>
      <c r="AN226" s="893">
        <v>1</v>
      </c>
      <c r="AO226" s="893">
        <v>1</v>
      </c>
      <c r="AP226" s="893">
        <v>1</v>
      </c>
      <c r="AQ226" s="893">
        <v>1</v>
      </c>
      <c r="AR226" s="893">
        <v>1</v>
      </c>
      <c r="AS226" s="893">
        <v>1</v>
      </c>
      <c r="AT226" s="893">
        <v>1</v>
      </c>
      <c r="AU226" s="893">
        <v>1</v>
      </c>
      <c r="AV226" s="893">
        <v>1</v>
      </c>
      <c r="AW226" s="893">
        <v>1</v>
      </c>
      <c r="AX226" s="893">
        <v>1</v>
      </c>
      <c r="AY226" s="893">
        <v>1</v>
      </c>
      <c r="AZ226" s="893">
        <v>1</v>
      </c>
      <c r="BA226" s="893"/>
      <c r="BB226" s="893"/>
      <c r="BC226" s="893">
        <v>1</v>
      </c>
      <c r="BD226" s="893">
        <v>1</v>
      </c>
      <c r="BE226" s="893">
        <v>1</v>
      </c>
      <c r="BF226" s="893">
        <v>1</v>
      </c>
      <c r="BG226" s="893">
        <v>1</v>
      </c>
      <c r="BH226" s="893">
        <v>1</v>
      </c>
      <c r="BI226" s="893">
        <v>1</v>
      </c>
      <c r="BJ226" s="893">
        <v>1</v>
      </c>
      <c r="BK226" s="893">
        <v>1</v>
      </c>
      <c r="BL226" s="893">
        <v>1</v>
      </c>
      <c r="BM226" s="893">
        <v>1</v>
      </c>
      <c r="BN226" s="893">
        <v>1</v>
      </c>
      <c r="BO226" s="893">
        <v>1</v>
      </c>
      <c r="BP226" s="893">
        <v>1</v>
      </c>
      <c r="BQ226" s="893">
        <v>1</v>
      </c>
      <c r="BR226" s="893">
        <v>1</v>
      </c>
      <c r="BS226" s="893">
        <v>1</v>
      </c>
      <c r="BT226" s="893">
        <v>1</v>
      </c>
      <c r="BU226" s="893">
        <v>1</v>
      </c>
      <c r="BV226" s="893">
        <v>1</v>
      </c>
      <c r="BW226" s="893">
        <v>1</v>
      </c>
      <c r="BX226" s="893">
        <v>1</v>
      </c>
      <c r="BY226" s="893">
        <v>1</v>
      </c>
      <c r="BZ226" s="893">
        <v>1</v>
      </c>
      <c r="CA226" s="893">
        <v>1</v>
      </c>
      <c r="CB226" s="893">
        <v>1</v>
      </c>
      <c r="CC226" s="893"/>
      <c r="CD226" s="893">
        <v>1</v>
      </c>
      <c r="CE226" s="888" t="str">
        <f>ADDRESS(ROW(),COLUMN(),4)</f>
        <v>CE226</v>
      </c>
      <c r="CF226" s="913"/>
      <c r="CG226" s="914" t="str">
        <f>ADDRESS(ROW(),COLUMN(),4)</f>
        <v>CG226</v>
      </c>
    </row>
  </sheetData>
  <mergeCells count="1069">
    <mergeCell ref="BP13:BP15"/>
    <mergeCell ref="BR13:BR15"/>
    <mergeCell ref="BT13:BT15"/>
    <mergeCell ref="BV13:BV15"/>
    <mergeCell ref="AV13:AV15"/>
    <mergeCell ref="AD13:AD15"/>
    <mergeCell ref="AN13:AN15"/>
    <mergeCell ref="AP13:AP15"/>
    <mergeCell ref="AR13:AR15"/>
    <mergeCell ref="AL21:AL23"/>
    <mergeCell ref="AN21:AN23"/>
    <mergeCell ref="AP21:AP23"/>
    <mergeCell ref="AR21:AR23"/>
    <mergeCell ref="AV21:AV23"/>
    <mergeCell ref="AT13:AT15"/>
    <mergeCell ref="AT17:AT19"/>
    <mergeCell ref="AT21:AT23"/>
    <mergeCell ref="AZ17:AZ19"/>
    <mergeCell ref="AZ21:AZ23"/>
    <mergeCell ref="BN17:BN19"/>
    <mergeCell ref="BP17:BP19"/>
    <mergeCell ref="BR17:BR19"/>
    <mergeCell ref="BT17:BT19"/>
    <mergeCell ref="BF21:BF23"/>
    <mergeCell ref="BH21:BH23"/>
    <mergeCell ref="BJ21:BJ23"/>
    <mergeCell ref="BL21:BL23"/>
    <mergeCell ref="BN21:BN23"/>
    <mergeCell ref="BP21:BP23"/>
    <mergeCell ref="AR29:AR31"/>
    <mergeCell ref="AV29:AV31"/>
    <mergeCell ref="AT29:AT31"/>
    <mergeCell ref="AT33:AT35"/>
    <mergeCell ref="BJ33:BJ35"/>
    <mergeCell ref="BL33:BL35"/>
    <mergeCell ref="BN33:BN35"/>
    <mergeCell ref="BP33:BP35"/>
    <mergeCell ref="BR33:BR35"/>
    <mergeCell ref="BR21:BR23"/>
    <mergeCell ref="BT21:BT23"/>
    <mergeCell ref="BB21:BB23"/>
    <mergeCell ref="AD21:AD23"/>
    <mergeCell ref="AF21:AF23"/>
    <mergeCell ref="AH21:AH23"/>
    <mergeCell ref="AJ21:AJ23"/>
    <mergeCell ref="AV17:AV19"/>
    <mergeCell ref="AD17:AD19"/>
    <mergeCell ref="AN17:AN19"/>
    <mergeCell ref="AP17:AP19"/>
    <mergeCell ref="AR17:AR19"/>
    <mergeCell ref="AR25:AR27"/>
    <mergeCell ref="AV25:AV27"/>
    <mergeCell ref="AF29:AF31"/>
    <mergeCell ref="AH29:AH31"/>
    <mergeCell ref="AJ29:AJ31"/>
    <mergeCell ref="AL29:AL31"/>
    <mergeCell ref="AN29:AN31"/>
    <mergeCell ref="AP29:AP31"/>
    <mergeCell ref="AF25:AF27"/>
    <mergeCell ref="AH25:AH27"/>
    <mergeCell ref="AJ25:AJ27"/>
    <mergeCell ref="AN53:AN55"/>
    <mergeCell ref="AP53:AP55"/>
    <mergeCell ref="AZ37:AZ39"/>
    <mergeCell ref="AZ41:AZ43"/>
    <mergeCell ref="AZ45:AZ47"/>
    <mergeCell ref="AZ49:AZ51"/>
    <mergeCell ref="BD49:BD51"/>
    <mergeCell ref="S33:S35"/>
    <mergeCell ref="AF33:AF35"/>
    <mergeCell ref="AH33:AH35"/>
    <mergeCell ref="AJ33:AJ35"/>
    <mergeCell ref="BT33:BT35"/>
    <mergeCell ref="AV33:AV35"/>
    <mergeCell ref="BF33:BF35"/>
    <mergeCell ref="AL33:AL35"/>
    <mergeCell ref="AN33:AN35"/>
    <mergeCell ref="AP33:AP35"/>
    <mergeCell ref="AR33:AR35"/>
    <mergeCell ref="AF45:AF47"/>
    <mergeCell ref="AF53:AF55"/>
    <mergeCell ref="BD53:BD55"/>
    <mergeCell ref="AJ37:AJ39"/>
    <mergeCell ref="AL37:AL39"/>
    <mergeCell ref="Y49:Y51"/>
    <mergeCell ref="BX49:BX51"/>
    <mergeCell ref="BZ49:BZ51"/>
    <mergeCell ref="CB49:CB51"/>
    <mergeCell ref="AV49:AV51"/>
    <mergeCell ref="BR41:BR43"/>
    <mergeCell ref="BT41:BT43"/>
    <mergeCell ref="AF41:AF43"/>
    <mergeCell ref="AH41:AH43"/>
    <mergeCell ref="AJ41:AJ43"/>
    <mergeCell ref="AL41:AL43"/>
    <mergeCell ref="BF37:BF39"/>
    <mergeCell ref="BH37:BH39"/>
    <mergeCell ref="BJ37:BJ39"/>
    <mergeCell ref="BL37:BL39"/>
    <mergeCell ref="AR37:AR39"/>
    <mergeCell ref="AV37:AV39"/>
    <mergeCell ref="AV41:AV43"/>
    <mergeCell ref="BP49:BP51"/>
    <mergeCell ref="BR49:BR51"/>
    <mergeCell ref="BT49:BT51"/>
    <mergeCell ref="BP41:BP43"/>
    <mergeCell ref="AN37:AN39"/>
    <mergeCell ref="AP37:AP39"/>
    <mergeCell ref="AN49:AN51"/>
    <mergeCell ref="AP49:AP51"/>
    <mergeCell ref="AR49:AR51"/>
    <mergeCell ref="AN45:AN47"/>
    <mergeCell ref="AP45:AP47"/>
    <mergeCell ref="AR45:AR47"/>
    <mergeCell ref="AN41:AN43"/>
    <mergeCell ref="AP41:AP43"/>
    <mergeCell ref="AR41:AR43"/>
    <mergeCell ref="AR61:AR63"/>
    <mergeCell ref="AV61:AV63"/>
    <mergeCell ref="AT61:AT63"/>
    <mergeCell ref="BR57:BR59"/>
    <mergeCell ref="BT57:BT59"/>
    <mergeCell ref="BV57:BV59"/>
    <mergeCell ref="BX57:BX59"/>
    <mergeCell ref="AA49:AA51"/>
    <mergeCell ref="AD49:AD51"/>
    <mergeCell ref="AD53:AD55"/>
    <mergeCell ref="AD57:AD59"/>
    <mergeCell ref="BV53:BV55"/>
    <mergeCell ref="BX53:BX55"/>
    <mergeCell ref="BF53:BF55"/>
    <mergeCell ref="BH53:BH55"/>
    <mergeCell ref="BJ53:BJ55"/>
    <mergeCell ref="BL53:BL55"/>
    <mergeCell ref="AV53:AV55"/>
    <mergeCell ref="AH61:AH63"/>
    <mergeCell ref="AJ61:AJ63"/>
    <mergeCell ref="AL61:AL63"/>
    <mergeCell ref="AN61:AN63"/>
    <mergeCell ref="AP61:AP63"/>
    <mergeCell ref="AF57:AF59"/>
    <mergeCell ref="AH57:AH59"/>
    <mergeCell ref="AJ57:AJ59"/>
    <mergeCell ref="AL57:AL59"/>
    <mergeCell ref="AN57:AN59"/>
    <mergeCell ref="AP57:AP59"/>
    <mergeCell ref="AH53:AH55"/>
    <mergeCell ref="AJ53:AJ55"/>
    <mergeCell ref="BV49:BV51"/>
    <mergeCell ref="AD89:AD91"/>
    <mergeCell ref="AV89:AV91"/>
    <mergeCell ref="BV81:BV83"/>
    <mergeCell ref="BX81:BX83"/>
    <mergeCell ref="BF81:BF83"/>
    <mergeCell ref="BH81:BH83"/>
    <mergeCell ref="BJ81:BJ83"/>
    <mergeCell ref="AF81:AF83"/>
    <mergeCell ref="AH81:AH83"/>
    <mergeCell ref="AJ81:AJ83"/>
    <mergeCell ref="AN81:AN83"/>
    <mergeCell ref="BR77:BR79"/>
    <mergeCell ref="BT77:BT79"/>
    <mergeCell ref="BV77:BV79"/>
    <mergeCell ref="BX77:BX79"/>
    <mergeCell ref="AF77:AF79"/>
    <mergeCell ref="AH77:AH79"/>
    <mergeCell ref="AJ77:AJ79"/>
    <mergeCell ref="AL77:AL79"/>
    <mergeCell ref="AF89:AF91"/>
    <mergeCell ref="AH89:AH91"/>
    <mergeCell ref="AJ89:AJ91"/>
    <mergeCell ref="AN89:AN91"/>
    <mergeCell ref="AP89:AP91"/>
    <mergeCell ref="AR89:AR91"/>
    <mergeCell ref="AP81:AP83"/>
    <mergeCell ref="AR81:AR83"/>
    <mergeCell ref="AV81:AV83"/>
    <mergeCell ref="AF85:AF87"/>
    <mergeCell ref="AH85:AH87"/>
    <mergeCell ref="AJ85:AJ87"/>
    <mergeCell ref="AN85:AN87"/>
    <mergeCell ref="BV97:BV99"/>
    <mergeCell ref="BX97:BX99"/>
    <mergeCell ref="AX97:AX99"/>
    <mergeCell ref="BD97:BD99"/>
    <mergeCell ref="AD97:AD99"/>
    <mergeCell ref="AF97:AF99"/>
    <mergeCell ref="AH97:AH99"/>
    <mergeCell ref="AJ97:AJ99"/>
    <mergeCell ref="BF93:BF95"/>
    <mergeCell ref="BH93:BH95"/>
    <mergeCell ref="BJ93:BJ95"/>
    <mergeCell ref="BN93:BN95"/>
    <mergeCell ref="AD93:AD95"/>
    <mergeCell ref="AF93:AF95"/>
    <mergeCell ref="AH93:AH95"/>
    <mergeCell ref="AJ93:AJ95"/>
    <mergeCell ref="BT101:BT103"/>
    <mergeCell ref="BP93:BP95"/>
    <mergeCell ref="BR93:BR95"/>
    <mergeCell ref="BT93:BT95"/>
    <mergeCell ref="BF97:BF99"/>
    <mergeCell ref="BH97:BH99"/>
    <mergeCell ref="BJ97:BJ99"/>
    <mergeCell ref="BN97:BN99"/>
    <mergeCell ref="BP97:BP99"/>
    <mergeCell ref="BR97:BR99"/>
    <mergeCell ref="BT97:BT99"/>
    <mergeCell ref="P153:P155"/>
    <mergeCell ref="P157:P159"/>
    <mergeCell ref="BP113:BP115"/>
    <mergeCell ref="BR113:BR115"/>
    <mergeCell ref="BF113:BF115"/>
    <mergeCell ref="BH113:BH115"/>
    <mergeCell ref="BJ113:BJ115"/>
    <mergeCell ref="BR109:BR111"/>
    <mergeCell ref="BF109:BF111"/>
    <mergeCell ref="BH109:BH111"/>
    <mergeCell ref="BJ109:BJ111"/>
    <mergeCell ref="BP109:BP111"/>
    <mergeCell ref="AF109:AF111"/>
    <mergeCell ref="AH109:AH111"/>
    <mergeCell ref="AJ109:AJ111"/>
    <mergeCell ref="AP109:AP111"/>
    <mergeCell ref="BD101:BD103"/>
    <mergeCell ref="BF101:BF103"/>
    <mergeCell ref="BH101:BH103"/>
    <mergeCell ref="BJ101:BJ103"/>
    <mergeCell ref="BN101:BN103"/>
    <mergeCell ref="BP101:BP103"/>
    <mergeCell ref="BR101:BR103"/>
    <mergeCell ref="BF105:BF107"/>
    <mergeCell ref="BH105:BH107"/>
    <mergeCell ref="BJ105:BJ107"/>
    <mergeCell ref="BN105:BN107"/>
    <mergeCell ref="BP105:BP107"/>
    <mergeCell ref="BR105:BR107"/>
    <mergeCell ref="AD101:AD103"/>
    <mergeCell ref="AF101:AF103"/>
    <mergeCell ref="AH101:AH103"/>
    <mergeCell ref="N25:N27"/>
    <mergeCell ref="N29:N31"/>
    <mergeCell ref="AR217:AR219"/>
    <mergeCell ref="BR217:BR219"/>
    <mergeCell ref="AR213:AR215"/>
    <mergeCell ref="BR213:BR215"/>
    <mergeCell ref="AR205:AR207"/>
    <mergeCell ref="AR209:AR211"/>
    <mergeCell ref="N157:N159"/>
    <mergeCell ref="D157:D159"/>
    <mergeCell ref="AF157:AF159"/>
    <mergeCell ref="AP157:AP159"/>
    <mergeCell ref="N129:N131"/>
    <mergeCell ref="BF153:BF155"/>
    <mergeCell ref="BP153:BP155"/>
    <mergeCell ref="N125:N127"/>
    <mergeCell ref="BF141:BF143"/>
    <mergeCell ref="BP141:BP143"/>
    <mergeCell ref="BR141:BR143"/>
    <mergeCell ref="AF133:AF135"/>
    <mergeCell ref="AH133:AH135"/>
    <mergeCell ref="AJ133:AJ135"/>
    <mergeCell ref="AP133:AP135"/>
    <mergeCell ref="BD129:BD131"/>
    <mergeCell ref="N185:N187"/>
    <mergeCell ref="P173:P175"/>
    <mergeCell ref="P177:P179"/>
    <mergeCell ref="P181:P183"/>
    <mergeCell ref="P185:P187"/>
    <mergeCell ref="P189:P191"/>
    <mergeCell ref="P145:P147"/>
    <mergeCell ref="P149:P151"/>
    <mergeCell ref="N169:N171"/>
    <mergeCell ref="N173:N175"/>
    <mergeCell ref="N177:N179"/>
    <mergeCell ref="N181:N183"/>
    <mergeCell ref="N133:N135"/>
    <mergeCell ref="N137:N139"/>
    <mergeCell ref="N141:N143"/>
    <mergeCell ref="N145:N147"/>
    <mergeCell ref="N149:N151"/>
    <mergeCell ref="N153:N155"/>
    <mergeCell ref="N101:N103"/>
    <mergeCell ref="N105:N107"/>
    <mergeCell ref="N109:N111"/>
    <mergeCell ref="N113:N115"/>
    <mergeCell ref="N117:N119"/>
    <mergeCell ref="N121:N123"/>
    <mergeCell ref="N77:N79"/>
    <mergeCell ref="N81:N83"/>
    <mergeCell ref="N85:N87"/>
    <mergeCell ref="N89:N91"/>
    <mergeCell ref="N93:N95"/>
    <mergeCell ref="N97:N99"/>
    <mergeCell ref="P49:P51"/>
    <mergeCell ref="P53:P55"/>
    <mergeCell ref="P57:P59"/>
    <mergeCell ref="P61:P63"/>
    <mergeCell ref="P65:P67"/>
    <mergeCell ref="P69:P71"/>
    <mergeCell ref="P13:P15"/>
    <mergeCell ref="P17:P19"/>
    <mergeCell ref="P21:P23"/>
    <mergeCell ref="P25:P27"/>
    <mergeCell ref="P29:P31"/>
    <mergeCell ref="P33:P35"/>
    <mergeCell ref="P37:P39"/>
    <mergeCell ref="P41:P43"/>
    <mergeCell ref="P45:P47"/>
    <mergeCell ref="N161:N163"/>
    <mergeCell ref="N165:N167"/>
    <mergeCell ref="P97:P99"/>
    <mergeCell ref="N53:N55"/>
    <mergeCell ref="N57:N59"/>
    <mergeCell ref="N61:N63"/>
    <mergeCell ref="N65:N67"/>
    <mergeCell ref="N69:N71"/>
    <mergeCell ref="N73:N75"/>
    <mergeCell ref="N33:N35"/>
    <mergeCell ref="N37:N39"/>
    <mergeCell ref="N41:N43"/>
    <mergeCell ref="N45:N47"/>
    <mergeCell ref="N49:N51"/>
    <mergeCell ref="N13:N15"/>
    <mergeCell ref="N17:N19"/>
    <mergeCell ref="N21:N23"/>
    <mergeCell ref="L101:L103"/>
    <mergeCell ref="L105:L107"/>
    <mergeCell ref="L73:L75"/>
    <mergeCell ref="L77:L79"/>
    <mergeCell ref="L81:L83"/>
    <mergeCell ref="L85:L87"/>
    <mergeCell ref="L89:L91"/>
    <mergeCell ref="L93:L95"/>
    <mergeCell ref="P101:P103"/>
    <mergeCell ref="P105:P107"/>
    <mergeCell ref="P109:P111"/>
    <mergeCell ref="P113:P115"/>
    <mergeCell ref="P117:P119"/>
    <mergeCell ref="P73:P75"/>
    <mergeCell ref="P77:P79"/>
    <mergeCell ref="P81:P83"/>
    <mergeCell ref="P85:P87"/>
    <mergeCell ref="P89:P91"/>
    <mergeCell ref="P93:P95"/>
    <mergeCell ref="L49:L51"/>
    <mergeCell ref="L53:L55"/>
    <mergeCell ref="L57:L59"/>
    <mergeCell ref="L61:L63"/>
    <mergeCell ref="L65:L67"/>
    <mergeCell ref="L69:L71"/>
    <mergeCell ref="P217:P219"/>
    <mergeCell ref="L13:L15"/>
    <mergeCell ref="L17:L19"/>
    <mergeCell ref="L21:L23"/>
    <mergeCell ref="L25:L27"/>
    <mergeCell ref="L29:L31"/>
    <mergeCell ref="L33:L35"/>
    <mergeCell ref="L37:L39"/>
    <mergeCell ref="L41:L43"/>
    <mergeCell ref="L45:L47"/>
    <mergeCell ref="P193:P195"/>
    <mergeCell ref="P197:P199"/>
    <mergeCell ref="P201:P203"/>
    <mergeCell ref="P205:P207"/>
    <mergeCell ref="P209:P211"/>
    <mergeCell ref="P213:P215"/>
    <mergeCell ref="P169:P171"/>
    <mergeCell ref="P161:P163"/>
    <mergeCell ref="P165:P167"/>
    <mergeCell ref="P121:P123"/>
    <mergeCell ref="P125:P127"/>
    <mergeCell ref="P129:P131"/>
    <mergeCell ref="P133:P135"/>
    <mergeCell ref="P137:P139"/>
    <mergeCell ref="P141:P143"/>
    <mergeCell ref="L97:L99"/>
    <mergeCell ref="H53:H55"/>
    <mergeCell ref="H57:H59"/>
    <mergeCell ref="H13:H15"/>
    <mergeCell ref="H17:H19"/>
    <mergeCell ref="H21:H23"/>
    <mergeCell ref="H25:H27"/>
    <mergeCell ref="H29:H31"/>
    <mergeCell ref="H33:H35"/>
    <mergeCell ref="J57:J59"/>
    <mergeCell ref="J61:J63"/>
    <mergeCell ref="J65:J67"/>
    <mergeCell ref="J69:J71"/>
    <mergeCell ref="J73:J75"/>
    <mergeCell ref="J77:J79"/>
    <mergeCell ref="J33:J35"/>
    <mergeCell ref="J37:J39"/>
    <mergeCell ref="J41:J43"/>
    <mergeCell ref="J45:J47"/>
    <mergeCell ref="J49:J51"/>
    <mergeCell ref="J53:J55"/>
    <mergeCell ref="J13:J15"/>
    <mergeCell ref="J17:J19"/>
    <mergeCell ref="J21:J23"/>
    <mergeCell ref="J25:J27"/>
    <mergeCell ref="J29:J31"/>
    <mergeCell ref="H133:H135"/>
    <mergeCell ref="H137:H139"/>
    <mergeCell ref="F13:F15"/>
    <mergeCell ref="F17:F19"/>
    <mergeCell ref="F21:F23"/>
    <mergeCell ref="F25:F27"/>
    <mergeCell ref="F29:F31"/>
    <mergeCell ref="F33:F35"/>
    <mergeCell ref="F37:F39"/>
    <mergeCell ref="F41:F43"/>
    <mergeCell ref="H109:H111"/>
    <mergeCell ref="H113:H115"/>
    <mergeCell ref="H117:H119"/>
    <mergeCell ref="H121:H123"/>
    <mergeCell ref="H125:H127"/>
    <mergeCell ref="H129:H131"/>
    <mergeCell ref="H85:H87"/>
    <mergeCell ref="H89:H91"/>
    <mergeCell ref="H93:H95"/>
    <mergeCell ref="H97:H99"/>
    <mergeCell ref="H101:H103"/>
    <mergeCell ref="H105:H107"/>
    <mergeCell ref="H61:H63"/>
    <mergeCell ref="H65:H67"/>
    <mergeCell ref="H69:H71"/>
    <mergeCell ref="H73:H75"/>
    <mergeCell ref="H77:H79"/>
    <mergeCell ref="H81:H83"/>
    <mergeCell ref="H37:H39"/>
    <mergeCell ref="H41:H43"/>
    <mergeCell ref="H45:H47"/>
    <mergeCell ref="H49:H51"/>
    <mergeCell ref="F129:F131"/>
    <mergeCell ref="F133:F135"/>
    <mergeCell ref="F137:F139"/>
    <mergeCell ref="F93:F95"/>
    <mergeCell ref="F97:F99"/>
    <mergeCell ref="F101:F103"/>
    <mergeCell ref="F105:F107"/>
    <mergeCell ref="F109:F111"/>
    <mergeCell ref="F113:F115"/>
    <mergeCell ref="F69:F71"/>
    <mergeCell ref="F73:F75"/>
    <mergeCell ref="F77:F79"/>
    <mergeCell ref="F81:F83"/>
    <mergeCell ref="F85:F87"/>
    <mergeCell ref="F89:F91"/>
    <mergeCell ref="F45:F47"/>
    <mergeCell ref="F49:F51"/>
    <mergeCell ref="F53:F55"/>
    <mergeCell ref="F57:F59"/>
    <mergeCell ref="F61:F63"/>
    <mergeCell ref="F65:F67"/>
    <mergeCell ref="D77:D79"/>
    <mergeCell ref="D81:D83"/>
    <mergeCell ref="D37:D39"/>
    <mergeCell ref="D41:D43"/>
    <mergeCell ref="D45:D47"/>
    <mergeCell ref="D49:D51"/>
    <mergeCell ref="D53:D55"/>
    <mergeCell ref="D57:D59"/>
    <mergeCell ref="D13:D15"/>
    <mergeCell ref="D17:D19"/>
    <mergeCell ref="D21:D23"/>
    <mergeCell ref="D25:D27"/>
    <mergeCell ref="D29:D31"/>
    <mergeCell ref="D33:D35"/>
    <mergeCell ref="F117:F119"/>
    <mergeCell ref="F121:F123"/>
    <mergeCell ref="F125:F127"/>
    <mergeCell ref="B61:B63"/>
    <mergeCell ref="B65:B67"/>
    <mergeCell ref="B13:B15"/>
    <mergeCell ref="B17:B19"/>
    <mergeCell ref="B21:B23"/>
    <mergeCell ref="B25:B27"/>
    <mergeCell ref="B29:B31"/>
    <mergeCell ref="B33:B35"/>
    <mergeCell ref="B37:B39"/>
    <mergeCell ref="B41:B43"/>
    <mergeCell ref="D133:D135"/>
    <mergeCell ref="D137:D139"/>
    <mergeCell ref="D141:D143"/>
    <mergeCell ref="D145:D147"/>
    <mergeCell ref="D149:D151"/>
    <mergeCell ref="D153:D155"/>
    <mergeCell ref="D109:D111"/>
    <mergeCell ref="D113:D115"/>
    <mergeCell ref="D117:D119"/>
    <mergeCell ref="D121:D123"/>
    <mergeCell ref="D125:D127"/>
    <mergeCell ref="D129:D131"/>
    <mergeCell ref="D85:D87"/>
    <mergeCell ref="D89:D91"/>
    <mergeCell ref="D93:D95"/>
    <mergeCell ref="D97:D99"/>
    <mergeCell ref="D101:D103"/>
    <mergeCell ref="D105:D107"/>
    <mergeCell ref="D61:D63"/>
    <mergeCell ref="D65:D67"/>
    <mergeCell ref="D69:D71"/>
    <mergeCell ref="D73:D75"/>
    <mergeCell ref="W57:W59"/>
    <mergeCell ref="W61:W63"/>
    <mergeCell ref="W65:W67"/>
    <mergeCell ref="W69:W71"/>
    <mergeCell ref="U97:U99"/>
    <mergeCell ref="U101:U103"/>
    <mergeCell ref="S13:S15"/>
    <mergeCell ref="S17:S19"/>
    <mergeCell ref="S21:S23"/>
    <mergeCell ref="S25:S27"/>
    <mergeCell ref="S29:S31"/>
    <mergeCell ref="B117:B119"/>
    <mergeCell ref="B121:B123"/>
    <mergeCell ref="B125:B127"/>
    <mergeCell ref="B129:B131"/>
    <mergeCell ref="B133:B135"/>
    <mergeCell ref="B93:B95"/>
    <mergeCell ref="B97:B99"/>
    <mergeCell ref="B101:B103"/>
    <mergeCell ref="B105:B107"/>
    <mergeCell ref="B109:B111"/>
    <mergeCell ref="B113:B115"/>
    <mergeCell ref="B69:B71"/>
    <mergeCell ref="B73:B75"/>
    <mergeCell ref="B77:B79"/>
    <mergeCell ref="B81:B83"/>
    <mergeCell ref="B85:B87"/>
    <mergeCell ref="B89:B91"/>
    <mergeCell ref="B45:B47"/>
    <mergeCell ref="B49:B51"/>
    <mergeCell ref="B53:B55"/>
    <mergeCell ref="B57:B59"/>
    <mergeCell ref="S85:S87"/>
    <mergeCell ref="S89:S91"/>
    <mergeCell ref="S93:S95"/>
    <mergeCell ref="S97:S99"/>
    <mergeCell ref="S101:S103"/>
    <mergeCell ref="S61:S63"/>
    <mergeCell ref="S65:S67"/>
    <mergeCell ref="S69:S71"/>
    <mergeCell ref="S73:S75"/>
    <mergeCell ref="S77:S79"/>
    <mergeCell ref="S81:S83"/>
    <mergeCell ref="S37:S39"/>
    <mergeCell ref="S41:S43"/>
    <mergeCell ref="S45:S47"/>
    <mergeCell ref="S49:S51"/>
    <mergeCell ref="S53:S55"/>
    <mergeCell ref="S57:S59"/>
    <mergeCell ref="W13:W15"/>
    <mergeCell ref="W17:W19"/>
    <mergeCell ref="W21:W23"/>
    <mergeCell ref="W25:W27"/>
    <mergeCell ref="W29:W31"/>
    <mergeCell ref="W33:W35"/>
    <mergeCell ref="W37:W39"/>
    <mergeCell ref="W41:W43"/>
    <mergeCell ref="U73:U75"/>
    <mergeCell ref="U77:U79"/>
    <mergeCell ref="U81:U83"/>
    <mergeCell ref="U85:U87"/>
    <mergeCell ref="U89:U91"/>
    <mergeCell ref="U93:U95"/>
    <mergeCell ref="U49:U51"/>
    <mergeCell ref="U53:U55"/>
    <mergeCell ref="U57:U59"/>
    <mergeCell ref="U61:U63"/>
    <mergeCell ref="U65:U67"/>
    <mergeCell ref="U69:U71"/>
    <mergeCell ref="U13:U15"/>
    <mergeCell ref="U17:U19"/>
    <mergeCell ref="U21:U23"/>
    <mergeCell ref="U25:U27"/>
    <mergeCell ref="U29:U31"/>
    <mergeCell ref="U33:U35"/>
    <mergeCell ref="U37:U39"/>
    <mergeCell ref="U41:U43"/>
    <mergeCell ref="U45:U47"/>
    <mergeCell ref="W45:W47"/>
    <mergeCell ref="W49:W51"/>
    <mergeCell ref="W53:W55"/>
    <mergeCell ref="Y13:Y15"/>
    <mergeCell ref="AA13:AA15"/>
    <mergeCell ref="AA21:AA23"/>
    <mergeCell ref="AA25:AA27"/>
    <mergeCell ref="AA29:AA31"/>
    <mergeCell ref="AA33:AA35"/>
    <mergeCell ref="AA37:AA39"/>
    <mergeCell ref="AA41:AA43"/>
    <mergeCell ref="AA45:AA47"/>
    <mergeCell ref="AD61:AD63"/>
    <mergeCell ref="AD45:AD47"/>
    <mergeCell ref="AL53:AL55"/>
    <mergeCell ref="AH45:AH47"/>
    <mergeCell ref="AJ45:AJ47"/>
    <mergeCell ref="AL45:AL47"/>
    <mergeCell ref="AD129:AD131"/>
    <mergeCell ref="W97:W99"/>
    <mergeCell ref="W101:W103"/>
    <mergeCell ref="Y17:Y19"/>
    <mergeCell ref="Y21:Y23"/>
    <mergeCell ref="Y25:Y27"/>
    <mergeCell ref="Y29:Y31"/>
    <mergeCell ref="Y33:Y35"/>
    <mergeCell ref="Y37:Y39"/>
    <mergeCell ref="Y41:Y43"/>
    <mergeCell ref="Y45:Y47"/>
    <mergeCell ref="W73:W75"/>
    <mergeCell ref="W77:W79"/>
    <mergeCell ref="W81:W83"/>
    <mergeCell ref="W85:W87"/>
    <mergeCell ref="W89:W91"/>
    <mergeCell ref="W93:W95"/>
    <mergeCell ref="AD133:AD135"/>
    <mergeCell ref="AF13:AF15"/>
    <mergeCell ref="AH13:AH15"/>
    <mergeCell ref="AJ13:AJ15"/>
    <mergeCell ref="AL13:AL15"/>
    <mergeCell ref="AF17:AF19"/>
    <mergeCell ref="AH17:AH19"/>
    <mergeCell ref="AJ17:AJ19"/>
    <mergeCell ref="AL17:AL19"/>
    <mergeCell ref="AD105:AD107"/>
    <mergeCell ref="AD109:AD111"/>
    <mergeCell ref="AD113:AD115"/>
    <mergeCell ref="AD117:AD119"/>
    <mergeCell ref="AD121:AD123"/>
    <mergeCell ref="AD125:AD127"/>
    <mergeCell ref="AD65:AD67"/>
    <mergeCell ref="AD69:AD71"/>
    <mergeCell ref="AD73:AD75"/>
    <mergeCell ref="AD77:AD79"/>
    <mergeCell ref="AF125:AF127"/>
    <mergeCell ref="AH125:AH127"/>
    <mergeCell ref="AJ125:AJ127"/>
    <mergeCell ref="AD81:AD83"/>
    <mergeCell ref="AD85:AD87"/>
    <mergeCell ref="AD25:AD27"/>
    <mergeCell ref="AD29:AD31"/>
    <mergeCell ref="AD33:AD35"/>
    <mergeCell ref="AD37:AD39"/>
    <mergeCell ref="AD41:AD43"/>
    <mergeCell ref="AF37:AF39"/>
    <mergeCell ref="AH37:AH39"/>
    <mergeCell ref="AF61:AF63"/>
    <mergeCell ref="AT25:AT27"/>
    <mergeCell ref="AN73:AN75"/>
    <mergeCell ref="AP73:AP75"/>
    <mergeCell ref="AR73:AR75"/>
    <mergeCell ref="AV73:AV75"/>
    <mergeCell ref="AF69:AF71"/>
    <mergeCell ref="AH69:AH71"/>
    <mergeCell ref="AJ69:AJ71"/>
    <mergeCell ref="AL69:AL71"/>
    <mergeCell ref="AN69:AN71"/>
    <mergeCell ref="AP69:AP71"/>
    <mergeCell ref="AR69:AR71"/>
    <mergeCell ref="AV69:AV71"/>
    <mergeCell ref="AF65:AF67"/>
    <mergeCell ref="AH65:AH67"/>
    <mergeCell ref="AJ65:AJ67"/>
    <mergeCell ref="AL65:AL67"/>
    <mergeCell ref="AN65:AN67"/>
    <mergeCell ref="AP65:AP67"/>
    <mergeCell ref="AR65:AR67"/>
    <mergeCell ref="AV65:AV67"/>
    <mergeCell ref="AF73:AF75"/>
    <mergeCell ref="AH73:AH75"/>
    <mergeCell ref="AJ73:AJ75"/>
    <mergeCell ref="AL73:AL75"/>
    <mergeCell ref="AL25:AL27"/>
    <mergeCell ref="AN25:AN27"/>
    <mergeCell ref="AP25:AP27"/>
    <mergeCell ref="AF49:AF51"/>
    <mergeCell ref="AH49:AH51"/>
    <mergeCell ref="AJ49:AJ51"/>
    <mergeCell ref="AL49:AL51"/>
    <mergeCell ref="AN77:AN79"/>
    <mergeCell ref="AP77:AP79"/>
    <mergeCell ref="AR77:AR79"/>
    <mergeCell ref="AV77:AV79"/>
    <mergeCell ref="AF105:AF107"/>
    <mergeCell ref="AH105:AH107"/>
    <mergeCell ref="AJ105:AJ107"/>
    <mergeCell ref="AN105:AN107"/>
    <mergeCell ref="AP105:AP107"/>
    <mergeCell ref="AR105:AR107"/>
    <mergeCell ref="AN101:AN103"/>
    <mergeCell ref="AP101:AP103"/>
    <mergeCell ref="AR101:AR103"/>
    <mergeCell ref="AV101:AV103"/>
    <mergeCell ref="AN97:AN99"/>
    <mergeCell ref="AP97:AP99"/>
    <mergeCell ref="AR97:AR99"/>
    <mergeCell ref="AV97:AV99"/>
    <mergeCell ref="AN93:AN95"/>
    <mergeCell ref="AP93:AP95"/>
    <mergeCell ref="AR93:AR95"/>
    <mergeCell ref="AV93:AV95"/>
    <mergeCell ref="AJ101:AJ103"/>
    <mergeCell ref="AP125:AP127"/>
    <mergeCell ref="AR125:AR127"/>
    <mergeCell ref="AF129:AF131"/>
    <mergeCell ref="AH129:AH131"/>
    <mergeCell ref="AJ129:AJ131"/>
    <mergeCell ref="AP129:AP131"/>
    <mergeCell ref="AR129:AR131"/>
    <mergeCell ref="AR117:AR119"/>
    <mergeCell ref="AF121:AF123"/>
    <mergeCell ref="AH121:AH123"/>
    <mergeCell ref="AJ121:AJ123"/>
    <mergeCell ref="AP121:AP123"/>
    <mergeCell ref="AR121:AR123"/>
    <mergeCell ref="AR109:AR111"/>
    <mergeCell ref="AF113:AF115"/>
    <mergeCell ref="AH113:AH115"/>
    <mergeCell ref="AJ113:AJ115"/>
    <mergeCell ref="AP113:AP115"/>
    <mergeCell ref="AR113:AR115"/>
    <mergeCell ref="AF117:AF119"/>
    <mergeCell ref="AH117:AH119"/>
    <mergeCell ref="AJ117:AJ119"/>
    <mergeCell ref="AP117:AP119"/>
    <mergeCell ref="AF149:AF151"/>
    <mergeCell ref="AP149:AP151"/>
    <mergeCell ref="AR149:AR151"/>
    <mergeCell ref="AF153:AF155"/>
    <mergeCell ref="AP153:AP155"/>
    <mergeCell ref="AR153:AR155"/>
    <mergeCell ref="AF141:AF143"/>
    <mergeCell ref="AP141:AP143"/>
    <mergeCell ref="AR141:AR143"/>
    <mergeCell ref="AF145:AF147"/>
    <mergeCell ref="AP145:AP147"/>
    <mergeCell ref="AR145:AR147"/>
    <mergeCell ref="AR133:AR135"/>
    <mergeCell ref="AF137:AF139"/>
    <mergeCell ref="AH137:AH139"/>
    <mergeCell ref="AJ137:AJ139"/>
    <mergeCell ref="AP137:AP139"/>
    <mergeCell ref="AR137:AR139"/>
    <mergeCell ref="AR189:AR191"/>
    <mergeCell ref="AR193:AR195"/>
    <mergeCell ref="AR197:AR199"/>
    <mergeCell ref="AR201:AR203"/>
    <mergeCell ref="AP173:AP175"/>
    <mergeCell ref="AR173:AR175"/>
    <mergeCell ref="AP177:AP179"/>
    <mergeCell ref="AR177:AR179"/>
    <mergeCell ref="AP181:AP183"/>
    <mergeCell ref="AR181:AR183"/>
    <mergeCell ref="AR157:AR159"/>
    <mergeCell ref="AP161:AP163"/>
    <mergeCell ref="AR161:AR163"/>
    <mergeCell ref="AP165:AP167"/>
    <mergeCell ref="AR165:AR167"/>
    <mergeCell ref="AP169:AP171"/>
    <mergeCell ref="AR169:AR171"/>
    <mergeCell ref="AZ29:AZ31"/>
    <mergeCell ref="AZ33:AZ35"/>
    <mergeCell ref="AP185:AP187"/>
    <mergeCell ref="AR185:AR187"/>
    <mergeCell ref="AR85:AR87"/>
    <mergeCell ref="AV85:AV87"/>
    <mergeCell ref="AR57:AR59"/>
    <mergeCell ref="AV57:AV59"/>
    <mergeCell ref="AR53:AR55"/>
    <mergeCell ref="AV45:AV47"/>
    <mergeCell ref="AX29:AX31"/>
    <mergeCell ref="AX33:AX35"/>
    <mergeCell ref="AX37:AX39"/>
    <mergeCell ref="AX41:AX43"/>
    <mergeCell ref="AX45:AX47"/>
    <mergeCell ref="AT89:AT91"/>
    <mergeCell ref="AT93:AT95"/>
    <mergeCell ref="AT97:AT99"/>
    <mergeCell ref="AT101:AT103"/>
    <mergeCell ref="AT65:AT67"/>
    <mergeCell ref="AT69:AT71"/>
    <mergeCell ref="AT73:AT75"/>
    <mergeCell ref="AT77:AT79"/>
    <mergeCell ref="AT81:AT83"/>
    <mergeCell ref="AT85:AT87"/>
    <mergeCell ref="AT37:AT39"/>
    <mergeCell ref="AT41:AT43"/>
    <mergeCell ref="AT45:AT47"/>
    <mergeCell ref="AT49:AT51"/>
    <mergeCell ref="AT53:AT55"/>
    <mergeCell ref="AT57:AT59"/>
    <mergeCell ref="AP85:AP87"/>
    <mergeCell ref="BD57:BD59"/>
    <mergeCell ref="BD61:BD63"/>
    <mergeCell ref="BD65:BD67"/>
    <mergeCell ref="BD69:BD71"/>
    <mergeCell ref="AX101:AX103"/>
    <mergeCell ref="BD13:BD15"/>
    <mergeCell ref="BD17:BD19"/>
    <mergeCell ref="BD21:BD23"/>
    <mergeCell ref="BD25:BD27"/>
    <mergeCell ref="BD29:BD31"/>
    <mergeCell ref="BD33:BD35"/>
    <mergeCell ref="BD37:BD39"/>
    <mergeCell ref="BD41:BD43"/>
    <mergeCell ref="BD45:BD47"/>
    <mergeCell ref="AX73:AX75"/>
    <mergeCell ref="AX77:AX79"/>
    <mergeCell ref="AX81:AX83"/>
    <mergeCell ref="AX85:AX87"/>
    <mergeCell ref="AX89:AX91"/>
    <mergeCell ref="AX93:AX95"/>
    <mergeCell ref="AX49:AX51"/>
    <mergeCell ref="AX53:AX55"/>
    <mergeCell ref="AX57:AX59"/>
    <mergeCell ref="AX61:AX63"/>
    <mergeCell ref="AX65:AX67"/>
    <mergeCell ref="AX69:AX71"/>
    <mergeCell ref="AX13:AX15"/>
    <mergeCell ref="AX17:AX19"/>
    <mergeCell ref="AX21:AX23"/>
    <mergeCell ref="AX25:AX27"/>
    <mergeCell ref="BB49:BB51"/>
    <mergeCell ref="AZ25:AZ27"/>
    <mergeCell ref="BD133:BD135"/>
    <mergeCell ref="BF13:BF15"/>
    <mergeCell ref="BH13:BH15"/>
    <mergeCell ref="BJ13:BJ15"/>
    <mergeCell ref="BL13:BL15"/>
    <mergeCell ref="BN13:BN15"/>
    <mergeCell ref="BF17:BF19"/>
    <mergeCell ref="BH17:BH19"/>
    <mergeCell ref="BJ17:BJ19"/>
    <mergeCell ref="BL17:BL19"/>
    <mergeCell ref="BD105:BD107"/>
    <mergeCell ref="BD109:BD111"/>
    <mergeCell ref="BD113:BD115"/>
    <mergeCell ref="BD117:BD119"/>
    <mergeCell ref="BD121:BD123"/>
    <mergeCell ref="BD125:BD127"/>
    <mergeCell ref="BD73:BD75"/>
    <mergeCell ref="BD77:BD79"/>
    <mergeCell ref="BD81:BD83"/>
    <mergeCell ref="BD85:BD87"/>
    <mergeCell ref="BD89:BD91"/>
    <mergeCell ref="BD93:BD95"/>
    <mergeCell ref="BH33:BH35"/>
    <mergeCell ref="BF49:BF51"/>
    <mergeCell ref="BH49:BH51"/>
    <mergeCell ref="BJ49:BJ51"/>
    <mergeCell ref="BL49:BL51"/>
    <mergeCell ref="BN49:BN51"/>
    <mergeCell ref="BN41:BN43"/>
    <mergeCell ref="BN61:BN63"/>
    <mergeCell ref="BN73:BN75"/>
    <mergeCell ref="BF125:BF127"/>
    <mergeCell ref="BR25:BR27"/>
    <mergeCell ref="BT25:BT27"/>
    <mergeCell ref="BF29:BF31"/>
    <mergeCell ref="BH29:BH31"/>
    <mergeCell ref="BJ29:BJ31"/>
    <mergeCell ref="BL29:BL31"/>
    <mergeCell ref="BN29:BN31"/>
    <mergeCell ref="BP29:BP31"/>
    <mergeCell ref="BR29:BR31"/>
    <mergeCell ref="BT29:BT31"/>
    <mergeCell ref="BF25:BF27"/>
    <mergeCell ref="BH25:BH27"/>
    <mergeCell ref="BJ25:BJ27"/>
    <mergeCell ref="BL25:BL27"/>
    <mergeCell ref="BN25:BN27"/>
    <mergeCell ref="BP25:BP27"/>
    <mergeCell ref="BR45:BR47"/>
    <mergeCell ref="BT45:BT47"/>
    <mergeCell ref="BF45:BF47"/>
    <mergeCell ref="BH45:BH47"/>
    <mergeCell ref="BJ45:BJ47"/>
    <mergeCell ref="BL45:BL47"/>
    <mergeCell ref="BN45:BN47"/>
    <mergeCell ref="BP45:BP47"/>
    <mergeCell ref="BN37:BN39"/>
    <mergeCell ref="BP37:BP39"/>
    <mergeCell ref="BR37:BR39"/>
    <mergeCell ref="BT37:BT39"/>
    <mergeCell ref="BF41:BF43"/>
    <mergeCell ref="BH41:BH43"/>
    <mergeCell ref="BJ41:BJ43"/>
    <mergeCell ref="BL41:BL43"/>
    <mergeCell ref="BP61:BP63"/>
    <mergeCell ref="BR61:BR63"/>
    <mergeCell ref="BT61:BT63"/>
    <mergeCell ref="BF65:BF67"/>
    <mergeCell ref="BH65:BH67"/>
    <mergeCell ref="BJ65:BJ67"/>
    <mergeCell ref="BL65:BL67"/>
    <mergeCell ref="BN65:BN67"/>
    <mergeCell ref="BP65:BP67"/>
    <mergeCell ref="BN53:BN55"/>
    <mergeCell ref="BP53:BP55"/>
    <mergeCell ref="BR53:BR55"/>
    <mergeCell ref="BT53:BT55"/>
    <mergeCell ref="BF57:BF59"/>
    <mergeCell ref="BH57:BH59"/>
    <mergeCell ref="BJ57:BJ59"/>
    <mergeCell ref="BL57:BL59"/>
    <mergeCell ref="BN57:BN59"/>
    <mergeCell ref="BP57:BP59"/>
    <mergeCell ref="BF61:BF63"/>
    <mergeCell ref="BH61:BH63"/>
    <mergeCell ref="BJ61:BJ63"/>
    <mergeCell ref="BL61:BL63"/>
    <mergeCell ref="BP73:BP75"/>
    <mergeCell ref="BR73:BR75"/>
    <mergeCell ref="BT73:BT75"/>
    <mergeCell ref="BF77:BF79"/>
    <mergeCell ref="BH77:BH79"/>
    <mergeCell ref="BJ77:BJ79"/>
    <mergeCell ref="BL77:BL79"/>
    <mergeCell ref="BN77:BN79"/>
    <mergeCell ref="BP77:BP79"/>
    <mergeCell ref="BR65:BR67"/>
    <mergeCell ref="BT65:BT67"/>
    <mergeCell ref="BF69:BF71"/>
    <mergeCell ref="BH69:BH71"/>
    <mergeCell ref="BJ69:BJ71"/>
    <mergeCell ref="BL69:BL71"/>
    <mergeCell ref="BN69:BN71"/>
    <mergeCell ref="BP69:BP71"/>
    <mergeCell ref="BR69:BR71"/>
    <mergeCell ref="BT69:BT71"/>
    <mergeCell ref="BF73:BF75"/>
    <mergeCell ref="BH73:BH75"/>
    <mergeCell ref="BJ73:BJ75"/>
    <mergeCell ref="BL73:BL75"/>
    <mergeCell ref="BT85:BT87"/>
    <mergeCell ref="BF89:BF91"/>
    <mergeCell ref="BH89:BH91"/>
    <mergeCell ref="BJ89:BJ91"/>
    <mergeCell ref="BN89:BN91"/>
    <mergeCell ref="BP89:BP91"/>
    <mergeCell ref="BR89:BR91"/>
    <mergeCell ref="BT89:BT91"/>
    <mergeCell ref="BN81:BN83"/>
    <mergeCell ref="BP81:BP83"/>
    <mergeCell ref="BR81:BR83"/>
    <mergeCell ref="BT81:BT83"/>
    <mergeCell ref="BF85:BF87"/>
    <mergeCell ref="BH85:BH87"/>
    <mergeCell ref="BJ85:BJ87"/>
    <mergeCell ref="BN85:BN87"/>
    <mergeCell ref="BP85:BP87"/>
    <mergeCell ref="BR85:BR87"/>
    <mergeCell ref="BH125:BH127"/>
    <mergeCell ref="BJ125:BJ127"/>
    <mergeCell ref="BP125:BP127"/>
    <mergeCell ref="BR125:BR127"/>
    <mergeCell ref="BF129:BF131"/>
    <mergeCell ref="BH129:BH131"/>
    <mergeCell ref="BJ129:BJ131"/>
    <mergeCell ref="BP129:BP131"/>
    <mergeCell ref="BR129:BR131"/>
    <mergeCell ref="BR117:BR119"/>
    <mergeCell ref="BF121:BF123"/>
    <mergeCell ref="BH121:BH123"/>
    <mergeCell ref="BJ121:BJ123"/>
    <mergeCell ref="BP121:BP123"/>
    <mergeCell ref="BR121:BR123"/>
    <mergeCell ref="BF117:BF119"/>
    <mergeCell ref="BH117:BH119"/>
    <mergeCell ref="BJ117:BJ119"/>
    <mergeCell ref="BP117:BP119"/>
    <mergeCell ref="BX13:BX15"/>
    <mergeCell ref="BV17:BV19"/>
    <mergeCell ref="BX17:BX19"/>
    <mergeCell ref="BV21:BV23"/>
    <mergeCell ref="BX21:BX23"/>
    <mergeCell ref="BV25:BV27"/>
    <mergeCell ref="BX25:BX27"/>
    <mergeCell ref="BR189:BR191"/>
    <mergeCell ref="BR193:BR195"/>
    <mergeCell ref="BR197:BR199"/>
    <mergeCell ref="BR201:BR203"/>
    <mergeCell ref="BR205:BR207"/>
    <mergeCell ref="BR209:BR211"/>
    <mergeCell ref="BP177:BP179"/>
    <mergeCell ref="BR177:BR179"/>
    <mergeCell ref="BP181:BP183"/>
    <mergeCell ref="BR181:BR183"/>
    <mergeCell ref="BP185:BP187"/>
    <mergeCell ref="BR185:BR187"/>
    <mergeCell ref="BP165:BP167"/>
    <mergeCell ref="BR165:BR167"/>
    <mergeCell ref="BP169:BP171"/>
    <mergeCell ref="BR169:BR171"/>
    <mergeCell ref="BP173:BP175"/>
    <mergeCell ref="BR173:BR175"/>
    <mergeCell ref="BR153:BR155"/>
    <mergeCell ref="BP157:BP159"/>
    <mergeCell ref="BR157:BR159"/>
    <mergeCell ref="BP161:BP163"/>
    <mergeCell ref="BR161:BR163"/>
    <mergeCell ref="BP145:BP147"/>
    <mergeCell ref="BR145:BR147"/>
    <mergeCell ref="BZ17:BZ19"/>
    <mergeCell ref="BZ21:BZ23"/>
    <mergeCell ref="CB21:CB23"/>
    <mergeCell ref="BZ25:BZ27"/>
    <mergeCell ref="CB25:CB27"/>
    <mergeCell ref="BZ29:BZ31"/>
    <mergeCell ref="BV85:BV87"/>
    <mergeCell ref="BX85:BX87"/>
    <mergeCell ref="BV89:BV91"/>
    <mergeCell ref="BX89:BX91"/>
    <mergeCell ref="BV93:BV95"/>
    <mergeCell ref="BX93:BX95"/>
    <mergeCell ref="BV65:BV67"/>
    <mergeCell ref="BX65:BX67"/>
    <mergeCell ref="BV69:BV71"/>
    <mergeCell ref="BX69:BX71"/>
    <mergeCell ref="BV73:BV75"/>
    <mergeCell ref="BX73:BX75"/>
    <mergeCell ref="BV37:BV39"/>
    <mergeCell ref="BX37:BX39"/>
    <mergeCell ref="BV41:BV43"/>
    <mergeCell ref="BX41:BX43"/>
    <mergeCell ref="BV45:BV47"/>
    <mergeCell ref="BX45:BX47"/>
    <mergeCell ref="BV61:BV63"/>
    <mergeCell ref="BX61:BX63"/>
    <mergeCell ref="BV33:BV35"/>
    <mergeCell ref="BX33:BX35"/>
    <mergeCell ref="BZ33:BZ35"/>
    <mergeCell ref="BV29:BV31"/>
    <mergeCell ref="BX29:BX31"/>
    <mergeCell ref="CB29:CB31"/>
    <mergeCell ref="BR221:BR223"/>
    <mergeCell ref="AR221:AR223"/>
    <mergeCell ref="BB25:BB27"/>
    <mergeCell ref="BB29:BB31"/>
    <mergeCell ref="BB33:BB35"/>
    <mergeCell ref="BB37:BB39"/>
    <mergeCell ref="BB41:BB43"/>
    <mergeCell ref="BB45:BB47"/>
    <mergeCell ref="CB33:CB35"/>
    <mergeCell ref="BZ37:BZ39"/>
    <mergeCell ref="CB37:CB39"/>
    <mergeCell ref="BZ41:BZ43"/>
    <mergeCell ref="CB41:CB43"/>
    <mergeCell ref="BZ45:BZ47"/>
    <mergeCell ref="CB45:CB47"/>
    <mergeCell ref="BV101:BV103"/>
    <mergeCell ref="BX101:BX103"/>
    <mergeCell ref="BF157:BF159"/>
    <mergeCell ref="BF145:BF147"/>
    <mergeCell ref="BF149:BF151"/>
    <mergeCell ref="BP149:BP151"/>
    <mergeCell ref="BR149:BR151"/>
    <mergeCell ref="BF133:BF135"/>
    <mergeCell ref="BH133:BH135"/>
    <mergeCell ref="BJ133:BJ135"/>
    <mergeCell ref="BP133:BP135"/>
    <mergeCell ref="BR133:BR135"/>
    <mergeCell ref="BF137:BF139"/>
    <mergeCell ref="BH137:BH139"/>
    <mergeCell ref="BJ137:BJ139"/>
    <mergeCell ref="BP137:BP139"/>
    <mergeCell ref="BR137:BR139"/>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C6364-7735-48D6-BD5B-A42DBDE04728}">
  <dimension ref="A1:AL266"/>
  <sheetViews>
    <sheetView zoomScaleNormal="100" workbookViewId="0">
      <selection activeCell="A2" sqref="A2"/>
    </sheetView>
  </sheetViews>
  <sheetFormatPr baseColWidth="10" defaultRowHeight="15.75" x14ac:dyDescent="0.25"/>
  <cols>
    <col min="1" max="1" width="6.625" style="305" customWidth="1"/>
    <col min="2" max="2" width="93.625" style="305" customWidth="1"/>
    <col min="3" max="16" width="10.5" style="306" customWidth="1"/>
    <col min="17" max="17" width="90.625" style="306" customWidth="1"/>
    <col min="18" max="29" width="10.5" style="306" customWidth="1"/>
    <col min="30" max="16384" width="11" style="305"/>
  </cols>
  <sheetData>
    <row r="1" spans="1:38" ht="23.25" customHeight="1" x14ac:dyDescent="0.25">
      <c r="AB1" s="309"/>
      <c r="AC1" s="309"/>
      <c r="AD1" s="309"/>
      <c r="AE1" s="309"/>
      <c r="AF1" s="309"/>
      <c r="AG1" s="309"/>
      <c r="AH1" s="309"/>
      <c r="AI1" s="309"/>
      <c r="AJ1" s="309"/>
      <c r="AK1" s="309"/>
      <c r="AL1" s="609">
        <v>1</v>
      </c>
    </row>
    <row r="2" spans="1:38" ht="33" customHeight="1" x14ac:dyDescent="0.25">
      <c r="A2" s="326"/>
      <c r="B2" s="2024" t="s">
        <v>5210</v>
      </c>
      <c r="C2" s="2025"/>
      <c r="D2" s="2025"/>
      <c r="E2" s="2025"/>
      <c r="F2" s="2025"/>
      <c r="G2" s="2025"/>
      <c r="H2" s="2025"/>
      <c r="I2" s="2025"/>
      <c r="J2" s="2025"/>
      <c r="K2" s="2025"/>
      <c r="L2" s="2025"/>
      <c r="M2" s="2025"/>
      <c r="N2" s="2025"/>
      <c r="O2" s="587"/>
      <c r="P2" s="326"/>
      <c r="Q2" s="326"/>
      <c r="R2" s="326"/>
      <c r="S2" s="326"/>
      <c r="T2" s="326"/>
      <c r="U2" s="326"/>
      <c r="V2" s="326"/>
      <c r="W2" s="326"/>
      <c r="X2" s="326"/>
      <c r="Y2" s="326"/>
      <c r="Z2" s="326"/>
      <c r="AA2" s="326"/>
      <c r="AB2" s="309"/>
      <c r="AC2" s="309"/>
      <c r="AD2" s="309"/>
      <c r="AE2" s="309"/>
      <c r="AF2" s="309"/>
      <c r="AG2" s="309"/>
      <c r="AH2" s="309"/>
      <c r="AI2" s="309"/>
      <c r="AJ2" s="309"/>
      <c r="AK2" s="309"/>
      <c r="AL2" s="609">
        <v>1</v>
      </c>
    </row>
    <row r="3" spans="1:38" ht="29.25" customHeight="1" x14ac:dyDescent="0.25">
      <c r="A3" s="326"/>
      <c r="B3" s="326"/>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09"/>
      <c r="AC3" s="309"/>
      <c r="AD3" s="309"/>
      <c r="AE3" s="309"/>
      <c r="AF3" s="309"/>
      <c r="AG3" s="309"/>
      <c r="AH3" s="309"/>
      <c r="AI3" s="309"/>
      <c r="AJ3" s="309"/>
      <c r="AK3" s="309"/>
      <c r="AL3" s="609">
        <v>1</v>
      </c>
    </row>
    <row r="4" spans="1:38" ht="24" customHeight="1" x14ac:dyDescent="0.25">
      <c r="A4" s="326"/>
      <c r="B4" s="1880" t="s">
        <v>5209</v>
      </c>
      <c r="C4" s="1881"/>
      <c r="D4" s="1881"/>
      <c r="E4" s="1881"/>
      <c r="F4" s="1881"/>
      <c r="G4" s="1881"/>
      <c r="H4" s="1881"/>
      <c r="I4" s="326"/>
      <c r="J4" s="326"/>
      <c r="K4" s="326"/>
      <c r="L4" s="326"/>
      <c r="M4" s="326"/>
      <c r="N4" s="326"/>
      <c r="O4" s="1827" t="s">
        <v>5207</v>
      </c>
      <c r="P4" s="1828"/>
      <c r="Q4" s="1828"/>
      <c r="R4" s="1828"/>
      <c r="S4" s="1828"/>
      <c r="T4" s="326"/>
      <c r="U4" s="326"/>
      <c r="V4" s="326"/>
      <c r="W4" s="326"/>
      <c r="X4" s="326"/>
      <c r="Y4" s="326"/>
      <c r="Z4" s="326"/>
      <c r="AA4" s="326"/>
      <c r="AB4" s="309"/>
      <c r="AC4" s="309"/>
      <c r="AD4" s="309"/>
      <c r="AE4" s="309"/>
      <c r="AF4" s="309"/>
      <c r="AG4" s="309"/>
      <c r="AH4" s="309"/>
      <c r="AI4" s="309"/>
      <c r="AJ4" s="309"/>
      <c r="AK4" s="309"/>
      <c r="AL4" s="609">
        <v>1</v>
      </c>
    </row>
    <row r="5" spans="1:38" ht="15.75" customHeight="1" x14ac:dyDescent="0.25">
      <c r="A5" s="326"/>
      <c r="B5" s="586"/>
      <c r="C5" s="586"/>
      <c r="D5" s="586"/>
      <c r="E5" s="586"/>
      <c r="F5" s="586"/>
      <c r="G5" s="586"/>
      <c r="H5" s="586"/>
      <c r="I5" s="326"/>
      <c r="J5" s="326"/>
      <c r="K5" s="326"/>
      <c r="L5" s="326"/>
      <c r="M5" s="326"/>
      <c r="N5" s="326"/>
      <c r="O5" s="1827"/>
      <c r="P5" s="1828"/>
      <c r="Q5" s="1828"/>
      <c r="R5" s="1828"/>
      <c r="S5" s="1828"/>
      <c r="T5" s="326"/>
      <c r="U5" s="326"/>
      <c r="V5" s="326"/>
      <c r="W5" s="326"/>
      <c r="X5" s="326"/>
      <c r="Y5" s="326"/>
      <c r="Z5" s="326"/>
      <c r="AA5" s="326"/>
      <c r="AB5" s="309"/>
      <c r="AC5" s="309"/>
      <c r="AD5" s="309"/>
      <c r="AE5" s="309"/>
      <c r="AF5" s="309"/>
      <c r="AG5" s="309"/>
      <c r="AH5" s="309"/>
      <c r="AI5" s="309"/>
      <c r="AJ5" s="309"/>
      <c r="AK5" s="309"/>
      <c r="AL5" s="609">
        <v>1</v>
      </c>
    </row>
    <row r="6" spans="1:38" ht="15.75" customHeight="1" x14ac:dyDescent="0.25">
      <c r="A6" s="326"/>
      <c r="B6" s="598" t="s">
        <v>5208</v>
      </c>
      <c r="C6" s="585"/>
      <c r="D6" s="585"/>
      <c r="E6" s="585"/>
      <c r="F6" s="585"/>
      <c r="G6" s="585"/>
      <c r="H6" s="585"/>
      <c r="I6" s="326"/>
      <c r="J6" s="326"/>
      <c r="K6" s="326"/>
      <c r="L6" s="326"/>
      <c r="M6" s="326"/>
      <c r="N6" s="326"/>
      <c r="O6" s="1827"/>
      <c r="P6" s="1828"/>
      <c r="Q6" s="1828"/>
      <c r="R6" s="1828"/>
      <c r="S6" s="1828"/>
      <c r="T6" s="326"/>
      <c r="U6" s="326"/>
      <c r="V6" s="326"/>
      <c r="W6" s="326"/>
      <c r="X6" s="326"/>
      <c r="Y6" s="326"/>
      <c r="Z6" s="326"/>
      <c r="AA6" s="326"/>
      <c r="AB6" s="309"/>
      <c r="AC6" s="309"/>
      <c r="AD6" s="309"/>
      <c r="AE6" s="309"/>
      <c r="AF6" s="309"/>
      <c r="AG6" s="309"/>
      <c r="AH6" s="309"/>
      <c r="AI6" s="309"/>
      <c r="AJ6" s="309"/>
      <c r="AK6" s="309"/>
      <c r="AL6" s="609">
        <v>1</v>
      </c>
    </row>
    <row r="7" spans="1:38" ht="16.5" customHeight="1" thickBot="1" x14ac:dyDescent="0.3">
      <c r="A7" s="326"/>
      <c r="B7" s="584"/>
      <c r="C7" s="584"/>
      <c r="D7" s="584"/>
      <c r="E7" s="584"/>
      <c r="F7" s="584"/>
      <c r="G7" s="584"/>
      <c r="H7" s="584"/>
      <c r="I7" s="326"/>
      <c r="K7" s="326"/>
      <c r="L7" s="326"/>
      <c r="M7" s="326"/>
      <c r="N7" s="326"/>
      <c r="O7" s="1827"/>
      <c r="P7" s="1828"/>
      <c r="Q7" s="1828"/>
      <c r="R7" s="1828"/>
      <c r="S7" s="1828"/>
      <c r="T7" s="326"/>
      <c r="U7" s="326"/>
      <c r="V7" s="326"/>
      <c r="W7" s="326"/>
      <c r="X7" s="326"/>
      <c r="Y7" s="326"/>
      <c r="Z7" s="326"/>
      <c r="AA7" s="326"/>
      <c r="AB7" s="309"/>
      <c r="AC7" s="309"/>
      <c r="AD7" s="309"/>
      <c r="AE7" s="309"/>
      <c r="AF7" s="309"/>
      <c r="AG7" s="309"/>
      <c r="AH7" s="309"/>
      <c r="AI7" s="309"/>
      <c r="AJ7" s="309"/>
      <c r="AK7" s="309"/>
      <c r="AL7" s="609">
        <v>1</v>
      </c>
    </row>
    <row r="8" spans="1:38" ht="36" customHeight="1" thickBot="1" x14ac:dyDescent="0.3">
      <c r="A8" s="326"/>
      <c r="B8" s="486" t="s">
        <v>5200</v>
      </c>
      <c r="C8" s="2026" t="s">
        <v>5199</v>
      </c>
      <c r="D8" s="2027"/>
      <c r="E8" s="2010">
        <v>1</v>
      </c>
      <c r="F8" s="2011"/>
      <c r="G8" s="2012" t="s">
        <v>5198</v>
      </c>
      <c r="H8" s="2013"/>
      <c r="I8" s="326"/>
      <c r="J8" s="371" t="s">
        <v>5071</v>
      </c>
      <c r="K8" s="370"/>
      <c r="L8" s="370"/>
      <c r="M8" s="369"/>
      <c r="N8" s="326"/>
      <c r="O8" s="1829" t="s">
        <v>5212</v>
      </c>
      <c r="P8" s="1830"/>
      <c r="Q8" s="1831" t="s">
        <v>5213</v>
      </c>
      <c r="R8" s="1833" t="s">
        <v>5214</v>
      </c>
      <c r="S8" s="1834"/>
      <c r="T8" s="326"/>
      <c r="U8" s="326"/>
      <c r="V8" s="326"/>
      <c r="W8" s="326"/>
      <c r="X8" s="326"/>
      <c r="Y8" s="326"/>
      <c r="Z8" s="326"/>
      <c r="AA8" s="326"/>
      <c r="AB8" s="309"/>
      <c r="AC8" s="309"/>
      <c r="AD8" s="309"/>
      <c r="AE8" s="309"/>
      <c r="AF8" s="309"/>
      <c r="AG8" s="309"/>
      <c r="AH8" s="309"/>
      <c r="AI8" s="309"/>
      <c r="AJ8" s="309"/>
      <c r="AK8" s="309"/>
      <c r="AL8" s="609">
        <v>1</v>
      </c>
    </row>
    <row r="9" spans="1:38" ht="21" customHeight="1" x14ac:dyDescent="0.25">
      <c r="A9" s="326"/>
      <c r="B9" s="2028" t="s">
        <v>5207</v>
      </c>
      <c r="C9" s="1835" t="s">
        <v>5196</v>
      </c>
      <c r="D9" s="1836"/>
      <c r="E9" s="2029">
        <v>365</v>
      </c>
      <c r="F9" s="1991"/>
      <c r="G9" s="1993" t="s">
        <v>5186</v>
      </c>
      <c r="H9" s="1994"/>
      <c r="I9" s="326"/>
      <c r="J9" s="367" t="s">
        <v>5195</v>
      </c>
      <c r="K9" s="363"/>
      <c r="L9" s="363"/>
      <c r="M9" s="362"/>
      <c r="N9" s="326"/>
      <c r="O9" s="610" t="s">
        <v>5215</v>
      </c>
      <c r="P9" s="611" t="s">
        <v>5216</v>
      </c>
      <c r="Q9" s="1831"/>
      <c r="R9" s="612" t="s">
        <v>5215</v>
      </c>
      <c r="S9" s="613" t="s">
        <v>5216</v>
      </c>
      <c r="T9" s="326"/>
      <c r="U9" s="326"/>
      <c r="V9" s="326"/>
      <c r="W9" s="326"/>
      <c r="X9" s="326"/>
      <c r="Y9" s="326"/>
      <c r="Z9" s="326"/>
      <c r="AA9" s="326"/>
      <c r="AB9" s="309"/>
      <c r="AC9" s="309"/>
      <c r="AD9" s="309"/>
      <c r="AE9" s="309"/>
      <c r="AF9" s="309"/>
      <c r="AG9" s="309"/>
      <c r="AH9" s="309"/>
      <c r="AI9" s="309"/>
      <c r="AJ9" s="309"/>
      <c r="AK9" s="309"/>
      <c r="AL9" s="609">
        <v>1</v>
      </c>
    </row>
    <row r="10" spans="1:38" ht="21" customHeight="1" thickBot="1" x14ac:dyDescent="0.3">
      <c r="A10" s="326"/>
      <c r="B10" s="2028"/>
      <c r="C10" s="1837"/>
      <c r="D10" s="1838"/>
      <c r="E10" s="2030"/>
      <c r="F10" s="1992"/>
      <c r="G10" s="1995"/>
      <c r="H10" s="1996"/>
      <c r="I10" s="326"/>
      <c r="J10" s="367" t="s">
        <v>5194</v>
      </c>
      <c r="K10" s="363"/>
      <c r="L10" s="363"/>
      <c r="M10" s="362"/>
      <c r="N10" s="326"/>
      <c r="O10" s="614" t="s">
        <v>5082</v>
      </c>
      <c r="P10" s="614" t="s">
        <v>5217</v>
      </c>
      <c r="Q10" s="1831"/>
      <c r="R10" s="614" t="s">
        <v>5082</v>
      </c>
      <c r="S10" s="614" t="s">
        <v>5217</v>
      </c>
      <c r="T10" s="326"/>
      <c r="U10" s="326"/>
      <c r="V10" s="326"/>
      <c r="W10" s="326"/>
      <c r="X10" s="326"/>
      <c r="Y10" s="326"/>
      <c r="Z10" s="326"/>
      <c r="AA10" s="326"/>
      <c r="AB10" s="309"/>
      <c r="AC10" s="309"/>
      <c r="AD10" s="309"/>
      <c r="AE10" s="309"/>
      <c r="AF10" s="309"/>
      <c r="AG10" s="309"/>
      <c r="AH10" s="309"/>
      <c r="AI10" s="309"/>
      <c r="AJ10" s="309"/>
      <c r="AK10" s="309"/>
      <c r="AL10" s="609">
        <v>1</v>
      </c>
    </row>
    <row r="11" spans="1:38" ht="21" customHeight="1" thickBot="1" x14ac:dyDescent="0.3">
      <c r="A11" s="326"/>
      <c r="B11" s="583"/>
      <c r="C11" s="1843">
        <v>28</v>
      </c>
      <c r="D11" s="1844"/>
      <c r="E11" s="2031">
        <f>E8*E9</f>
        <v>365</v>
      </c>
      <c r="F11" s="1999"/>
      <c r="G11" s="2000" t="s">
        <v>5193</v>
      </c>
      <c r="H11" s="2001"/>
      <c r="I11" s="326"/>
      <c r="J11" s="368" t="s">
        <v>5192</v>
      </c>
      <c r="K11" s="363"/>
      <c r="L11" s="363"/>
      <c r="M11" s="362"/>
      <c r="N11" s="326"/>
      <c r="O11" s="1835" t="s">
        <v>5196</v>
      </c>
      <c r="P11" s="1836"/>
      <c r="Q11" s="1831"/>
      <c r="R11" s="1839" t="s">
        <v>5196</v>
      </c>
      <c r="S11" s="1840"/>
      <c r="T11" s="326"/>
      <c r="U11" s="326"/>
      <c r="V11" s="326"/>
      <c r="W11" s="326"/>
      <c r="X11" s="326"/>
      <c r="Y11" s="326"/>
      <c r="Z11" s="326"/>
      <c r="AA11" s="326"/>
      <c r="AB11" s="309"/>
      <c r="AC11" s="309"/>
      <c r="AD11" s="309"/>
      <c r="AE11" s="309"/>
      <c r="AF11" s="309"/>
      <c r="AG11" s="309"/>
      <c r="AH11" s="309"/>
      <c r="AI11" s="309"/>
      <c r="AJ11" s="309"/>
      <c r="AK11" s="309"/>
      <c r="AL11" s="609">
        <v>1</v>
      </c>
    </row>
    <row r="12" spans="1:38" ht="21" customHeight="1" x14ac:dyDescent="0.25">
      <c r="A12" s="326"/>
      <c r="B12" s="582" t="s">
        <v>5191</v>
      </c>
      <c r="C12" s="2022" t="s">
        <v>5190</v>
      </c>
      <c r="D12" s="2023"/>
      <c r="E12" s="482" t="s">
        <v>5052</v>
      </c>
      <c r="F12" s="481" t="s">
        <v>5080</v>
      </c>
      <c r="G12" s="480" t="s">
        <v>5072</v>
      </c>
      <c r="H12" s="479"/>
      <c r="I12" s="326"/>
      <c r="J12" s="581" t="s">
        <v>5188</v>
      </c>
      <c r="K12" s="363"/>
      <c r="L12" s="363"/>
      <c r="M12" s="362"/>
      <c r="N12" s="326"/>
      <c r="O12" s="1837"/>
      <c r="P12" s="1838"/>
      <c r="Q12" s="1831"/>
      <c r="R12" s="1841"/>
      <c r="S12" s="1842"/>
      <c r="T12" s="326"/>
      <c r="U12" s="326"/>
      <c r="V12" s="326"/>
      <c r="W12" s="326"/>
      <c r="X12" s="326"/>
      <c r="Y12" s="326"/>
      <c r="Z12" s="326"/>
      <c r="AA12" s="326"/>
      <c r="AB12" s="309"/>
      <c r="AC12" s="309"/>
      <c r="AD12" s="309"/>
      <c r="AE12" s="309"/>
      <c r="AF12" s="309"/>
      <c r="AG12" s="309"/>
      <c r="AH12" s="309"/>
      <c r="AI12" s="309"/>
      <c r="AJ12" s="309"/>
      <c r="AK12" s="309"/>
      <c r="AL12" s="609">
        <v>1</v>
      </c>
    </row>
    <row r="13" spans="1:38" ht="21" customHeight="1" thickBot="1" x14ac:dyDescent="0.3">
      <c r="A13" s="326"/>
      <c r="B13" s="340" t="s">
        <v>5079</v>
      </c>
      <c r="C13" s="577">
        <v>14</v>
      </c>
      <c r="D13" s="478">
        <f t="shared" ref="D13:D40" si="0">IF(OR(ISBLANK(C13),C13=""),"",IF(ISTEXT(C13),0,IF($C$11=0,0,C13/$C$11)))</f>
        <v>0.5</v>
      </c>
      <c r="E13" s="450">
        <f t="shared" ref="E13:E40" si="1">IF(OR(ISBLANK(C13),C13=""),"",IF(ISTEXT(C13),C13,IF($C$11=0,0,C13/$C$11*$E$11)))</f>
        <v>182.5</v>
      </c>
      <c r="F13" s="441">
        <f t="shared" ref="F13:F40" si="2">IF(OR(ISBLANK(E13),E13=""),"",IF(ISTEXT(E13),E13,IF(E13=0,0,IF(ABS(E13-$E$11)&lt;0.0000001,"chaque repas",$E$11/E13))))</f>
        <v>2</v>
      </c>
      <c r="G13" s="2004" t="s">
        <v>5047</v>
      </c>
      <c r="H13" s="1924"/>
      <c r="I13" s="326"/>
      <c r="J13" s="580" t="s">
        <v>5206</v>
      </c>
      <c r="K13" s="363"/>
      <c r="L13" s="363"/>
      <c r="M13" s="362"/>
      <c r="N13" s="326"/>
      <c r="O13" s="1843">
        <v>28</v>
      </c>
      <c r="P13" s="1844"/>
      <c r="Q13" s="1831"/>
      <c r="R13" s="1845">
        <v>20</v>
      </c>
      <c r="S13" s="1846"/>
      <c r="T13" s="326"/>
      <c r="U13" s="326"/>
      <c r="V13" s="326"/>
      <c r="W13" s="326"/>
      <c r="X13" s="326"/>
      <c r="Y13" s="326"/>
      <c r="Z13" s="326"/>
      <c r="AA13" s="326"/>
      <c r="AB13" s="309"/>
      <c r="AC13" s="309"/>
      <c r="AD13" s="309"/>
      <c r="AE13" s="309"/>
      <c r="AF13" s="309"/>
      <c r="AG13" s="309"/>
      <c r="AH13" s="309"/>
      <c r="AI13" s="309"/>
      <c r="AJ13" s="309"/>
      <c r="AK13" s="309"/>
      <c r="AL13" s="609">
        <v>1</v>
      </c>
    </row>
    <row r="14" spans="1:38" ht="21" customHeight="1" x14ac:dyDescent="0.25">
      <c r="A14" s="326"/>
      <c r="B14" s="807" t="s">
        <v>5078</v>
      </c>
      <c r="C14" s="353">
        <v>12</v>
      </c>
      <c r="D14" s="352">
        <f t="shared" si="0"/>
        <v>0.42857142857142855</v>
      </c>
      <c r="E14" s="442">
        <f t="shared" si="1"/>
        <v>156.42857142857142</v>
      </c>
      <c r="F14" s="441">
        <f t="shared" si="2"/>
        <v>2.3333333333333335</v>
      </c>
      <c r="G14" s="2005"/>
      <c r="H14" s="1926"/>
      <c r="I14" s="326"/>
      <c r="J14" s="579" t="s">
        <v>5188</v>
      </c>
      <c r="K14" s="363"/>
      <c r="L14" s="363"/>
      <c r="M14" s="362"/>
      <c r="N14" s="326"/>
      <c r="O14" s="1829" t="s">
        <v>5190</v>
      </c>
      <c r="P14" s="1830"/>
      <c r="Q14" s="1832"/>
      <c r="R14" s="1847" t="s">
        <v>5190</v>
      </c>
      <c r="S14" s="1848"/>
      <c r="T14" s="326"/>
      <c r="U14" s="326"/>
      <c r="V14" s="326"/>
      <c r="W14" s="326"/>
      <c r="X14" s="326"/>
      <c r="Y14" s="326"/>
      <c r="Z14" s="326"/>
      <c r="AA14" s="326"/>
      <c r="AB14" s="309"/>
      <c r="AC14" s="309"/>
      <c r="AD14" s="309"/>
      <c r="AE14" s="309"/>
      <c r="AF14" s="309"/>
      <c r="AG14" s="309"/>
      <c r="AH14" s="309"/>
      <c r="AI14" s="309"/>
      <c r="AJ14" s="309"/>
      <c r="AK14" s="309"/>
      <c r="AL14" s="609">
        <v>1</v>
      </c>
    </row>
    <row r="15" spans="1:38" ht="21" customHeight="1" x14ac:dyDescent="0.25">
      <c r="A15" s="326"/>
      <c r="B15" s="339" t="s">
        <v>5077</v>
      </c>
      <c r="C15" s="578" t="s">
        <v>5033</v>
      </c>
      <c r="D15" s="434">
        <f t="shared" si="0"/>
        <v>0</v>
      </c>
      <c r="E15" s="455" t="str">
        <f t="shared" si="1"/>
        <v>libre</v>
      </c>
      <c r="F15" s="446" t="str">
        <f t="shared" si="2"/>
        <v>libre</v>
      </c>
      <c r="G15" s="2005"/>
      <c r="H15" s="1926"/>
      <c r="I15" s="326"/>
      <c r="J15" s="475" t="s">
        <v>5187</v>
      </c>
      <c r="K15" s="363"/>
      <c r="L15" s="363"/>
      <c r="M15" s="362"/>
      <c r="N15" s="326"/>
      <c r="O15" s="577">
        <v>8</v>
      </c>
      <c r="P15" s="615" t="s">
        <v>5033</v>
      </c>
      <c r="Q15" s="616" t="s">
        <v>5218</v>
      </c>
      <c r="R15" s="617">
        <f>IF(O15="","",IF(ISNUMBER(O15),ROUND(O15*R13/O13,0),O15))</f>
        <v>6</v>
      </c>
      <c r="S15" s="618" t="str">
        <f>IF(P15="","",IF(ISNUMBER(P15),ROUND(P15*R13/O13,0),P15))</f>
        <v>libre</v>
      </c>
      <c r="T15" s="326"/>
      <c r="U15" s="326"/>
      <c r="V15" s="326"/>
      <c r="W15" s="326"/>
      <c r="X15" s="326"/>
      <c r="Y15" s="326"/>
      <c r="Z15" s="326"/>
      <c r="AA15" s="326"/>
      <c r="AB15" s="309"/>
      <c r="AC15" s="309"/>
      <c r="AD15" s="309"/>
      <c r="AE15" s="309"/>
      <c r="AF15" s="309"/>
      <c r="AG15" s="309"/>
      <c r="AH15" s="309"/>
      <c r="AI15" s="309"/>
      <c r="AJ15" s="309"/>
      <c r="AK15" s="309"/>
      <c r="AL15" s="609">
        <v>1</v>
      </c>
    </row>
    <row r="16" spans="1:38" ht="21" customHeight="1" x14ac:dyDescent="0.25">
      <c r="A16" s="326"/>
      <c r="B16" s="804" t="s">
        <v>5076</v>
      </c>
      <c r="C16" s="577" t="s">
        <v>5033</v>
      </c>
      <c r="D16" s="445">
        <f t="shared" si="0"/>
        <v>0</v>
      </c>
      <c r="E16" s="450" t="str">
        <f t="shared" si="1"/>
        <v>libre</v>
      </c>
      <c r="F16" s="441" t="str">
        <f t="shared" si="2"/>
        <v>libre</v>
      </c>
      <c r="G16" s="2005"/>
      <c r="H16" s="1926"/>
      <c r="I16" s="326"/>
      <c r="J16" s="365" t="s">
        <v>5186</v>
      </c>
      <c r="K16" s="363"/>
      <c r="L16" s="363"/>
      <c r="M16" s="362"/>
      <c r="N16" s="326"/>
      <c r="O16" s="619">
        <v>12</v>
      </c>
      <c r="P16" s="620">
        <v>8</v>
      </c>
      <c r="Q16" s="621" t="s">
        <v>5219</v>
      </c>
      <c r="R16" s="622">
        <f>IF(O16="","",IF(ISNUMBER(O16),ROUND(O16*R13/O13,0),O16))</f>
        <v>9</v>
      </c>
      <c r="S16" s="623">
        <f>IF(P16="","",IF(ISNUMBER(P16),ROUND(P16*R13/O13,0),P16))</f>
        <v>6</v>
      </c>
      <c r="T16" s="326"/>
      <c r="U16" s="326"/>
      <c r="V16" s="326"/>
      <c r="W16" s="326"/>
      <c r="X16" s="326"/>
      <c r="Y16" s="326"/>
      <c r="Z16" s="326"/>
      <c r="AA16" s="326"/>
      <c r="AB16" s="309"/>
      <c r="AC16" s="309"/>
      <c r="AD16" s="309"/>
      <c r="AE16" s="309"/>
      <c r="AF16" s="309"/>
      <c r="AG16" s="309"/>
      <c r="AH16" s="309"/>
      <c r="AI16" s="309"/>
      <c r="AJ16" s="309"/>
      <c r="AK16" s="309"/>
      <c r="AL16" s="609">
        <v>1</v>
      </c>
    </row>
    <row r="17" spans="1:38" ht="21" customHeight="1" x14ac:dyDescent="0.25">
      <c r="A17" s="326"/>
      <c r="B17" s="804" t="s">
        <v>5075</v>
      </c>
      <c r="C17" s="1823">
        <v>14</v>
      </c>
      <c r="D17" s="1947">
        <f t="shared" si="0"/>
        <v>0.5</v>
      </c>
      <c r="E17" s="1949">
        <f t="shared" si="1"/>
        <v>182.5</v>
      </c>
      <c r="F17" s="1951">
        <f t="shared" si="2"/>
        <v>2</v>
      </c>
      <c r="G17" s="2005"/>
      <c r="H17" s="1926"/>
      <c r="I17" s="326"/>
      <c r="J17" s="364" t="s">
        <v>5185</v>
      </c>
      <c r="K17" s="363"/>
      <c r="L17" s="363"/>
      <c r="M17" s="362"/>
      <c r="N17" s="326"/>
      <c r="O17" s="659" t="s">
        <v>5030</v>
      </c>
      <c r="P17" s="660" t="s">
        <v>5030</v>
      </c>
      <c r="Q17" s="621" t="s">
        <v>5220</v>
      </c>
      <c r="R17" s="661" t="str">
        <f>IF(O17="","",IF(ISNUMBER(O17),ROUND(O17*R13/O13,0),O17))</f>
        <v>chaque jour</v>
      </c>
      <c r="S17" s="662" t="str">
        <f>IF(P17="","",IF(ISNUMBER(P17),ROUND(P17*R13/O13,0),P17))</f>
        <v>chaque jour</v>
      </c>
      <c r="T17" s="326"/>
      <c r="U17" s="326"/>
      <c r="V17" s="326"/>
      <c r="W17" s="326"/>
      <c r="X17" s="326"/>
      <c r="Y17" s="326"/>
      <c r="Z17" s="326"/>
      <c r="AA17" s="326"/>
      <c r="AB17" s="309"/>
      <c r="AC17" s="309"/>
      <c r="AD17" s="309"/>
      <c r="AE17" s="309"/>
      <c r="AF17" s="309"/>
      <c r="AG17" s="309"/>
      <c r="AH17" s="309"/>
      <c r="AI17" s="309"/>
      <c r="AJ17" s="309"/>
      <c r="AK17" s="309"/>
      <c r="AL17" s="609">
        <v>1</v>
      </c>
    </row>
    <row r="18" spans="1:38" ht="21" customHeight="1" x14ac:dyDescent="0.25">
      <c r="A18" s="326"/>
      <c r="B18" s="473" t="s">
        <v>5184</v>
      </c>
      <c r="C18" s="1823"/>
      <c r="D18" s="1947" t="str">
        <f t="shared" si="0"/>
        <v/>
      </c>
      <c r="E18" s="1949" t="str">
        <f t="shared" si="1"/>
        <v/>
      </c>
      <c r="F18" s="1951" t="str">
        <f t="shared" si="2"/>
        <v/>
      </c>
      <c r="G18" s="2005"/>
      <c r="H18" s="1926"/>
      <c r="I18" s="326"/>
      <c r="J18" s="361" t="s">
        <v>5038</v>
      </c>
      <c r="K18" s="360"/>
      <c r="L18" s="360"/>
      <c r="M18" s="359"/>
      <c r="N18" s="326"/>
      <c r="O18" s="619" t="s">
        <v>5033</v>
      </c>
      <c r="P18" s="620">
        <v>14</v>
      </c>
      <c r="Q18" s="628" t="s">
        <v>5221</v>
      </c>
      <c r="R18" s="622" t="str">
        <f>IF(O18="","",IF(ISNUMBER(O18),ROUND(O18*R13/O13,0),O18))</f>
        <v>libre</v>
      </c>
      <c r="S18" s="623">
        <f>IF(P18="","",IF(ISNUMBER(P18),ROUND(P18*R13/O13,0),P18))</f>
        <v>10</v>
      </c>
      <c r="T18" s="326"/>
      <c r="U18" s="326"/>
      <c r="V18" s="326"/>
      <c r="W18" s="326"/>
      <c r="X18" s="326"/>
      <c r="Y18" s="326"/>
      <c r="Z18" s="326"/>
      <c r="AA18" s="326"/>
      <c r="AB18" s="309"/>
      <c r="AC18" s="309"/>
      <c r="AD18" s="309"/>
      <c r="AE18" s="309"/>
      <c r="AF18" s="309"/>
      <c r="AG18" s="309"/>
      <c r="AH18" s="309"/>
      <c r="AI18" s="309"/>
      <c r="AJ18" s="309"/>
      <c r="AK18" s="309"/>
      <c r="AL18" s="609">
        <v>1</v>
      </c>
    </row>
    <row r="19" spans="1:38" ht="21" customHeight="1" x14ac:dyDescent="0.25">
      <c r="A19" s="326"/>
      <c r="B19" s="471" t="s">
        <v>5183</v>
      </c>
      <c r="C19" s="578" t="s">
        <v>5033</v>
      </c>
      <c r="D19" s="470">
        <f t="shared" si="0"/>
        <v>0</v>
      </c>
      <c r="E19" s="455" t="str">
        <f t="shared" si="1"/>
        <v>libre</v>
      </c>
      <c r="F19" s="446" t="str">
        <f t="shared" si="2"/>
        <v>libre</v>
      </c>
      <c r="G19" s="2006"/>
      <c r="H19" s="2007"/>
      <c r="I19" s="326"/>
      <c r="J19" s="326"/>
      <c r="K19" s="326"/>
      <c r="L19" s="326"/>
      <c r="M19" s="326"/>
      <c r="N19" s="326"/>
      <c r="O19" s="1807">
        <v>14</v>
      </c>
      <c r="P19" s="1809">
        <v>12</v>
      </c>
      <c r="Q19" s="628" t="s">
        <v>5222</v>
      </c>
      <c r="R19" s="1811">
        <f>IF(O19="","",IF(ISNUMBER(O19),ROUND(O19*R13/O13,0),O19))</f>
        <v>10</v>
      </c>
      <c r="S19" s="1813">
        <f>IF(P19="","",IF(ISNUMBER(P19),ROUND(P19*R13/O13,0),P19))</f>
        <v>9</v>
      </c>
      <c r="T19" s="326"/>
      <c r="U19" s="326"/>
      <c r="V19" s="326"/>
      <c r="W19" s="326"/>
      <c r="X19" s="326"/>
      <c r="Y19" s="326"/>
      <c r="Z19" s="326"/>
      <c r="AA19" s="326"/>
      <c r="AB19" s="309"/>
      <c r="AC19" s="309"/>
      <c r="AD19" s="309"/>
      <c r="AE19" s="309"/>
      <c r="AF19" s="309"/>
      <c r="AG19" s="309"/>
      <c r="AH19" s="309"/>
      <c r="AI19" s="309"/>
      <c r="AJ19" s="309"/>
      <c r="AK19" s="309"/>
      <c r="AL19" s="609">
        <v>1</v>
      </c>
    </row>
    <row r="20" spans="1:38" ht="21" customHeight="1" x14ac:dyDescent="0.25">
      <c r="A20" s="326"/>
      <c r="B20" s="469" t="s">
        <v>5182</v>
      </c>
      <c r="C20" s="1815">
        <v>14</v>
      </c>
      <c r="D20" s="1946">
        <f t="shared" si="0"/>
        <v>0.5</v>
      </c>
      <c r="E20" s="1948">
        <f t="shared" si="1"/>
        <v>182.5</v>
      </c>
      <c r="F20" s="1950">
        <f t="shared" si="2"/>
        <v>2</v>
      </c>
      <c r="G20" s="1978" t="s">
        <v>5037</v>
      </c>
      <c r="H20" s="1979"/>
      <c r="I20" s="326"/>
      <c r="J20" s="326"/>
      <c r="K20" s="326"/>
      <c r="L20" s="326"/>
      <c r="M20" s="326"/>
      <c r="N20" s="326"/>
      <c r="O20" s="1808"/>
      <c r="P20" s="1810"/>
      <c r="Q20" s="633" t="s">
        <v>5223</v>
      </c>
      <c r="R20" s="1812" t="str">
        <f>IF(O20="","",IF(ISNUMBER(O20),ROUND(O20*$R$12/$O$12,0),O20))</f>
        <v/>
      </c>
      <c r="S20" s="1814" t="str">
        <f>IF(P20="","",IF(ISNUMBER(P20),ROUND(P20*$R$12/$O$12,0),P20))</f>
        <v/>
      </c>
      <c r="T20" s="326"/>
      <c r="U20" s="326"/>
      <c r="V20" s="326"/>
      <c r="W20" s="326"/>
      <c r="X20" s="326"/>
      <c r="Y20" s="326"/>
      <c r="Z20" s="326"/>
      <c r="AA20" s="326"/>
      <c r="AB20" s="309"/>
      <c r="AC20" s="309"/>
      <c r="AD20" s="309"/>
      <c r="AE20" s="309"/>
      <c r="AF20" s="309"/>
      <c r="AG20" s="309"/>
      <c r="AH20" s="309"/>
      <c r="AI20" s="309"/>
      <c r="AJ20" s="309"/>
      <c r="AK20" s="309"/>
      <c r="AL20" s="609">
        <v>1</v>
      </c>
    </row>
    <row r="21" spans="1:38" ht="21" customHeight="1" x14ac:dyDescent="0.25">
      <c r="A21" s="326"/>
      <c r="B21" s="805" t="s">
        <v>5181</v>
      </c>
      <c r="C21" s="1816"/>
      <c r="D21" s="1973" t="str">
        <f t="shared" si="0"/>
        <v/>
      </c>
      <c r="E21" s="1974" t="str">
        <f t="shared" si="1"/>
        <v/>
      </c>
      <c r="F21" s="1975" t="str">
        <f t="shared" si="2"/>
        <v/>
      </c>
      <c r="G21" s="1980"/>
      <c r="H21" s="1981"/>
      <c r="I21" s="326"/>
      <c r="J21" s="326"/>
      <c r="K21" s="326"/>
      <c r="L21" s="326"/>
      <c r="M21" s="326"/>
      <c r="N21" s="326"/>
      <c r="O21" s="624" t="s">
        <v>5033</v>
      </c>
      <c r="P21" s="625" t="s">
        <v>5033</v>
      </c>
      <c r="Q21" s="634" t="s">
        <v>5224</v>
      </c>
      <c r="R21" s="626" t="str">
        <f>IF(O21="","",IF(ISNUMBER(O21),ROUND(O21*R13/O13,0),O21))</f>
        <v>libre</v>
      </c>
      <c r="S21" s="627" t="str">
        <f>IF(P21="","",IF(ISNUMBER(P21),ROUND(P21*R13/O13,0),P21))</f>
        <v>libre</v>
      </c>
      <c r="T21" s="326"/>
      <c r="U21" s="326"/>
      <c r="V21" s="326"/>
      <c r="W21" s="326"/>
      <c r="X21" s="326"/>
      <c r="Y21" s="326"/>
      <c r="Z21" s="326"/>
      <c r="AA21" s="326"/>
      <c r="AB21" s="309"/>
      <c r="AC21" s="309"/>
      <c r="AD21" s="309"/>
      <c r="AE21" s="309"/>
      <c r="AF21" s="309"/>
      <c r="AG21" s="309"/>
      <c r="AH21" s="309"/>
      <c r="AI21" s="309"/>
      <c r="AJ21" s="309"/>
      <c r="AK21" s="309"/>
      <c r="AL21" s="609">
        <v>1</v>
      </c>
    </row>
    <row r="22" spans="1:38" ht="21" customHeight="1" x14ac:dyDescent="0.25">
      <c r="A22" s="326"/>
      <c r="B22" s="466" t="s">
        <v>5180</v>
      </c>
      <c r="C22" s="577">
        <v>12</v>
      </c>
      <c r="D22" s="445">
        <f t="shared" si="0"/>
        <v>0.42857142857142855</v>
      </c>
      <c r="E22" s="450">
        <f t="shared" si="1"/>
        <v>156.42857142857142</v>
      </c>
      <c r="F22" s="441">
        <f t="shared" si="2"/>
        <v>2.3333333333333335</v>
      </c>
      <c r="G22" s="1982" t="s">
        <v>5036</v>
      </c>
      <c r="H22" s="1920"/>
      <c r="I22" s="326"/>
      <c r="J22" s="326"/>
      <c r="K22" s="326"/>
      <c r="L22" s="326"/>
      <c r="M22" s="326"/>
      <c r="N22" s="326"/>
      <c r="O22" s="1815">
        <v>14</v>
      </c>
      <c r="P22" s="1817">
        <v>12</v>
      </c>
      <c r="Q22" s="635" t="s">
        <v>5225</v>
      </c>
      <c r="R22" s="1819">
        <f>IF(O22="","",IF(ISNUMBER(O22),ROUND(O22*R13/O13,0),O22))</f>
        <v>10</v>
      </c>
      <c r="S22" s="1821">
        <f>IF(P22="","",IF(ISNUMBER(P22),ROUND(P22*R13/O13,0),P22))</f>
        <v>9</v>
      </c>
      <c r="T22" s="326"/>
      <c r="U22" s="326"/>
      <c r="V22" s="326"/>
      <c r="W22" s="326"/>
      <c r="X22" s="326"/>
      <c r="Y22" s="326"/>
      <c r="Z22" s="326"/>
      <c r="AA22" s="326"/>
      <c r="AB22" s="309"/>
      <c r="AC22" s="309"/>
      <c r="AD22" s="309"/>
      <c r="AE22" s="309"/>
      <c r="AF22" s="309"/>
      <c r="AG22" s="309"/>
      <c r="AH22" s="309"/>
      <c r="AI22" s="309"/>
      <c r="AJ22" s="309"/>
      <c r="AK22" s="309"/>
      <c r="AL22" s="609">
        <v>1</v>
      </c>
    </row>
    <row r="23" spans="1:38" ht="21" customHeight="1" x14ac:dyDescent="0.25">
      <c r="A23" s="326"/>
      <c r="B23" s="464" t="s">
        <v>5179</v>
      </c>
      <c r="C23" s="353">
        <v>6</v>
      </c>
      <c r="D23" s="352">
        <f t="shared" si="0"/>
        <v>0.21428571428571427</v>
      </c>
      <c r="E23" s="450">
        <f t="shared" si="1"/>
        <v>78.214285714285708</v>
      </c>
      <c r="F23" s="441">
        <f t="shared" si="2"/>
        <v>4.666666666666667</v>
      </c>
      <c r="G23" s="1983"/>
      <c r="H23" s="1922"/>
      <c r="I23" s="326"/>
      <c r="J23" s="326"/>
      <c r="K23" s="326"/>
      <c r="L23" s="326"/>
      <c r="M23" s="326"/>
      <c r="N23" s="326"/>
      <c r="O23" s="1816"/>
      <c r="P23" s="1818"/>
      <c r="Q23" s="636" t="s">
        <v>5226</v>
      </c>
      <c r="R23" s="1820" t="str">
        <f>IF(O23="","",IF(ISNUMBER(O23),ROUND(O23*$R$12/$O$12,0),O23))</f>
        <v/>
      </c>
      <c r="S23" s="1822" t="str">
        <f>IF(P23="","",IF(ISNUMBER(P23),ROUND(P23*$R$12/$O$12,0),P23))</f>
        <v/>
      </c>
      <c r="T23" s="326"/>
      <c r="U23" s="326"/>
      <c r="V23" s="326"/>
      <c r="W23" s="326"/>
      <c r="X23" s="326"/>
      <c r="Y23" s="326"/>
      <c r="Z23" s="326"/>
      <c r="AA23" s="326"/>
      <c r="AB23" s="309"/>
      <c r="AC23" s="309"/>
      <c r="AD23" s="309"/>
      <c r="AE23" s="309"/>
      <c r="AF23" s="309"/>
      <c r="AG23" s="309"/>
      <c r="AH23" s="309"/>
      <c r="AI23" s="309"/>
      <c r="AJ23" s="309"/>
      <c r="AK23" s="309"/>
      <c r="AL23" s="609">
        <v>1</v>
      </c>
    </row>
    <row r="24" spans="1:38" ht="21" customHeight="1" x14ac:dyDescent="0.25">
      <c r="A24" s="326"/>
      <c r="B24" s="1984" t="s">
        <v>5178</v>
      </c>
      <c r="C24" s="1823">
        <v>3</v>
      </c>
      <c r="D24" s="1947">
        <f t="shared" si="0"/>
        <v>0.10714285714285714</v>
      </c>
      <c r="E24" s="1949">
        <f t="shared" si="1"/>
        <v>39.107142857142854</v>
      </c>
      <c r="F24" s="1951">
        <f t="shared" si="2"/>
        <v>9.3333333333333339</v>
      </c>
      <c r="G24" s="1983"/>
      <c r="H24" s="1922"/>
      <c r="I24" s="326"/>
      <c r="J24" s="326"/>
      <c r="K24" s="326"/>
      <c r="L24" s="326"/>
      <c r="M24" s="326"/>
      <c r="N24" s="326"/>
      <c r="O24" s="619">
        <v>12</v>
      </c>
      <c r="P24" s="620">
        <v>2</v>
      </c>
      <c r="Q24" s="637" t="s">
        <v>5048</v>
      </c>
      <c r="R24" s="622">
        <f>IF(O24="","",IF(ISNUMBER(O24),ROUND(O24*R13/O13,0),O24))</f>
        <v>9</v>
      </c>
      <c r="S24" s="623">
        <f>IF(P24="","",IF(ISNUMBER(P24),ROUND(P24*R13/O13,0),P24))</f>
        <v>1</v>
      </c>
      <c r="T24" s="326"/>
      <c r="U24" s="326"/>
      <c r="V24" s="326"/>
      <c r="W24" s="326"/>
      <c r="X24" s="326"/>
      <c r="Y24" s="326"/>
      <c r="Z24" s="326"/>
      <c r="AA24" s="326"/>
      <c r="AB24" s="309"/>
      <c r="AC24" s="309"/>
      <c r="AD24" s="309"/>
      <c r="AE24" s="309"/>
      <c r="AF24" s="309"/>
      <c r="AG24" s="309"/>
      <c r="AH24" s="309"/>
      <c r="AI24" s="309"/>
      <c r="AJ24" s="309"/>
      <c r="AK24" s="309"/>
      <c r="AL24" s="609">
        <v>1</v>
      </c>
    </row>
    <row r="25" spans="1:38" ht="21" customHeight="1" x14ac:dyDescent="0.25">
      <c r="A25" s="326"/>
      <c r="B25" s="1985"/>
      <c r="C25" s="1823"/>
      <c r="D25" s="1947" t="str">
        <f t="shared" si="0"/>
        <v/>
      </c>
      <c r="E25" s="1949" t="str">
        <f t="shared" si="1"/>
        <v/>
      </c>
      <c r="F25" s="1951" t="str">
        <f t="shared" si="2"/>
        <v/>
      </c>
      <c r="G25" s="1983"/>
      <c r="H25" s="1922"/>
      <c r="I25" s="326"/>
      <c r="J25" s="326"/>
      <c r="K25" s="326"/>
      <c r="L25" s="326"/>
      <c r="M25" s="326"/>
      <c r="N25" s="326"/>
      <c r="O25" s="638">
        <v>6</v>
      </c>
      <c r="P25" s="639">
        <v>4</v>
      </c>
      <c r="Q25" s="640" t="s">
        <v>5227</v>
      </c>
      <c r="R25" s="641">
        <f>IF(O25="","",IF(ISNUMBER(O25),ROUND(O25*R13/O13,0),O25))</f>
        <v>4</v>
      </c>
      <c r="S25" s="642">
        <f>IF(P25="","",IF(ISNUMBER(P25),ROUND(P25*R13/O13,0),P25))</f>
        <v>3</v>
      </c>
      <c r="T25" s="326"/>
      <c r="U25" s="326"/>
      <c r="V25" s="326"/>
      <c r="W25" s="326"/>
      <c r="X25" s="326"/>
      <c r="Y25" s="326"/>
      <c r="Z25" s="326"/>
      <c r="AA25" s="326"/>
      <c r="AB25" s="309"/>
      <c r="AC25" s="309"/>
      <c r="AD25" s="309"/>
      <c r="AE25" s="309"/>
      <c r="AF25" s="309"/>
      <c r="AG25" s="309"/>
      <c r="AH25" s="309"/>
      <c r="AI25" s="309"/>
      <c r="AJ25" s="309"/>
      <c r="AK25" s="309"/>
      <c r="AL25" s="609">
        <v>1</v>
      </c>
    </row>
    <row r="26" spans="1:38" ht="21" customHeight="1" x14ac:dyDescent="0.25">
      <c r="A26" s="326"/>
      <c r="B26" s="463" t="s">
        <v>5177</v>
      </c>
      <c r="C26" s="353"/>
      <c r="D26" s="352" t="str">
        <f t="shared" si="0"/>
        <v/>
      </c>
      <c r="E26" s="450" t="str">
        <f t="shared" si="1"/>
        <v/>
      </c>
      <c r="F26" s="441" t="str">
        <f t="shared" si="2"/>
        <v/>
      </c>
      <c r="G26" s="1983"/>
      <c r="H26" s="1922"/>
      <c r="I26" s="326"/>
      <c r="J26" s="326"/>
      <c r="K26" s="326"/>
      <c r="L26" s="326"/>
      <c r="M26" s="326"/>
      <c r="N26" s="326"/>
      <c r="O26" s="629">
        <v>3</v>
      </c>
      <c r="P26" s="630">
        <v>6</v>
      </c>
      <c r="Q26" s="643" t="s">
        <v>5228</v>
      </c>
      <c r="R26" s="631">
        <f>IF(O26="","",IF(ISNUMBER(O26),ROUND(O26*R13/O13,0),O26))</f>
        <v>2</v>
      </c>
      <c r="S26" s="632">
        <f>IF(P26="","",IF(ISNUMBER(P26),ROUND(P26*R13/O13,0),P26))</f>
        <v>4</v>
      </c>
      <c r="T26" s="326"/>
      <c r="U26" s="326"/>
      <c r="V26" s="326"/>
      <c r="W26" s="326"/>
      <c r="X26" s="326"/>
      <c r="Y26" s="326"/>
      <c r="Z26" s="326"/>
      <c r="AA26" s="326"/>
      <c r="AB26" s="309"/>
      <c r="AC26" s="309"/>
      <c r="AD26" s="309"/>
      <c r="AE26" s="309"/>
      <c r="AF26" s="309"/>
      <c r="AG26" s="309"/>
      <c r="AH26" s="309"/>
      <c r="AI26" s="309"/>
      <c r="AJ26" s="309"/>
      <c r="AK26" s="309"/>
      <c r="AL26" s="609">
        <v>1</v>
      </c>
    </row>
    <row r="27" spans="1:38" ht="21" customHeight="1" x14ac:dyDescent="0.25">
      <c r="A27" s="326"/>
      <c r="B27" s="458" t="s">
        <v>5176</v>
      </c>
      <c r="C27" s="578" t="s">
        <v>5033</v>
      </c>
      <c r="D27" s="470">
        <f t="shared" si="0"/>
        <v>0</v>
      </c>
      <c r="E27" s="455" t="str">
        <f t="shared" si="1"/>
        <v>libre</v>
      </c>
      <c r="F27" s="446" t="str">
        <f t="shared" si="2"/>
        <v>libre</v>
      </c>
      <c r="G27" s="1983"/>
      <c r="H27" s="1922"/>
      <c r="I27" s="326"/>
      <c r="J27" s="326"/>
      <c r="K27" s="326"/>
      <c r="L27" s="326"/>
      <c r="M27" s="326"/>
      <c r="N27" s="326"/>
      <c r="O27" s="677" t="s">
        <v>5229</v>
      </c>
      <c r="P27" s="678" t="s">
        <v>5229</v>
      </c>
      <c r="Q27" s="644" t="s">
        <v>5230</v>
      </c>
      <c r="R27" s="667" t="str">
        <f>IF(O27="","",IF(ISNUMBER(O27),ROUND(O27*R13/O13,0),O27))</f>
        <v>hors annexe PA</v>
      </c>
      <c r="S27" s="668" t="str">
        <f>IF(P27="","",IF(ISNUMBER(P27),ROUND(P27*R13/O13,0),P27))</f>
        <v>hors annexe PA</v>
      </c>
      <c r="T27" s="326"/>
      <c r="U27" s="326"/>
      <c r="V27" s="326"/>
      <c r="W27" s="326"/>
      <c r="X27" s="326"/>
      <c r="Y27" s="326"/>
      <c r="Z27" s="326"/>
      <c r="AA27" s="326"/>
      <c r="AB27" s="309"/>
      <c r="AC27" s="309"/>
      <c r="AD27" s="309"/>
      <c r="AE27" s="309"/>
      <c r="AF27" s="309"/>
      <c r="AG27" s="309"/>
      <c r="AH27" s="309"/>
      <c r="AI27" s="309"/>
      <c r="AJ27" s="309"/>
      <c r="AK27" s="309"/>
      <c r="AL27" s="609">
        <v>1</v>
      </c>
    </row>
    <row r="28" spans="1:38" ht="21" customHeight="1" x14ac:dyDescent="0.25">
      <c r="A28" s="326"/>
      <c r="B28" s="806" t="s">
        <v>5175</v>
      </c>
      <c r="C28" s="577">
        <v>5</v>
      </c>
      <c r="D28" s="445">
        <f t="shared" si="0"/>
        <v>0.17857142857142858</v>
      </c>
      <c r="E28" s="450">
        <f t="shared" si="1"/>
        <v>65.178571428571431</v>
      </c>
      <c r="F28" s="441">
        <f t="shared" si="2"/>
        <v>5.6</v>
      </c>
      <c r="G28" s="1964" t="s">
        <v>5111</v>
      </c>
      <c r="H28" s="1928"/>
      <c r="I28" s="326"/>
      <c r="J28" s="326"/>
      <c r="K28" s="326"/>
      <c r="L28" s="326"/>
      <c r="M28" s="326"/>
      <c r="N28" s="326"/>
      <c r="O28" s="659" t="s">
        <v>5033</v>
      </c>
      <c r="P28" s="660" t="s">
        <v>5033</v>
      </c>
      <c r="Q28" s="645" t="s">
        <v>5231</v>
      </c>
      <c r="R28" s="679" t="str">
        <f>IF(O28="","",IF(ISNUMBER(O28),ROUND(O28*R13/O13,0),O28))</f>
        <v>libre</v>
      </c>
      <c r="S28" s="680" t="str">
        <f>IF(P28="","",IF(ISNUMBER(P28),ROUND(P28*R13/O13,0),P28))</f>
        <v>libre</v>
      </c>
      <c r="T28" s="326"/>
      <c r="U28" s="326"/>
      <c r="V28" s="326"/>
      <c r="W28" s="326"/>
      <c r="X28" s="326"/>
      <c r="Y28" s="326"/>
      <c r="Z28" s="326"/>
      <c r="AA28" s="326"/>
      <c r="AB28" s="309"/>
      <c r="AC28" s="309"/>
      <c r="AD28" s="309"/>
      <c r="AE28" s="309"/>
      <c r="AF28" s="309"/>
      <c r="AG28" s="309"/>
      <c r="AH28" s="309"/>
      <c r="AI28" s="309"/>
      <c r="AJ28" s="309"/>
      <c r="AK28" s="309"/>
      <c r="AL28" s="609">
        <v>1</v>
      </c>
    </row>
    <row r="29" spans="1:38" ht="21" customHeight="1" x14ac:dyDescent="0.25">
      <c r="A29" s="326"/>
      <c r="B29" s="2020" t="s">
        <v>5174</v>
      </c>
      <c r="C29" s="1823">
        <v>5</v>
      </c>
      <c r="D29" s="1947">
        <f t="shared" si="0"/>
        <v>0.17857142857142858</v>
      </c>
      <c r="E29" s="1949">
        <f t="shared" si="1"/>
        <v>65.178571428571431</v>
      </c>
      <c r="F29" s="1951">
        <f t="shared" si="2"/>
        <v>5.6</v>
      </c>
      <c r="G29" s="1965"/>
      <c r="H29" s="1930"/>
      <c r="I29" s="326"/>
      <c r="J29" s="326"/>
      <c r="K29" s="326"/>
      <c r="L29" s="326"/>
      <c r="M29" s="326"/>
      <c r="N29" s="326"/>
      <c r="O29" s="1815">
        <v>5</v>
      </c>
      <c r="P29" s="1817">
        <v>3</v>
      </c>
      <c r="Q29" s="646" t="s">
        <v>5232</v>
      </c>
      <c r="R29" s="1819">
        <f>IF(O29="","",IF(ISNUMBER(O29),ROUND(O29*R13/O13,0),O29))</f>
        <v>4</v>
      </c>
      <c r="S29" s="1821">
        <f>IF(P29="","",IF(ISNUMBER(P29),ROUND(P29*R13/O13,0),P29))</f>
        <v>2</v>
      </c>
      <c r="T29" s="326"/>
      <c r="U29" s="326"/>
      <c r="V29" s="326"/>
      <c r="W29" s="326"/>
      <c r="X29" s="326"/>
      <c r="Y29" s="326"/>
      <c r="Z29" s="326"/>
      <c r="AA29" s="326"/>
      <c r="AB29" s="309"/>
      <c r="AC29" s="309"/>
      <c r="AD29" s="309"/>
      <c r="AE29" s="309"/>
      <c r="AF29" s="309"/>
      <c r="AG29" s="309"/>
      <c r="AH29" s="309"/>
      <c r="AI29" s="309"/>
      <c r="AJ29" s="309"/>
      <c r="AK29" s="309"/>
      <c r="AL29" s="609">
        <v>1</v>
      </c>
    </row>
    <row r="30" spans="1:38" ht="21" customHeight="1" x14ac:dyDescent="0.25">
      <c r="A30" s="326"/>
      <c r="B30" s="2021"/>
      <c r="C30" s="1823"/>
      <c r="D30" s="1947" t="str">
        <f t="shared" si="0"/>
        <v/>
      </c>
      <c r="E30" s="1949" t="str">
        <f t="shared" si="1"/>
        <v/>
      </c>
      <c r="F30" s="1951" t="str">
        <f t="shared" si="2"/>
        <v/>
      </c>
      <c r="G30" s="1965"/>
      <c r="H30" s="1930"/>
      <c r="I30" s="326"/>
      <c r="J30" s="326"/>
      <c r="K30" s="326"/>
      <c r="L30" s="326"/>
      <c r="M30" s="326"/>
      <c r="N30" s="326"/>
      <c r="O30" s="1823" t="s">
        <v>5233</v>
      </c>
      <c r="P30" s="1824" t="s">
        <v>5233</v>
      </c>
      <c r="Q30" s="648" t="s">
        <v>5234</v>
      </c>
      <c r="R30" s="1825" t="str">
        <f>IF(O30="","",IF(ISNUMBER(O30),ROUND(O30*$R$12/$O$12,0),O30))</f>
        <v>voir ligne 29</v>
      </c>
      <c r="S30" s="1826" t="str">
        <f>IF(P30="","",IF(ISNUMBER(P30),ROUND(P30*$R$12/$O$12,0),P30))</f>
        <v>voir ligne 29</v>
      </c>
      <c r="T30" s="326"/>
      <c r="U30" s="326"/>
      <c r="V30" s="326"/>
      <c r="W30" s="326"/>
      <c r="X30" s="326"/>
      <c r="Y30" s="326"/>
      <c r="Z30" s="326"/>
      <c r="AA30" s="326"/>
      <c r="AB30" s="309"/>
      <c r="AC30" s="309"/>
      <c r="AD30" s="309"/>
      <c r="AE30" s="309"/>
      <c r="AF30" s="309"/>
      <c r="AG30" s="309"/>
      <c r="AH30" s="309"/>
      <c r="AI30" s="309"/>
      <c r="AJ30" s="309"/>
      <c r="AK30" s="309"/>
      <c r="AL30" s="609">
        <v>1</v>
      </c>
    </row>
    <row r="31" spans="1:38" ht="21" customHeight="1" x14ac:dyDescent="0.25">
      <c r="A31" s="326"/>
      <c r="B31" s="456" t="s">
        <v>5173</v>
      </c>
      <c r="C31" s="353">
        <v>8</v>
      </c>
      <c r="D31" s="352">
        <f t="shared" si="0"/>
        <v>0.2857142857142857</v>
      </c>
      <c r="E31" s="450">
        <f t="shared" si="1"/>
        <v>104.28571428571428</v>
      </c>
      <c r="F31" s="441">
        <f t="shared" si="2"/>
        <v>3.5000000000000004</v>
      </c>
      <c r="G31" s="1965"/>
      <c r="H31" s="1930"/>
      <c r="I31" s="326"/>
      <c r="J31" s="326"/>
      <c r="K31" s="326"/>
      <c r="L31" s="326"/>
      <c r="M31" s="326"/>
      <c r="N31" s="326"/>
      <c r="O31" s="638">
        <v>8</v>
      </c>
      <c r="P31" s="664" t="s">
        <v>5033</v>
      </c>
      <c r="Q31" s="651" t="s">
        <v>5235</v>
      </c>
      <c r="R31" s="641">
        <f>IF(O31="","",IF(ISNUMBER(O31),ROUND(O31*R13/O13,0),O31))</f>
        <v>6</v>
      </c>
      <c r="S31" s="642" t="str">
        <f>IF(P31="","",IF(ISNUMBER(P31),ROUND(P31*R13/O13,0),P31))</f>
        <v>libre</v>
      </c>
      <c r="T31" s="326"/>
      <c r="U31" s="326"/>
      <c r="V31" s="326"/>
      <c r="W31" s="326"/>
      <c r="X31" s="326"/>
      <c r="Y31" s="326"/>
      <c r="Z31" s="326"/>
      <c r="AA31" s="326"/>
      <c r="AB31" s="309"/>
      <c r="AC31" s="309"/>
      <c r="AD31" s="309"/>
      <c r="AE31" s="309"/>
      <c r="AF31" s="309"/>
      <c r="AG31" s="309"/>
      <c r="AH31" s="309"/>
      <c r="AI31" s="309"/>
      <c r="AJ31" s="309"/>
      <c r="AK31" s="309"/>
      <c r="AL31" s="609">
        <v>1</v>
      </c>
    </row>
    <row r="32" spans="1:38" ht="21" customHeight="1" x14ac:dyDescent="0.25">
      <c r="A32" s="326"/>
      <c r="B32" s="2017" t="s">
        <v>5172</v>
      </c>
      <c r="C32" s="1823">
        <v>3</v>
      </c>
      <c r="D32" s="1947">
        <f t="shared" si="0"/>
        <v>0.10714285714285714</v>
      </c>
      <c r="E32" s="1949">
        <f t="shared" si="1"/>
        <v>39.107142857142854</v>
      </c>
      <c r="F32" s="1951">
        <f t="shared" si="2"/>
        <v>9.3333333333333339</v>
      </c>
      <c r="G32" s="1965"/>
      <c r="H32" s="1930"/>
      <c r="I32" s="326"/>
      <c r="J32" s="326"/>
      <c r="K32" s="326"/>
      <c r="L32" s="326"/>
      <c r="M32" s="326"/>
      <c r="N32" s="326"/>
      <c r="O32" s="353">
        <v>3</v>
      </c>
      <c r="P32" s="647">
        <v>8</v>
      </c>
      <c r="Q32" s="652" t="s">
        <v>5236</v>
      </c>
      <c r="R32" s="649">
        <f>IF(O32="","",IF(ISNUMBER(O32),ROUND(O32*R13/O13,0),O32))</f>
        <v>2</v>
      </c>
      <c r="S32" s="650">
        <f>IF(P32="","",IF(ISNUMBER(P32),ROUND(P32*R13/O13,0),P32))</f>
        <v>6</v>
      </c>
      <c r="T32" s="326"/>
      <c r="U32" s="326"/>
      <c r="V32" s="326"/>
      <c r="W32" s="326"/>
      <c r="X32" s="326"/>
      <c r="Y32" s="326"/>
      <c r="Z32" s="326"/>
      <c r="AA32" s="326"/>
      <c r="AB32" s="309"/>
      <c r="AC32" s="309"/>
      <c r="AD32" s="309"/>
      <c r="AE32" s="309"/>
      <c r="AF32" s="309"/>
      <c r="AG32" s="309"/>
      <c r="AH32" s="309"/>
      <c r="AI32" s="309"/>
      <c r="AJ32" s="309"/>
      <c r="AK32" s="309"/>
      <c r="AL32" s="609">
        <v>1</v>
      </c>
    </row>
    <row r="33" spans="1:38" ht="21" customHeight="1" x14ac:dyDescent="0.25">
      <c r="A33" s="326"/>
      <c r="B33" s="2018"/>
      <c r="C33" s="2019"/>
      <c r="D33" s="1973" t="str">
        <f t="shared" si="0"/>
        <v/>
      </c>
      <c r="E33" s="1974" t="str">
        <f t="shared" si="1"/>
        <v/>
      </c>
      <c r="F33" s="1975" t="str">
        <f t="shared" si="2"/>
        <v/>
      </c>
      <c r="G33" s="1966"/>
      <c r="H33" s="1967"/>
      <c r="I33" s="326"/>
      <c r="J33" s="326"/>
      <c r="K33" s="326"/>
      <c r="L33" s="326"/>
      <c r="M33" s="326"/>
      <c r="N33" s="326"/>
      <c r="O33" s="638">
        <v>16</v>
      </c>
      <c r="P33" s="639">
        <v>12</v>
      </c>
      <c r="Q33" s="653" t="s">
        <v>5113</v>
      </c>
      <c r="R33" s="641">
        <f>IF(O33="","",IF(ISNUMBER(O33),ROUND(O33*R13/O13,0),O33))</f>
        <v>11</v>
      </c>
      <c r="S33" s="642">
        <f>IF(P33="","",IF(ISNUMBER(P33),ROUND(P33*R13/O13,0),P33))</f>
        <v>9</v>
      </c>
      <c r="T33" s="326"/>
      <c r="U33" s="326"/>
      <c r="V33" s="326"/>
      <c r="W33" s="326"/>
      <c r="X33" s="326"/>
      <c r="Y33" s="326"/>
      <c r="Z33" s="326"/>
      <c r="AA33" s="326"/>
      <c r="AB33" s="309"/>
      <c r="AC33" s="309"/>
      <c r="AD33" s="309"/>
      <c r="AE33" s="309"/>
      <c r="AF33" s="309"/>
      <c r="AG33" s="309"/>
      <c r="AH33" s="309"/>
      <c r="AI33" s="309"/>
      <c r="AJ33" s="309"/>
      <c r="AK33" s="309"/>
      <c r="AL33" s="609">
        <v>1</v>
      </c>
    </row>
    <row r="34" spans="1:38" ht="21" customHeight="1" x14ac:dyDescent="0.25">
      <c r="A34" s="326"/>
      <c r="B34" s="454" t="s">
        <v>5171</v>
      </c>
      <c r="C34" s="575">
        <v>16</v>
      </c>
      <c r="D34" s="445">
        <f t="shared" si="0"/>
        <v>0.5714285714285714</v>
      </c>
      <c r="E34" s="452">
        <f t="shared" si="1"/>
        <v>208.57142857142856</v>
      </c>
      <c r="F34" s="444">
        <f t="shared" si="2"/>
        <v>1.7500000000000002</v>
      </c>
      <c r="G34" s="1941" t="s">
        <v>5107</v>
      </c>
      <c r="H34" s="1932"/>
      <c r="I34" s="326"/>
      <c r="J34" s="326"/>
      <c r="K34" s="326"/>
      <c r="L34" s="326"/>
      <c r="M34" s="326"/>
      <c r="N34" s="326"/>
      <c r="O34" s="638">
        <v>2</v>
      </c>
      <c r="P34" s="639">
        <v>2</v>
      </c>
      <c r="Q34" s="654" t="s">
        <v>5237</v>
      </c>
      <c r="R34" s="641">
        <f>IF(O34="","",IF(ISNUMBER(O34),ROUND(O34*R13/O13,0),O34))</f>
        <v>1</v>
      </c>
      <c r="S34" s="642">
        <f>IF(P34="","",IF(ISNUMBER(P34),ROUND(P34*R13/O13,0),P34))</f>
        <v>1</v>
      </c>
      <c r="T34" s="326"/>
      <c r="U34" s="326"/>
      <c r="V34" s="326"/>
      <c r="W34" s="326"/>
      <c r="X34" s="326"/>
      <c r="Y34" s="326"/>
      <c r="Z34" s="326"/>
      <c r="AA34" s="326"/>
      <c r="AB34" s="309"/>
      <c r="AC34" s="309"/>
      <c r="AD34" s="309"/>
      <c r="AE34" s="309"/>
      <c r="AF34" s="309"/>
      <c r="AG34" s="309"/>
      <c r="AH34" s="309"/>
      <c r="AI34" s="309"/>
      <c r="AJ34" s="309"/>
      <c r="AK34" s="309"/>
      <c r="AL34" s="609">
        <v>1</v>
      </c>
    </row>
    <row r="35" spans="1:38" ht="21" customHeight="1" x14ac:dyDescent="0.25">
      <c r="A35" s="326"/>
      <c r="B35" s="451" t="s">
        <v>5170</v>
      </c>
      <c r="C35" s="353">
        <v>2</v>
      </c>
      <c r="D35" s="352">
        <f t="shared" si="0"/>
        <v>7.1428571428571425E-2</v>
      </c>
      <c r="E35" s="450">
        <f t="shared" si="1"/>
        <v>26.071428571428569</v>
      </c>
      <c r="F35" s="441">
        <f t="shared" si="2"/>
        <v>14.000000000000002</v>
      </c>
      <c r="G35" s="1942"/>
      <c r="H35" s="1934"/>
      <c r="I35" s="326"/>
      <c r="J35" s="326"/>
      <c r="K35" s="326"/>
      <c r="L35" s="326"/>
      <c r="M35" s="326"/>
      <c r="N35" s="326"/>
      <c r="O35" s="638">
        <v>10</v>
      </c>
      <c r="P35" s="639">
        <v>12</v>
      </c>
      <c r="Q35" s="655" t="s">
        <v>5238</v>
      </c>
      <c r="R35" s="641">
        <f>IF(O35="","",IF(ISNUMBER(O35),ROUND(O35*R13/O13,0),O35))</f>
        <v>7</v>
      </c>
      <c r="S35" s="642">
        <f>IF(P35="","",IF(ISNUMBER(P35),ROUND(P35*R13/O13,0),P35))</f>
        <v>9</v>
      </c>
      <c r="T35" s="326"/>
      <c r="U35" s="326"/>
      <c r="V35" s="326"/>
      <c r="W35" s="326"/>
      <c r="X35" s="326"/>
      <c r="Y35" s="326"/>
      <c r="Z35" s="326"/>
      <c r="AA35" s="326"/>
      <c r="AB35" s="309"/>
      <c r="AC35" s="309"/>
      <c r="AD35" s="309"/>
      <c r="AE35" s="309"/>
      <c r="AF35" s="309"/>
      <c r="AG35" s="309"/>
      <c r="AH35" s="309"/>
      <c r="AI35" s="309"/>
      <c r="AJ35" s="309"/>
      <c r="AK35" s="309"/>
      <c r="AL35" s="609">
        <v>1</v>
      </c>
    </row>
    <row r="36" spans="1:38" ht="21" customHeight="1" x14ac:dyDescent="0.25">
      <c r="A36" s="326"/>
      <c r="B36" s="449" t="s">
        <v>5169</v>
      </c>
      <c r="C36" s="576">
        <v>10</v>
      </c>
      <c r="D36" s="434">
        <f t="shared" si="0"/>
        <v>0.35714285714285715</v>
      </c>
      <c r="E36" s="447">
        <f t="shared" si="1"/>
        <v>130.35714285714286</v>
      </c>
      <c r="F36" s="446">
        <f t="shared" si="2"/>
        <v>2.8</v>
      </c>
      <c r="G36" s="1942"/>
      <c r="H36" s="1934"/>
      <c r="I36" s="326"/>
      <c r="J36" s="326"/>
      <c r="K36" s="326"/>
      <c r="L36" s="326"/>
      <c r="M36" s="326"/>
      <c r="N36" s="326"/>
      <c r="O36" s="673" t="s">
        <v>5033</v>
      </c>
      <c r="P36" s="674" t="s">
        <v>5033</v>
      </c>
      <c r="Q36" s="656" t="s">
        <v>5239</v>
      </c>
      <c r="R36" s="671" t="str">
        <f>IF(O36="","",IF(ISNUMBER(O36),ROUND(O36*R13/O13,0),O36))</f>
        <v>libre</v>
      </c>
      <c r="S36" s="672" t="str">
        <f>IF(P36="","",IF(ISNUMBER(P36),ROUND(P36*R13/O13,0),P36))</f>
        <v>libre</v>
      </c>
      <c r="T36" s="326"/>
      <c r="U36" s="326"/>
      <c r="V36" s="326"/>
      <c r="W36" s="326"/>
      <c r="X36" s="326"/>
      <c r="Y36" s="326"/>
      <c r="Z36" s="326"/>
      <c r="AA36" s="326"/>
      <c r="AB36" s="309"/>
      <c r="AC36" s="309"/>
      <c r="AD36" s="309"/>
      <c r="AE36" s="309"/>
      <c r="AF36" s="309"/>
      <c r="AG36" s="309"/>
      <c r="AH36" s="309"/>
      <c r="AI36" s="309"/>
      <c r="AJ36" s="309"/>
      <c r="AK36" s="309"/>
      <c r="AL36" s="609">
        <v>1</v>
      </c>
    </row>
    <row r="37" spans="1:38" ht="21" customHeight="1" x14ac:dyDescent="0.25">
      <c r="A37" s="326"/>
      <c r="B37" s="2014" t="s">
        <v>5168</v>
      </c>
      <c r="C37" s="2016" t="s">
        <v>5033</v>
      </c>
      <c r="D37" s="1946">
        <f t="shared" si="0"/>
        <v>0</v>
      </c>
      <c r="E37" s="1948" t="str">
        <f t="shared" si="1"/>
        <v>libre</v>
      </c>
      <c r="F37" s="1950" t="str">
        <f t="shared" si="2"/>
        <v>libre</v>
      </c>
      <c r="G37" s="1952" t="s">
        <v>5167</v>
      </c>
      <c r="H37" s="1953"/>
      <c r="I37" s="326"/>
      <c r="J37" s="326"/>
      <c r="K37" s="326"/>
      <c r="L37" s="326"/>
      <c r="M37" s="326"/>
      <c r="N37" s="326"/>
      <c r="O37" s="663" t="s">
        <v>5033</v>
      </c>
      <c r="P37" s="664" t="s">
        <v>5033</v>
      </c>
      <c r="Q37" s="657" t="s">
        <v>5240</v>
      </c>
      <c r="R37" s="665" t="str">
        <f>IF(O37="","",IF(ISNUMBER(O37),ROUND(O37*R13/O13,0),O37))</f>
        <v>libre</v>
      </c>
      <c r="S37" s="666" t="str">
        <f>IF(P37="","",IF(ISNUMBER(P37),ROUND(P37*R13/O13,0),P37))</f>
        <v>libre</v>
      </c>
      <c r="T37" s="326"/>
      <c r="U37" s="326"/>
      <c r="V37" s="326"/>
      <c r="W37" s="326"/>
      <c r="X37" s="326"/>
      <c r="Y37" s="326"/>
      <c r="Z37" s="326"/>
      <c r="AA37" s="326"/>
      <c r="AB37" s="309"/>
      <c r="AC37" s="309"/>
      <c r="AD37" s="309"/>
      <c r="AE37" s="309"/>
      <c r="AF37" s="309"/>
      <c r="AG37" s="309"/>
      <c r="AH37" s="309"/>
      <c r="AI37" s="309"/>
      <c r="AJ37" s="309"/>
      <c r="AK37" s="309"/>
      <c r="AL37" s="609">
        <v>1</v>
      </c>
    </row>
    <row r="38" spans="1:38" ht="21" customHeight="1" x14ac:dyDescent="0.25">
      <c r="A38" s="326"/>
      <c r="B38" s="2015"/>
      <c r="C38" s="1823"/>
      <c r="D38" s="1947" t="str">
        <f t="shared" si="0"/>
        <v/>
      </c>
      <c r="E38" s="1949" t="str">
        <f t="shared" si="1"/>
        <v/>
      </c>
      <c r="F38" s="1951" t="str">
        <f t="shared" si="2"/>
        <v/>
      </c>
      <c r="G38" s="1954"/>
      <c r="H38" s="1955"/>
      <c r="I38" s="326"/>
      <c r="J38" s="326"/>
      <c r="K38" s="326"/>
      <c r="L38" s="326"/>
      <c r="M38" s="326"/>
      <c r="N38" s="326"/>
      <c r="O38" s="675" t="s">
        <v>5033</v>
      </c>
      <c r="P38" s="676" t="s">
        <v>5033</v>
      </c>
      <c r="Q38" s="658" t="s">
        <v>5241</v>
      </c>
      <c r="R38" s="669" t="str">
        <f>IF(O38="","",IF(ISNUMBER(O38),ROUND(O38*R13/O13,0),O38))</f>
        <v>libre</v>
      </c>
      <c r="S38" s="670" t="str">
        <f>IF(P38="","",IF(ISNUMBER(P38),ROUND(P38*R13/O13,0),P38))</f>
        <v>libre</v>
      </c>
      <c r="T38" s="326"/>
      <c r="U38" s="326"/>
      <c r="V38" s="326"/>
      <c r="W38" s="326"/>
      <c r="X38" s="326"/>
      <c r="Y38" s="326"/>
      <c r="Z38" s="326"/>
      <c r="AA38" s="326"/>
      <c r="AB38" s="309"/>
      <c r="AC38" s="309"/>
      <c r="AD38" s="309"/>
      <c r="AE38" s="309"/>
      <c r="AF38" s="309"/>
      <c r="AG38" s="309"/>
      <c r="AH38" s="309"/>
      <c r="AI38" s="309"/>
      <c r="AJ38" s="309"/>
      <c r="AK38" s="309"/>
      <c r="AL38" s="609">
        <v>1</v>
      </c>
    </row>
    <row r="39" spans="1:38" ht="21" customHeight="1" x14ac:dyDescent="0.25">
      <c r="A39" s="326"/>
      <c r="B39" s="808" t="s">
        <v>5166</v>
      </c>
      <c r="C39" s="574" t="s">
        <v>5033</v>
      </c>
      <c r="D39" s="352">
        <f t="shared" si="0"/>
        <v>0</v>
      </c>
      <c r="E39" s="438" t="str">
        <f t="shared" si="1"/>
        <v>libre</v>
      </c>
      <c r="F39" s="437" t="str">
        <f t="shared" si="2"/>
        <v>libre</v>
      </c>
      <c r="G39" s="1954"/>
      <c r="H39" s="1955"/>
      <c r="I39" s="326"/>
      <c r="J39" s="326"/>
      <c r="K39" s="326"/>
      <c r="L39" s="326"/>
      <c r="M39" s="326"/>
      <c r="N39" s="326"/>
      <c r="O39" s="309"/>
      <c r="P39" s="309"/>
      <c r="Q39" s="309"/>
      <c r="R39" s="309"/>
      <c r="S39" s="309"/>
      <c r="T39" s="326"/>
      <c r="U39" s="326"/>
      <c r="V39" s="326"/>
      <c r="W39" s="326"/>
      <c r="X39" s="326"/>
      <c r="Y39" s="326"/>
      <c r="Z39" s="326"/>
      <c r="AA39" s="326"/>
      <c r="AB39" s="309"/>
      <c r="AC39" s="309"/>
      <c r="AD39" s="309"/>
      <c r="AE39" s="309"/>
      <c r="AF39" s="309"/>
      <c r="AG39" s="309"/>
      <c r="AH39" s="309"/>
      <c r="AI39" s="309"/>
      <c r="AJ39" s="309"/>
      <c r="AK39" s="309"/>
      <c r="AL39" s="609">
        <v>1</v>
      </c>
    </row>
    <row r="40" spans="1:38" ht="21" customHeight="1" x14ac:dyDescent="0.25">
      <c r="A40" s="326"/>
      <c r="B40" s="436" t="s">
        <v>5165</v>
      </c>
      <c r="C40" s="573" t="s">
        <v>5033</v>
      </c>
      <c r="D40" s="434">
        <f t="shared" si="0"/>
        <v>0</v>
      </c>
      <c r="E40" s="433" t="str">
        <f t="shared" si="1"/>
        <v>libre</v>
      </c>
      <c r="F40" s="432" t="str">
        <f t="shared" si="2"/>
        <v>libre</v>
      </c>
      <c r="G40" s="1956"/>
      <c r="H40" s="1957"/>
      <c r="I40" s="326"/>
      <c r="J40" s="326"/>
      <c r="K40" s="326"/>
      <c r="L40" s="326"/>
      <c r="M40" s="326"/>
      <c r="N40" s="326"/>
      <c r="O40" s="309"/>
      <c r="P40" s="309"/>
      <c r="Q40" s="309"/>
      <c r="R40" s="309"/>
      <c r="S40" s="309"/>
      <c r="T40" s="326"/>
      <c r="U40" s="326"/>
      <c r="V40" s="326"/>
      <c r="W40" s="326"/>
      <c r="X40" s="326"/>
      <c r="Y40" s="326"/>
      <c r="Z40" s="326"/>
      <c r="AA40" s="326"/>
      <c r="AB40" s="309"/>
      <c r="AC40" s="309"/>
      <c r="AD40" s="309"/>
      <c r="AE40" s="309"/>
      <c r="AF40" s="309"/>
      <c r="AG40" s="309"/>
      <c r="AH40" s="309"/>
      <c r="AI40" s="309"/>
      <c r="AJ40" s="309"/>
      <c r="AK40" s="309"/>
      <c r="AL40" s="609">
        <v>1</v>
      </c>
    </row>
    <row r="41" spans="1:38" ht="21" customHeight="1" x14ac:dyDescent="0.25">
      <c r="A41" s="326"/>
      <c r="B41" s="431" t="s">
        <v>5164</v>
      </c>
      <c r="C41" s="430" t="s">
        <v>5163</v>
      </c>
      <c r="D41" s="429" t="s">
        <v>5088</v>
      </c>
      <c r="E41" s="428"/>
      <c r="F41" s="428"/>
      <c r="G41" s="428"/>
      <c r="H41" s="427"/>
      <c r="I41" s="326"/>
      <c r="J41" s="326"/>
      <c r="K41" s="326"/>
      <c r="L41" s="326"/>
      <c r="M41" s="326"/>
      <c r="N41" s="326"/>
      <c r="O41" s="326"/>
      <c r="P41" s="326"/>
      <c r="Q41" s="326"/>
      <c r="R41" s="326"/>
      <c r="S41" s="326"/>
      <c r="T41" s="326"/>
      <c r="U41" s="326"/>
      <c r="V41" s="326"/>
      <c r="W41" s="326"/>
      <c r="X41" s="326"/>
      <c r="Y41" s="326"/>
      <c r="Z41" s="326"/>
      <c r="AA41" s="326"/>
      <c r="AB41" s="309"/>
      <c r="AC41" s="309"/>
      <c r="AD41" s="309"/>
      <c r="AE41" s="309"/>
      <c r="AF41" s="309"/>
      <c r="AG41" s="309"/>
      <c r="AH41" s="309"/>
      <c r="AI41" s="309"/>
      <c r="AJ41" s="309"/>
      <c r="AK41" s="309"/>
      <c r="AL41" s="609">
        <v>1</v>
      </c>
    </row>
    <row r="42" spans="1:38" ht="21" customHeight="1" thickBot="1" x14ac:dyDescent="0.3">
      <c r="A42" s="326"/>
      <c r="B42" s="312" t="s">
        <v>5020</v>
      </c>
      <c r="C42" s="312">
        <v>10</v>
      </c>
      <c r="D42" s="310">
        <v>10</v>
      </c>
      <c r="E42" s="311">
        <v>10</v>
      </c>
      <c r="F42" s="311">
        <v>10</v>
      </c>
      <c r="G42" s="311">
        <v>10</v>
      </c>
      <c r="H42" s="310">
        <v>10</v>
      </c>
      <c r="I42" s="326"/>
      <c r="J42" s="326"/>
      <c r="K42" s="326"/>
      <c r="L42" s="326"/>
      <c r="M42" s="326"/>
      <c r="N42" s="326"/>
      <c r="O42" s="326"/>
      <c r="P42" s="326"/>
      <c r="Q42" s="326"/>
      <c r="R42" s="326"/>
      <c r="S42" s="326"/>
      <c r="T42" s="326"/>
      <c r="U42" s="326"/>
      <c r="V42" s="326"/>
      <c r="W42" s="326"/>
      <c r="X42" s="326"/>
      <c r="Y42" s="326"/>
      <c r="Z42" s="326"/>
      <c r="AA42" s="326"/>
      <c r="AB42" s="309"/>
      <c r="AC42" s="309"/>
      <c r="AD42" s="309"/>
      <c r="AE42" s="309"/>
      <c r="AF42" s="309"/>
      <c r="AG42" s="309"/>
      <c r="AH42" s="309"/>
      <c r="AI42" s="309"/>
      <c r="AJ42" s="309"/>
      <c r="AK42" s="309"/>
      <c r="AL42" s="609">
        <v>1</v>
      </c>
    </row>
    <row r="43" spans="1:38" x14ac:dyDescent="0.25">
      <c r="A43" s="326"/>
      <c r="B43" s="326">
        <v>-5</v>
      </c>
      <c r="C43" s="326">
        <v>-4</v>
      </c>
      <c r="D43" s="326">
        <v>-3</v>
      </c>
      <c r="E43" s="326">
        <v>-2</v>
      </c>
      <c r="F43" s="326">
        <v>-1</v>
      </c>
      <c r="G43" s="326">
        <v>0</v>
      </c>
      <c r="H43" s="326">
        <v>0</v>
      </c>
      <c r="I43" s="326"/>
      <c r="J43" s="326"/>
      <c r="K43" s="326"/>
      <c r="L43" s="326"/>
      <c r="M43" s="425"/>
      <c r="N43" s="326"/>
      <c r="O43" s="326"/>
      <c r="P43" s="326"/>
      <c r="Q43" s="326"/>
      <c r="R43" s="326"/>
      <c r="S43" s="326"/>
      <c r="T43" s="326"/>
      <c r="U43" s="326"/>
      <c r="V43" s="326"/>
      <c r="W43" s="326"/>
      <c r="X43" s="326"/>
      <c r="Y43" s="326"/>
      <c r="Z43" s="326"/>
      <c r="AA43" s="326"/>
      <c r="AB43" s="309"/>
      <c r="AC43" s="309"/>
      <c r="AD43" s="309"/>
      <c r="AE43" s="309"/>
      <c r="AF43" s="309"/>
      <c r="AG43" s="309"/>
      <c r="AH43" s="309"/>
      <c r="AI43" s="309"/>
      <c r="AJ43" s="309"/>
      <c r="AK43" s="309"/>
      <c r="AL43" s="609">
        <v>1</v>
      </c>
    </row>
    <row r="44" spans="1:38" ht="15.75" hidden="1" customHeight="1" x14ac:dyDescent="0.25">
      <c r="A44" s="326"/>
      <c r="I44" s="326"/>
      <c r="J44" s="326"/>
      <c r="K44" s="326"/>
      <c r="L44" s="326"/>
      <c r="M44" s="425"/>
      <c r="N44" s="326"/>
      <c r="O44" s="326"/>
      <c r="P44" s="326"/>
      <c r="Q44" s="326"/>
      <c r="R44" s="326"/>
      <c r="S44" s="326"/>
      <c r="T44" s="326"/>
      <c r="U44" s="326"/>
      <c r="V44" s="326"/>
      <c r="W44" s="326"/>
      <c r="X44" s="326"/>
      <c r="Y44" s="326"/>
      <c r="Z44" s="326"/>
      <c r="AA44" s="326"/>
      <c r="AB44" s="309"/>
      <c r="AC44" s="309"/>
      <c r="AD44" s="309"/>
      <c r="AE44" s="309"/>
      <c r="AF44" s="309"/>
      <c r="AG44" s="309"/>
      <c r="AH44" s="309"/>
      <c r="AI44" s="309"/>
      <c r="AJ44" s="309"/>
      <c r="AK44" s="309"/>
      <c r="AL44" s="609">
        <v>1</v>
      </c>
    </row>
    <row r="45" spans="1:38" ht="36" hidden="1" customHeight="1" thickBot="1" x14ac:dyDescent="0.3">
      <c r="A45" s="326"/>
      <c r="B45" s="572" t="s">
        <v>5198</v>
      </c>
      <c r="C45" s="572" t="s">
        <v>5198</v>
      </c>
      <c r="D45" s="572" t="s">
        <v>5198</v>
      </c>
      <c r="E45" s="572" t="s">
        <v>5198</v>
      </c>
      <c r="F45" s="572" t="s">
        <v>5198</v>
      </c>
      <c r="G45" s="572" t="s">
        <v>5198</v>
      </c>
      <c r="H45" s="571"/>
      <c r="I45" s="326"/>
      <c r="J45" s="371"/>
      <c r="K45" s="370"/>
      <c r="L45" s="370"/>
      <c r="M45" s="485"/>
      <c r="N45" s="326"/>
      <c r="O45" s="326"/>
      <c r="P45" s="326"/>
      <c r="Q45" s="326"/>
      <c r="R45" s="326"/>
      <c r="S45" s="326"/>
      <c r="T45" s="326"/>
      <c r="U45" s="326"/>
      <c r="V45" s="326"/>
      <c r="W45" s="326"/>
      <c r="X45" s="326"/>
      <c r="Y45" s="326"/>
      <c r="Z45" s="326"/>
      <c r="AA45" s="326"/>
      <c r="AB45" s="309"/>
      <c r="AC45" s="309"/>
      <c r="AD45" s="309"/>
      <c r="AE45" s="309"/>
      <c r="AF45" s="309"/>
      <c r="AG45" s="309"/>
      <c r="AH45" s="309"/>
      <c r="AI45" s="309"/>
      <c r="AJ45" s="309"/>
      <c r="AK45" s="309"/>
      <c r="AL45" s="609">
        <v>1</v>
      </c>
    </row>
    <row r="46" spans="1:38" ht="20.100000000000001" hidden="1" customHeight="1" thickBot="1" x14ac:dyDescent="0.3">
      <c r="A46" s="326"/>
      <c r="B46" s="570" t="s">
        <v>5186</v>
      </c>
      <c r="C46" s="570" t="s">
        <v>5186</v>
      </c>
      <c r="D46" s="570" t="s">
        <v>5186</v>
      </c>
      <c r="E46" s="570" t="s">
        <v>5186</v>
      </c>
      <c r="F46" s="570" t="s">
        <v>5186</v>
      </c>
      <c r="G46" s="570" t="s">
        <v>5186</v>
      </c>
      <c r="H46" s="569"/>
      <c r="I46" s="326"/>
      <c r="J46" s="367"/>
      <c r="K46" s="363"/>
      <c r="L46" s="363"/>
      <c r="M46" s="474"/>
      <c r="N46" s="326"/>
      <c r="O46" s="326"/>
      <c r="P46" s="326"/>
      <c r="Q46" s="326"/>
      <c r="R46" s="326"/>
      <c r="S46" s="326"/>
      <c r="T46" s="326"/>
      <c r="U46" s="326"/>
      <c r="V46" s="326"/>
      <c r="W46" s="326"/>
      <c r="X46" s="326"/>
      <c r="Y46" s="326"/>
      <c r="Z46" s="326"/>
      <c r="AA46" s="326"/>
      <c r="AB46" s="309"/>
      <c r="AC46" s="309"/>
      <c r="AD46" s="309"/>
      <c r="AE46" s="309"/>
      <c r="AF46" s="309"/>
      <c r="AG46" s="309"/>
      <c r="AH46" s="309"/>
      <c r="AI46" s="309"/>
      <c r="AJ46" s="309"/>
      <c r="AK46" s="309"/>
      <c r="AL46" s="609">
        <v>1</v>
      </c>
    </row>
    <row r="47" spans="1:38" ht="20.100000000000001" hidden="1" customHeight="1" thickBot="1" x14ac:dyDescent="0.3">
      <c r="A47" s="326"/>
      <c r="B47" s="568"/>
      <c r="C47" s="568"/>
      <c r="D47" s="568"/>
      <c r="E47" s="568"/>
      <c r="F47" s="568"/>
      <c r="G47" s="568"/>
      <c r="H47" s="567"/>
      <c r="I47" s="326"/>
      <c r="J47" s="367"/>
      <c r="K47" s="363"/>
      <c r="L47" s="363"/>
      <c r="M47" s="474"/>
      <c r="N47" s="326"/>
      <c r="O47" s="326"/>
      <c r="P47" s="326"/>
      <c r="Q47" s="326"/>
      <c r="R47" s="326"/>
      <c r="S47" s="326"/>
      <c r="T47" s="326"/>
      <c r="U47" s="326"/>
      <c r="V47" s="326"/>
      <c r="W47" s="326"/>
      <c r="X47" s="326"/>
      <c r="Y47" s="326"/>
      <c r="Z47" s="326"/>
      <c r="AA47" s="326"/>
      <c r="AB47" s="309"/>
      <c r="AC47" s="309"/>
      <c r="AD47" s="309"/>
      <c r="AE47" s="309"/>
      <c r="AF47" s="309"/>
      <c r="AG47" s="309"/>
      <c r="AH47" s="309"/>
      <c r="AI47" s="309"/>
      <c r="AJ47" s="309"/>
      <c r="AK47" s="309"/>
      <c r="AL47" s="609">
        <v>1</v>
      </c>
    </row>
    <row r="48" spans="1:38" ht="18" hidden="1" customHeight="1" thickBot="1" x14ac:dyDescent="0.3">
      <c r="A48" s="326"/>
      <c r="B48" s="566" t="s">
        <v>5193</v>
      </c>
      <c r="C48" s="566" t="s">
        <v>5193</v>
      </c>
      <c r="D48" s="566" t="s">
        <v>5193</v>
      </c>
      <c r="E48" s="566" t="s">
        <v>5193</v>
      </c>
      <c r="F48" s="566" t="s">
        <v>5193</v>
      </c>
      <c r="G48" s="566" t="s">
        <v>5193</v>
      </c>
      <c r="H48" s="565"/>
      <c r="I48" s="326"/>
      <c r="J48" s="368"/>
      <c r="K48" s="363"/>
      <c r="L48" s="363"/>
      <c r="M48" s="474"/>
      <c r="N48" s="326"/>
      <c r="O48" s="326"/>
      <c r="P48" s="326"/>
      <c r="Q48" s="326"/>
      <c r="R48" s="326"/>
      <c r="S48" s="326"/>
      <c r="T48" s="326"/>
      <c r="U48" s="326"/>
      <c r="V48" s="326"/>
      <c r="W48" s="326"/>
      <c r="X48" s="326"/>
      <c r="Y48" s="326"/>
      <c r="Z48" s="326"/>
      <c r="AA48" s="326"/>
      <c r="AB48" s="309"/>
      <c r="AC48" s="309"/>
      <c r="AD48" s="309"/>
      <c r="AE48" s="309"/>
      <c r="AF48" s="309"/>
      <c r="AG48" s="309"/>
      <c r="AH48" s="309"/>
      <c r="AI48" s="309"/>
      <c r="AJ48" s="309"/>
      <c r="AK48" s="309"/>
      <c r="AL48" s="609">
        <v>1</v>
      </c>
    </row>
    <row r="49" spans="1:38" ht="18" hidden="1" customHeight="1" thickBot="1" x14ac:dyDescent="0.3">
      <c r="A49" s="326"/>
      <c r="B49" s="564" t="s">
        <v>5072</v>
      </c>
      <c r="C49" s="564" t="s">
        <v>5072</v>
      </c>
      <c r="D49" s="564" t="s">
        <v>5072</v>
      </c>
      <c r="E49" s="564" t="s">
        <v>5072</v>
      </c>
      <c r="F49" s="564" t="s">
        <v>5072</v>
      </c>
      <c r="G49" s="564" t="s">
        <v>5072</v>
      </c>
      <c r="H49" s="563"/>
      <c r="I49" s="326"/>
      <c r="J49" s="397"/>
      <c r="K49" s="363"/>
      <c r="L49" s="363"/>
      <c r="M49" s="474"/>
      <c r="N49" s="326"/>
      <c r="O49" s="326"/>
      <c r="P49" s="326"/>
      <c r="Q49" s="326"/>
      <c r="R49" s="326"/>
      <c r="S49" s="326"/>
      <c r="T49" s="326"/>
      <c r="U49" s="326"/>
      <c r="V49" s="326"/>
      <c r="W49" s="326"/>
      <c r="X49" s="326"/>
      <c r="Y49" s="326"/>
      <c r="Z49" s="326"/>
      <c r="AA49" s="326"/>
      <c r="AB49" s="309"/>
      <c r="AC49" s="309"/>
      <c r="AD49" s="309"/>
      <c r="AE49" s="309"/>
      <c r="AF49" s="309"/>
      <c r="AG49" s="309"/>
      <c r="AH49" s="309"/>
      <c r="AI49" s="309"/>
      <c r="AJ49" s="309"/>
      <c r="AK49" s="309"/>
      <c r="AL49" s="609">
        <v>1</v>
      </c>
    </row>
    <row r="50" spans="1:38" ht="18" hidden="1" customHeight="1" thickBot="1" x14ac:dyDescent="0.3">
      <c r="A50" s="326"/>
      <c r="B50" s="519" t="s">
        <v>5047</v>
      </c>
      <c r="C50" s="519" t="s">
        <v>5047</v>
      </c>
      <c r="D50" s="519" t="s">
        <v>5047</v>
      </c>
      <c r="E50" s="519" t="s">
        <v>5047</v>
      </c>
      <c r="F50" s="519" t="s">
        <v>5047</v>
      </c>
      <c r="G50" s="519" t="s">
        <v>5047</v>
      </c>
      <c r="H50" s="518"/>
      <c r="I50" s="326"/>
      <c r="J50" s="475"/>
      <c r="K50" s="363"/>
      <c r="L50" s="363"/>
      <c r="M50" s="474"/>
      <c r="N50" s="326"/>
      <c r="O50" s="326"/>
      <c r="P50" s="326"/>
      <c r="Q50" s="326"/>
      <c r="R50" s="326"/>
      <c r="S50" s="326"/>
      <c r="T50" s="326"/>
      <c r="U50" s="326"/>
      <c r="V50" s="326"/>
      <c r="W50" s="326"/>
      <c r="X50" s="326"/>
      <c r="Y50" s="326"/>
      <c r="Z50" s="326"/>
      <c r="AA50" s="326"/>
      <c r="AB50" s="309"/>
      <c r="AC50" s="309"/>
      <c r="AD50" s="309"/>
      <c r="AE50" s="309"/>
      <c r="AF50" s="309"/>
      <c r="AG50" s="309"/>
      <c r="AH50" s="309"/>
      <c r="AI50" s="309"/>
      <c r="AJ50" s="309"/>
      <c r="AK50" s="309"/>
      <c r="AL50" s="609">
        <v>1</v>
      </c>
    </row>
    <row r="51" spans="1:38" ht="18" hidden="1" customHeight="1" thickBot="1" x14ac:dyDescent="0.3">
      <c r="A51" s="326"/>
      <c r="B51" s="517"/>
      <c r="C51" s="517"/>
      <c r="D51" s="517"/>
      <c r="E51" s="517"/>
      <c r="F51" s="517"/>
      <c r="G51" s="517"/>
      <c r="H51" s="516"/>
      <c r="I51" s="326"/>
      <c r="J51" s="365"/>
      <c r="K51" s="363"/>
      <c r="L51" s="363"/>
      <c r="M51" s="474"/>
      <c r="N51" s="326"/>
      <c r="O51" s="326"/>
      <c r="P51" s="326"/>
      <c r="Q51" s="326"/>
      <c r="R51" s="326"/>
      <c r="S51" s="326"/>
      <c r="T51" s="326"/>
      <c r="U51" s="326"/>
      <c r="V51" s="326"/>
      <c r="W51" s="326"/>
      <c r="X51" s="326"/>
      <c r="Y51" s="326"/>
      <c r="Z51" s="326"/>
      <c r="AA51" s="326"/>
      <c r="AB51" s="309"/>
      <c r="AC51" s="309"/>
      <c r="AD51" s="309"/>
      <c r="AE51" s="309"/>
      <c r="AF51" s="309"/>
      <c r="AG51" s="309"/>
      <c r="AH51" s="309"/>
      <c r="AI51" s="309"/>
      <c r="AJ51" s="309"/>
      <c r="AK51" s="309"/>
      <c r="AL51" s="609">
        <v>1</v>
      </c>
    </row>
    <row r="52" spans="1:38" ht="18" hidden="1" customHeight="1" thickBot="1" x14ac:dyDescent="0.3">
      <c r="A52" s="326"/>
      <c r="B52" s="517"/>
      <c r="C52" s="517"/>
      <c r="D52" s="517"/>
      <c r="E52" s="517"/>
      <c r="F52" s="517"/>
      <c r="G52" s="517"/>
      <c r="H52" s="516"/>
      <c r="I52" s="326"/>
      <c r="J52" s="364"/>
      <c r="K52" s="363"/>
      <c r="L52" s="363"/>
      <c r="M52" s="474"/>
      <c r="N52" s="326"/>
      <c r="O52" s="326"/>
      <c r="P52" s="326"/>
      <c r="Q52" s="326"/>
      <c r="R52" s="326"/>
      <c r="S52" s="326"/>
      <c r="T52" s="326"/>
      <c r="U52" s="326"/>
      <c r="V52" s="326"/>
      <c r="W52" s="326"/>
      <c r="X52" s="326"/>
      <c r="Y52" s="326"/>
      <c r="Z52" s="326"/>
      <c r="AA52" s="326"/>
      <c r="AB52" s="309"/>
      <c r="AC52" s="309"/>
      <c r="AD52" s="309"/>
      <c r="AE52" s="309"/>
      <c r="AF52" s="309"/>
      <c r="AG52" s="309"/>
      <c r="AH52" s="309"/>
      <c r="AI52" s="309"/>
      <c r="AJ52" s="309"/>
      <c r="AK52" s="309"/>
      <c r="AL52" s="609">
        <v>1</v>
      </c>
    </row>
    <row r="53" spans="1:38" ht="18" hidden="1" customHeight="1" thickBot="1" x14ac:dyDescent="0.3">
      <c r="A53" s="326"/>
      <c r="B53" s="515" t="s">
        <v>5037</v>
      </c>
      <c r="C53" s="515" t="s">
        <v>5037</v>
      </c>
      <c r="D53" s="515" t="s">
        <v>5037</v>
      </c>
      <c r="E53" s="515" t="s">
        <v>5037</v>
      </c>
      <c r="F53" s="515" t="s">
        <v>5037</v>
      </c>
      <c r="G53" s="515" t="s">
        <v>5037</v>
      </c>
      <c r="H53" s="388"/>
      <c r="I53" s="326"/>
      <c r="J53" s="361"/>
      <c r="K53" s="360"/>
      <c r="L53" s="360"/>
      <c r="M53" s="472"/>
      <c r="N53" s="326"/>
      <c r="O53" s="326"/>
      <c r="P53" s="326"/>
      <c r="Q53" s="326"/>
      <c r="R53" s="326"/>
      <c r="S53" s="326"/>
      <c r="T53" s="326"/>
      <c r="U53" s="326"/>
      <c r="V53" s="326"/>
      <c r="W53" s="326"/>
      <c r="X53" s="326"/>
      <c r="Y53" s="326"/>
      <c r="Z53" s="326"/>
      <c r="AA53" s="326"/>
      <c r="AB53" s="309"/>
      <c r="AC53" s="309"/>
      <c r="AD53" s="309"/>
      <c r="AE53" s="309"/>
      <c r="AF53" s="309"/>
      <c r="AG53" s="309"/>
      <c r="AH53" s="309"/>
      <c r="AI53" s="309"/>
      <c r="AJ53" s="309"/>
      <c r="AK53" s="309"/>
      <c r="AL53" s="609">
        <v>1</v>
      </c>
    </row>
    <row r="54" spans="1:38" ht="18" hidden="1" customHeight="1" thickBot="1" x14ac:dyDescent="0.3">
      <c r="A54" s="326"/>
      <c r="B54" s="514" t="s">
        <v>5036</v>
      </c>
      <c r="C54" s="514" t="s">
        <v>5036</v>
      </c>
      <c r="D54" s="514" t="s">
        <v>5036</v>
      </c>
      <c r="E54" s="514" t="s">
        <v>5036</v>
      </c>
      <c r="F54" s="514" t="s">
        <v>5036</v>
      </c>
      <c r="G54" s="514" t="s">
        <v>5036</v>
      </c>
      <c r="H54" s="513"/>
      <c r="I54" s="326"/>
      <c r="J54" s="326"/>
      <c r="K54" s="326"/>
      <c r="L54" s="326"/>
      <c r="M54" s="425"/>
      <c r="N54" s="326"/>
      <c r="O54" s="326"/>
      <c r="P54" s="326"/>
      <c r="Q54" s="326"/>
      <c r="R54" s="326"/>
      <c r="S54" s="326"/>
      <c r="T54" s="326"/>
      <c r="U54" s="326"/>
      <c r="V54" s="326"/>
      <c r="W54" s="326"/>
      <c r="X54" s="326"/>
      <c r="Y54" s="326"/>
      <c r="Z54" s="326"/>
      <c r="AA54" s="326"/>
      <c r="AB54" s="309"/>
      <c r="AC54" s="309"/>
      <c r="AD54" s="309"/>
      <c r="AE54" s="309"/>
      <c r="AF54" s="309"/>
      <c r="AG54" s="309"/>
      <c r="AH54" s="309"/>
      <c r="AI54" s="309"/>
      <c r="AJ54" s="309"/>
      <c r="AK54" s="309"/>
      <c r="AL54" s="609">
        <v>1</v>
      </c>
    </row>
    <row r="55" spans="1:38" ht="18" hidden="1" customHeight="1" thickBot="1" x14ac:dyDescent="0.3">
      <c r="A55" s="326"/>
      <c r="B55" s="512"/>
      <c r="C55" s="512"/>
      <c r="D55" s="512"/>
      <c r="E55" s="512"/>
      <c r="F55" s="512"/>
      <c r="G55" s="512"/>
      <c r="H55" s="511"/>
      <c r="I55" s="326"/>
      <c r="J55" s="326"/>
      <c r="K55" s="326"/>
      <c r="L55" s="326"/>
      <c r="M55" s="425"/>
      <c r="N55" s="326"/>
      <c r="O55" s="326"/>
      <c r="P55" s="326"/>
      <c r="Q55" s="326"/>
      <c r="R55" s="326"/>
      <c r="S55" s="326"/>
      <c r="T55" s="326"/>
      <c r="U55" s="326"/>
      <c r="V55" s="326"/>
      <c r="W55" s="326"/>
      <c r="X55" s="326"/>
      <c r="Y55" s="326"/>
      <c r="Z55" s="326"/>
      <c r="AA55" s="326"/>
      <c r="AB55" s="309"/>
      <c r="AC55" s="309"/>
      <c r="AD55" s="309"/>
      <c r="AE55" s="309"/>
      <c r="AF55" s="309"/>
      <c r="AG55" s="309"/>
      <c r="AH55" s="309"/>
      <c r="AI55" s="309"/>
      <c r="AJ55" s="309"/>
      <c r="AK55" s="309"/>
      <c r="AL55" s="609">
        <v>1</v>
      </c>
    </row>
    <row r="56" spans="1:38" ht="18" hidden="1" customHeight="1" thickBot="1" x14ac:dyDescent="0.3">
      <c r="A56" s="326"/>
      <c r="B56" s="510"/>
      <c r="C56" s="510"/>
      <c r="D56" s="510"/>
      <c r="E56" s="510"/>
      <c r="F56" s="510"/>
      <c r="G56" s="510"/>
      <c r="H56" s="509"/>
      <c r="I56" s="326"/>
      <c r="J56" s="326"/>
      <c r="K56" s="326"/>
      <c r="L56" s="326"/>
      <c r="M56" s="425"/>
      <c r="N56" s="326"/>
      <c r="O56" s="326"/>
      <c r="P56" s="326"/>
      <c r="Q56" s="326"/>
      <c r="R56" s="326"/>
      <c r="S56" s="326"/>
      <c r="T56" s="326"/>
      <c r="U56" s="326"/>
      <c r="V56" s="326"/>
      <c r="W56" s="326"/>
      <c r="X56" s="326"/>
      <c r="Y56" s="326"/>
      <c r="Z56" s="326"/>
      <c r="AA56" s="326"/>
      <c r="AB56" s="309"/>
      <c r="AC56" s="309"/>
      <c r="AD56" s="309"/>
      <c r="AE56" s="309"/>
      <c r="AF56" s="309"/>
      <c r="AG56" s="309"/>
      <c r="AH56" s="309"/>
      <c r="AI56" s="309"/>
      <c r="AJ56" s="309"/>
      <c r="AK56" s="309"/>
      <c r="AL56" s="609">
        <v>1</v>
      </c>
    </row>
    <row r="57" spans="1:38" ht="18" hidden="1" customHeight="1" thickBot="1" x14ac:dyDescent="0.3">
      <c r="A57" s="326"/>
      <c r="B57" s="508" t="s">
        <v>5111</v>
      </c>
      <c r="C57" s="508" t="s">
        <v>5111</v>
      </c>
      <c r="D57" s="508" t="s">
        <v>5111</v>
      </c>
      <c r="E57" s="508" t="s">
        <v>5111</v>
      </c>
      <c r="F57" s="508" t="s">
        <v>5111</v>
      </c>
      <c r="G57" s="508" t="s">
        <v>5111</v>
      </c>
      <c r="H57" s="507"/>
      <c r="I57" s="326"/>
      <c r="J57" s="326"/>
      <c r="K57" s="326"/>
      <c r="L57" s="326"/>
      <c r="M57" s="425"/>
      <c r="N57" s="326"/>
      <c r="O57" s="326"/>
      <c r="P57" s="326"/>
      <c r="Q57" s="326"/>
      <c r="R57" s="326"/>
      <c r="S57" s="326"/>
      <c r="T57" s="326"/>
      <c r="U57" s="326"/>
      <c r="V57" s="326"/>
      <c r="W57" s="326"/>
      <c r="X57" s="326"/>
      <c r="Y57" s="326"/>
      <c r="Z57" s="326"/>
      <c r="AA57" s="326"/>
      <c r="AB57" s="309"/>
      <c r="AC57" s="309"/>
      <c r="AD57" s="309"/>
      <c r="AE57" s="309"/>
      <c r="AF57" s="309"/>
      <c r="AG57" s="309"/>
      <c r="AH57" s="309"/>
      <c r="AI57" s="309"/>
      <c r="AJ57" s="309"/>
      <c r="AK57" s="309"/>
      <c r="AL57" s="609">
        <v>1</v>
      </c>
    </row>
    <row r="58" spans="1:38" ht="18" hidden="1" customHeight="1" thickBot="1" x14ac:dyDescent="0.3">
      <c r="A58" s="326"/>
      <c r="B58" s="506"/>
      <c r="C58" s="506"/>
      <c r="D58" s="506"/>
      <c r="E58" s="506"/>
      <c r="F58" s="506"/>
      <c r="G58" s="506"/>
      <c r="H58" s="505"/>
      <c r="I58" s="326"/>
      <c r="J58" s="326"/>
      <c r="K58" s="326"/>
      <c r="L58" s="326"/>
      <c r="M58" s="425"/>
      <c r="N58" s="326"/>
      <c r="O58" s="326"/>
      <c r="P58" s="326"/>
      <c r="Q58" s="326"/>
      <c r="R58" s="326"/>
      <c r="S58" s="326"/>
      <c r="T58" s="326"/>
      <c r="U58" s="326"/>
      <c r="V58" s="326"/>
      <c r="W58" s="326"/>
      <c r="X58" s="326"/>
      <c r="Y58" s="326"/>
      <c r="Z58" s="326"/>
      <c r="AA58" s="326"/>
      <c r="AB58" s="309"/>
      <c r="AC58" s="309"/>
      <c r="AD58" s="309"/>
      <c r="AE58" s="309"/>
      <c r="AF58" s="309"/>
      <c r="AG58" s="309"/>
      <c r="AH58" s="309"/>
      <c r="AI58" s="309"/>
      <c r="AJ58" s="309"/>
      <c r="AK58" s="309"/>
      <c r="AL58" s="609">
        <v>1</v>
      </c>
    </row>
    <row r="59" spans="1:38" ht="18" hidden="1" customHeight="1" thickBot="1" x14ac:dyDescent="0.3">
      <c r="A59" s="326"/>
      <c r="B59" s="506"/>
      <c r="C59" s="506"/>
      <c r="D59" s="506"/>
      <c r="E59" s="506"/>
      <c r="F59" s="506"/>
      <c r="G59" s="506"/>
      <c r="H59" s="505"/>
      <c r="I59" s="326"/>
      <c r="J59" s="326"/>
      <c r="K59" s="326"/>
      <c r="L59" s="326"/>
      <c r="M59" s="425"/>
      <c r="N59" s="326"/>
      <c r="O59" s="326"/>
      <c r="P59" s="326"/>
      <c r="Q59" s="326"/>
      <c r="R59" s="326"/>
      <c r="S59" s="326"/>
      <c r="T59" s="326"/>
      <c r="U59" s="326"/>
      <c r="V59" s="326"/>
      <c r="W59" s="326"/>
      <c r="X59" s="326"/>
      <c r="Y59" s="326"/>
      <c r="Z59" s="326"/>
      <c r="AA59" s="326"/>
      <c r="AB59" s="309"/>
      <c r="AC59" s="309"/>
      <c r="AD59" s="309"/>
      <c r="AE59" s="309"/>
      <c r="AF59" s="309"/>
      <c r="AG59" s="309"/>
      <c r="AH59" s="309"/>
      <c r="AI59" s="309"/>
      <c r="AJ59" s="309"/>
      <c r="AK59" s="309"/>
      <c r="AL59" s="609">
        <v>1</v>
      </c>
    </row>
    <row r="60" spans="1:38" ht="18" hidden="1" customHeight="1" thickBot="1" x14ac:dyDescent="0.3">
      <c r="A60" s="326"/>
      <c r="B60" s="504"/>
      <c r="C60" s="504"/>
      <c r="D60" s="504"/>
      <c r="E60" s="504"/>
      <c r="F60" s="504"/>
      <c r="G60" s="504"/>
      <c r="H60" s="503"/>
      <c r="I60" s="326"/>
      <c r="J60" s="326"/>
      <c r="K60" s="326"/>
      <c r="L60" s="326"/>
      <c r="M60" s="425"/>
      <c r="N60" s="326"/>
      <c r="O60" s="326"/>
      <c r="P60" s="326"/>
      <c r="Q60" s="326"/>
      <c r="R60" s="326"/>
      <c r="S60" s="326"/>
      <c r="T60" s="326"/>
      <c r="U60" s="326"/>
      <c r="V60" s="326"/>
      <c r="W60" s="326"/>
      <c r="X60" s="326"/>
      <c r="Y60" s="326"/>
      <c r="Z60" s="326"/>
      <c r="AA60" s="326"/>
      <c r="AB60" s="309"/>
      <c r="AC60" s="309"/>
      <c r="AD60" s="309"/>
      <c r="AE60" s="309"/>
      <c r="AF60" s="309"/>
      <c r="AG60" s="309"/>
      <c r="AH60" s="309"/>
      <c r="AI60" s="309"/>
      <c r="AJ60" s="309"/>
      <c r="AK60" s="309"/>
      <c r="AL60" s="609">
        <v>1</v>
      </c>
    </row>
    <row r="61" spans="1:38" ht="18" hidden="1" customHeight="1" thickBot="1" x14ac:dyDescent="0.3">
      <c r="A61" s="326"/>
      <c r="B61" s="500" t="s">
        <v>5107</v>
      </c>
      <c r="C61" s="500" t="s">
        <v>5107</v>
      </c>
      <c r="D61" s="500" t="s">
        <v>5107</v>
      </c>
      <c r="E61" s="500" t="s">
        <v>5107</v>
      </c>
      <c r="F61" s="500" t="s">
        <v>5107</v>
      </c>
      <c r="G61" s="500" t="s">
        <v>5107</v>
      </c>
      <c r="H61" s="499"/>
      <c r="I61" s="326"/>
      <c r="J61" s="326"/>
      <c r="K61" s="326"/>
      <c r="L61" s="326"/>
      <c r="M61" s="425"/>
      <c r="N61" s="326"/>
      <c r="O61" s="326"/>
      <c r="P61" s="326"/>
      <c r="Q61" s="326"/>
      <c r="R61" s="326"/>
      <c r="S61" s="326"/>
      <c r="T61" s="326"/>
      <c r="U61" s="326"/>
      <c r="V61" s="326"/>
      <c r="W61" s="326"/>
      <c r="X61" s="326"/>
      <c r="Y61" s="326"/>
      <c r="Z61" s="326"/>
      <c r="AA61" s="326"/>
      <c r="AB61" s="309"/>
      <c r="AC61" s="309"/>
      <c r="AD61" s="309"/>
      <c r="AE61" s="309"/>
      <c r="AF61" s="309"/>
      <c r="AG61" s="309"/>
      <c r="AH61" s="309"/>
      <c r="AI61" s="309"/>
      <c r="AJ61" s="309"/>
      <c r="AK61" s="309"/>
      <c r="AL61" s="609">
        <v>1</v>
      </c>
    </row>
    <row r="62" spans="1:38" ht="18" hidden="1" customHeight="1" thickBot="1" x14ac:dyDescent="0.3">
      <c r="A62" s="326"/>
      <c r="B62" s="538"/>
      <c r="C62" s="538"/>
      <c r="D62" s="538"/>
      <c r="E62" s="538"/>
      <c r="F62" s="538"/>
      <c r="G62" s="538"/>
      <c r="H62" s="374"/>
      <c r="I62" s="326"/>
      <c r="J62" s="326"/>
      <c r="K62" s="326"/>
      <c r="L62" s="326"/>
      <c r="M62" s="425"/>
      <c r="N62" s="326"/>
      <c r="O62" s="326"/>
      <c r="P62" s="326"/>
      <c r="Q62" s="326"/>
      <c r="R62" s="326"/>
      <c r="S62" s="326"/>
      <c r="T62" s="326"/>
      <c r="U62" s="326"/>
      <c r="V62" s="326"/>
      <c r="W62" s="326"/>
      <c r="X62" s="326"/>
      <c r="Y62" s="326"/>
      <c r="Z62" s="326"/>
      <c r="AA62" s="326"/>
      <c r="AB62" s="309"/>
      <c r="AC62" s="309"/>
      <c r="AD62" s="309"/>
      <c r="AE62" s="309"/>
      <c r="AF62" s="309"/>
      <c r="AG62" s="309"/>
      <c r="AH62" s="309"/>
      <c r="AI62" s="309"/>
      <c r="AJ62" s="309"/>
      <c r="AK62" s="309"/>
      <c r="AL62" s="609">
        <v>1</v>
      </c>
    </row>
    <row r="63" spans="1:38" ht="18" hidden="1" customHeight="1" thickBot="1" x14ac:dyDescent="0.3">
      <c r="A63" s="326"/>
      <c r="B63" s="495"/>
      <c r="C63" s="495"/>
      <c r="D63" s="495"/>
      <c r="E63" s="495"/>
      <c r="F63" s="495"/>
      <c r="G63" s="495"/>
      <c r="H63" s="494"/>
      <c r="I63" s="326"/>
      <c r="J63" s="326"/>
      <c r="K63" s="326"/>
      <c r="L63" s="326"/>
      <c r="M63" s="425"/>
      <c r="N63" s="326"/>
      <c r="O63" s="326"/>
      <c r="P63" s="326"/>
      <c r="Q63" s="326"/>
      <c r="R63" s="326"/>
      <c r="S63" s="326"/>
      <c r="T63" s="326"/>
      <c r="U63" s="326"/>
      <c r="V63" s="326"/>
      <c r="W63" s="326"/>
      <c r="X63" s="326"/>
      <c r="Y63" s="326"/>
      <c r="Z63" s="326"/>
      <c r="AA63" s="326"/>
      <c r="AB63" s="309"/>
      <c r="AC63" s="309"/>
      <c r="AD63" s="309"/>
      <c r="AE63" s="309"/>
      <c r="AF63" s="309"/>
      <c r="AG63" s="309"/>
      <c r="AH63" s="309"/>
      <c r="AI63" s="309"/>
      <c r="AJ63" s="309"/>
      <c r="AK63" s="309"/>
      <c r="AL63" s="609">
        <v>1</v>
      </c>
    </row>
    <row r="64" spans="1:38" ht="18" hidden="1" customHeight="1" thickBot="1" x14ac:dyDescent="0.3">
      <c r="A64" s="326"/>
      <c r="B64" s="533" t="s">
        <v>5205</v>
      </c>
      <c r="C64" s="533" t="s">
        <v>5205</v>
      </c>
      <c r="D64" s="533" t="s">
        <v>5205</v>
      </c>
      <c r="E64" s="533" t="s">
        <v>5205</v>
      </c>
      <c r="F64" s="533" t="s">
        <v>5205</v>
      </c>
      <c r="G64" s="533" t="s">
        <v>5205</v>
      </c>
      <c r="H64" s="532"/>
      <c r="I64" s="326"/>
      <c r="J64" s="326"/>
      <c r="K64" s="326"/>
      <c r="L64" s="326"/>
      <c r="M64" s="425"/>
      <c r="N64" s="326"/>
      <c r="O64" s="326"/>
      <c r="P64" s="326"/>
      <c r="Q64" s="326"/>
      <c r="R64" s="326"/>
      <c r="S64" s="326"/>
      <c r="T64" s="326"/>
      <c r="U64" s="326"/>
      <c r="V64" s="326"/>
      <c r="W64" s="326"/>
      <c r="X64" s="326"/>
      <c r="Y64" s="326"/>
      <c r="Z64" s="326"/>
      <c r="AA64" s="326"/>
      <c r="AB64" s="309"/>
      <c r="AC64" s="309"/>
      <c r="AD64" s="309"/>
      <c r="AE64" s="309"/>
      <c r="AF64" s="309"/>
      <c r="AG64" s="309"/>
      <c r="AH64" s="309"/>
      <c r="AI64" s="309"/>
      <c r="AJ64" s="309"/>
      <c r="AK64" s="309"/>
      <c r="AL64" s="609">
        <v>1</v>
      </c>
    </row>
    <row r="65" spans="1:38" ht="18" hidden="1" customHeight="1" thickBot="1" x14ac:dyDescent="0.3">
      <c r="A65" s="326"/>
      <c r="B65" s="428"/>
      <c r="C65" s="428"/>
      <c r="D65" s="428"/>
      <c r="E65" s="428"/>
      <c r="F65" s="428"/>
      <c r="G65" s="428"/>
      <c r="H65" s="427"/>
      <c r="I65" s="326"/>
      <c r="J65" s="326"/>
      <c r="K65" s="326"/>
      <c r="L65" s="326"/>
      <c r="M65" s="425"/>
      <c r="N65" s="326"/>
      <c r="O65" s="326"/>
      <c r="P65" s="326"/>
      <c r="Q65" s="326"/>
      <c r="R65" s="326"/>
      <c r="S65" s="326"/>
      <c r="T65" s="326"/>
      <c r="U65" s="326"/>
      <c r="V65" s="326"/>
      <c r="W65" s="326"/>
      <c r="X65" s="326"/>
      <c r="Y65" s="326"/>
      <c r="Z65" s="326"/>
      <c r="AA65" s="326"/>
      <c r="AB65" s="309"/>
      <c r="AC65" s="309"/>
      <c r="AD65" s="309"/>
      <c r="AE65" s="309"/>
      <c r="AF65" s="309"/>
      <c r="AG65" s="309"/>
      <c r="AH65" s="309"/>
      <c r="AI65" s="309"/>
      <c r="AJ65" s="309"/>
      <c r="AK65" s="309"/>
      <c r="AL65" s="609">
        <v>1</v>
      </c>
    </row>
    <row r="66" spans="1:38" ht="18" hidden="1" customHeight="1" thickBot="1" x14ac:dyDescent="0.3">
      <c r="A66" s="326"/>
      <c r="B66" s="311">
        <v>10</v>
      </c>
      <c r="C66" s="311">
        <v>10</v>
      </c>
      <c r="D66" s="311">
        <v>10</v>
      </c>
      <c r="E66" s="311">
        <v>10</v>
      </c>
      <c r="F66" s="311">
        <v>10</v>
      </c>
      <c r="G66" s="311">
        <v>10</v>
      </c>
      <c r="H66" s="310">
        <v>10</v>
      </c>
      <c r="I66" s="326"/>
      <c r="J66" s="326"/>
      <c r="K66" s="326"/>
      <c r="L66" s="326"/>
      <c r="M66" s="425"/>
      <c r="N66" s="326"/>
      <c r="O66" s="326"/>
      <c r="P66" s="326"/>
      <c r="Q66" s="326"/>
      <c r="R66" s="326"/>
      <c r="S66" s="326"/>
      <c r="T66" s="326"/>
      <c r="U66" s="326"/>
      <c r="V66" s="326"/>
      <c r="W66" s="326"/>
      <c r="X66" s="326"/>
      <c r="Y66" s="326"/>
      <c r="Z66" s="326"/>
      <c r="AA66" s="326"/>
      <c r="AB66" s="309"/>
      <c r="AC66" s="309"/>
      <c r="AD66" s="309"/>
      <c r="AE66" s="309"/>
      <c r="AF66" s="309"/>
      <c r="AG66" s="309"/>
      <c r="AH66" s="309"/>
      <c r="AI66" s="309"/>
      <c r="AJ66" s="309"/>
      <c r="AK66" s="309"/>
      <c r="AL66" s="609">
        <v>1</v>
      </c>
    </row>
    <row r="67" spans="1:38" ht="15.75" hidden="1" customHeight="1" thickBot="1" x14ac:dyDescent="0.3">
      <c r="A67" s="326"/>
      <c r="B67" s="326">
        <v>0</v>
      </c>
      <c r="C67" s="326">
        <v>0</v>
      </c>
      <c r="D67" s="326">
        <v>0</v>
      </c>
      <c r="E67" s="326">
        <v>0</v>
      </c>
      <c r="F67" s="326">
        <v>0</v>
      </c>
      <c r="G67" s="326">
        <v>0</v>
      </c>
      <c r="H67" s="326">
        <v>0</v>
      </c>
      <c r="I67" s="326"/>
      <c r="J67" s="326"/>
      <c r="K67" s="326"/>
      <c r="L67" s="326"/>
      <c r="M67" s="425"/>
      <c r="N67" s="326"/>
      <c r="O67" s="326"/>
      <c r="P67" s="326"/>
      <c r="Q67" s="326"/>
      <c r="R67" s="326"/>
      <c r="S67" s="326"/>
      <c r="T67" s="326"/>
      <c r="U67" s="326"/>
      <c r="V67" s="326"/>
      <c r="W67" s="326"/>
      <c r="X67" s="326"/>
      <c r="Y67" s="326"/>
      <c r="Z67" s="326"/>
      <c r="AA67" s="326"/>
      <c r="AB67" s="309"/>
      <c r="AC67" s="309"/>
      <c r="AD67" s="309"/>
      <c r="AE67" s="309"/>
      <c r="AF67" s="309"/>
      <c r="AG67" s="309"/>
      <c r="AH67" s="309"/>
      <c r="AI67" s="309"/>
      <c r="AJ67" s="309"/>
      <c r="AK67" s="309"/>
      <c r="AL67" s="609">
        <v>1</v>
      </c>
    </row>
    <row r="68" spans="1:38" ht="15.75" hidden="1" customHeight="1" thickBot="1" x14ac:dyDescent="0.3">
      <c r="A68" s="326"/>
      <c r="B68" s="326">
        <v>0</v>
      </c>
      <c r="C68" s="326">
        <v>0</v>
      </c>
      <c r="D68" s="326">
        <v>0</v>
      </c>
      <c r="E68" s="326">
        <v>0</v>
      </c>
      <c r="F68" s="326">
        <v>0</v>
      </c>
      <c r="G68" s="326">
        <v>0</v>
      </c>
      <c r="H68" s="326">
        <v>0</v>
      </c>
      <c r="I68" s="326"/>
      <c r="J68" s="326"/>
      <c r="K68" s="326"/>
      <c r="L68" s="326"/>
      <c r="M68" s="425"/>
      <c r="N68" s="326"/>
      <c r="O68" s="326"/>
      <c r="P68" s="326"/>
      <c r="Q68" s="326"/>
      <c r="R68" s="326"/>
      <c r="S68" s="326"/>
      <c r="T68" s="326"/>
      <c r="U68" s="326"/>
      <c r="V68" s="326"/>
      <c r="W68" s="326"/>
      <c r="X68" s="326"/>
      <c r="Y68" s="326"/>
      <c r="Z68" s="326"/>
      <c r="AA68" s="326"/>
      <c r="AB68" s="309"/>
      <c r="AC68" s="309"/>
      <c r="AD68" s="309"/>
      <c r="AE68" s="309"/>
      <c r="AF68" s="309"/>
      <c r="AG68" s="309"/>
      <c r="AH68" s="309"/>
      <c r="AI68" s="309"/>
      <c r="AJ68" s="309"/>
      <c r="AK68" s="309"/>
      <c r="AL68" s="609">
        <v>1</v>
      </c>
    </row>
    <row r="69" spans="1:38" ht="15.75" hidden="1" customHeight="1" thickBot="1" x14ac:dyDescent="0.3">
      <c r="A69" s="326"/>
      <c r="B69" s="326">
        <v>0</v>
      </c>
      <c r="C69" s="326">
        <v>0</v>
      </c>
      <c r="D69" s="326">
        <v>0</v>
      </c>
      <c r="E69" s="326">
        <v>0</v>
      </c>
      <c r="F69" s="326">
        <v>0</v>
      </c>
      <c r="G69" s="326">
        <v>0</v>
      </c>
      <c r="H69" s="326">
        <v>0</v>
      </c>
      <c r="I69" s="326"/>
      <c r="J69" s="326"/>
      <c r="K69" s="326"/>
      <c r="L69" s="562"/>
      <c r="M69" s="426"/>
      <c r="N69" s="326"/>
      <c r="O69" s="326"/>
      <c r="P69" s="326"/>
      <c r="Q69" s="326"/>
      <c r="R69" s="326"/>
      <c r="S69" s="326"/>
      <c r="T69" s="326"/>
      <c r="U69" s="326"/>
      <c r="V69" s="326"/>
      <c r="W69" s="326"/>
      <c r="X69" s="326"/>
      <c r="Y69" s="326"/>
      <c r="Z69" s="326"/>
      <c r="AA69" s="326"/>
      <c r="AB69" s="309"/>
      <c r="AC69" s="309"/>
      <c r="AD69" s="309"/>
      <c r="AE69" s="309"/>
      <c r="AF69" s="309"/>
      <c r="AG69" s="309"/>
      <c r="AH69" s="309"/>
      <c r="AI69" s="309"/>
      <c r="AJ69" s="309"/>
      <c r="AK69" s="309"/>
      <c r="AL69" s="609">
        <v>1</v>
      </c>
    </row>
    <row r="70" spans="1:38" ht="24" hidden="1" customHeight="1" thickBot="1" x14ac:dyDescent="0.3">
      <c r="A70" s="326"/>
      <c r="B70" s="561" t="s">
        <v>56</v>
      </c>
      <c r="C70" s="561" t="s">
        <v>56</v>
      </c>
      <c r="D70" s="561" t="s">
        <v>56</v>
      </c>
      <c r="E70" s="561" t="s">
        <v>56</v>
      </c>
      <c r="F70" s="561" t="s">
        <v>56</v>
      </c>
      <c r="G70" s="561" t="s">
        <v>56</v>
      </c>
      <c r="H70" s="560" t="s">
        <v>5204</v>
      </c>
      <c r="I70" s="326"/>
      <c r="J70" s="559"/>
      <c r="K70" s="558"/>
      <c r="L70" s="530"/>
      <c r="M70" s="557"/>
      <c r="N70" s="326"/>
      <c r="O70" s="326"/>
      <c r="P70" s="326"/>
      <c r="Q70" s="326"/>
      <c r="R70" s="326"/>
      <c r="S70" s="326"/>
      <c r="T70" s="326"/>
      <c r="U70" s="326"/>
      <c r="V70" s="326"/>
      <c r="W70" s="326"/>
      <c r="X70" s="326"/>
      <c r="Y70" s="326"/>
      <c r="Z70" s="326"/>
      <c r="AA70" s="326"/>
      <c r="AB70" s="309"/>
      <c r="AC70" s="309"/>
      <c r="AD70" s="309"/>
      <c r="AE70" s="309"/>
      <c r="AF70" s="309"/>
      <c r="AG70" s="309"/>
      <c r="AH70" s="309"/>
      <c r="AI70" s="309"/>
      <c r="AJ70" s="309"/>
      <c r="AK70" s="309"/>
      <c r="AL70" s="609">
        <v>1</v>
      </c>
    </row>
    <row r="71" spans="1:38" ht="47.25" hidden="1" customHeight="1" thickBot="1" x14ac:dyDescent="0.3">
      <c r="A71" s="326"/>
      <c r="B71" s="556"/>
      <c r="C71" s="556"/>
      <c r="D71" s="556"/>
      <c r="E71" s="556"/>
      <c r="F71" s="556"/>
      <c r="G71" s="556"/>
      <c r="H71" s="541" t="s">
        <v>5156</v>
      </c>
      <c r="I71" s="326"/>
      <c r="J71" s="519"/>
      <c r="K71" s="518"/>
      <c r="L71" s="530"/>
      <c r="M71" s="555"/>
      <c r="N71" s="326"/>
      <c r="O71" s="326"/>
      <c r="P71" s="326"/>
      <c r="Q71" s="326"/>
      <c r="R71" s="326"/>
      <c r="S71" s="326"/>
      <c r="T71" s="326"/>
      <c r="U71" s="326"/>
      <c r="V71" s="326"/>
      <c r="W71" s="326"/>
      <c r="X71" s="326"/>
      <c r="Y71" s="326"/>
      <c r="Z71" s="326"/>
      <c r="AA71" s="326"/>
      <c r="AB71" s="309"/>
      <c r="AC71" s="309"/>
      <c r="AD71" s="309"/>
      <c r="AE71" s="309"/>
      <c r="AF71" s="309"/>
      <c r="AG71" s="309"/>
      <c r="AH71" s="309"/>
      <c r="AI71" s="309"/>
      <c r="AJ71" s="309"/>
      <c r="AK71" s="309"/>
      <c r="AL71" s="609">
        <v>1</v>
      </c>
    </row>
    <row r="72" spans="1:38" ht="110.25" hidden="1" customHeight="1" thickBot="1" x14ac:dyDescent="0.3">
      <c r="A72" s="326"/>
      <c r="B72" s="554">
        <v>8</v>
      </c>
      <c r="C72" s="554">
        <v>8</v>
      </c>
      <c r="D72" s="554">
        <v>8</v>
      </c>
      <c r="E72" s="554">
        <v>8</v>
      </c>
      <c r="F72" s="554">
        <v>8</v>
      </c>
      <c r="G72" s="554">
        <v>8</v>
      </c>
      <c r="H72" s="539">
        <f>10</f>
        <v>10</v>
      </c>
      <c r="I72" s="326"/>
      <c r="J72" s="517"/>
      <c r="K72" s="516"/>
      <c r="L72" s="530"/>
      <c r="M72" s="553"/>
      <c r="N72" s="326"/>
      <c r="O72" s="326"/>
      <c r="P72" s="326"/>
      <c r="Q72" s="326"/>
      <c r="R72" s="326"/>
      <c r="S72" s="326"/>
      <c r="T72" s="326"/>
      <c r="U72" s="326"/>
      <c r="V72" s="326"/>
      <c r="W72" s="326"/>
      <c r="X72" s="326"/>
      <c r="Y72" s="326"/>
      <c r="Z72" s="326"/>
      <c r="AA72" s="326"/>
      <c r="AB72" s="309"/>
      <c r="AC72" s="309"/>
      <c r="AD72" s="309"/>
      <c r="AE72" s="309"/>
      <c r="AF72" s="309"/>
      <c r="AG72" s="309"/>
      <c r="AH72" s="309"/>
      <c r="AI72" s="309"/>
      <c r="AJ72" s="309"/>
      <c r="AK72" s="309"/>
      <c r="AL72" s="609">
        <v>1</v>
      </c>
    </row>
    <row r="73" spans="1:38" ht="18" hidden="1" customHeight="1" thickBot="1" x14ac:dyDescent="0.3">
      <c r="A73" s="326"/>
      <c r="B73" s="547"/>
      <c r="C73" s="547"/>
      <c r="D73" s="547"/>
      <c r="E73" s="547"/>
      <c r="F73" s="547"/>
      <c r="G73" s="547"/>
      <c r="H73" s="536">
        <f>10</f>
        <v>10</v>
      </c>
      <c r="I73" s="326"/>
      <c r="J73" s="517"/>
      <c r="K73" s="516"/>
      <c r="L73" s="530"/>
      <c r="M73" s="553"/>
      <c r="N73" s="326"/>
      <c r="O73" s="326"/>
      <c r="P73" s="326"/>
      <c r="Q73" s="326"/>
      <c r="R73" s="326"/>
      <c r="S73" s="326"/>
      <c r="T73" s="326"/>
      <c r="U73" s="326"/>
      <c r="V73" s="326"/>
      <c r="W73" s="326"/>
      <c r="X73" s="326"/>
      <c r="Y73" s="326"/>
      <c r="Z73" s="326"/>
      <c r="AA73" s="326"/>
      <c r="AB73" s="309"/>
      <c r="AC73" s="309"/>
      <c r="AD73" s="309"/>
      <c r="AE73" s="309"/>
      <c r="AF73" s="309"/>
      <c r="AG73" s="309"/>
      <c r="AH73" s="309"/>
      <c r="AI73" s="309"/>
      <c r="AJ73" s="309"/>
      <c r="AK73" s="309"/>
      <c r="AL73" s="609">
        <v>1</v>
      </c>
    </row>
    <row r="74" spans="1:38" ht="126" hidden="1" customHeight="1" thickBot="1" x14ac:dyDescent="0.35">
      <c r="A74" s="326"/>
      <c r="B74" s="552"/>
      <c r="C74" s="552"/>
      <c r="D74" s="552"/>
      <c r="E74" s="552"/>
      <c r="F74" s="552"/>
      <c r="G74" s="552"/>
      <c r="H74" s="551">
        <f>10</f>
        <v>10</v>
      </c>
      <c r="I74" s="326"/>
      <c r="J74" s="515"/>
      <c r="K74" s="388"/>
      <c r="L74" s="530"/>
      <c r="M74" s="549"/>
      <c r="N74" s="326"/>
      <c r="O74" s="326"/>
      <c r="P74" s="326"/>
      <c r="Q74" s="326"/>
      <c r="R74" s="326"/>
      <c r="S74" s="326"/>
      <c r="T74" s="326"/>
      <c r="U74" s="326"/>
      <c r="V74" s="326"/>
      <c r="W74" s="326"/>
      <c r="X74" s="326"/>
      <c r="Y74" s="326"/>
      <c r="Z74" s="326"/>
      <c r="AA74" s="326"/>
      <c r="AB74" s="309"/>
      <c r="AC74" s="309"/>
      <c r="AD74" s="309"/>
      <c r="AE74" s="309"/>
      <c r="AF74" s="309"/>
      <c r="AG74" s="309"/>
      <c r="AH74" s="309"/>
      <c r="AI74" s="309"/>
      <c r="AJ74" s="309"/>
      <c r="AK74" s="309"/>
      <c r="AL74" s="609">
        <v>1</v>
      </c>
    </row>
    <row r="75" spans="1:38" ht="18" hidden="1" customHeight="1" thickBot="1" x14ac:dyDescent="0.3">
      <c r="A75" s="326"/>
      <c r="B75" s="550"/>
      <c r="C75" s="550"/>
      <c r="D75" s="550"/>
      <c r="E75" s="550"/>
      <c r="F75" s="550"/>
      <c r="G75" s="550"/>
      <c r="H75" s="541" t="s">
        <v>5136</v>
      </c>
      <c r="I75" s="326"/>
      <c r="J75" s="514"/>
      <c r="K75" s="513"/>
      <c r="L75" s="530"/>
      <c r="M75" s="549"/>
      <c r="N75" s="326"/>
      <c r="O75" s="326"/>
      <c r="P75" s="326"/>
      <c r="Q75" s="326"/>
      <c r="R75" s="326"/>
      <c r="S75" s="326"/>
      <c r="T75" s="326"/>
      <c r="U75" s="326"/>
      <c r="V75" s="326"/>
      <c r="W75" s="326"/>
      <c r="X75" s="326"/>
      <c r="Y75" s="326"/>
      <c r="Z75" s="326"/>
      <c r="AA75" s="326"/>
      <c r="AB75" s="309"/>
      <c r="AC75" s="309"/>
      <c r="AD75" s="309"/>
      <c r="AE75" s="309"/>
      <c r="AF75" s="309"/>
      <c r="AG75" s="309"/>
      <c r="AH75" s="309"/>
      <c r="AI75" s="309"/>
      <c r="AJ75" s="309"/>
      <c r="AK75" s="309"/>
      <c r="AL75" s="609">
        <v>1</v>
      </c>
    </row>
    <row r="76" spans="1:38" ht="126" hidden="1" customHeight="1" thickBot="1" x14ac:dyDescent="0.3">
      <c r="A76" s="326"/>
      <c r="B76" s="548"/>
      <c r="C76" s="548"/>
      <c r="D76" s="548"/>
      <c r="E76" s="548"/>
      <c r="F76" s="548"/>
      <c r="G76" s="548"/>
      <c r="H76" s="539" t="s">
        <v>5203</v>
      </c>
      <c r="I76" s="326"/>
      <c r="J76" s="512"/>
      <c r="K76" s="511"/>
      <c r="L76" s="530"/>
      <c r="M76" s="546"/>
      <c r="N76" s="326"/>
      <c r="O76" s="326"/>
      <c r="P76" s="326"/>
      <c r="Q76" s="326"/>
      <c r="R76" s="326"/>
      <c r="S76" s="326"/>
      <c r="T76" s="326"/>
      <c r="U76" s="326"/>
      <c r="V76" s="326"/>
      <c r="W76" s="326"/>
      <c r="X76" s="326"/>
      <c r="Y76" s="326"/>
      <c r="Z76" s="326"/>
      <c r="AA76" s="326"/>
      <c r="AB76" s="309"/>
      <c r="AC76" s="309"/>
      <c r="AD76" s="309"/>
      <c r="AE76" s="309"/>
      <c r="AF76" s="309"/>
      <c r="AG76" s="309"/>
      <c r="AH76" s="309"/>
      <c r="AI76" s="309"/>
      <c r="AJ76" s="309"/>
      <c r="AK76" s="309"/>
      <c r="AL76" s="609">
        <v>1</v>
      </c>
    </row>
    <row r="77" spans="1:38" ht="18" hidden="1" customHeight="1" thickBot="1" x14ac:dyDescent="0.3">
      <c r="A77" s="326"/>
      <c r="B77" s="547"/>
      <c r="C77" s="547"/>
      <c r="D77" s="547"/>
      <c r="E77" s="547"/>
      <c r="F77" s="547"/>
      <c r="G77" s="547"/>
      <c r="H77" s="536" t="s">
        <v>5138</v>
      </c>
      <c r="I77" s="326"/>
      <c r="J77" s="510"/>
      <c r="K77" s="509"/>
      <c r="L77" s="530"/>
      <c r="M77" s="546"/>
      <c r="N77" s="326"/>
      <c r="O77" s="326"/>
      <c r="P77" s="326"/>
      <c r="Q77" s="326"/>
      <c r="R77" s="326"/>
      <c r="S77" s="326"/>
      <c r="T77" s="326"/>
      <c r="U77" s="326"/>
      <c r="V77" s="326"/>
      <c r="W77" s="326"/>
      <c r="X77" s="326"/>
      <c r="Y77" s="326"/>
      <c r="Z77" s="326"/>
      <c r="AA77" s="326"/>
      <c r="AB77" s="309"/>
      <c r="AC77" s="309"/>
      <c r="AD77" s="309"/>
      <c r="AE77" s="309"/>
      <c r="AF77" s="309"/>
      <c r="AG77" s="309"/>
      <c r="AH77" s="309"/>
      <c r="AI77" s="309"/>
      <c r="AJ77" s="309"/>
      <c r="AK77" s="309"/>
      <c r="AL77" s="609">
        <v>1</v>
      </c>
    </row>
    <row r="78" spans="1:38" ht="78.75" hidden="1" customHeight="1" thickBot="1" x14ac:dyDescent="0.3">
      <c r="A78" s="326"/>
      <c r="B78" s="545"/>
      <c r="C78" s="545"/>
      <c r="D78" s="545"/>
      <c r="E78" s="545"/>
      <c r="F78" s="545"/>
      <c r="G78" s="545"/>
      <c r="H78" s="541" t="s">
        <v>5152</v>
      </c>
      <c r="I78" s="326"/>
      <c r="J78" s="508"/>
      <c r="K78" s="507"/>
      <c r="L78" s="530"/>
      <c r="M78" s="544"/>
      <c r="N78" s="326"/>
      <c r="O78" s="326"/>
      <c r="P78" s="326"/>
      <c r="Q78" s="326"/>
      <c r="R78" s="326"/>
      <c r="S78" s="326"/>
      <c r="T78" s="326"/>
      <c r="U78" s="326"/>
      <c r="V78" s="326"/>
      <c r="W78" s="326"/>
      <c r="X78" s="326"/>
      <c r="Y78" s="326"/>
      <c r="Z78" s="326"/>
      <c r="AA78" s="326"/>
      <c r="AB78" s="309"/>
      <c r="AC78" s="309"/>
      <c r="AD78" s="309"/>
      <c r="AE78" s="309"/>
      <c r="AF78" s="309"/>
      <c r="AG78" s="309"/>
      <c r="AH78" s="309"/>
      <c r="AI78" s="309"/>
      <c r="AJ78" s="309"/>
      <c r="AK78" s="309"/>
      <c r="AL78" s="609">
        <v>1</v>
      </c>
    </row>
    <row r="79" spans="1:38" ht="31.5" hidden="1" customHeight="1" thickBot="1" x14ac:dyDescent="0.3">
      <c r="A79" s="326"/>
      <c r="B79" s="540"/>
      <c r="C79" s="540"/>
      <c r="D79" s="540"/>
      <c r="E79" s="540"/>
      <c r="F79" s="540"/>
      <c r="G79" s="540"/>
      <c r="H79" s="539" t="s">
        <v>5142</v>
      </c>
      <c r="I79" s="326"/>
      <c r="J79" s="506"/>
      <c r="K79" s="505"/>
      <c r="L79" s="530"/>
      <c r="M79" s="543"/>
      <c r="N79" s="326"/>
      <c r="O79" s="326"/>
      <c r="P79" s="326"/>
      <c r="Q79" s="326"/>
      <c r="R79" s="326"/>
      <c r="S79" s="326"/>
      <c r="T79" s="326"/>
      <c r="U79" s="326"/>
      <c r="V79" s="326"/>
      <c r="W79" s="326"/>
      <c r="X79" s="326"/>
      <c r="Y79" s="326"/>
      <c r="Z79" s="326"/>
      <c r="AA79" s="326"/>
      <c r="AB79" s="309"/>
      <c r="AC79" s="309"/>
      <c r="AD79" s="309"/>
      <c r="AE79" s="309"/>
      <c r="AF79" s="309"/>
      <c r="AG79" s="309"/>
      <c r="AH79" s="309"/>
      <c r="AI79" s="309"/>
      <c r="AJ79" s="309"/>
      <c r="AK79" s="309"/>
      <c r="AL79" s="609">
        <v>1</v>
      </c>
    </row>
    <row r="80" spans="1:38" ht="18.75" hidden="1" customHeight="1" thickBot="1" x14ac:dyDescent="0.3">
      <c r="A80" s="326"/>
      <c r="B80" s="540"/>
      <c r="C80" s="540"/>
      <c r="D80" s="540"/>
      <c r="E80" s="540"/>
      <c r="F80" s="540"/>
      <c r="G80" s="540"/>
      <c r="H80" s="539" t="s">
        <v>5142</v>
      </c>
      <c r="I80" s="326"/>
      <c r="J80" s="506"/>
      <c r="K80" s="505"/>
      <c r="L80" s="530"/>
      <c r="M80" s="425"/>
      <c r="N80" s="326"/>
      <c r="O80" s="326"/>
      <c r="P80" s="326"/>
      <c r="Q80" s="326"/>
      <c r="R80" s="326"/>
      <c r="S80" s="326"/>
      <c r="T80" s="326"/>
      <c r="U80" s="326"/>
      <c r="V80" s="326"/>
      <c r="W80" s="326"/>
      <c r="X80" s="326"/>
      <c r="Y80" s="326"/>
      <c r="Z80" s="326"/>
      <c r="AA80" s="326"/>
      <c r="AB80" s="309"/>
      <c r="AC80" s="309"/>
      <c r="AD80" s="309"/>
      <c r="AE80" s="309"/>
      <c r="AF80" s="309"/>
      <c r="AG80" s="309"/>
      <c r="AH80" s="309"/>
      <c r="AI80" s="309"/>
      <c r="AJ80" s="309"/>
      <c r="AK80" s="309"/>
      <c r="AL80" s="609">
        <v>1</v>
      </c>
    </row>
    <row r="81" spans="1:38" ht="18.75" hidden="1" customHeight="1" thickBot="1" x14ac:dyDescent="0.3">
      <c r="A81" s="326"/>
      <c r="B81" s="537"/>
      <c r="C81" s="537"/>
      <c r="D81" s="537"/>
      <c r="E81" s="537"/>
      <c r="F81" s="537"/>
      <c r="G81" s="537"/>
      <c r="H81" s="536" t="s">
        <v>5138</v>
      </c>
      <c r="I81" s="326"/>
      <c r="J81" s="504"/>
      <c r="K81" s="503"/>
      <c r="L81" s="530"/>
      <c r="M81" s="425"/>
      <c r="N81" s="326"/>
      <c r="O81" s="326"/>
      <c r="P81" s="326"/>
      <c r="Q81" s="326"/>
      <c r="R81" s="326"/>
      <c r="S81" s="326"/>
      <c r="T81" s="326"/>
      <c r="U81" s="326"/>
      <c r="V81" s="326"/>
      <c r="W81" s="326"/>
      <c r="X81" s="326"/>
      <c r="Y81" s="326"/>
      <c r="Z81" s="326"/>
      <c r="AA81" s="326"/>
      <c r="AB81" s="309"/>
      <c r="AC81" s="309"/>
      <c r="AD81" s="309"/>
      <c r="AE81" s="309"/>
      <c r="AF81" s="309"/>
      <c r="AG81" s="309"/>
      <c r="AH81" s="309"/>
      <c r="AI81" s="309"/>
      <c r="AJ81" s="309"/>
      <c r="AK81" s="309"/>
      <c r="AL81" s="609">
        <v>1</v>
      </c>
    </row>
    <row r="82" spans="1:38" ht="18" hidden="1" customHeight="1" thickBot="1" x14ac:dyDescent="0.3">
      <c r="A82" s="326"/>
      <c r="B82" s="542"/>
      <c r="C82" s="542"/>
      <c r="D82" s="542"/>
      <c r="E82" s="542"/>
      <c r="F82" s="542"/>
      <c r="G82" s="542"/>
      <c r="H82" s="541" t="s">
        <v>5134</v>
      </c>
      <c r="I82" s="326"/>
      <c r="J82" s="500"/>
      <c r="K82" s="499"/>
      <c r="L82" s="530"/>
      <c r="M82" s="425"/>
      <c r="N82" s="326"/>
      <c r="O82" s="326"/>
      <c r="P82" s="326"/>
      <c r="Q82" s="326"/>
      <c r="R82" s="326"/>
      <c r="S82" s="326"/>
      <c r="T82" s="326"/>
      <c r="U82" s="326"/>
      <c r="V82" s="326"/>
      <c r="W82" s="326"/>
      <c r="X82" s="326"/>
      <c r="Y82" s="326"/>
      <c r="Z82" s="326"/>
      <c r="AA82" s="326"/>
      <c r="AB82" s="309"/>
      <c r="AC82" s="309"/>
      <c r="AD82" s="309"/>
      <c r="AE82" s="309"/>
      <c r="AF82" s="309"/>
      <c r="AG82" s="309"/>
      <c r="AH82" s="309"/>
      <c r="AI82" s="309"/>
      <c r="AJ82" s="309"/>
      <c r="AK82" s="309"/>
      <c r="AL82" s="609">
        <v>1</v>
      </c>
    </row>
    <row r="83" spans="1:38" ht="18" hidden="1" customHeight="1" thickBot="1" x14ac:dyDescent="0.3">
      <c r="A83" s="326"/>
      <c r="B83" s="540"/>
      <c r="C83" s="540"/>
      <c r="D83" s="540"/>
      <c r="E83" s="540"/>
      <c r="F83" s="540"/>
      <c r="G83" s="540"/>
      <c r="H83" s="539" t="s">
        <v>5142</v>
      </c>
      <c r="I83" s="326"/>
      <c r="J83" s="538"/>
      <c r="K83" s="374"/>
      <c r="L83" s="530"/>
      <c r="M83" s="425"/>
      <c r="N83" s="326"/>
      <c r="O83" s="326"/>
      <c r="P83" s="326"/>
      <c r="Q83" s="326"/>
      <c r="R83" s="326"/>
      <c r="S83" s="326"/>
      <c r="T83" s="326"/>
      <c r="U83" s="326"/>
      <c r="V83" s="326"/>
      <c r="W83" s="326"/>
      <c r="X83" s="326"/>
      <c r="Y83" s="326"/>
      <c r="Z83" s="326"/>
      <c r="AA83" s="326"/>
      <c r="AB83" s="309"/>
      <c r="AC83" s="309"/>
      <c r="AD83" s="309"/>
      <c r="AE83" s="309"/>
      <c r="AF83" s="309"/>
      <c r="AG83" s="309"/>
      <c r="AH83" s="309"/>
      <c r="AI83" s="309"/>
      <c r="AJ83" s="309"/>
      <c r="AK83" s="309"/>
      <c r="AL83" s="609">
        <v>1</v>
      </c>
    </row>
    <row r="84" spans="1:38" ht="18" hidden="1" customHeight="1" thickBot="1" x14ac:dyDescent="0.3">
      <c r="A84" s="326"/>
      <c r="B84" s="537"/>
      <c r="C84" s="537"/>
      <c r="D84" s="537"/>
      <c r="E84" s="537"/>
      <c r="F84" s="537"/>
      <c r="G84" s="537"/>
      <c r="H84" s="536" t="s">
        <v>5140</v>
      </c>
      <c r="I84" s="326"/>
      <c r="J84" s="495"/>
      <c r="K84" s="494"/>
      <c r="L84" s="530"/>
      <c r="M84" s="425"/>
      <c r="N84" s="326"/>
      <c r="O84" s="326"/>
      <c r="P84" s="326"/>
      <c r="Q84" s="326"/>
      <c r="R84" s="326"/>
      <c r="S84" s="326"/>
      <c r="T84" s="326"/>
      <c r="U84" s="326"/>
      <c r="V84" s="326"/>
      <c r="W84" s="326"/>
      <c r="X84" s="326"/>
      <c r="Y84" s="326"/>
      <c r="Z84" s="326"/>
      <c r="AA84" s="326"/>
      <c r="AB84" s="309"/>
      <c r="AC84" s="309"/>
      <c r="AD84" s="309"/>
      <c r="AE84" s="309"/>
      <c r="AF84" s="309"/>
      <c r="AG84" s="309"/>
      <c r="AH84" s="309"/>
      <c r="AI84" s="309"/>
      <c r="AJ84" s="309"/>
      <c r="AK84" s="309"/>
      <c r="AL84" s="609">
        <v>1</v>
      </c>
    </row>
    <row r="85" spans="1:38" ht="18" hidden="1" customHeight="1" thickBot="1" x14ac:dyDescent="0.3">
      <c r="A85" s="326"/>
      <c r="B85" s="535"/>
      <c r="C85" s="535"/>
      <c r="D85" s="535"/>
      <c r="E85" s="535"/>
      <c r="F85" s="535"/>
      <c r="G85" s="535"/>
      <c r="H85" s="534" t="s">
        <v>5136</v>
      </c>
      <c r="I85" s="326"/>
      <c r="J85" s="533"/>
      <c r="K85" s="532"/>
      <c r="L85" s="530"/>
      <c r="M85" s="425"/>
      <c r="N85" s="326"/>
      <c r="O85" s="326"/>
      <c r="P85" s="326"/>
      <c r="Q85" s="326"/>
      <c r="R85" s="326"/>
      <c r="S85" s="326"/>
      <c r="T85" s="326"/>
      <c r="U85" s="326"/>
      <c r="V85" s="326"/>
      <c r="W85" s="326"/>
      <c r="X85" s="326"/>
      <c r="Y85" s="326"/>
      <c r="Z85" s="326"/>
      <c r="AA85" s="326"/>
      <c r="AB85" s="309"/>
      <c r="AC85" s="309"/>
      <c r="AD85" s="309"/>
      <c r="AE85" s="309"/>
      <c r="AF85" s="309"/>
      <c r="AG85" s="309"/>
      <c r="AH85" s="309"/>
      <c r="AI85" s="309"/>
      <c r="AJ85" s="309"/>
      <c r="AK85" s="309"/>
      <c r="AL85" s="609">
        <v>1</v>
      </c>
    </row>
    <row r="86" spans="1:38" ht="18" hidden="1" customHeight="1" thickBot="1" x14ac:dyDescent="0.3">
      <c r="A86" s="326"/>
      <c r="B86" s="492"/>
      <c r="C86" s="492"/>
      <c r="D86" s="492"/>
      <c r="E86" s="492"/>
      <c r="F86" s="492"/>
      <c r="G86" s="492"/>
      <c r="I86" s="326"/>
      <c r="K86" s="531"/>
      <c r="L86" s="530"/>
      <c r="M86" s="425"/>
      <c r="N86" s="326"/>
      <c r="O86" s="326"/>
      <c r="P86" s="326"/>
      <c r="Q86" s="326"/>
      <c r="R86" s="326"/>
      <c r="S86" s="326"/>
      <c r="T86" s="326"/>
      <c r="U86" s="326"/>
      <c r="V86" s="326"/>
      <c r="W86" s="326"/>
      <c r="X86" s="326"/>
      <c r="Y86" s="326"/>
      <c r="Z86" s="326"/>
      <c r="AA86" s="326"/>
      <c r="AB86" s="309"/>
      <c r="AC86" s="309"/>
      <c r="AD86" s="309"/>
      <c r="AE86" s="309"/>
      <c r="AF86" s="309"/>
      <c r="AG86" s="309"/>
      <c r="AH86" s="309"/>
      <c r="AI86" s="309"/>
      <c r="AJ86" s="309"/>
      <c r="AK86" s="309"/>
      <c r="AL86" s="609">
        <v>1</v>
      </c>
    </row>
    <row r="87" spans="1:38" ht="18" hidden="1" customHeight="1" thickBot="1" x14ac:dyDescent="0.3">
      <c r="A87" s="326"/>
      <c r="B87" s="311">
        <v>10</v>
      </c>
      <c r="C87" s="311">
        <v>10</v>
      </c>
      <c r="D87" s="311">
        <v>10</v>
      </c>
      <c r="E87" s="311">
        <v>10</v>
      </c>
      <c r="F87" s="311">
        <v>10</v>
      </c>
      <c r="G87" s="311">
        <v>10</v>
      </c>
      <c r="H87" s="311">
        <v>10</v>
      </c>
      <c r="I87" s="326"/>
      <c r="J87" s="311"/>
      <c r="K87" s="310"/>
      <c r="L87" s="530"/>
      <c r="M87" s="425"/>
      <c r="N87" s="326"/>
      <c r="O87" s="326"/>
      <c r="P87" s="326"/>
      <c r="Q87" s="326"/>
      <c r="R87" s="326"/>
      <c r="S87" s="326"/>
      <c r="T87" s="326"/>
      <c r="U87" s="326"/>
      <c r="V87" s="326"/>
      <c r="W87" s="326"/>
      <c r="X87" s="326"/>
      <c r="Y87" s="326"/>
      <c r="Z87" s="326"/>
      <c r="AA87" s="326"/>
      <c r="AB87" s="309"/>
      <c r="AC87" s="309"/>
      <c r="AD87" s="309"/>
      <c r="AE87" s="309"/>
      <c r="AF87" s="309"/>
      <c r="AG87" s="309"/>
      <c r="AH87" s="309"/>
      <c r="AI87" s="309"/>
      <c r="AJ87" s="309"/>
      <c r="AK87" s="309"/>
      <c r="AL87" s="609">
        <v>1</v>
      </c>
    </row>
    <row r="88" spans="1:38" ht="23.25" hidden="1" customHeight="1" thickBot="1" x14ac:dyDescent="0.3">
      <c r="A88" s="326"/>
      <c r="B88" s="326">
        <v>0</v>
      </c>
      <c r="C88" s="326">
        <v>0</v>
      </c>
      <c r="D88" s="326">
        <v>0</v>
      </c>
      <c r="E88" s="326">
        <v>0</v>
      </c>
      <c r="F88" s="326">
        <v>0</v>
      </c>
      <c r="G88" s="326">
        <v>0</v>
      </c>
      <c r="H88" s="326">
        <v>0</v>
      </c>
      <c r="I88" s="326"/>
      <c r="J88" s="326"/>
      <c r="K88" s="326"/>
      <c r="L88" s="326"/>
      <c r="M88" s="529"/>
      <c r="N88" s="326"/>
      <c r="O88" s="326"/>
      <c r="P88" s="326"/>
      <c r="Q88" s="326"/>
      <c r="R88" s="326"/>
      <c r="S88" s="326"/>
      <c r="T88" s="326"/>
      <c r="U88" s="326"/>
      <c r="V88" s="326"/>
      <c r="W88" s="326"/>
      <c r="X88" s="326"/>
      <c r="Y88" s="326"/>
      <c r="Z88" s="326"/>
      <c r="AA88" s="326"/>
      <c r="AB88" s="309"/>
      <c r="AC88" s="309"/>
      <c r="AD88" s="309"/>
      <c r="AE88" s="309"/>
      <c r="AF88" s="309"/>
      <c r="AG88" s="309"/>
      <c r="AH88" s="309"/>
      <c r="AI88" s="309"/>
      <c r="AJ88" s="309"/>
      <c r="AK88" s="309"/>
      <c r="AL88" s="609">
        <v>1</v>
      </c>
    </row>
    <row r="89" spans="1:38" ht="19.5" hidden="1" customHeight="1" thickBot="1" x14ac:dyDescent="0.3">
      <c r="A89" s="326"/>
      <c r="B89" s="528"/>
      <c r="C89" s="528"/>
      <c r="D89" s="528"/>
      <c r="E89" s="528"/>
      <c r="F89" s="528"/>
      <c r="G89" s="528"/>
      <c r="H89" s="528"/>
      <c r="I89" s="326"/>
      <c r="J89" s="528"/>
      <c r="K89" s="528"/>
      <c r="L89" s="527"/>
      <c r="M89" s="489"/>
      <c r="N89" s="326"/>
      <c r="O89" s="326"/>
      <c r="P89" s="326"/>
      <c r="Q89" s="326"/>
      <c r="R89" s="326"/>
      <c r="S89" s="326"/>
      <c r="T89" s="326"/>
      <c r="U89" s="326"/>
      <c r="V89" s="326"/>
      <c r="W89" s="326"/>
      <c r="X89" s="326"/>
      <c r="Y89" s="326"/>
      <c r="Z89" s="326"/>
      <c r="AA89" s="326"/>
      <c r="AB89" s="309"/>
      <c r="AC89" s="309"/>
      <c r="AD89" s="309"/>
      <c r="AE89" s="309"/>
      <c r="AF89" s="309"/>
      <c r="AG89" s="309"/>
      <c r="AH89" s="309"/>
      <c r="AI89" s="309"/>
      <c r="AJ89" s="309"/>
      <c r="AK89" s="309"/>
      <c r="AL89" s="609">
        <v>1</v>
      </c>
    </row>
    <row r="90" spans="1:38" ht="18" hidden="1" customHeight="1" thickBot="1" x14ac:dyDescent="0.3">
      <c r="A90" s="326"/>
      <c r="B90" s="526"/>
      <c r="C90" s="526"/>
      <c r="D90" s="526"/>
      <c r="E90" s="526"/>
      <c r="F90" s="526"/>
      <c r="G90" s="526"/>
      <c r="H90" s="526"/>
      <c r="I90" s="326"/>
      <c r="J90" s="526"/>
      <c r="K90" s="526"/>
      <c r="L90" s="525"/>
      <c r="M90" s="489"/>
      <c r="N90" s="326"/>
      <c r="O90" s="326"/>
      <c r="P90" s="326"/>
      <c r="Q90" s="326"/>
      <c r="R90" s="326"/>
      <c r="S90" s="326"/>
      <c r="T90" s="326"/>
      <c r="U90" s="326"/>
      <c r="V90" s="326"/>
      <c r="W90" s="326"/>
      <c r="X90" s="326"/>
      <c r="Y90" s="326"/>
      <c r="Z90" s="326"/>
      <c r="AA90" s="326"/>
      <c r="AB90" s="309"/>
      <c r="AC90" s="309"/>
      <c r="AD90" s="309"/>
      <c r="AE90" s="309"/>
      <c r="AF90" s="309"/>
      <c r="AG90" s="309"/>
      <c r="AH90" s="309"/>
      <c r="AI90" s="309"/>
      <c r="AJ90" s="309"/>
      <c r="AK90" s="309"/>
      <c r="AL90" s="609">
        <v>1</v>
      </c>
    </row>
    <row r="91" spans="1:38" ht="36" hidden="1" customHeight="1" thickBot="1" x14ac:dyDescent="0.3">
      <c r="A91" s="326"/>
      <c r="B91" s="524" t="s">
        <v>5202</v>
      </c>
      <c r="C91" s="524" t="s">
        <v>5202</v>
      </c>
      <c r="D91" s="524" t="s">
        <v>5202</v>
      </c>
      <c r="E91" s="524" t="s">
        <v>5202</v>
      </c>
      <c r="F91" s="524" t="s">
        <v>5202</v>
      </c>
      <c r="G91" s="524" t="s">
        <v>5202</v>
      </c>
      <c r="H91" s="523" t="s">
        <v>5201</v>
      </c>
      <c r="I91" s="326"/>
      <c r="J91" s="522"/>
      <c r="K91" s="521"/>
      <c r="L91" s="520"/>
      <c r="M91" s="489"/>
      <c r="N91" s="326"/>
      <c r="O91" s="326"/>
      <c r="P91" s="326"/>
      <c r="Q91" s="326"/>
      <c r="R91" s="326"/>
      <c r="S91" s="326"/>
      <c r="T91" s="326"/>
      <c r="U91" s="326"/>
      <c r="V91" s="326"/>
      <c r="W91" s="326"/>
      <c r="X91" s="326"/>
      <c r="Y91" s="326"/>
      <c r="Z91" s="326"/>
      <c r="AA91" s="326"/>
      <c r="AB91" s="309"/>
      <c r="AC91" s="309"/>
      <c r="AD91" s="309"/>
      <c r="AE91" s="309"/>
      <c r="AF91" s="309"/>
      <c r="AG91" s="309"/>
      <c r="AH91" s="309"/>
      <c r="AI91" s="309"/>
      <c r="AJ91" s="309"/>
      <c r="AK91" s="309"/>
      <c r="AL91" s="609">
        <v>1</v>
      </c>
    </row>
    <row r="92" spans="1:38" ht="18" hidden="1" customHeight="1" thickBot="1" x14ac:dyDescent="0.3">
      <c r="A92" s="326"/>
      <c r="B92" s="502"/>
      <c r="C92" s="502"/>
      <c r="D92" s="502"/>
      <c r="E92" s="502"/>
      <c r="F92" s="502"/>
      <c r="G92" s="502"/>
      <c r="H92" s="501">
        <f t="shared" ref="H92:H103" si="3">SUM(C92:G92)</f>
        <v>0</v>
      </c>
      <c r="I92" s="326"/>
      <c r="J92" s="496"/>
      <c r="K92" s="519"/>
      <c r="L92" s="518"/>
      <c r="M92" s="489"/>
      <c r="N92" s="326"/>
      <c r="O92" s="326"/>
      <c r="P92" s="326"/>
      <c r="Q92" s="326"/>
      <c r="R92" s="326"/>
      <c r="S92" s="326"/>
      <c r="T92" s="326"/>
      <c r="U92" s="326"/>
      <c r="V92" s="326"/>
      <c r="W92" s="326"/>
      <c r="X92" s="326"/>
      <c r="Y92" s="326"/>
      <c r="Z92" s="326"/>
      <c r="AA92" s="326"/>
      <c r="AB92" s="309"/>
      <c r="AC92" s="309"/>
      <c r="AD92" s="309"/>
      <c r="AE92" s="309"/>
      <c r="AF92" s="309"/>
      <c r="AG92" s="309"/>
      <c r="AH92" s="309"/>
      <c r="AI92" s="309"/>
      <c r="AJ92" s="309"/>
      <c r="AK92" s="309"/>
      <c r="AL92" s="609">
        <v>1</v>
      </c>
    </row>
    <row r="93" spans="1:38" ht="18" hidden="1" customHeight="1" thickBot="1" x14ac:dyDescent="0.3">
      <c r="A93" s="326"/>
      <c r="B93" s="502">
        <v>0</v>
      </c>
      <c r="C93" s="502">
        <v>0</v>
      </c>
      <c r="D93" s="502">
        <v>0</v>
      </c>
      <c r="E93" s="502">
        <v>0</v>
      </c>
      <c r="F93" s="502">
        <v>0</v>
      </c>
      <c r="G93" s="502">
        <v>0</v>
      </c>
      <c r="H93" s="501">
        <f t="shared" si="3"/>
        <v>0</v>
      </c>
      <c r="I93" s="326"/>
      <c r="J93" s="496"/>
      <c r="K93" s="517"/>
      <c r="L93" s="516"/>
      <c r="M93" s="489"/>
      <c r="N93" s="326"/>
      <c r="O93" s="326"/>
      <c r="P93" s="326"/>
      <c r="Q93" s="326"/>
      <c r="R93" s="326"/>
      <c r="S93" s="326"/>
      <c r="T93" s="326"/>
      <c r="U93" s="326"/>
      <c r="V93" s="326"/>
      <c r="W93" s="326"/>
      <c r="X93" s="326"/>
      <c r="Y93" s="326"/>
      <c r="Z93" s="326"/>
      <c r="AA93" s="326"/>
      <c r="AB93" s="309"/>
      <c r="AC93" s="309"/>
      <c r="AD93" s="309"/>
      <c r="AE93" s="309"/>
      <c r="AF93" s="309"/>
      <c r="AG93" s="309"/>
      <c r="AH93" s="309"/>
      <c r="AI93" s="309"/>
      <c r="AJ93" s="309"/>
      <c r="AK93" s="309"/>
      <c r="AL93" s="609">
        <v>1</v>
      </c>
    </row>
    <row r="94" spans="1:38" ht="18" hidden="1" customHeight="1" thickBot="1" x14ac:dyDescent="0.3">
      <c r="A94" s="326"/>
      <c r="B94" s="502">
        <v>0</v>
      </c>
      <c r="C94" s="502">
        <v>0</v>
      </c>
      <c r="D94" s="502">
        <v>0</v>
      </c>
      <c r="E94" s="502">
        <v>0</v>
      </c>
      <c r="F94" s="502">
        <v>0</v>
      </c>
      <c r="G94" s="502">
        <v>0</v>
      </c>
      <c r="H94" s="501">
        <f t="shared" si="3"/>
        <v>0</v>
      </c>
      <c r="I94" s="326"/>
      <c r="J94" s="496"/>
      <c r="K94" s="515"/>
      <c r="L94" s="388"/>
      <c r="M94" s="489"/>
      <c r="N94" s="326"/>
      <c r="O94" s="326"/>
      <c r="P94" s="326"/>
      <c r="Q94" s="326"/>
      <c r="R94" s="326"/>
      <c r="S94" s="326"/>
      <c r="T94" s="326"/>
      <c r="U94" s="326"/>
      <c r="V94" s="326"/>
      <c r="W94" s="326"/>
      <c r="X94" s="326"/>
      <c r="Y94" s="326"/>
      <c r="Z94" s="326"/>
      <c r="AA94" s="326"/>
      <c r="AB94" s="309"/>
      <c r="AC94" s="309"/>
      <c r="AD94" s="309"/>
      <c r="AE94" s="309"/>
      <c r="AF94" s="309"/>
      <c r="AG94" s="309"/>
      <c r="AH94" s="309"/>
      <c r="AI94" s="309"/>
      <c r="AJ94" s="309"/>
      <c r="AK94" s="309"/>
      <c r="AL94" s="609">
        <v>1</v>
      </c>
    </row>
    <row r="95" spans="1:38" ht="18" hidden="1" customHeight="1" thickBot="1" x14ac:dyDescent="0.3">
      <c r="A95" s="326"/>
      <c r="B95" s="502"/>
      <c r="C95" s="502"/>
      <c r="D95" s="502"/>
      <c r="E95" s="502"/>
      <c r="F95" s="502"/>
      <c r="G95" s="502"/>
      <c r="H95" s="501">
        <f t="shared" si="3"/>
        <v>0</v>
      </c>
      <c r="I95" s="326"/>
      <c r="J95" s="496"/>
      <c r="K95" s="514"/>
      <c r="L95" s="513"/>
      <c r="M95" s="489"/>
      <c r="N95" s="326"/>
      <c r="O95" s="326"/>
      <c r="P95" s="326"/>
      <c r="Q95" s="326"/>
      <c r="R95" s="326"/>
      <c r="S95" s="326"/>
      <c r="T95" s="326"/>
      <c r="U95" s="326"/>
      <c r="V95" s="326"/>
      <c r="W95" s="326"/>
      <c r="X95" s="326"/>
      <c r="Y95" s="326"/>
      <c r="Z95" s="326"/>
      <c r="AA95" s="326"/>
      <c r="AB95" s="309"/>
      <c r="AC95" s="309"/>
      <c r="AD95" s="309"/>
      <c r="AE95" s="309"/>
      <c r="AF95" s="309"/>
      <c r="AG95" s="309"/>
      <c r="AH95" s="309"/>
      <c r="AI95" s="309"/>
      <c r="AJ95" s="309"/>
      <c r="AK95" s="309"/>
      <c r="AL95" s="609">
        <v>1</v>
      </c>
    </row>
    <row r="96" spans="1:38" ht="18" hidden="1" customHeight="1" thickBot="1" x14ac:dyDescent="0.3">
      <c r="A96" s="326"/>
      <c r="B96" s="502">
        <v>9</v>
      </c>
      <c r="C96" s="502">
        <v>9</v>
      </c>
      <c r="D96" s="502">
        <v>9</v>
      </c>
      <c r="E96" s="502">
        <v>9</v>
      </c>
      <c r="F96" s="502">
        <v>9</v>
      </c>
      <c r="G96" s="502">
        <v>9</v>
      </c>
      <c r="H96" s="501">
        <f t="shared" si="3"/>
        <v>45</v>
      </c>
      <c r="I96" s="326"/>
      <c r="J96" s="496"/>
      <c r="K96" s="512"/>
      <c r="L96" s="511"/>
      <c r="M96" s="489"/>
      <c r="N96" s="326"/>
      <c r="O96" s="326"/>
      <c r="P96" s="326"/>
      <c r="Q96" s="326"/>
      <c r="R96" s="326"/>
      <c r="S96" s="326"/>
      <c r="T96" s="326"/>
      <c r="U96" s="326"/>
      <c r="V96" s="326"/>
      <c r="W96" s="326"/>
      <c r="X96" s="326"/>
      <c r="Y96" s="326"/>
      <c r="Z96" s="326"/>
      <c r="AA96" s="326"/>
      <c r="AB96" s="309"/>
      <c r="AC96" s="309"/>
      <c r="AD96" s="309"/>
      <c r="AE96" s="309"/>
      <c r="AF96" s="309"/>
      <c r="AG96" s="309"/>
      <c r="AH96" s="309"/>
      <c r="AI96" s="309"/>
      <c r="AJ96" s="309"/>
      <c r="AK96" s="309"/>
      <c r="AL96" s="609">
        <v>1</v>
      </c>
    </row>
    <row r="97" spans="1:38" ht="18" hidden="1" customHeight="1" thickBot="1" x14ac:dyDescent="0.3">
      <c r="A97" s="326"/>
      <c r="B97" s="502"/>
      <c r="C97" s="502"/>
      <c r="D97" s="502"/>
      <c r="E97" s="502"/>
      <c r="F97" s="502"/>
      <c r="G97" s="502"/>
      <c r="H97" s="501">
        <f t="shared" si="3"/>
        <v>0</v>
      </c>
      <c r="I97" s="326"/>
      <c r="J97" s="496"/>
      <c r="K97" s="512"/>
      <c r="L97" s="511"/>
      <c r="M97" s="489"/>
      <c r="N97" s="326"/>
      <c r="O97" s="326"/>
      <c r="P97" s="326"/>
      <c r="Q97" s="326"/>
      <c r="R97" s="326"/>
      <c r="S97" s="326"/>
      <c r="T97" s="326"/>
      <c r="U97" s="326"/>
      <c r="V97" s="326"/>
      <c r="W97" s="326"/>
      <c r="X97" s="326"/>
      <c r="Y97" s="326"/>
      <c r="Z97" s="326"/>
      <c r="AA97" s="326"/>
      <c r="AB97" s="309"/>
      <c r="AC97" s="309"/>
      <c r="AD97" s="309"/>
      <c r="AE97" s="309"/>
      <c r="AF97" s="309"/>
      <c r="AG97" s="309"/>
      <c r="AH97" s="309"/>
      <c r="AI97" s="309"/>
      <c r="AJ97" s="309"/>
      <c r="AK97" s="309"/>
      <c r="AL97" s="609">
        <v>1</v>
      </c>
    </row>
    <row r="98" spans="1:38" ht="18" hidden="1" customHeight="1" thickBot="1" x14ac:dyDescent="0.3">
      <c r="A98" s="326"/>
      <c r="B98" s="502"/>
      <c r="C98" s="502"/>
      <c r="D98" s="502"/>
      <c r="E98" s="502"/>
      <c r="F98" s="502"/>
      <c r="G98" s="502"/>
      <c r="H98" s="501">
        <f t="shared" si="3"/>
        <v>0</v>
      </c>
      <c r="I98" s="326"/>
      <c r="J98" s="496"/>
      <c r="K98" s="510"/>
      <c r="L98" s="509"/>
      <c r="M98" s="489"/>
      <c r="N98" s="326"/>
      <c r="O98" s="326"/>
      <c r="P98" s="326"/>
      <c r="Q98" s="326"/>
      <c r="R98" s="326"/>
      <c r="S98" s="326"/>
      <c r="T98" s="326"/>
      <c r="U98" s="326"/>
      <c r="V98" s="326"/>
      <c r="W98" s="326"/>
      <c r="X98" s="326"/>
      <c r="Y98" s="326"/>
      <c r="Z98" s="326"/>
      <c r="AA98" s="326"/>
      <c r="AB98" s="309"/>
      <c r="AC98" s="309"/>
      <c r="AD98" s="309"/>
      <c r="AE98" s="309"/>
      <c r="AF98" s="309"/>
      <c r="AG98" s="309"/>
      <c r="AH98" s="309"/>
      <c r="AI98" s="309"/>
      <c r="AJ98" s="309"/>
      <c r="AK98" s="309"/>
      <c r="AL98" s="609">
        <v>1</v>
      </c>
    </row>
    <row r="99" spans="1:38" ht="18" hidden="1" customHeight="1" thickBot="1" x14ac:dyDescent="0.3">
      <c r="A99" s="326"/>
      <c r="B99" s="502"/>
      <c r="C99" s="502"/>
      <c r="D99" s="502"/>
      <c r="E99" s="502"/>
      <c r="F99" s="502"/>
      <c r="G99" s="502"/>
      <c r="H99" s="501">
        <f t="shared" si="3"/>
        <v>0</v>
      </c>
      <c r="I99" s="326"/>
      <c r="J99" s="496"/>
      <c r="K99" s="508"/>
      <c r="L99" s="507"/>
      <c r="M99" s="489"/>
      <c r="N99" s="326"/>
      <c r="O99" s="326"/>
      <c r="P99" s="326"/>
      <c r="Q99" s="326"/>
      <c r="R99" s="326"/>
      <c r="S99" s="326"/>
      <c r="T99" s="326"/>
      <c r="U99" s="326"/>
      <c r="V99" s="326"/>
      <c r="W99" s="326"/>
      <c r="X99" s="326"/>
      <c r="Y99" s="326"/>
      <c r="Z99" s="326"/>
      <c r="AA99" s="326"/>
      <c r="AB99" s="309"/>
      <c r="AC99" s="309"/>
      <c r="AD99" s="309"/>
      <c r="AE99" s="309"/>
      <c r="AF99" s="309"/>
      <c r="AG99" s="309"/>
      <c r="AH99" s="309"/>
      <c r="AI99" s="309"/>
      <c r="AJ99" s="309"/>
      <c r="AK99" s="309"/>
      <c r="AL99" s="609">
        <v>1</v>
      </c>
    </row>
    <row r="100" spans="1:38" ht="18.75" hidden="1" customHeight="1" thickBot="1" x14ac:dyDescent="0.3">
      <c r="A100" s="326"/>
      <c r="B100" s="502"/>
      <c r="C100" s="502"/>
      <c r="D100" s="502"/>
      <c r="E100" s="502"/>
      <c r="F100" s="502"/>
      <c r="G100" s="502"/>
      <c r="H100" s="501">
        <f t="shared" si="3"/>
        <v>0</v>
      </c>
      <c r="I100" s="326"/>
      <c r="J100" s="496"/>
      <c r="K100" s="506"/>
      <c r="L100" s="505"/>
      <c r="M100" s="489"/>
      <c r="N100" s="326"/>
      <c r="O100" s="326"/>
      <c r="P100" s="326"/>
      <c r="Q100" s="326"/>
      <c r="R100" s="326"/>
      <c r="S100" s="326"/>
      <c r="T100" s="326"/>
      <c r="U100" s="326"/>
      <c r="V100" s="326"/>
      <c r="W100" s="326"/>
      <c r="X100" s="326"/>
      <c r="Y100" s="326"/>
      <c r="Z100" s="326"/>
      <c r="AA100" s="326"/>
      <c r="AB100" s="309"/>
      <c r="AC100" s="309"/>
      <c r="AD100" s="309"/>
      <c r="AE100" s="309"/>
      <c r="AF100" s="309"/>
      <c r="AG100" s="309"/>
      <c r="AH100" s="309"/>
      <c r="AI100" s="309"/>
      <c r="AJ100" s="309"/>
      <c r="AK100" s="309"/>
      <c r="AL100" s="609">
        <v>1</v>
      </c>
    </row>
    <row r="101" spans="1:38" ht="18" hidden="1" customHeight="1" thickBot="1" x14ac:dyDescent="0.3">
      <c r="A101" s="326"/>
      <c r="B101" s="502"/>
      <c r="C101" s="502"/>
      <c r="D101" s="502"/>
      <c r="E101" s="502"/>
      <c r="F101" s="502"/>
      <c r="G101" s="502"/>
      <c r="H101" s="501">
        <f t="shared" si="3"/>
        <v>0</v>
      </c>
      <c r="I101" s="326"/>
      <c r="J101" s="496"/>
      <c r="K101" s="504"/>
      <c r="L101" s="503"/>
      <c r="M101" s="489"/>
      <c r="N101" s="326"/>
      <c r="O101" s="326"/>
      <c r="P101" s="326"/>
      <c r="Q101" s="326"/>
      <c r="R101" s="326"/>
      <c r="S101" s="326"/>
      <c r="T101" s="326"/>
      <c r="U101" s="326"/>
      <c r="V101" s="326"/>
      <c r="W101" s="326"/>
      <c r="X101" s="326"/>
      <c r="Y101" s="326"/>
      <c r="Z101" s="326"/>
      <c r="AA101" s="326"/>
      <c r="AB101" s="309"/>
      <c r="AC101" s="309"/>
      <c r="AD101" s="309"/>
      <c r="AE101" s="309"/>
      <c r="AF101" s="309"/>
      <c r="AG101" s="309"/>
      <c r="AH101" s="309"/>
      <c r="AI101" s="309"/>
      <c r="AJ101" s="309"/>
      <c r="AK101" s="309"/>
      <c r="AL101" s="609">
        <v>1</v>
      </c>
    </row>
    <row r="102" spans="1:38" ht="18" hidden="1" customHeight="1" thickBot="1" x14ac:dyDescent="0.3">
      <c r="A102" s="326"/>
      <c r="B102" s="502">
        <v>0</v>
      </c>
      <c r="C102" s="502">
        <v>0</v>
      </c>
      <c r="D102" s="502">
        <v>0</v>
      </c>
      <c r="E102" s="502">
        <v>0</v>
      </c>
      <c r="F102" s="502">
        <v>0</v>
      </c>
      <c r="G102" s="502">
        <v>0</v>
      </c>
      <c r="H102" s="501">
        <f t="shared" si="3"/>
        <v>0</v>
      </c>
      <c r="I102" s="326"/>
      <c r="J102" s="496"/>
      <c r="K102" s="500"/>
      <c r="L102" s="499"/>
      <c r="M102" s="489"/>
      <c r="N102" s="326"/>
      <c r="O102" s="326"/>
      <c r="P102" s="326"/>
      <c r="Q102" s="326"/>
      <c r="R102" s="326"/>
      <c r="S102" s="326"/>
      <c r="T102" s="326"/>
      <c r="U102" s="326"/>
      <c r="V102" s="326"/>
      <c r="W102" s="326"/>
      <c r="X102" s="326"/>
      <c r="Y102" s="326"/>
      <c r="Z102" s="326"/>
      <c r="AA102" s="326"/>
      <c r="AB102" s="309"/>
      <c r="AC102" s="309"/>
      <c r="AD102" s="309"/>
      <c r="AE102" s="309"/>
      <c r="AF102" s="309"/>
      <c r="AG102" s="309"/>
      <c r="AH102" s="309"/>
      <c r="AI102" s="309"/>
      <c r="AJ102" s="309"/>
      <c r="AK102" s="309"/>
      <c r="AL102" s="609">
        <v>1</v>
      </c>
    </row>
    <row r="103" spans="1:38" ht="18" hidden="1" customHeight="1" thickBot="1" x14ac:dyDescent="0.3">
      <c r="A103" s="326"/>
      <c r="B103" s="498">
        <v>3</v>
      </c>
      <c r="C103" s="498">
        <v>3</v>
      </c>
      <c r="D103" s="498">
        <v>3</v>
      </c>
      <c r="E103" s="498">
        <v>3</v>
      </c>
      <c r="F103" s="498">
        <v>3</v>
      </c>
      <c r="G103" s="498">
        <v>3</v>
      </c>
      <c r="H103" s="497">
        <f t="shared" si="3"/>
        <v>15</v>
      </c>
      <c r="I103" s="326"/>
      <c r="J103" s="496"/>
      <c r="K103" s="495"/>
      <c r="L103" s="494"/>
      <c r="M103" s="489"/>
      <c r="N103" s="326"/>
      <c r="O103" s="326"/>
      <c r="P103" s="326"/>
      <c r="Q103" s="326"/>
      <c r="R103" s="326"/>
      <c r="S103" s="326"/>
      <c r="T103" s="326"/>
      <c r="U103" s="326"/>
      <c r="V103" s="326"/>
      <c r="W103" s="326"/>
      <c r="X103" s="326"/>
      <c r="Y103" s="326"/>
      <c r="Z103" s="326"/>
      <c r="AA103" s="326"/>
      <c r="AB103" s="309"/>
      <c r="AC103" s="309"/>
      <c r="AD103" s="309"/>
      <c r="AE103" s="309"/>
      <c r="AF103" s="309"/>
      <c r="AG103" s="309"/>
      <c r="AH103" s="309"/>
      <c r="AI103" s="309"/>
      <c r="AJ103" s="309"/>
      <c r="AK103" s="309"/>
      <c r="AL103" s="609">
        <v>1</v>
      </c>
    </row>
    <row r="104" spans="1:38" ht="15.75" hidden="1" customHeight="1" thickBot="1" x14ac:dyDescent="0.3">
      <c r="A104" s="326"/>
      <c r="B104" s="493"/>
      <c r="C104" s="493"/>
      <c r="D104" s="493"/>
      <c r="E104" s="493"/>
      <c r="F104" s="493"/>
      <c r="G104" s="493"/>
      <c r="H104" s="493"/>
      <c r="I104" s="326"/>
      <c r="J104" s="493"/>
      <c r="K104" s="492"/>
      <c r="L104" s="491"/>
      <c r="M104" s="489"/>
      <c r="N104" s="326"/>
      <c r="O104" s="326"/>
      <c r="P104" s="326"/>
      <c r="Q104" s="326"/>
      <c r="R104" s="326"/>
      <c r="S104" s="326"/>
      <c r="T104" s="326"/>
      <c r="U104" s="326"/>
      <c r="V104" s="326"/>
      <c r="W104" s="326"/>
      <c r="X104" s="326"/>
      <c r="Y104" s="326"/>
      <c r="Z104" s="326"/>
      <c r="AA104" s="326"/>
      <c r="AB104" s="309"/>
      <c r="AC104" s="309"/>
      <c r="AD104" s="309"/>
      <c r="AE104" s="309"/>
      <c r="AF104" s="309"/>
      <c r="AG104" s="309"/>
      <c r="AH104" s="309"/>
      <c r="AI104" s="309"/>
      <c r="AJ104" s="309"/>
      <c r="AK104" s="309"/>
      <c r="AL104" s="609">
        <v>1</v>
      </c>
    </row>
    <row r="105" spans="1:38" ht="16.5" hidden="1" customHeight="1" thickBot="1" x14ac:dyDescent="0.3">
      <c r="A105" s="326"/>
      <c r="B105" s="490"/>
      <c r="C105" s="490"/>
      <c r="D105" s="490"/>
      <c r="E105" s="490"/>
      <c r="F105" s="490"/>
      <c r="G105" s="490"/>
      <c r="H105" s="490"/>
      <c r="I105" s="326"/>
      <c r="J105" s="490"/>
      <c r="K105" s="373"/>
      <c r="L105" s="372"/>
      <c r="M105" s="489"/>
      <c r="N105" s="326"/>
      <c r="O105" s="326"/>
      <c r="P105" s="326"/>
      <c r="Q105" s="326"/>
      <c r="R105" s="326"/>
      <c r="S105" s="326"/>
      <c r="T105" s="326"/>
      <c r="U105" s="326"/>
      <c r="V105" s="326"/>
      <c r="W105" s="326"/>
      <c r="X105" s="326"/>
      <c r="Y105" s="326"/>
      <c r="Z105" s="326"/>
      <c r="AA105" s="326"/>
      <c r="AB105" s="309"/>
      <c r="AC105" s="309"/>
      <c r="AD105" s="309"/>
      <c r="AE105" s="309"/>
      <c r="AF105" s="309"/>
      <c r="AG105" s="309"/>
      <c r="AH105" s="309"/>
      <c r="AI105" s="309"/>
      <c r="AJ105" s="309"/>
      <c r="AK105" s="309"/>
      <c r="AL105" s="609">
        <v>1</v>
      </c>
    </row>
    <row r="106" spans="1:38" ht="15.75" hidden="1" customHeight="1" thickBot="1" x14ac:dyDescent="0.3">
      <c r="A106" s="326"/>
      <c r="B106" s="488"/>
      <c r="C106" s="488"/>
      <c r="D106" s="488"/>
      <c r="E106" s="488"/>
      <c r="F106" s="488"/>
      <c r="G106" s="488"/>
      <c r="H106" s="488"/>
      <c r="I106" s="326"/>
      <c r="J106" s="488"/>
      <c r="K106" s="488"/>
      <c r="L106" s="488"/>
      <c r="M106" s="487"/>
      <c r="N106" s="326"/>
      <c r="O106" s="326"/>
      <c r="P106" s="326"/>
      <c r="Q106" s="326"/>
      <c r="R106" s="326"/>
      <c r="S106" s="326"/>
      <c r="T106" s="326"/>
      <c r="U106" s="326"/>
      <c r="V106" s="326"/>
      <c r="W106" s="326"/>
      <c r="X106" s="326"/>
      <c r="Y106" s="326"/>
      <c r="Z106" s="326"/>
      <c r="AA106" s="326"/>
      <c r="AB106" s="309"/>
      <c r="AC106" s="309"/>
      <c r="AD106" s="309"/>
      <c r="AE106" s="309"/>
      <c r="AF106" s="309"/>
      <c r="AG106" s="309"/>
      <c r="AH106" s="309"/>
      <c r="AI106" s="309"/>
      <c r="AJ106" s="309"/>
      <c r="AK106" s="309"/>
      <c r="AL106" s="609">
        <v>1</v>
      </c>
    </row>
    <row r="107" spans="1:38" ht="16.5" thickBot="1" x14ac:dyDescent="0.3">
      <c r="A107" s="326"/>
      <c r="B107" s="326">
        <v>0</v>
      </c>
      <c r="C107" s="326">
        <v>0</v>
      </c>
      <c r="D107" s="326">
        <v>0</v>
      </c>
      <c r="E107" s="326">
        <v>0</v>
      </c>
      <c r="F107" s="326">
        <v>0</v>
      </c>
      <c r="G107" s="326">
        <v>0</v>
      </c>
      <c r="H107" s="326">
        <v>0</v>
      </c>
      <c r="I107" s="326"/>
      <c r="K107" s="326"/>
      <c r="L107" s="326"/>
      <c r="M107" s="425"/>
      <c r="N107" s="326"/>
      <c r="O107" s="326"/>
      <c r="P107" s="326"/>
      <c r="Q107" s="326"/>
      <c r="R107" s="326"/>
      <c r="S107" s="326"/>
      <c r="T107" s="326"/>
      <c r="U107" s="326"/>
      <c r="V107" s="326"/>
      <c r="W107" s="326"/>
      <c r="X107" s="326"/>
      <c r="Y107" s="326"/>
      <c r="Z107" s="326"/>
      <c r="AA107" s="326"/>
      <c r="AB107" s="309"/>
      <c r="AC107" s="309"/>
      <c r="AD107" s="309"/>
      <c r="AE107" s="309"/>
      <c r="AF107" s="309"/>
      <c r="AG107" s="309"/>
      <c r="AH107" s="309"/>
      <c r="AI107" s="309"/>
      <c r="AJ107" s="309"/>
      <c r="AK107" s="309"/>
      <c r="AL107" s="609">
        <v>1</v>
      </c>
    </row>
    <row r="108" spans="1:38" ht="36" customHeight="1" thickBot="1" x14ac:dyDescent="0.3">
      <c r="A108" s="326"/>
      <c r="B108" s="486" t="s">
        <v>5200</v>
      </c>
      <c r="C108" s="2008" t="s">
        <v>5199</v>
      </c>
      <c r="D108" s="2009"/>
      <c r="E108" s="2010">
        <v>1</v>
      </c>
      <c r="F108" s="2011"/>
      <c r="G108" s="2012" t="s">
        <v>5198</v>
      </c>
      <c r="H108" s="2013"/>
      <c r="I108" s="326"/>
      <c r="J108" s="371" t="s">
        <v>5071</v>
      </c>
      <c r="K108" s="370"/>
      <c r="L108" s="370"/>
      <c r="M108" s="485"/>
      <c r="N108" s="326"/>
      <c r="O108" s="326"/>
      <c r="P108" s="326"/>
      <c r="Q108" s="326"/>
      <c r="R108" s="326"/>
      <c r="S108" s="326"/>
      <c r="T108" s="326"/>
      <c r="U108" s="326"/>
      <c r="V108" s="326"/>
      <c r="W108" s="326"/>
      <c r="X108" s="326"/>
      <c r="Y108" s="326"/>
      <c r="Z108" s="326"/>
      <c r="AA108" s="326"/>
      <c r="AB108" s="309"/>
      <c r="AC108" s="309"/>
      <c r="AD108" s="309"/>
      <c r="AE108" s="309"/>
      <c r="AF108" s="309"/>
      <c r="AG108" s="309"/>
      <c r="AH108" s="309"/>
      <c r="AI108" s="309"/>
      <c r="AJ108" s="309"/>
      <c r="AK108" s="309"/>
      <c r="AL108" s="609">
        <v>1</v>
      </c>
    </row>
    <row r="109" spans="1:38" ht="21" customHeight="1" x14ac:dyDescent="0.25">
      <c r="A109" s="326"/>
      <c r="B109" s="1986" t="s">
        <v>5197</v>
      </c>
      <c r="C109" s="1987" t="s">
        <v>5196</v>
      </c>
      <c r="D109" s="1988"/>
      <c r="E109" s="1991">
        <v>365</v>
      </c>
      <c r="F109" s="1991"/>
      <c r="G109" s="1993" t="s">
        <v>5186</v>
      </c>
      <c r="H109" s="1994"/>
      <c r="I109" s="326"/>
      <c r="J109" s="367" t="s">
        <v>5195</v>
      </c>
      <c r="K109" s="363"/>
      <c r="L109" s="363"/>
      <c r="M109" s="474"/>
      <c r="N109" s="326"/>
      <c r="O109" s="326"/>
      <c r="P109" s="326"/>
      <c r="Q109" s="326"/>
      <c r="R109" s="326"/>
      <c r="S109" s="326"/>
      <c r="T109" s="326"/>
      <c r="U109" s="326"/>
      <c r="V109" s="326"/>
      <c r="W109" s="326"/>
      <c r="X109" s="326"/>
      <c r="Y109" s="326"/>
      <c r="Z109" s="326"/>
      <c r="AA109" s="326"/>
      <c r="AB109" s="309"/>
      <c r="AC109" s="309"/>
      <c r="AD109" s="309"/>
      <c r="AE109" s="309"/>
      <c r="AF109" s="309"/>
      <c r="AG109" s="309"/>
      <c r="AH109" s="309"/>
      <c r="AI109" s="309"/>
      <c r="AJ109" s="309"/>
      <c r="AK109" s="309"/>
      <c r="AL109" s="609">
        <v>1</v>
      </c>
    </row>
    <row r="110" spans="1:38" ht="21" customHeight="1" x14ac:dyDescent="0.25">
      <c r="A110" s="326"/>
      <c r="B110" s="1986"/>
      <c r="C110" s="1989"/>
      <c r="D110" s="1990"/>
      <c r="E110" s="1992"/>
      <c r="F110" s="1992"/>
      <c r="G110" s="1995"/>
      <c r="H110" s="1996"/>
      <c r="I110" s="326"/>
      <c r="J110" s="367" t="s">
        <v>5194</v>
      </c>
      <c r="K110" s="363"/>
      <c r="L110" s="363"/>
      <c r="M110" s="474"/>
      <c r="N110" s="326"/>
      <c r="O110" s="326"/>
      <c r="P110" s="326"/>
      <c r="Q110" s="326"/>
      <c r="R110" s="326"/>
      <c r="S110" s="326"/>
      <c r="T110" s="326"/>
      <c r="U110" s="326"/>
      <c r="V110" s="326"/>
      <c r="W110" s="326"/>
      <c r="X110" s="326"/>
      <c r="Y110" s="326"/>
      <c r="Z110" s="326"/>
      <c r="AA110" s="326"/>
      <c r="AB110" s="309"/>
      <c r="AC110" s="309"/>
      <c r="AD110" s="309"/>
      <c r="AE110" s="309"/>
      <c r="AF110" s="309"/>
      <c r="AG110" s="309"/>
      <c r="AH110" s="309"/>
      <c r="AI110" s="309"/>
      <c r="AJ110" s="309"/>
      <c r="AK110" s="309"/>
      <c r="AL110" s="609">
        <v>1</v>
      </c>
    </row>
    <row r="111" spans="1:38" ht="21" customHeight="1" thickBot="1" x14ac:dyDescent="0.3">
      <c r="A111" s="326"/>
      <c r="B111" s="484"/>
      <c r="C111" s="1997">
        <v>20</v>
      </c>
      <c r="D111" s="1998"/>
      <c r="E111" s="1999">
        <f>E108*E109</f>
        <v>365</v>
      </c>
      <c r="F111" s="1999"/>
      <c r="G111" s="2000" t="s">
        <v>5193</v>
      </c>
      <c r="H111" s="2001"/>
      <c r="I111" s="326"/>
      <c r="J111" s="477" t="s">
        <v>5192</v>
      </c>
      <c r="K111" s="363"/>
      <c r="L111" s="363"/>
      <c r="M111" s="474"/>
      <c r="N111" s="326"/>
      <c r="O111" s="326"/>
      <c r="P111" s="326"/>
      <c r="Q111" s="326"/>
      <c r="R111" s="326"/>
      <c r="S111" s="326"/>
      <c r="T111" s="326"/>
      <c r="U111" s="326"/>
      <c r="V111" s="326"/>
      <c r="W111" s="326"/>
      <c r="X111" s="326"/>
      <c r="Y111" s="326"/>
      <c r="Z111" s="326"/>
      <c r="AA111" s="326"/>
      <c r="AB111" s="309"/>
      <c r="AC111" s="309"/>
      <c r="AD111" s="309"/>
      <c r="AE111" s="309"/>
      <c r="AF111" s="309"/>
      <c r="AG111" s="309"/>
      <c r="AH111" s="309"/>
      <c r="AI111" s="309"/>
      <c r="AJ111" s="309"/>
      <c r="AK111" s="309"/>
      <c r="AL111" s="609">
        <v>1</v>
      </c>
    </row>
    <row r="112" spans="1:38" ht="21" customHeight="1" x14ac:dyDescent="0.25">
      <c r="A112" s="326"/>
      <c r="B112" s="483" t="s">
        <v>5191</v>
      </c>
      <c r="C112" s="2002" t="s">
        <v>5190</v>
      </c>
      <c r="D112" s="2003"/>
      <c r="E112" s="482" t="s">
        <v>5052</v>
      </c>
      <c r="F112" s="481" t="s">
        <v>5080</v>
      </c>
      <c r="G112" s="480" t="s">
        <v>5072</v>
      </c>
      <c r="H112" s="479"/>
      <c r="I112" s="326"/>
      <c r="J112" s="476" t="s">
        <v>5188</v>
      </c>
      <c r="K112" s="363"/>
      <c r="L112" s="363"/>
      <c r="M112" s="474"/>
      <c r="N112" s="326"/>
      <c r="O112" s="326"/>
      <c r="P112" s="326"/>
      <c r="Q112" s="326"/>
      <c r="R112" s="326"/>
      <c r="S112" s="326"/>
      <c r="T112" s="326"/>
      <c r="U112" s="326"/>
      <c r="V112" s="326"/>
      <c r="W112" s="326"/>
      <c r="X112" s="326"/>
      <c r="Y112" s="326"/>
      <c r="Z112" s="326"/>
      <c r="AA112" s="326"/>
      <c r="AB112" s="309"/>
      <c r="AC112" s="309"/>
      <c r="AD112" s="309"/>
      <c r="AE112" s="309"/>
      <c r="AF112" s="309"/>
      <c r="AG112" s="309"/>
      <c r="AH112" s="309"/>
      <c r="AI112" s="309"/>
      <c r="AJ112" s="309"/>
      <c r="AK112" s="309"/>
      <c r="AL112" s="609">
        <v>1</v>
      </c>
    </row>
    <row r="113" spans="1:38" ht="21" customHeight="1" x14ac:dyDescent="0.25">
      <c r="A113" s="326"/>
      <c r="B113" s="340" t="s">
        <v>5079</v>
      </c>
      <c r="C113" s="465">
        <v>10</v>
      </c>
      <c r="D113" s="478">
        <f t="shared" ref="D113:D140" si="4">IF(OR(ISBLANK(C113),C113=""),"",IF(ISTEXT(C113),0,IF($C$111=0,0,C113/$C$111)))</f>
        <v>0.5</v>
      </c>
      <c r="E113" s="450">
        <f t="shared" ref="E113:E140" si="5">IF(OR(ISBLANK(C113),C113=""),"",IF(ISTEXT(C113),C113,IF($C$111=0,0,C113/$C$111*$E$111)))</f>
        <v>182.5</v>
      </c>
      <c r="F113" s="441">
        <f t="shared" ref="F113:F140" si="6">IF(OR(ISBLANK(E113),E113=""),"",IF(ISTEXT(E113),E113,IF(E113=0,0,IF(ABS(E113-$E$111)&lt;0.0000001,"chaque repas",$E$111/E113))))</f>
        <v>2</v>
      </c>
      <c r="G113" s="2004" t="s">
        <v>5047</v>
      </c>
      <c r="H113" s="1924"/>
      <c r="I113" s="326"/>
      <c r="J113" s="477" t="s">
        <v>5189</v>
      </c>
      <c r="K113" s="363"/>
      <c r="L113" s="363"/>
      <c r="M113" s="474"/>
      <c r="N113" s="326"/>
      <c r="O113" s="326"/>
      <c r="P113" s="326"/>
      <c r="Q113" s="326"/>
      <c r="R113" s="326"/>
      <c r="S113" s="326"/>
      <c r="T113" s="326"/>
      <c r="U113" s="326"/>
      <c r="V113" s="326"/>
      <c r="W113" s="326"/>
      <c r="X113" s="326"/>
      <c r="Y113" s="326"/>
      <c r="Z113" s="326"/>
      <c r="AA113" s="326"/>
      <c r="AB113" s="309"/>
      <c r="AC113" s="309"/>
      <c r="AD113" s="309"/>
      <c r="AE113" s="309"/>
      <c r="AF113" s="309"/>
      <c r="AG113" s="309"/>
      <c r="AH113" s="309"/>
      <c r="AI113" s="309"/>
      <c r="AJ113" s="309"/>
      <c r="AK113" s="309"/>
      <c r="AL113" s="609">
        <v>1</v>
      </c>
    </row>
    <row r="114" spans="1:38" ht="21" customHeight="1" x14ac:dyDescent="0.25">
      <c r="A114" s="326"/>
      <c r="B114" s="339" t="s">
        <v>5078</v>
      </c>
      <c r="C114" s="443">
        <v>8</v>
      </c>
      <c r="D114" s="352">
        <f t="shared" si="4"/>
        <v>0.4</v>
      </c>
      <c r="E114" s="442">
        <f t="shared" si="5"/>
        <v>146</v>
      </c>
      <c r="F114" s="441">
        <f t="shared" si="6"/>
        <v>2.5</v>
      </c>
      <c r="G114" s="2005"/>
      <c r="H114" s="1926"/>
      <c r="I114" s="326"/>
      <c r="J114" s="476" t="s">
        <v>5188</v>
      </c>
      <c r="K114" s="363"/>
      <c r="L114" s="363"/>
      <c r="M114" s="474"/>
      <c r="N114" s="326"/>
      <c r="O114" s="326"/>
      <c r="P114" s="326"/>
      <c r="Q114" s="326"/>
      <c r="R114" s="326"/>
      <c r="S114" s="326"/>
      <c r="T114" s="326"/>
      <c r="U114" s="326"/>
      <c r="V114" s="326"/>
      <c r="W114" s="326"/>
      <c r="X114" s="326"/>
      <c r="Y114" s="326"/>
      <c r="Z114" s="326"/>
      <c r="AA114" s="326"/>
      <c r="AB114" s="309"/>
      <c r="AC114" s="309"/>
      <c r="AD114" s="309"/>
      <c r="AE114" s="309"/>
      <c r="AF114" s="309"/>
      <c r="AG114" s="309"/>
      <c r="AH114" s="309"/>
      <c r="AI114" s="309"/>
      <c r="AJ114" s="309"/>
      <c r="AK114" s="309"/>
      <c r="AL114" s="609">
        <v>1</v>
      </c>
    </row>
    <row r="115" spans="1:38" ht="21" customHeight="1" x14ac:dyDescent="0.25">
      <c r="A115" s="326"/>
      <c r="B115" s="339" t="s">
        <v>5077</v>
      </c>
      <c r="C115" s="467" t="s">
        <v>5033</v>
      </c>
      <c r="D115" s="434">
        <f t="shared" si="4"/>
        <v>0</v>
      </c>
      <c r="E115" s="455" t="str">
        <f t="shared" si="5"/>
        <v>libre</v>
      </c>
      <c r="F115" s="446" t="str">
        <f t="shared" si="6"/>
        <v>libre</v>
      </c>
      <c r="G115" s="2005"/>
      <c r="H115" s="1926"/>
      <c r="I115" s="326"/>
      <c r="J115" s="475" t="s">
        <v>5187</v>
      </c>
      <c r="K115" s="363"/>
      <c r="L115" s="363"/>
      <c r="M115" s="474"/>
      <c r="N115" s="326"/>
      <c r="O115" s="326"/>
      <c r="P115" s="326"/>
      <c r="Q115" s="326"/>
      <c r="R115" s="326"/>
      <c r="S115" s="326"/>
      <c r="T115" s="326"/>
      <c r="U115" s="326"/>
      <c r="V115" s="326"/>
      <c r="W115" s="326"/>
      <c r="X115" s="326"/>
      <c r="Y115" s="326"/>
      <c r="Z115" s="326"/>
      <c r="AA115" s="326"/>
      <c r="AB115" s="309"/>
      <c r="AC115" s="309"/>
      <c r="AD115" s="309"/>
      <c r="AE115" s="309"/>
      <c r="AF115" s="309"/>
      <c r="AG115" s="309"/>
      <c r="AH115" s="309"/>
      <c r="AI115" s="309"/>
      <c r="AJ115" s="309"/>
      <c r="AK115" s="309"/>
      <c r="AL115" s="609">
        <v>1</v>
      </c>
    </row>
    <row r="116" spans="1:38" ht="21" customHeight="1" x14ac:dyDescent="0.25">
      <c r="A116" s="326"/>
      <c r="B116" s="336" t="s">
        <v>5076</v>
      </c>
      <c r="C116" s="465" t="s">
        <v>5033</v>
      </c>
      <c r="D116" s="445">
        <f t="shared" si="4"/>
        <v>0</v>
      </c>
      <c r="E116" s="450" t="str">
        <f t="shared" si="5"/>
        <v>libre</v>
      </c>
      <c r="F116" s="441" t="str">
        <f t="shared" si="6"/>
        <v>libre</v>
      </c>
      <c r="G116" s="2005"/>
      <c r="H116" s="1926"/>
      <c r="I116" s="326"/>
      <c r="J116" s="365" t="s">
        <v>5186</v>
      </c>
      <c r="K116" s="363"/>
      <c r="L116" s="363"/>
      <c r="M116" s="474"/>
      <c r="N116" s="326"/>
      <c r="O116" s="326"/>
      <c r="P116" s="326"/>
      <c r="Q116" s="326"/>
      <c r="R116" s="326"/>
      <c r="S116" s="326"/>
      <c r="T116" s="326"/>
      <c r="U116" s="326"/>
      <c r="V116" s="326"/>
      <c r="W116" s="326"/>
      <c r="X116" s="326"/>
      <c r="Y116" s="326"/>
      <c r="Z116" s="326"/>
      <c r="AA116" s="326"/>
      <c r="AB116" s="309"/>
      <c r="AC116" s="309"/>
      <c r="AD116" s="309"/>
      <c r="AE116" s="309"/>
      <c r="AF116" s="309"/>
      <c r="AG116" s="309"/>
      <c r="AH116" s="309"/>
      <c r="AI116" s="309"/>
      <c r="AJ116" s="309"/>
      <c r="AK116" s="309"/>
      <c r="AL116" s="609">
        <v>1</v>
      </c>
    </row>
    <row r="117" spans="1:38" ht="21" customHeight="1" x14ac:dyDescent="0.25">
      <c r="A117" s="326"/>
      <c r="B117" s="336" t="s">
        <v>5075</v>
      </c>
      <c r="C117" s="1945">
        <v>10</v>
      </c>
      <c r="D117" s="1947">
        <f t="shared" si="4"/>
        <v>0.5</v>
      </c>
      <c r="E117" s="1949">
        <f t="shared" si="5"/>
        <v>182.5</v>
      </c>
      <c r="F117" s="1951">
        <f t="shared" si="6"/>
        <v>2</v>
      </c>
      <c r="G117" s="2005"/>
      <c r="H117" s="1926"/>
      <c r="I117" s="326"/>
      <c r="J117" s="364" t="s">
        <v>5185</v>
      </c>
      <c r="K117" s="363"/>
      <c r="L117" s="363"/>
      <c r="M117" s="474"/>
      <c r="N117" s="326"/>
      <c r="O117" s="326"/>
      <c r="P117" s="326"/>
      <c r="Q117" s="326"/>
      <c r="R117" s="326"/>
      <c r="S117" s="326"/>
      <c r="T117" s="326"/>
      <c r="U117" s="326"/>
      <c r="V117" s="326"/>
      <c r="W117" s="326"/>
      <c r="X117" s="326"/>
      <c r="Y117" s="326"/>
      <c r="Z117" s="326"/>
      <c r="AA117" s="326"/>
      <c r="AB117" s="309"/>
      <c r="AC117" s="309"/>
      <c r="AD117" s="309"/>
      <c r="AE117" s="309"/>
      <c r="AF117" s="309"/>
      <c r="AG117" s="309"/>
      <c r="AH117" s="309"/>
      <c r="AI117" s="309"/>
      <c r="AJ117" s="309"/>
      <c r="AK117" s="309"/>
      <c r="AL117" s="609">
        <v>1</v>
      </c>
    </row>
    <row r="118" spans="1:38" ht="21" customHeight="1" x14ac:dyDescent="0.25">
      <c r="A118" s="326"/>
      <c r="B118" s="473" t="s">
        <v>5184</v>
      </c>
      <c r="C118" s="1945"/>
      <c r="D118" s="1947" t="str">
        <f t="shared" si="4"/>
        <v/>
      </c>
      <c r="E118" s="1949" t="str">
        <f t="shared" si="5"/>
        <v/>
      </c>
      <c r="F118" s="1951" t="str">
        <f t="shared" si="6"/>
        <v/>
      </c>
      <c r="G118" s="2005"/>
      <c r="H118" s="1926"/>
      <c r="I118" s="326"/>
      <c r="J118" s="361" t="s">
        <v>5038</v>
      </c>
      <c r="K118" s="360"/>
      <c r="L118" s="360"/>
      <c r="M118" s="472"/>
      <c r="N118" s="326"/>
      <c r="O118" s="326"/>
      <c r="P118" s="326"/>
      <c r="Q118" s="326"/>
      <c r="R118" s="326"/>
      <c r="S118" s="326"/>
      <c r="T118" s="326"/>
      <c r="U118" s="326"/>
      <c r="V118" s="326"/>
      <c r="W118" s="326"/>
      <c r="X118" s="326"/>
      <c r="Y118" s="326"/>
      <c r="Z118" s="326"/>
      <c r="AA118" s="326"/>
      <c r="AB118" s="309"/>
      <c r="AC118" s="309"/>
      <c r="AD118" s="309"/>
      <c r="AE118" s="309"/>
      <c r="AF118" s="309"/>
      <c r="AG118" s="309"/>
      <c r="AH118" s="309"/>
      <c r="AI118" s="309"/>
      <c r="AJ118" s="309"/>
      <c r="AK118" s="309"/>
      <c r="AL118" s="609">
        <v>1</v>
      </c>
    </row>
    <row r="119" spans="1:38" ht="21" customHeight="1" x14ac:dyDescent="0.25">
      <c r="A119" s="326"/>
      <c r="B119" s="471" t="s">
        <v>5183</v>
      </c>
      <c r="C119" s="467" t="s">
        <v>5033</v>
      </c>
      <c r="D119" s="470">
        <f t="shared" si="4"/>
        <v>0</v>
      </c>
      <c r="E119" s="455" t="str">
        <f t="shared" si="5"/>
        <v>libre</v>
      </c>
      <c r="F119" s="446" t="str">
        <f t="shared" si="6"/>
        <v>libre</v>
      </c>
      <c r="G119" s="2006"/>
      <c r="H119" s="2007"/>
      <c r="I119" s="326"/>
      <c r="J119" s="326"/>
      <c r="K119" s="326"/>
      <c r="L119" s="326"/>
      <c r="M119" s="425"/>
      <c r="N119" s="326"/>
      <c r="O119" s="326"/>
      <c r="P119" s="326"/>
      <c r="Q119" s="326"/>
      <c r="R119" s="326"/>
      <c r="S119" s="326"/>
      <c r="T119" s="326"/>
      <c r="U119" s="326"/>
      <c r="V119" s="326"/>
      <c r="W119" s="326"/>
      <c r="X119" s="326"/>
      <c r="Y119" s="326"/>
      <c r="Z119" s="326"/>
      <c r="AA119" s="326"/>
      <c r="AB119" s="309"/>
      <c r="AC119" s="309"/>
      <c r="AD119" s="309"/>
      <c r="AE119" s="309"/>
      <c r="AF119" s="309"/>
      <c r="AG119" s="309"/>
      <c r="AH119" s="309"/>
      <c r="AI119" s="309"/>
      <c r="AJ119" s="309"/>
      <c r="AK119" s="309"/>
      <c r="AL119" s="609">
        <v>1</v>
      </c>
    </row>
    <row r="120" spans="1:38" ht="21" customHeight="1" x14ac:dyDescent="0.25">
      <c r="A120" s="326"/>
      <c r="B120" s="469" t="s">
        <v>5182</v>
      </c>
      <c r="C120" s="1976">
        <v>10</v>
      </c>
      <c r="D120" s="1946">
        <f t="shared" si="4"/>
        <v>0.5</v>
      </c>
      <c r="E120" s="1948">
        <f t="shared" si="5"/>
        <v>182.5</v>
      </c>
      <c r="F120" s="1950">
        <f t="shared" si="6"/>
        <v>2</v>
      </c>
      <c r="G120" s="1978" t="s">
        <v>5037</v>
      </c>
      <c r="H120" s="1979"/>
      <c r="I120" s="326"/>
      <c r="J120" s="326"/>
      <c r="K120" s="326"/>
      <c r="L120" s="326"/>
      <c r="M120" s="425"/>
      <c r="N120" s="326"/>
      <c r="O120" s="326"/>
      <c r="P120" s="326"/>
      <c r="Q120" s="326"/>
      <c r="R120" s="326"/>
      <c r="S120" s="326"/>
      <c r="T120" s="326"/>
      <c r="U120" s="326"/>
      <c r="V120" s="326"/>
      <c r="W120" s="326"/>
      <c r="X120" s="326"/>
      <c r="Y120" s="326"/>
      <c r="Z120" s="326"/>
      <c r="AA120" s="326"/>
      <c r="AB120" s="309"/>
      <c r="AC120" s="309"/>
      <c r="AD120" s="309"/>
      <c r="AE120" s="309"/>
      <c r="AF120" s="309"/>
      <c r="AG120" s="309"/>
      <c r="AH120" s="309"/>
      <c r="AI120" s="309"/>
      <c r="AJ120" s="309"/>
      <c r="AK120" s="309"/>
      <c r="AL120" s="609">
        <v>1</v>
      </c>
    </row>
    <row r="121" spans="1:38" ht="21" customHeight="1" x14ac:dyDescent="0.25">
      <c r="A121" s="326"/>
      <c r="B121" s="468" t="s">
        <v>5181</v>
      </c>
      <c r="C121" s="1977"/>
      <c r="D121" s="1973" t="str">
        <f t="shared" si="4"/>
        <v/>
      </c>
      <c r="E121" s="1974" t="str">
        <f t="shared" si="5"/>
        <v/>
      </c>
      <c r="F121" s="1975" t="str">
        <f t="shared" si="6"/>
        <v/>
      </c>
      <c r="G121" s="1980"/>
      <c r="H121" s="1981"/>
      <c r="I121" s="326"/>
      <c r="J121" s="326"/>
      <c r="K121" s="326"/>
      <c r="L121" s="326"/>
      <c r="M121" s="425"/>
      <c r="N121" s="326"/>
      <c r="O121" s="326"/>
      <c r="P121" s="326"/>
      <c r="Q121" s="326"/>
      <c r="R121" s="326"/>
      <c r="S121" s="326"/>
      <c r="T121" s="326"/>
      <c r="U121" s="326"/>
      <c r="V121" s="326"/>
      <c r="W121" s="326"/>
      <c r="X121" s="326"/>
      <c r="Y121" s="326"/>
      <c r="Z121" s="326"/>
      <c r="AA121" s="326"/>
      <c r="AB121" s="309"/>
      <c r="AC121" s="309"/>
      <c r="AD121" s="309"/>
      <c r="AE121" s="309"/>
      <c r="AF121" s="309"/>
      <c r="AG121" s="309"/>
      <c r="AH121" s="309"/>
      <c r="AI121" s="309"/>
      <c r="AJ121" s="309"/>
      <c r="AK121" s="309"/>
      <c r="AL121" s="609">
        <v>1</v>
      </c>
    </row>
    <row r="122" spans="1:38" ht="21" customHeight="1" x14ac:dyDescent="0.25">
      <c r="A122" s="326"/>
      <c r="B122" s="466" t="s">
        <v>5180</v>
      </c>
      <c r="C122" s="465">
        <v>4</v>
      </c>
      <c r="D122" s="445">
        <f t="shared" si="4"/>
        <v>0.2</v>
      </c>
      <c r="E122" s="450">
        <f t="shared" si="5"/>
        <v>73</v>
      </c>
      <c r="F122" s="441">
        <f t="shared" si="6"/>
        <v>5</v>
      </c>
      <c r="G122" s="1982" t="s">
        <v>5036</v>
      </c>
      <c r="H122" s="1920"/>
      <c r="I122" s="326"/>
      <c r="J122" s="326"/>
      <c r="K122" s="326"/>
      <c r="L122" s="326"/>
      <c r="M122" s="425"/>
      <c r="N122" s="326"/>
      <c r="O122" s="326"/>
      <c r="P122" s="326"/>
      <c r="Q122" s="326"/>
      <c r="R122" s="326"/>
      <c r="S122" s="326"/>
      <c r="T122" s="326"/>
      <c r="U122" s="326"/>
      <c r="V122" s="326"/>
      <c r="W122" s="326"/>
      <c r="X122" s="326"/>
      <c r="Y122" s="326"/>
      <c r="Z122" s="326"/>
      <c r="AA122" s="326"/>
      <c r="AB122" s="309"/>
      <c r="AC122" s="309"/>
      <c r="AD122" s="309"/>
      <c r="AE122" s="309"/>
      <c r="AF122" s="309"/>
      <c r="AG122" s="309"/>
      <c r="AH122" s="309"/>
      <c r="AI122" s="309"/>
      <c r="AJ122" s="309"/>
      <c r="AK122" s="309"/>
      <c r="AL122" s="609">
        <v>1</v>
      </c>
    </row>
    <row r="123" spans="1:38" ht="21" customHeight="1" x14ac:dyDescent="0.25">
      <c r="A123" s="326"/>
      <c r="B123" s="464" t="s">
        <v>5179</v>
      </c>
      <c r="C123" s="443">
        <v>4</v>
      </c>
      <c r="D123" s="352">
        <f t="shared" si="4"/>
        <v>0.2</v>
      </c>
      <c r="E123" s="450">
        <f t="shared" si="5"/>
        <v>73</v>
      </c>
      <c r="F123" s="441">
        <f t="shared" si="6"/>
        <v>5</v>
      </c>
      <c r="G123" s="1983"/>
      <c r="H123" s="1922"/>
      <c r="I123" s="326"/>
      <c r="J123" s="326"/>
      <c r="K123" s="326"/>
      <c r="L123" s="326"/>
      <c r="M123" s="425"/>
      <c r="N123" s="326"/>
      <c r="O123" s="326"/>
      <c r="P123" s="326"/>
      <c r="Q123" s="326"/>
      <c r="R123" s="326"/>
      <c r="S123" s="326"/>
      <c r="T123" s="326"/>
      <c r="U123" s="326"/>
      <c r="V123" s="326"/>
      <c r="W123" s="326"/>
      <c r="X123" s="326"/>
      <c r="Y123" s="326"/>
      <c r="Z123" s="326"/>
      <c r="AA123" s="326"/>
      <c r="AB123" s="309"/>
      <c r="AC123" s="309"/>
      <c r="AD123" s="309"/>
      <c r="AE123" s="309"/>
      <c r="AF123" s="309"/>
      <c r="AG123" s="309"/>
      <c r="AH123" s="309"/>
      <c r="AI123" s="309"/>
      <c r="AJ123" s="309"/>
      <c r="AK123" s="309"/>
      <c r="AL123" s="609">
        <v>1</v>
      </c>
    </row>
    <row r="124" spans="1:38" ht="21" customHeight="1" x14ac:dyDescent="0.25">
      <c r="A124" s="326"/>
      <c r="B124" s="1984" t="s">
        <v>5178</v>
      </c>
      <c r="C124" s="1945">
        <v>2</v>
      </c>
      <c r="D124" s="1947">
        <f t="shared" si="4"/>
        <v>0.1</v>
      </c>
      <c r="E124" s="1949">
        <f t="shared" si="5"/>
        <v>36.5</v>
      </c>
      <c r="F124" s="1951">
        <f t="shared" si="6"/>
        <v>10</v>
      </c>
      <c r="G124" s="1983"/>
      <c r="H124" s="1922"/>
      <c r="I124" s="326"/>
      <c r="J124" s="326"/>
      <c r="K124" s="326"/>
      <c r="L124" s="326"/>
      <c r="M124" s="425"/>
      <c r="N124" s="326"/>
      <c r="O124" s="326"/>
      <c r="P124" s="326"/>
      <c r="Q124" s="326"/>
      <c r="R124" s="326"/>
      <c r="S124" s="326"/>
      <c r="T124" s="326"/>
      <c r="U124" s="326"/>
      <c r="V124" s="326"/>
      <c r="W124" s="326"/>
      <c r="X124" s="326"/>
      <c r="Y124" s="326"/>
      <c r="Z124" s="326"/>
      <c r="AA124" s="326"/>
      <c r="AB124" s="309"/>
      <c r="AC124" s="309"/>
      <c r="AD124" s="309"/>
      <c r="AE124" s="309"/>
      <c r="AF124" s="309"/>
      <c r="AG124" s="309"/>
      <c r="AH124" s="309"/>
      <c r="AI124" s="309"/>
      <c r="AJ124" s="309"/>
      <c r="AK124" s="309"/>
      <c r="AL124" s="609">
        <v>1</v>
      </c>
    </row>
    <row r="125" spans="1:38" ht="21" customHeight="1" x14ac:dyDescent="0.25">
      <c r="A125" s="326"/>
      <c r="B125" s="1985"/>
      <c r="C125" s="1945"/>
      <c r="D125" s="1947" t="str">
        <f t="shared" si="4"/>
        <v/>
      </c>
      <c r="E125" s="1949" t="str">
        <f t="shared" si="5"/>
        <v/>
      </c>
      <c r="F125" s="1951" t="str">
        <f t="shared" si="6"/>
        <v/>
      </c>
      <c r="G125" s="1983"/>
      <c r="H125" s="1922"/>
      <c r="I125" s="326"/>
      <c r="J125" s="326"/>
      <c r="K125" s="326"/>
      <c r="L125" s="326"/>
      <c r="M125" s="425"/>
      <c r="N125" s="326"/>
      <c r="O125" s="326"/>
      <c r="P125" s="326"/>
      <c r="Q125" s="326"/>
      <c r="R125" s="326"/>
      <c r="S125" s="326"/>
      <c r="T125" s="326"/>
      <c r="U125" s="326"/>
      <c r="V125" s="326"/>
      <c r="W125" s="326"/>
      <c r="X125" s="326"/>
      <c r="Y125" s="326"/>
      <c r="Z125" s="326"/>
      <c r="AA125" s="326"/>
      <c r="AB125" s="309"/>
      <c r="AC125" s="309"/>
      <c r="AD125" s="309"/>
      <c r="AE125" s="309"/>
      <c r="AF125" s="309"/>
      <c r="AG125" s="309"/>
      <c r="AH125" s="309"/>
      <c r="AI125" s="309"/>
      <c r="AJ125" s="309"/>
      <c r="AK125" s="309"/>
      <c r="AL125" s="609">
        <v>1</v>
      </c>
    </row>
    <row r="126" spans="1:38" ht="21" customHeight="1" x14ac:dyDescent="0.25">
      <c r="A126" s="326"/>
      <c r="B126" s="463" t="s">
        <v>5177</v>
      </c>
      <c r="C126" s="462"/>
      <c r="D126" s="461" t="str">
        <f t="shared" si="4"/>
        <v/>
      </c>
      <c r="E126" s="460" t="str">
        <f t="shared" si="5"/>
        <v/>
      </c>
      <c r="F126" s="459" t="str">
        <f t="shared" si="6"/>
        <v/>
      </c>
      <c r="G126" s="1983"/>
      <c r="H126" s="1922"/>
      <c r="I126" s="326"/>
      <c r="J126" s="326"/>
      <c r="K126" s="326"/>
      <c r="L126" s="326"/>
      <c r="M126" s="425"/>
      <c r="N126" s="326"/>
      <c r="O126" s="326"/>
      <c r="P126" s="326"/>
      <c r="Q126" s="326"/>
      <c r="R126" s="326"/>
      <c r="S126" s="326"/>
      <c r="T126" s="326"/>
      <c r="U126" s="326"/>
      <c r="V126" s="326"/>
      <c r="W126" s="326"/>
      <c r="X126" s="326"/>
      <c r="Y126" s="326"/>
      <c r="Z126" s="326"/>
      <c r="AA126" s="326"/>
      <c r="AB126" s="309"/>
      <c r="AC126" s="309"/>
      <c r="AD126" s="309"/>
      <c r="AE126" s="309"/>
      <c r="AF126" s="309"/>
      <c r="AG126" s="309"/>
      <c r="AH126" s="309"/>
      <c r="AI126" s="309"/>
      <c r="AJ126" s="309"/>
      <c r="AK126" s="309"/>
      <c r="AL126" s="609">
        <v>1</v>
      </c>
    </row>
    <row r="127" spans="1:38" ht="21" customHeight="1" x14ac:dyDescent="0.25">
      <c r="A127" s="326"/>
      <c r="B127" s="458" t="s">
        <v>5176</v>
      </c>
      <c r="C127" s="443">
        <v>3</v>
      </c>
      <c r="D127" s="352">
        <f t="shared" si="4"/>
        <v>0.15</v>
      </c>
      <c r="E127" s="442">
        <f t="shared" si="5"/>
        <v>54.75</v>
      </c>
      <c r="F127" s="441">
        <f t="shared" si="6"/>
        <v>6.666666666666667</v>
      </c>
      <c r="G127" s="1983"/>
      <c r="H127" s="1922"/>
      <c r="I127" s="326"/>
      <c r="J127" s="326"/>
      <c r="K127" s="326"/>
      <c r="L127" s="326"/>
      <c r="M127" s="425"/>
      <c r="N127" s="326"/>
      <c r="O127" s="326"/>
      <c r="P127" s="326"/>
      <c r="Q127" s="326"/>
      <c r="R127" s="326"/>
      <c r="S127" s="326"/>
      <c r="T127" s="326"/>
      <c r="U127" s="326"/>
      <c r="V127" s="326"/>
      <c r="W127" s="326"/>
      <c r="X127" s="326"/>
      <c r="Y127" s="326"/>
      <c r="Z127" s="326"/>
      <c r="AA127" s="326"/>
      <c r="AB127" s="309"/>
      <c r="AC127" s="309"/>
      <c r="AD127" s="309"/>
      <c r="AE127" s="309"/>
      <c r="AF127" s="309"/>
      <c r="AG127" s="309"/>
      <c r="AH127" s="309"/>
      <c r="AI127" s="309"/>
      <c r="AJ127" s="309"/>
      <c r="AK127" s="309"/>
      <c r="AL127" s="609">
        <v>1</v>
      </c>
    </row>
    <row r="128" spans="1:38" ht="21" customHeight="1" x14ac:dyDescent="0.25">
      <c r="A128" s="326"/>
      <c r="B128" s="457" t="s">
        <v>5175</v>
      </c>
      <c r="C128" s="1963"/>
      <c r="D128" s="1946" t="str">
        <f t="shared" si="4"/>
        <v/>
      </c>
      <c r="E128" s="1948" t="str">
        <f t="shared" si="5"/>
        <v/>
      </c>
      <c r="F128" s="1950" t="str">
        <f t="shared" si="6"/>
        <v/>
      </c>
      <c r="G128" s="1964" t="s">
        <v>5111</v>
      </c>
      <c r="H128" s="1928"/>
      <c r="I128" s="326"/>
      <c r="J128" s="326"/>
      <c r="K128" s="326"/>
      <c r="L128" s="326"/>
      <c r="M128" s="425"/>
      <c r="N128" s="326"/>
      <c r="O128" s="326"/>
      <c r="P128" s="326"/>
      <c r="Q128" s="326"/>
      <c r="R128" s="326"/>
      <c r="S128" s="326"/>
      <c r="T128" s="326"/>
      <c r="U128" s="326"/>
      <c r="V128" s="326"/>
      <c r="W128" s="326"/>
      <c r="X128" s="326"/>
      <c r="Y128" s="326"/>
      <c r="Z128" s="326"/>
      <c r="AA128" s="326"/>
      <c r="AB128" s="309"/>
      <c r="AC128" s="309"/>
      <c r="AD128" s="309"/>
      <c r="AE128" s="309"/>
      <c r="AF128" s="309"/>
      <c r="AG128" s="309"/>
      <c r="AH128" s="309"/>
      <c r="AI128" s="309"/>
      <c r="AJ128" s="309"/>
      <c r="AK128" s="309"/>
      <c r="AL128" s="609">
        <v>1</v>
      </c>
    </row>
    <row r="129" spans="1:38" ht="21" customHeight="1" x14ac:dyDescent="0.25">
      <c r="A129" s="326"/>
      <c r="B129" s="1968" t="s">
        <v>5174</v>
      </c>
      <c r="C129" s="1945">
        <v>4</v>
      </c>
      <c r="D129" s="1947">
        <f t="shared" si="4"/>
        <v>0.2</v>
      </c>
      <c r="E129" s="1949">
        <f t="shared" si="5"/>
        <v>73</v>
      </c>
      <c r="F129" s="1951">
        <f t="shared" si="6"/>
        <v>5</v>
      </c>
      <c r="G129" s="1965"/>
      <c r="H129" s="1930"/>
      <c r="I129" s="326"/>
      <c r="J129" s="326"/>
      <c r="K129" s="326"/>
      <c r="L129" s="326"/>
      <c r="M129" s="425"/>
      <c r="N129" s="326"/>
      <c r="O129" s="326"/>
      <c r="P129" s="326"/>
      <c r="Q129" s="326"/>
      <c r="R129" s="326"/>
      <c r="S129" s="326"/>
      <c r="T129" s="326"/>
      <c r="U129" s="326"/>
      <c r="V129" s="326"/>
      <c r="W129" s="326"/>
      <c r="X129" s="326"/>
      <c r="Y129" s="326"/>
      <c r="Z129" s="326"/>
      <c r="AA129" s="326"/>
      <c r="AB129" s="309"/>
      <c r="AC129" s="309"/>
      <c r="AD129" s="309"/>
      <c r="AE129" s="309"/>
      <c r="AF129" s="309"/>
      <c r="AG129" s="309"/>
      <c r="AH129" s="309"/>
      <c r="AI129" s="309"/>
      <c r="AJ129" s="309"/>
      <c r="AK129" s="309"/>
      <c r="AL129" s="609">
        <v>1</v>
      </c>
    </row>
    <row r="130" spans="1:38" ht="21" customHeight="1" x14ac:dyDescent="0.25">
      <c r="A130" s="326"/>
      <c r="B130" s="1969"/>
      <c r="C130" s="1945"/>
      <c r="D130" s="1947" t="str">
        <f t="shared" si="4"/>
        <v/>
      </c>
      <c r="E130" s="1949" t="str">
        <f t="shared" si="5"/>
        <v/>
      </c>
      <c r="F130" s="1951" t="str">
        <f t="shared" si="6"/>
        <v/>
      </c>
      <c r="G130" s="1965"/>
      <c r="H130" s="1930"/>
      <c r="I130" s="326"/>
      <c r="J130" s="326"/>
      <c r="K130" s="326"/>
      <c r="L130" s="326"/>
      <c r="M130" s="425"/>
      <c r="N130" s="326"/>
      <c r="O130" s="326"/>
      <c r="P130" s="326"/>
      <c r="Q130" s="326"/>
      <c r="R130" s="326"/>
      <c r="S130" s="326"/>
      <c r="T130" s="326"/>
      <c r="U130" s="326"/>
      <c r="V130" s="326"/>
      <c r="W130" s="326"/>
      <c r="X130" s="326"/>
      <c r="Y130" s="326"/>
      <c r="Z130" s="326"/>
      <c r="AA130" s="326"/>
      <c r="AB130" s="309"/>
      <c r="AC130" s="309"/>
      <c r="AD130" s="309"/>
      <c r="AE130" s="309"/>
      <c r="AF130" s="309"/>
      <c r="AG130" s="309"/>
      <c r="AH130" s="309"/>
      <c r="AI130" s="309"/>
      <c r="AJ130" s="309"/>
      <c r="AK130" s="309"/>
      <c r="AL130" s="609">
        <v>1</v>
      </c>
    </row>
    <row r="131" spans="1:38" ht="21" customHeight="1" x14ac:dyDescent="0.25">
      <c r="A131" s="326"/>
      <c r="B131" s="456" t="s">
        <v>5173</v>
      </c>
      <c r="C131" s="443">
        <v>4</v>
      </c>
      <c r="D131" s="352">
        <f t="shared" si="4"/>
        <v>0.2</v>
      </c>
      <c r="E131" s="450">
        <f t="shared" si="5"/>
        <v>73</v>
      </c>
      <c r="F131" s="441">
        <f t="shared" si="6"/>
        <v>5</v>
      </c>
      <c r="G131" s="1965"/>
      <c r="H131" s="1930"/>
      <c r="I131" s="326"/>
      <c r="J131" s="326"/>
      <c r="K131" s="326"/>
      <c r="L131" s="326"/>
      <c r="M131" s="425"/>
      <c r="N131" s="326"/>
      <c r="O131" s="326"/>
      <c r="P131" s="326"/>
      <c r="Q131" s="326"/>
      <c r="R131" s="326"/>
      <c r="S131" s="326"/>
      <c r="T131" s="326"/>
      <c r="U131" s="326"/>
      <c r="V131" s="326"/>
      <c r="W131" s="326"/>
      <c r="X131" s="326"/>
      <c r="Y131" s="326"/>
      <c r="Z131" s="326"/>
      <c r="AA131" s="326"/>
      <c r="AB131" s="309"/>
      <c r="AC131" s="309"/>
      <c r="AD131" s="309"/>
      <c r="AE131" s="309"/>
      <c r="AF131" s="309"/>
      <c r="AG131" s="309"/>
      <c r="AH131" s="309"/>
      <c r="AI131" s="309"/>
      <c r="AJ131" s="309"/>
      <c r="AK131" s="309"/>
      <c r="AL131" s="609">
        <v>1</v>
      </c>
    </row>
    <row r="132" spans="1:38" ht="21" customHeight="1" x14ac:dyDescent="0.25">
      <c r="A132" s="326"/>
      <c r="B132" s="1970" t="s">
        <v>5172</v>
      </c>
      <c r="C132" s="1945">
        <v>3</v>
      </c>
      <c r="D132" s="1947">
        <f t="shared" si="4"/>
        <v>0.15</v>
      </c>
      <c r="E132" s="1949">
        <f t="shared" si="5"/>
        <v>54.75</v>
      </c>
      <c r="F132" s="1951">
        <f t="shared" si="6"/>
        <v>6.666666666666667</v>
      </c>
      <c r="G132" s="1965"/>
      <c r="H132" s="1930"/>
      <c r="I132" s="326"/>
      <c r="J132" s="326"/>
      <c r="K132" s="326"/>
      <c r="L132" s="326"/>
      <c r="M132" s="425"/>
      <c r="N132" s="326"/>
      <c r="O132" s="326"/>
      <c r="P132" s="326"/>
      <c r="Q132" s="326"/>
      <c r="R132" s="326"/>
      <c r="S132" s="326"/>
      <c r="T132" s="326"/>
      <c r="U132" s="326"/>
      <c r="V132" s="326"/>
      <c r="W132" s="326"/>
      <c r="X132" s="326"/>
      <c r="Y132" s="326"/>
      <c r="Z132" s="326"/>
      <c r="AA132" s="326"/>
      <c r="AB132" s="309"/>
      <c r="AC132" s="309"/>
      <c r="AD132" s="309"/>
      <c r="AE132" s="309"/>
      <c r="AF132" s="309"/>
      <c r="AG132" s="309"/>
      <c r="AH132" s="309"/>
      <c r="AI132" s="309"/>
      <c r="AJ132" s="309"/>
      <c r="AK132" s="309"/>
      <c r="AL132" s="609">
        <v>1</v>
      </c>
    </row>
    <row r="133" spans="1:38" ht="21" customHeight="1" x14ac:dyDescent="0.25">
      <c r="A133" s="326"/>
      <c r="B133" s="1971"/>
      <c r="C133" s="1972"/>
      <c r="D133" s="1973" t="str">
        <f t="shared" si="4"/>
        <v/>
      </c>
      <c r="E133" s="1974" t="str">
        <f t="shared" si="5"/>
        <v/>
      </c>
      <c r="F133" s="1975" t="str">
        <f t="shared" si="6"/>
        <v/>
      </c>
      <c r="G133" s="1966"/>
      <c r="H133" s="1967"/>
      <c r="I133" s="326"/>
      <c r="J133" s="326"/>
      <c r="K133" s="326"/>
      <c r="L133" s="326"/>
      <c r="M133" s="425"/>
      <c r="N133" s="326"/>
      <c r="O133" s="326"/>
      <c r="P133" s="326"/>
      <c r="Q133" s="326"/>
      <c r="R133" s="326"/>
      <c r="S133" s="326"/>
      <c r="T133" s="326"/>
      <c r="U133" s="326"/>
      <c r="V133" s="326"/>
      <c r="W133" s="326"/>
      <c r="X133" s="326"/>
      <c r="Y133" s="326"/>
      <c r="Z133" s="326"/>
      <c r="AA133" s="326"/>
      <c r="AB133" s="309"/>
      <c r="AC133" s="309"/>
      <c r="AD133" s="309"/>
      <c r="AE133" s="309"/>
      <c r="AF133" s="309"/>
      <c r="AG133" s="309"/>
      <c r="AH133" s="309"/>
      <c r="AI133" s="309"/>
      <c r="AJ133" s="309"/>
      <c r="AK133" s="309"/>
      <c r="AL133" s="609">
        <v>1</v>
      </c>
    </row>
    <row r="134" spans="1:38" ht="21" customHeight="1" x14ac:dyDescent="0.25">
      <c r="A134" s="326"/>
      <c r="B134" s="454" t="s">
        <v>5171</v>
      </c>
      <c r="C134" s="453">
        <v>8</v>
      </c>
      <c r="D134" s="445">
        <f t="shared" si="4"/>
        <v>0.4</v>
      </c>
      <c r="E134" s="452">
        <f t="shared" si="5"/>
        <v>146</v>
      </c>
      <c r="F134" s="444">
        <f t="shared" si="6"/>
        <v>2.5</v>
      </c>
      <c r="G134" s="1941" t="s">
        <v>5107</v>
      </c>
      <c r="H134" s="1932"/>
      <c r="I134" s="326"/>
      <c r="J134" s="326"/>
      <c r="K134" s="326"/>
      <c r="L134" s="326"/>
      <c r="M134" s="425"/>
      <c r="N134" s="326"/>
      <c r="O134" s="326"/>
      <c r="P134" s="326"/>
      <c r="Q134" s="326"/>
      <c r="R134" s="326"/>
      <c r="S134" s="326"/>
      <c r="T134" s="326"/>
      <c r="U134" s="326"/>
      <c r="V134" s="326"/>
      <c r="W134" s="326"/>
      <c r="X134" s="326"/>
      <c r="Y134" s="326"/>
      <c r="Z134" s="326"/>
      <c r="AA134" s="326"/>
      <c r="AB134" s="309"/>
      <c r="AC134" s="309"/>
      <c r="AD134" s="309"/>
      <c r="AE134" s="309"/>
      <c r="AF134" s="309"/>
      <c r="AG134" s="309"/>
      <c r="AH134" s="309"/>
      <c r="AI134" s="309"/>
      <c r="AJ134" s="309"/>
      <c r="AK134" s="309"/>
      <c r="AL134" s="609">
        <v>1</v>
      </c>
    </row>
    <row r="135" spans="1:38" ht="21" customHeight="1" x14ac:dyDescent="0.25">
      <c r="A135" s="326"/>
      <c r="B135" s="451" t="s">
        <v>5170</v>
      </c>
      <c r="C135" s="443">
        <v>4</v>
      </c>
      <c r="D135" s="352">
        <f t="shared" si="4"/>
        <v>0.2</v>
      </c>
      <c r="E135" s="450">
        <f t="shared" si="5"/>
        <v>73</v>
      </c>
      <c r="F135" s="441">
        <f t="shared" si="6"/>
        <v>5</v>
      </c>
      <c r="G135" s="1942"/>
      <c r="H135" s="1934"/>
      <c r="I135" s="326"/>
      <c r="J135" s="326"/>
      <c r="K135" s="326"/>
      <c r="L135" s="326"/>
      <c r="M135" s="425"/>
      <c r="N135" s="326"/>
      <c r="O135" s="326"/>
      <c r="P135" s="326"/>
      <c r="Q135" s="326"/>
      <c r="R135" s="326"/>
      <c r="S135" s="326"/>
      <c r="T135" s="326"/>
      <c r="U135" s="326"/>
      <c r="V135" s="326"/>
      <c r="W135" s="326"/>
      <c r="X135" s="326"/>
      <c r="Y135" s="326"/>
      <c r="Z135" s="326"/>
      <c r="AA135" s="326"/>
      <c r="AB135" s="309"/>
      <c r="AC135" s="309"/>
      <c r="AD135" s="309"/>
      <c r="AE135" s="309"/>
      <c r="AF135" s="309"/>
      <c r="AG135" s="309"/>
      <c r="AH135" s="309"/>
      <c r="AI135" s="309"/>
      <c r="AJ135" s="309"/>
      <c r="AK135" s="309"/>
      <c r="AL135" s="609">
        <v>1</v>
      </c>
    </row>
    <row r="136" spans="1:38" ht="21" customHeight="1" x14ac:dyDescent="0.25">
      <c r="A136" s="326"/>
      <c r="B136" s="449" t="s">
        <v>5169</v>
      </c>
      <c r="C136" s="448">
        <v>6</v>
      </c>
      <c r="D136" s="434">
        <f t="shared" si="4"/>
        <v>0.3</v>
      </c>
      <c r="E136" s="447">
        <f t="shared" si="5"/>
        <v>109.5</v>
      </c>
      <c r="F136" s="446">
        <f t="shared" si="6"/>
        <v>3.3333333333333335</v>
      </c>
      <c r="G136" s="1942"/>
      <c r="H136" s="1934"/>
      <c r="I136" s="326"/>
      <c r="J136" s="326"/>
      <c r="K136" s="326"/>
      <c r="L136" s="326"/>
      <c r="M136" s="425"/>
      <c r="N136" s="326"/>
      <c r="O136" s="326"/>
      <c r="P136" s="326"/>
      <c r="Q136" s="326"/>
      <c r="R136" s="326"/>
      <c r="S136" s="326"/>
      <c r="T136" s="326"/>
      <c r="U136" s="326"/>
      <c r="V136" s="326"/>
      <c r="W136" s="326"/>
      <c r="X136" s="326"/>
      <c r="Y136" s="326"/>
      <c r="Z136" s="326"/>
      <c r="AA136" s="326"/>
      <c r="AB136" s="309"/>
      <c r="AC136" s="309"/>
      <c r="AD136" s="309"/>
      <c r="AE136" s="309"/>
      <c r="AF136" s="309"/>
      <c r="AG136" s="309"/>
      <c r="AH136" s="309"/>
      <c r="AI136" s="309"/>
      <c r="AJ136" s="309"/>
      <c r="AK136" s="309"/>
      <c r="AL136" s="609">
        <v>1</v>
      </c>
    </row>
    <row r="137" spans="1:38" ht="21" customHeight="1" x14ac:dyDescent="0.25">
      <c r="A137" s="326"/>
      <c r="B137" s="1943" t="s">
        <v>5168</v>
      </c>
      <c r="C137" s="1945">
        <v>4</v>
      </c>
      <c r="D137" s="1946">
        <f t="shared" si="4"/>
        <v>0.2</v>
      </c>
      <c r="E137" s="1948">
        <f t="shared" si="5"/>
        <v>73</v>
      </c>
      <c r="F137" s="1950">
        <f t="shared" si="6"/>
        <v>5</v>
      </c>
      <c r="G137" s="1952" t="s">
        <v>5167</v>
      </c>
      <c r="H137" s="1953"/>
      <c r="I137" s="326"/>
      <c r="J137" s="326"/>
      <c r="K137" s="326"/>
      <c r="L137" s="326"/>
      <c r="M137" s="425"/>
      <c r="N137" s="326"/>
      <c r="O137" s="326"/>
      <c r="P137" s="326"/>
      <c r="Q137" s="326"/>
      <c r="R137" s="326"/>
      <c r="S137" s="326"/>
      <c r="T137" s="326"/>
      <c r="U137" s="326"/>
      <c r="V137" s="326"/>
      <c r="W137" s="326"/>
      <c r="X137" s="326"/>
      <c r="Y137" s="326"/>
      <c r="Z137" s="326"/>
      <c r="AA137" s="326"/>
      <c r="AB137" s="309"/>
      <c r="AC137" s="309"/>
      <c r="AD137" s="309"/>
      <c r="AE137" s="309"/>
      <c r="AF137" s="309"/>
      <c r="AG137" s="309"/>
      <c r="AH137" s="309"/>
      <c r="AI137" s="309"/>
      <c r="AJ137" s="309"/>
      <c r="AK137" s="309"/>
      <c r="AL137" s="609">
        <v>1</v>
      </c>
    </row>
    <row r="138" spans="1:38" ht="21" customHeight="1" x14ac:dyDescent="0.25">
      <c r="A138" s="326"/>
      <c r="B138" s="1944"/>
      <c r="C138" s="1945"/>
      <c r="D138" s="1947" t="str">
        <f t="shared" si="4"/>
        <v/>
      </c>
      <c r="E138" s="1949" t="str">
        <f t="shared" si="5"/>
        <v/>
      </c>
      <c r="F138" s="1951" t="str">
        <f t="shared" si="6"/>
        <v/>
      </c>
      <c r="G138" s="1954"/>
      <c r="H138" s="1955"/>
      <c r="I138" s="326"/>
      <c r="J138" s="326"/>
      <c r="K138" s="326"/>
      <c r="L138" s="326"/>
      <c r="M138" s="425"/>
      <c r="N138" s="326"/>
      <c r="O138" s="326"/>
      <c r="P138" s="326"/>
      <c r="Q138" s="326"/>
      <c r="R138" s="326"/>
      <c r="S138" s="326"/>
      <c r="T138" s="326"/>
      <c r="U138" s="326"/>
      <c r="V138" s="326"/>
      <c r="W138" s="326"/>
      <c r="X138" s="326"/>
      <c r="Y138" s="326"/>
      <c r="Z138" s="326"/>
      <c r="AA138" s="326"/>
      <c r="AB138" s="309"/>
      <c r="AC138" s="309"/>
      <c r="AD138" s="309"/>
      <c r="AE138" s="309"/>
      <c r="AF138" s="309"/>
      <c r="AG138" s="309"/>
      <c r="AH138" s="309"/>
      <c r="AI138" s="309"/>
      <c r="AJ138" s="309"/>
      <c r="AK138" s="309"/>
      <c r="AL138" s="609">
        <v>1</v>
      </c>
    </row>
    <row r="139" spans="1:38" ht="21" customHeight="1" x14ac:dyDescent="0.25">
      <c r="A139" s="326"/>
      <c r="B139" s="440" t="s">
        <v>5166</v>
      </c>
      <c r="C139" s="439" t="s">
        <v>5033</v>
      </c>
      <c r="D139" s="352">
        <f t="shared" si="4"/>
        <v>0</v>
      </c>
      <c r="E139" s="438" t="str">
        <f t="shared" si="5"/>
        <v>libre</v>
      </c>
      <c r="F139" s="437" t="str">
        <f t="shared" si="6"/>
        <v>libre</v>
      </c>
      <c r="G139" s="1954"/>
      <c r="H139" s="1955"/>
      <c r="I139" s="326"/>
      <c r="J139" s="326"/>
      <c r="K139" s="326"/>
      <c r="L139" s="326"/>
      <c r="M139" s="425"/>
      <c r="N139" s="326"/>
      <c r="O139" s="326"/>
      <c r="P139" s="326"/>
      <c r="Q139" s="326"/>
      <c r="R139" s="326"/>
      <c r="S139" s="326"/>
      <c r="T139" s="326"/>
      <c r="U139" s="326"/>
      <c r="V139" s="326"/>
      <c r="W139" s="326"/>
      <c r="X139" s="326"/>
      <c r="Y139" s="326"/>
      <c r="Z139" s="326"/>
      <c r="AA139" s="326"/>
      <c r="AB139" s="309"/>
      <c r="AC139" s="309"/>
      <c r="AD139" s="309"/>
      <c r="AE139" s="309"/>
      <c r="AF139" s="309"/>
      <c r="AG139" s="309"/>
      <c r="AH139" s="309"/>
      <c r="AI139" s="309"/>
      <c r="AJ139" s="309"/>
      <c r="AK139" s="309"/>
      <c r="AL139" s="609">
        <v>1</v>
      </c>
    </row>
    <row r="140" spans="1:38" ht="21" customHeight="1" x14ac:dyDescent="0.25">
      <c r="A140" s="326"/>
      <c r="B140" s="436" t="s">
        <v>5165</v>
      </c>
      <c r="C140" s="435" t="s">
        <v>5033</v>
      </c>
      <c r="D140" s="434">
        <f t="shared" si="4"/>
        <v>0</v>
      </c>
      <c r="E140" s="433" t="str">
        <f t="shared" si="5"/>
        <v>libre</v>
      </c>
      <c r="F140" s="432" t="str">
        <f t="shared" si="6"/>
        <v>libre</v>
      </c>
      <c r="G140" s="1956"/>
      <c r="H140" s="1957"/>
      <c r="I140" s="326"/>
      <c r="J140" s="326"/>
      <c r="K140" s="326"/>
      <c r="L140" s="326"/>
      <c r="M140" s="425"/>
      <c r="N140" s="326"/>
      <c r="O140" s="326"/>
      <c r="P140" s="326"/>
      <c r="Q140" s="326"/>
      <c r="R140" s="326"/>
      <c r="S140" s="326"/>
      <c r="T140" s="326"/>
      <c r="U140" s="326"/>
      <c r="V140" s="326"/>
      <c r="W140" s="326"/>
      <c r="X140" s="326"/>
      <c r="Y140" s="326"/>
      <c r="Z140" s="326"/>
      <c r="AA140" s="326"/>
      <c r="AB140" s="309"/>
      <c r="AC140" s="309"/>
      <c r="AD140" s="309"/>
      <c r="AE140" s="309"/>
      <c r="AF140" s="309"/>
      <c r="AG140" s="309"/>
      <c r="AH140" s="309"/>
      <c r="AI140" s="309"/>
      <c r="AJ140" s="309"/>
      <c r="AK140" s="309"/>
      <c r="AL140" s="609">
        <v>1</v>
      </c>
    </row>
    <row r="141" spans="1:38" ht="21" customHeight="1" x14ac:dyDescent="0.25">
      <c r="A141" s="326"/>
      <c r="B141" s="431" t="s">
        <v>5164</v>
      </c>
      <c r="C141" s="430" t="s">
        <v>5163</v>
      </c>
      <c r="D141" s="429" t="s">
        <v>5088</v>
      </c>
      <c r="E141" s="428"/>
      <c r="F141" s="428"/>
      <c r="G141" s="428"/>
      <c r="H141" s="427"/>
      <c r="I141" s="326"/>
      <c r="J141" s="326"/>
      <c r="K141" s="326"/>
      <c r="L141" s="326"/>
      <c r="M141" s="425"/>
      <c r="N141" s="326"/>
      <c r="O141" s="326"/>
      <c r="P141" s="326"/>
      <c r="Q141" s="326"/>
      <c r="R141" s="326"/>
      <c r="S141" s="326"/>
      <c r="T141" s="326"/>
      <c r="U141" s="326"/>
      <c r="V141" s="326"/>
      <c r="W141" s="326"/>
      <c r="X141" s="326"/>
      <c r="Y141" s="326"/>
      <c r="Z141" s="326"/>
      <c r="AA141" s="326"/>
      <c r="AB141" s="309"/>
      <c r="AC141" s="309"/>
      <c r="AD141" s="309"/>
      <c r="AE141" s="309"/>
      <c r="AF141" s="309"/>
      <c r="AG141" s="309"/>
      <c r="AH141" s="309"/>
      <c r="AI141" s="309"/>
      <c r="AJ141" s="309"/>
      <c r="AK141" s="309"/>
      <c r="AL141" s="609">
        <v>1</v>
      </c>
    </row>
    <row r="142" spans="1:38" ht="21" customHeight="1" thickBot="1" x14ac:dyDescent="0.3">
      <c r="A142" s="326"/>
      <c r="B142" s="312" t="s">
        <v>5020</v>
      </c>
      <c r="C142" s="312">
        <v>10</v>
      </c>
      <c r="D142" s="310">
        <v>10</v>
      </c>
      <c r="E142" s="311">
        <v>10</v>
      </c>
      <c r="F142" s="311">
        <v>10</v>
      </c>
      <c r="G142" s="311">
        <v>10</v>
      </c>
      <c r="H142" s="310">
        <v>10</v>
      </c>
      <c r="I142" s="326"/>
      <c r="J142" s="326"/>
      <c r="K142" s="326"/>
      <c r="L142" s="326"/>
      <c r="M142" s="425"/>
      <c r="N142" s="326"/>
      <c r="O142" s="326"/>
      <c r="P142" s="326"/>
      <c r="Q142" s="326"/>
      <c r="R142" s="326"/>
      <c r="S142" s="326"/>
      <c r="T142" s="326"/>
      <c r="U142" s="326"/>
      <c r="V142" s="326"/>
      <c r="W142" s="326"/>
      <c r="X142" s="326"/>
      <c r="Y142" s="326"/>
      <c r="Z142" s="326"/>
      <c r="AA142" s="326"/>
      <c r="AB142" s="309"/>
      <c r="AC142" s="309"/>
      <c r="AD142" s="309"/>
      <c r="AE142" s="309"/>
      <c r="AF142" s="309"/>
      <c r="AG142" s="309"/>
      <c r="AH142" s="309"/>
      <c r="AI142" s="309"/>
      <c r="AJ142" s="309"/>
      <c r="AK142" s="309"/>
      <c r="AL142" s="609">
        <v>1</v>
      </c>
    </row>
    <row r="143" spans="1:38" ht="16.5" thickBot="1" x14ac:dyDescent="0.3">
      <c r="A143" s="326"/>
      <c r="B143" s="326"/>
      <c r="C143" s="326"/>
      <c r="D143" s="326"/>
      <c r="E143" s="326"/>
      <c r="F143" s="326"/>
      <c r="G143" s="326"/>
      <c r="H143" s="326"/>
      <c r="I143" s="326"/>
      <c r="J143" s="326"/>
      <c r="K143" s="326"/>
      <c r="M143" s="426"/>
      <c r="N143" s="425"/>
      <c r="O143" s="425"/>
      <c r="P143" s="425"/>
      <c r="Q143" s="425"/>
      <c r="R143" s="425"/>
      <c r="S143" s="425"/>
      <c r="T143" s="425"/>
      <c r="U143" s="425"/>
      <c r="V143" s="425"/>
      <c r="W143" s="425"/>
      <c r="X143" s="425"/>
      <c r="Y143" s="425"/>
      <c r="Z143" s="425"/>
      <c r="AA143" s="326"/>
      <c r="AB143" s="309"/>
      <c r="AC143" s="309"/>
      <c r="AD143" s="309"/>
      <c r="AE143" s="309"/>
      <c r="AF143" s="309"/>
      <c r="AG143" s="309"/>
      <c r="AH143" s="309"/>
      <c r="AI143" s="309"/>
      <c r="AJ143" s="309"/>
      <c r="AK143" s="309"/>
      <c r="AL143" s="609">
        <v>1</v>
      </c>
    </row>
    <row r="144" spans="1:38" ht="23.25" x14ac:dyDescent="0.25">
      <c r="A144" s="326"/>
      <c r="B144" s="1958" t="s">
        <v>5162</v>
      </c>
      <c r="C144" s="1959"/>
      <c r="D144" s="1959"/>
      <c r="E144" s="1959"/>
      <c r="F144" s="1959"/>
      <c r="G144" s="1959"/>
      <c r="H144" s="1959"/>
      <c r="I144" s="1960"/>
      <c r="J144" s="371" t="s">
        <v>5071</v>
      </c>
      <c r="K144" s="370"/>
      <c r="L144" s="370"/>
      <c r="M144" s="369"/>
      <c r="N144" s="326"/>
      <c r="O144" s="326"/>
      <c r="P144" s="326"/>
      <c r="Q144" s="326"/>
      <c r="R144" s="326"/>
      <c r="S144" s="326"/>
      <c r="T144" s="326"/>
      <c r="U144" s="326"/>
      <c r="V144" s="326"/>
      <c r="W144" s="326"/>
      <c r="X144" s="326"/>
      <c r="Y144" s="326"/>
      <c r="Z144" s="326"/>
      <c r="AA144" s="326"/>
      <c r="AB144" s="309"/>
      <c r="AC144" s="309"/>
      <c r="AD144" s="309"/>
      <c r="AE144" s="309"/>
      <c r="AF144" s="309"/>
      <c r="AG144" s="309"/>
      <c r="AH144" s="309"/>
      <c r="AI144" s="309"/>
      <c r="AJ144" s="309"/>
      <c r="AK144" s="309"/>
      <c r="AL144" s="609">
        <v>1</v>
      </c>
    </row>
    <row r="145" spans="1:38" ht="21" x14ac:dyDescent="0.25">
      <c r="A145" s="326"/>
      <c r="B145" s="424" t="s">
        <v>5161</v>
      </c>
      <c r="C145" s="423" t="s">
        <v>55</v>
      </c>
      <c r="D145" s="423" t="s">
        <v>5130</v>
      </c>
      <c r="E145" s="423" t="s">
        <v>53</v>
      </c>
      <c r="F145" s="423" t="s">
        <v>5160</v>
      </c>
      <c r="G145" s="423" t="s">
        <v>56</v>
      </c>
      <c r="H145" s="422" t="s">
        <v>5159</v>
      </c>
      <c r="I145" s="421" t="s">
        <v>5158</v>
      </c>
      <c r="J145" s="368" t="s">
        <v>5125</v>
      </c>
      <c r="K145" s="363"/>
      <c r="L145" s="363"/>
      <c r="M145" s="362"/>
      <c r="N145" s="326"/>
      <c r="O145" s="326"/>
      <c r="P145" s="326"/>
      <c r="Q145" s="326"/>
      <c r="R145" s="326"/>
      <c r="S145" s="326"/>
      <c r="T145" s="326"/>
      <c r="U145" s="326"/>
      <c r="V145" s="326"/>
      <c r="W145" s="326"/>
      <c r="X145" s="326"/>
      <c r="Y145" s="326"/>
      <c r="Z145" s="326"/>
      <c r="AA145" s="326"/>
      <c r="AB145" s="309"/>
      <c r="AC145" s="309"/>
      <c r="AD145" s="309"/>
      <c r="AE145" s="309"/>
      <c r="AF145" s="309"/>
      <c r="AG145" s="309"/>
      <c r="AH145" s="309"/>
      <c r="AI145" s="309"/>
      <c r="AJ145" s="309"/>
      <c r="AK145" s="309"/>
      <c r="AL145" s="609">
        <v>1</v>
      </c>
    </row>
    <row r="146" spans="1:38" ht="21" customHeight="1" x14ac:dyDescent="0.25">
      <c r="A146" s="326"/>
      <c r="B146" s="420" t="s">
        <v>5157</v>
      </c>
      <c r="C146" s="407"/>
      <c r="D146" s="407"/>
      <c r="E146" s="407"/>
      <c r="F146" s="407"/>
      <c r="G146" s="407"/>
      <c r="H146" s="406" t="s">
        <v>5156</v>
      </c>
      <c r="I146" s="405">
        <f t="shared" ref="I146:I161" si="7">SUM(C146:G146)</f>
        <v>0</v>
      </c>
      <c r="J146" s="367" t="s">
        <v>5123</v>
      </c>
      <c r="K146" s="363"/>
      <c r="L146" s="363"/>
      <c r="M146" s="362"/>
      <c r="N146" s="326"/>
      <c r="O146" s="326"/>
      <c r="P146" s="326"/>
      <c r="Q146" s="326"/>
      <c r="R146" s="326"/>
      <c r="S146" s="326"/>
      <c r="T146" s="326"/>
      <c r="U146" s="326"/>
      <c r="V146" s="326"/>
      <c r="W146" s="326"/>
      <c r="X146" s="326"/>
      <c r="Y146" s="326"/>
      <c r="Z146" s="326"/>
      <c r="AA146" s="326"/>
      <c r="AB146" s="309"/>
      <c r="AC146" s="309"/>
      <c r="AD146" s="309"/>
      <c r="AE146" s="309"/>
      <c r="AF146" s="309"/>
      <c r="AG146" s="309"/>
      <c r="AH146" s="309"/>
      <c r="AI146" s="309"/>
      <c r="AJ146" s="309"/>
      <c r="AK146" s="309"/>
      <c r="AL146" s="609">
        <v>1</v>
      </c>
    </row>
    <row r="147" spans="1:38" ht="21" customHeight="1" x14ac:dyDescent="0.25">
      <c r="A147" s="326"/>
      <c r="B147" s="419" t="s">
        <v>5155</v>
      </c>
      <c r="C147" s="407"/>
      <c r="D147" s="407"/>
      <c r="E147" s="407"/>
      <c r="F147" s="407"/>
      <c r="G147" s="407"/>
      <c r="H147" s="406" t="s">
        <v>5136</v>
      </c>
      <c r="I147" s="405">
        <f t="shared" si="7"/>
        <v>0</v>
      </c>
      <c r="J147" s="397" t="s">
        <v>5121</v>
      </c>
      <c r="K147" s="363"/>
      <c r="L147" s="363"/>
      <c r="M147" s="362"/>
      <c r="N147" s="326"/>
      <c r="O147" s="326"/>
      <c r="P147" s="326"/>
      <c r="Q147" s="326"/>
      <c r="R147" s="326"/>
      <c r="S147" s="326"/>
      <c r="T147" s="326"/>
      <c r="U147" s="326"/>
      <c r="V147" s="326"/>
      <c r="W147" s="326"/>
      <c r="X147" s="326"/>
      <c r="Y147" s="326"/>
      <c r="Z147" s="326"/>
      <c r="AA147" s="326"/>
      <c r="AB147" s="309"/>
      <c r="AC147" s="309"/>
      <c r="AD147" s="309"/>
      <c r="AE147" s="309"/>
      <c r="AF147" s="309"/>
      <c r="AG147" s="309"/>
      <c r="AH147" s="309"/>
      <c r="AI147" s="309"/>
      <c r="AJ147" s="309"/>
      <c r="AK147" s="309"/>
      <c r="AL147" s="609">
        <v>1</v>
      </c>
    </row>
    <row r="148" spans="1:38" ht="21" customHeight="1" x14ac:dyDescent="0.25">
      <c r="A148" s="326"/>
      <c r="B148" s="418" t="s">
        <v>5154</v>
      </c>
      <c r="C148" s="407"/>
      <c r="D148" s="407"/>
      <c r="E148" s="407"/>
      <c r="F148" s="407"/>
      <c r="G148" s="407"/>
      <c r="H148" s="406" t="s">
        <v>5136</v>
      </c>
      <c r="I148" s="405">
        <f t="shared" si="7"/>
        <v>0</v>
      </c>
      <c r="J148" s="364" t="s">
        <v>5039</v>
      </c>
      <c r="K148" s="363"/>
      <c r="L148" s="363"/>
      <c r="M148" s="362"/>
      <c r="N148" s="326"/>
      <c r="O148" s="326"/>
      <c r="P148" s="326"/>
      <c r="Q148" s="326"/>
      <c r="R148" s="326"/>
      <c r="S148" s="326"/>
      <c r="T148" s="326"/>
      <c r="U148" s="326"/>
      <c r="V148" s="326"/>
      <c r="W148" s="326"/>
      <c r="X148" s="326"/>
      <c r="Y148" s="326"/>
      <c r="Z148" s="326"/>
      <c r="AA148" s="326"/>
      <c r="AB148" s="309"/>
      <c r="AC148" s="309"/>
      <c r="AD148" s="309"/>
      <c r="AE148" s="309"/>
      <c r="AF148" s="309"/>
      <c r="AG148" s="309"/>
      <c r="AH148" s="309"/>
      <c r="AI148" s="309"/>
      <c r="AJ148" s="309"/>
      <c r="AK148" s="309"/>
      <c r="AL148" s="609">
        <v>1</v>
      </c>
    </row>
    <row r="149" spans="1:38" ht="21" customHeight="1" x14ac:dyDescent="0.25">
      <c r="A149" s="326"/>
      <c r="B149" s="417" t="s">
        <v>5153</v>
      </c>
      <c r="C149" s="407"/>
      <c r="D149" s="407"/>
      <c r="E149" s="407"/>
      <c r="F149" s="407"/>
      <c r="G149" s="407"/>
      <c r="H149" s="406" t="s">
        <v>5152</v>
      </c>
      <c r="I149" s="405">
        <f t="shared" si="7"/>
        <v>0</v>
      </c>
      <c r="J149" s="361" t="s">
        <v>5038</v>
      </c>
      <c r="K149" s="360"/>
      <c r="L149" s="360"/>
      <c r="M149" s="359"/>
      <c r="N149" s="326"/>
      <c r="O149" s="326"/>
      <c r="P149" s="326"/>
      <c r="Q149" s="326"/>
      <c r="R149" s="326"/>
      <c r="S149" s="326"/>
      <c r="T149" s="326"/>
      <c r="U149" s="326"/>
      <c r="V149" s="326"/>
      <c r="W149" s="326"/>
      <c r="X149" s="326"/>
      <c r="Y149" s="326"/>
      <c r="Z149" s="326"/>
      <c r="AA149" s="326"/>
      <c r="AB149" s="309"/>
      <c r="AC149" s="309"/>
      <c r="AD149" s="309"/>
      <c r="AE149" s="309"/>
      <c r="AF149" s="309"/>
      <c r="AG149" s="309"/>
      <c r="AH149" s="309"/>
      <c r="AI149" s="309"/>
      <c r="AJ149" s="309"/>
      <c r="AK149" s="309"/>
      <c r="AL149" s="609">
        <v>1</v>
      </c>
    </row>
    <row r="150" spans="1:38" ht="21" customHeight="1" x14ac:dyDescent="0.25">
      <c r="A150" s="326"/>
      <c r="B150" s="608" t="s">
        <v>5151</v>
      </c>
      <c r="C150" s="407"/>
      <c r="D150" s="407"/>
      <c r="E150" s="407"/>
      <c r="F150" s="407"/>
      <c r="G150" s="407"/>
      <c r="H150" s="406" t="s">
        <v>5142</v>
      </c>
      <c r="I150" s="405">
        <f t="shared" si="7"/>
        <v>0</v>
      </c>
      <c r="J150" s="326"/>
      <c r="K150" s="326"/>
      <c r="L150" s="326"/>
      <c r="M150" s="326"/>
      <c r="N150" s="326"/>
      <c r="O150" s="326"/>
      <c r="P150" s="326"/>
      <c r="Q150" s="326"/>
      <c r="R150" s="326"/>
      <c r="S150" s="326"/>
      <c r="T150" s="326"/>
      <c r="U150" s="326"/>
      <c r="V150" s="326"/>
      <c r="W150" s="326"/>
      <c r="X150" s="326"/>
      <c r="Y150" s="326"/>
      <c r="Z150" s="326"/>
      <c r="AA150" s="326"/>
      <c r="AB150" s="309"/>
      <c r="AC150" s="309"/>
      <c r="AD150" s="309"/>
      <c r="AE150" s="309"/>
      <c r="AF150" s="309"/>
      <c r="AG150" s="309"/>
      <c r="AH150" s="309"/>
      <c r="AI150" s="309"/>
      <c r="AJ150" s="309"/>
      <c r="AK150" s="309"/>
      <c r="AL150" s="609">
        <v>1</v>
      </c>
    </row>
    <row r="151" spans="1:38" ht="21" customHeight="1" x14ac:dyDescent="0.25">
      <c r="A151" s="326"/>
      <c r="B151" s="416" t="s">
        <v>5150</v>
      </c>
      <c r="C151" s="407"/>
      <c r="D151" s="407"/>
      <c r="E151" s="407"/>
      <c r="F151" s="407"/>
      <c r="G151" s="407"/>
      <c r="H151" s="406" t="s">
        <v>5142</v>
      </c>
      <c r="I151" s="405">
        <f t="shared" si="7"/>
        <v>0</v>
      </c>
      <c r="J151" s="326"/>
      <c r="K151" s="326"/>
      <c r="L151" s="326"/>
      <c r="M151" s="326"/>
      <c r="N151" s="326"/>
      <c r="O151" s="326"/>
      <c r="P151" s="326"/>
      <c r="Q151" s="326"/>
      <c r="R151" s="326"/>
      <c r="S151" s="326"/>
      <c r="T151" s="326"/>
      <c r="U151" s="326"/>
      <c r="V151" s="326"/>
      <c r="W151" s="326"/>
      <c r="X151" s="326"/>
      <c r="Y151" s="326"/>
      <c r="Z151" s="326"/>
      <c r="AA151" s="326"/>
      <c r="AB151" s="309"/>
      <c r="AC151" s="309"/>
      <c r="AD151" s="309"/>
      <c r="AE151" s="309"/>
      <c r="AF151" s="309"/>
      <c r="AG151" s="309"/>
      <c r="AH151" s="309"/>
      <c r="AI151" s="309"/>
      <c r="AJ151" s="309"/>
      <c r="AK151" s="309"/>
      <c r="AL151" s="609">
        <v>1</v>
      </c>
    </row>
    <row r="152" spans="1:38" ht="21" customHeight="1" x14ac:dyDescent="0.25">
      <c r="A152" s="326"/>
      <c r="B152" s="595" t="s">
        <v>5148</v>
      </c>
      <c r="C152" s="407"/>
      <c r="D152" s="407"/>
      <c r="E152" s="407"/>
      <c r="F152" s="407"/>
      <c r="G152" s="407"/>
      <c r="H152" s="406" t="s">
        <v>5138</v>
      </c>
      <c r="I152" s="405">
        <f t="shared" si="7"/>
        <v>0</v>
      </c>
      <c r="J152" s="597" t="s">
        <v>5149</v>
      </c>
      <c r="K152" s="326"/>
      <c r="L152" s="326"/>
      <c r="M152" s="326"/>
      <c r="N152" s="326"/>
      <c r="O152" s="326"/>
      <c r="P152" s="326"/>
      <c r="Q152" s="326"/>
      <c r="R152" s="326"/>
      <c r="S152" s="326"/>
      <c r="T152" s="326"/>
      <c r="U152" s="326"/>
      <c r="V152" s="326"/>
      <c r="W152" s="326"/>
      <c r="X152" s="326"/>
      <c r="Y152" s="326"/>
      <c r="Z152" s="326"/>
      <c r="AA152" s="326"/>
      <c r="AB152" s="309"/>
      <c r="AC152" s="309"/>
      <c r="AD152" s="309"/>
      <c r="AE152" s="309"/>
      <c r="AF152" s="309"/>
      <c r="AG152" s="309"/>
      <c r="AH152" s="309"/>
      <c r="AI152" s="309"/>
      <c r="AJ152" s="309"/>
      <c r="AK152" s="309"/>
      <c r="AL152" s="609">
        <v>1</v>
      </c>
    </row>
    <row r="153" spans="1:38" ht="21" customHeight="1" x14ac:dyDescent="0.25">
      <c r="A153" s="326"/>
      <c r="B153" s="596" t="s">
        <v>5148</v>
      </c>
      <c r="C153" s="407"/>
      <c r="D153" s="407"/>
      <c r="E153" s="407"/>
      <c r="F153" s="407"/>
      <c r="G153" s="407"/>
      <c r="H153" s="406" t="s">
        <v>5136</v>
      </c>
      <c r="I153" s="405">
        <f t="shared" si="7"/>
        <v>0</v>
      </c>
      <c r="J153" s="597" t="s">
        <v>5211</v>
      </c>
      <c r="K153" s="326"/>
      <c r="L153" s="326"/>
      <c r="M153" s="326"/>
      <c r="N153" s="326"/>
      <c r="O153" s="326"/>
      <c r="P153" s="326"/>
      <c r="Q153" s="326"/>
      <c r="R153" s="326"/>
      <c r="S153" s="326"/>
      <c r="T153" s="326"/>
      <c r="U153" s="326"/>
      <c r="V153" s="326"/>
      <c r="W153" s="326"/>
      <c r="X153" s="326"/>
      <c r="Y153" s="326"/>
      <c r="Z153" s="326"/>
      <c r="AA153" s="326"/>
      <c r="AB153" s="309"/>
      <c r="AC153" s="309"/>
      <c r="AD153" s="309"/>
      <c r="AE153" s="309"/>
      <c r="AF153" s="309"/>
      <c r="AG153" s="309"/>
      <c r="AH153" s="309"/>
      <c r="AI153" s="309"/>
      <c r="AJ153" s="309"/>
      <c r="AK153" s="309"/>
      <c r="AL153" s="609">
        <v>1</v>
      </c>
    </row>
    <row r="154" spans="1:38" ht="21" customHeight="1" x14ac:dyDescent="0.25">
      <c r="A154" s="326"/>
      <c r="B154" s="415" t="s">
        <v>5147</v>
      </c>
      <c r="C154" s="407"/>
      <c r="D154" s="407"/>
      <c r="E154" s="407"/>
      <c r="F154" s="407"/>
      <c r="G154" s="407"/>
      <c r="H154" s="406" t="s">
        <v>5145</v>
      </c>
      <c r="I154" s="405">
        <f t="shared" si="7"/>
        <v>0</v>
      </c>
      <c r="J154" s="326"/>
      <c r="K154" s="326"/>
      <c r="L154" s="326"/>
      <c r="M154" s="326"/>
      <c r="N154" s="326"/>
      <c r="O154" s="326"/>
      <c r="P154" s="326"/>
      <c r="Q154" s="326"/>
      <c r="R154" s="326"/>
      <c r="S154" s="326"/>
      <c r="T154" s="326"/>
      <c r="U154" s="326"/>
      <c r="V154" s="326"/>
      <c r="W154" s="326"/>
      <c r="X154" s="326"/>
      <c r="Y154" s="326"/>
      <c r="Z154" s="326"/>
      <c r="AA154" s="326"/>
      <c r="AB154" s="309"/>
      <c r="AC154" s="309"/>
      <c r="AD154" s="309"/>
      <c r="AE154" s="309"/>
      <c r="AF154" s="309"/>
      <c r="AG154" s="309"/>
      <c r="AH154" s="309"/>
      <c r="AI154" s="309"/>
      <c r="AJ154" s="309"/>
      <c r="AK154" s="309"/>
      <c r="AL154" s="609">
        <v>1</v>
      </c>
    </row>
    <row r="155" spans="1:38" ht="21" customHeight="1" x14ac:dyDescent="0.25">
      <c r="A155" s="326"/>
      <c r="B155" s="414" t="s">
        <v>5146</v>
      </c>
      <c r="C155" s="407"/>
      <c r="D155" s="407"/>
      <c r="E155" s="407"/>
      <c r="F155" s="407"/>
      <c r="G155" s="407"/>
      <c r="H155" s="406" t="s">
        <v>5145</v>
      </c>
      <c r="I155" s="405">
        <f t="shared" si="7"/>
        <v>0</v>
      </c>
      <c r="J155" s="326"/>
      <c r="K155" s="326"/>
      <c r="L155" s="326"/>
      <c r="M155" s="326"/>
      <c r="N155" s="326"/>
      <c r="O155" s="326"/>
      <c r="P155" s="326"/>
      <c r="Q155" s="326"/>
      <c r="R155" s="326"/>
      <c r="S155" s="326"/>
      <c r="T155" s="326"/>
      <c r="U155" s="326"/>
      <c r="V155" s="326"/>
      <c r="W155" s="326"/>
      <c r="X155" s="326"/>
      <c r="Y155" s="326"/>
      <c r="Z155" s="326"/>
      <c r="AA155" s="326"/>
      <c r="AB155" s="309"/>
      <c r="AC155" s="309"/>
      <c r="AD155" s="309"/>
      <c r="AE155" s="309"/>
      <c r="AF155" s="309"/>
      <c r="AG155" s="309"/>
      <c r="AH155" s="309"/>
      <c r="AI155" s="309"/>
      <c r="AJ155" s="309"/>
      <c r="AK155" s="309"/>
      <c r="AL155" s="609">
        <v>1</v>
      </c>
    </row>
    <row r="156" spans="1:38" ht="21" customHeight="1" x14ac:dyDescent="0.25">
      <c r="A156" s="326"/>
      <c r="B156" s="413" t="s">
        <v>5144</v>
      </c>
      <c r="C156" s="407"/>
      <c r="D156" s="407"/>
      <c r="E156" s="407"/>
      <c r="F156" s="407"/>
      <c r="G156" s="407"/>
      <c r="H156" s="406" t="s">
        <v>5134</v>
      </c>
      <c r="I156" s="405">
        <f t="shared" si="7"/>
        <v>0</v>
      </c>
      <c r="J156" s="326"/>
      <c r="K156" s="326"/>
      <c r="L156" s="326"/>
      <c r="M156" s="326"/>
      <c r="N156" s="326"/>
      <c r="O156" s="326"/>
      <c r="P156" s="326"/>
      <c r="Q156" s="326"/>
      <c r="R156" s="326"/>
      <c r="S156" s="326"/>
      <c r="T156" s="326"/>
      <c r="U156" s="326"/>
      <c r="V156" s="326"/>
      <c r="W156" s="326"/>
      <c r="X156" s="326"/>
      <c r="Y156" s="326"/>
      <c r="Z156" s="326"/>
      <c r="AA156" s="326"/>
      <c r="AB156" s="309"/>
      <c r="AC156" s="309"/>
      <c r="AD156" s="309"/>
      <c r="AE156" s="309"/>
      <c r="AF156" s="309"/>
      <c r="AG156" s="309"/>
      <c r="AH156" s="309"/>
      <c r="AI156" s="309"/>
      <c r="AJ156" s="309"/>
      <c r="AK156" s="309"/>
      <c r="AL156" s="609">
        <v>1</v>
      </c>
    </row>
    <row r="157" spans="1:38" ht="21" customHeight="1" x14ac:dyDescent="0.25">
      <c r="A157" s="326"/>
      <c r="B157" s="412" t="s">
        <v>5143</v>
      </c>
      <c r="C157" s="407"/>
      <c r="D157" s="407"/>
      <c r="E157" s="407"/>
      <c r="F157" s="407"/>
      <c r="G157" s="407"/>
      <c r="H157" s="406" t="s">
        <v>5142</v>
      </c>
      <c r="I157" s="405">
        <f t="shared" si="7"/>
        <v>0</v>
      </c>
      <c r="J157" s="326"/>
      <c r="K157" s="326"/>
      <c r="L157" s="326"/>
      <c r="M157" s="326"/>
      <c r="N157" s="326"/>
      <c r="O157" s="326"/>
      <c r="P157" s="326"/>
      <c r="Q157" s="326"/>
      <c r="R157" s="326"/>
      <c r="S157" s="326"/>
      <c r="T157" s="326"/>
      <c r="U157" s="326"/>
      <c r="V157" s="326"/>
      <c r="W157" s="326"/>
      <c r="X157" s="326"/>
      <c r="Y157" s="326"/>
      <c r="Z157" s="326"/>
      <c r="AA157" s="326"/>
      <c r="AB157" s="309"/>
      <c r="AC157" s="309"/>
      <c r="AD157" s="309"/>
      <c r="AE157" s="309"/>
      <c r="AF157" s="309"/>
      <c r="AG157" s="309"/>
      <c r="AH157" s="309"/>
      <c r="AI157" s="309"/>
      <c r="AJ157" s="309"/>
      <c r="AK157" s="309"/>
      <c r="AL157" s="609">
        <v>1</v>
      </c>
    </row>
    <row r="158" spans="1:38" ht="21" customHeight="1" x14ac:dyDescent="0.25">
      <c r="A158" s="326"/>
      <c r="B158" s="411" t="s">
        <v>5141</v>
      </c>
      <c r="C158" s="407"/>
      <c r="D158" s="407"/>
      <c r="E158" s="407"/>
      <c r="F158" s="407"/>
      <c r="G158" s="407"/>
      <c r="H158" s="406" t="s">
        <v>5140</v>
      </c>
      <c r="I158" s="405">
        <f t="shared" si="7"/>
        <v>0</v>
      </c>
      <c r="J158" s="326"/>
      <c r="K158" s="326"/>
      <c r="L158" s="326"/>
      <c r="M158" s="326"/>
      <c r="N158" s="326"/>
      <c r="O158" s="326"/>
      <c r="P158" s="326"/>
      <c r="Q158" s="326"/>
      <c r="R158" s="326"/>
      <c r="S158" s="326"/>
      <c r="T158" s="326"/>
      <c r="U158" s="326"/>
      <c r="V158" s="326"/>
      <c r="W158" s="326"/>
      <c r="X158" s="326"/>
      <c r="Y158" s="326"/>
      <c r="Z158" s="326"/>
      <c r="AA158" s="326"/>
      <c r="AB158" s="309"/>
      <c r="AC158" s="309"/>
      <c r="AD158" s="309"/>
      <c r="AE158" s="309"/>
      <c r="AF158" s="309"/>
      <c r="AG158" s="309"/>
      <c r="AH158" s="309"/>
      <c r="AI158" s="309"/>
      <c r="AJ158" s="309"/>
      <c r="AK158" s="309"/>
      <c r="AL158" s="609">
        <v>1</v>
      </c>
    </row>
    <row r="159" spans="1:38" ht="21" customHeight="1" x14ac:dyDescent="0.25">
      <c r="A159" s="326"/>
      <c r="B159" s="410" t="s">
        <v>5139</v>
      </c>
      <c r="C159" s="407"/>
      <c r="D159" s="407"/>
      <c r="E159" s="407"/>
      <c r="F159" s="407"/>
      <c r="G159" s="407"/>
      <c r="H159" s="406" t="s">
        <v>5138</v>
      </c>
      <c r="I159" s="405">
        <f t="shared" si="7"/>
        <v>0</v>
      </c>
      <c r="J159" s="326"/>
      <c r="K159" s="326"/>
      <c r="L159" s="326"/>
      <c r="M159" s="326"/>
      <c r="N159" s="326"/>
      <c r="O159" s="326"/>
      <c r="P159" s="326"/>
      <c r="Q159" s="326"/>
      <c r="R159" s="326"/>
      <c r="S159" s="326"/>
      <c r="T159" s="326"/>
      <c r="U159" s="326"/>
      <c r="V159" s="326"/>
      <c r="W159" s="326"/>
      <c r="X159" s="326"/>
      <c r="Y159" s="326"/>
      <c r="Z159" s="326"/>
      <c r="AA159" s="326"/>
      <c r="AB159" s="309"/>
      <c r="AC159" s="309"/>
      <c r="AD159" s="309"/>
      <c r="AE159" s="309"/>
      <c r="AF159" s="309"/>
      <c r="AG159" s="309"/>
      <c r="AH159" s="309"/>
      <c r="AI159" s="309"/>
      <c r="AJ159" s="309"/>
      <c r="AK159" s="309"/>
      <c r="AL159" s="609">
        <v>1</v>
      </c>
    </row>
    <row r="160" spans="1:38" ht="21" customHeight="1" x14ac:dyDescent="0.25">
      <c r="A160" s="326"/>
      <c r="B160" s="409" t="s">
        <v>5137</v>
      </c>
      <c r="C160" s="407"/>
      <c r="D160" s="407"/>
      <c r="E160" s="407"/>
      <c r="F160" s="407"/>
      <c r="G160" s="407"/>
      <c r="H160" s="406" t="s">
        <v>5136</v>
      </c>
      <c r="I160" s="405">
        <f t="shared" si="7"/>
        <v>0</v>
      </c>
      <c r="J160" s="326"/>
      <c r="K160" s="326"/>
      <c r="L160" s="326"/>
      <c r="M160" s="326"/>
      <c r="N160" s="326"/>
      <c r="O160" s="326"/>
      <c r="P160" s="326"/>
      <c r="Q160" s="326"/>
      <c r="R160" s="326"/>
      <c r="S160" s="326"/>
      <c r="T160" s="326"/>
      <c r="U160" s="326"/>
      <c r="V160" s="326"/>
      <c r="W160" s="326"/>
      <c r="X160" s="326"/>
      <c r="Y160" s="326"/>
      <c r="Z160" s="326"/>
      <c r="AA160" s="326"/>
      <c r="AB160" s="309"/>
      <c r="AC160" s="309"/>
      <c r="AD160" s="309"/>
      <c r="AE160" s="309"/>
      <c r="AF160" s="309"/>
      <c r="AG160" s="309"/>
      <c r="AH160" s="309"/>
      <c r="AI160" s="309"/>
      <c r="AJ160" s="309"/>
      <c r="AK160" s="309"/>
      <c r="AL160" s="609">
        <v>1</v>
      </c>
    </row>
    <row r="161" spans="1:38" ht="21" customHeight="1" x14ac:dyDescent="0.25">
      <c r="A161" s="326"/>
      <c r="B161" s="408" t="s">
        <v>5135</v>
      </c>
      <c r="C161" s="407"/>
      <c r="D161" s="407"/>
      <c r="E161" s="407"/>
      <c r="F161" s="407"/>
      <c r="G161" s="407"/>
      <c r="H161" s="406" t="s">
        <v>5134</v>
      </c>
      <c r="I161" s="405">
        <f t="shared" si="7"/>
        <v>0</v>
      </c>
      <c r="J161" s="326"/>
      <c r="K161" s="326"/>
      <c r="L161" s="326"/>
      <c r="M161" s="326"/>
      <c r="N161" s="326"/>
      <c r="O161" s="326"/>
      <c r="P161" s="326"/>
      <c r="Q161" s="326"/>
      <c r="R161" s="326"/>
      <c r="S161" s="326"/>
      <c r="T161" s="326"/>
      <c r="U161" s="326"/>
      <c r="V161" s="326"/>
      <c r="W161" s="326"/>
      <c r="X161" s="326"/>
      <c r="Y161" s="326"/>
      <c r="Z161" s="326"/>
      <c r="AA161" s="326"/>
      <c r="AB161" s="309"/>
      <c r="AC161" s="309"/>
      <c r="AD161" s="309"/>
      <c r="AE161" s="309"/>
      <c r="AF161" s="309"/>
      <c r="AG161" s="309"/>
      <c r="AH161" s="309"/>
      <c r="AI161" s="309"/>
      <c r="AJ161" s="309"/>
      <c r="AK161" s="309"/>
      <c r="AL161" s="609">
        <v>1</v>
      </c>
    </row>
    <row r="162" spans="1:38" ht="21" customHeight="1" x14ac:dyDescent="0.25">
      <c r="A162" s="326"/>
      <c r="B162" s="404" t="s">
        <v>5133</v>
      </c>
      <c r="C162" s="1961" t="s">
        <v>5132</v>
      </c>
      <c r="D162" s="1961"/>
      <c r="E162" s="1961"/>
      <c r="F162" s="1961"/>
      <c r="G162" s="1961"/>
      <c r="H162" s="1961"/>
      <c r="I162" s="1962"/>
      <c r="J162" s="326"/>
      <c r="K162" s="326"/>
      <c r="L162" s="326"/>
      <c r="M162" s="326"/>
      <c r="N162" s="326"/>
      <c r="O162" s="326"/>
      <c r="P162" s="326"/>
      <c r="Q162" s="326"/>
      <c r="R162" s="326"/>
      <c r="S162" s="326"/>
      <c r="T162" s="326"/>
      <c r="U162" s="326"/>
      <c r="V162" s="326"/>
      <c r="W162" s="326"/>
      <c r="X162" s="326"/>
      <c r="Y162" s="326"/>
      <c r="Z162" s="326"/>
      <c r="AA162" s="326"/>
      <c r="AB162" s="309"/>
      <c r="AC162" s="309"/>
      <c r="AD162" s="309"/>
      <c r="AE162" s="309"/>
      <c r="AF162" s="309"/>
      <c r="AG162" s="309"/>
      <c r="AH162" s="309"/>
      <c r="AI162" s="309"/>
      <c r="AJ162" s="309"/>
      <c r="AK162" s="309"/>
      <c r="AL162" s="609">
        <v>1</v>
      </c>
    </row>
    <row r="163" spans="1:38" ht="21" customHeight="1" thickBot="1" x14ac:dyDescent="0.3">
      <c r="A163" s="326"/>
      <c r="B163" s="403"/>
      <c r="C163" s="373"/>
      <c r="D163" s="373"/>
      <c r="E163" s="373"/>
      <c r="F163" s="373"/>
      <c r="G163" s="373"/>
      <c r="H163" s="373"/>
      <c r="I163" s="372"/>
      <c r="J163" s="326"/>
      <c r="K163" s="326"/>
      <c r="L163" s="326"/>
      <c r="M163" s="326"/>
      <c r="N163" s="326"/>
      <c r="O163" s="326"/>
      <c r="P163" s="326"/>
      <c r="Q163" s="326"/>
      <c r="R163" s="326"/>
      <c r="S163" s="326"/>
      <c r="T163" s="326"/>
      <c r="U163" s="326"/>
      <c r="V163" s="326"/>
      <c r="W163" s="326"/>
      <c r="X163" s="326"/>
      <c r="Y163" s="326"/>
      <c r="Z163" s="326"/>
      <c r="AA163" s="326"/>
      <c r="AB163" s="309"/>
      <c r="AC163" s="309"/>
      <c r="AD163" s="309"/>
      <c r="AE163" s="309"/>
      <c r="AF163" s="309"/>
      <c r="AG163" s="309"/>
      <c r="AH163" s="309"/>
      <c r="AI163" s="309"/>
      <c r="AJ163" s="309"/>
      <c r="AK163" s="309"/>
      <c r="AL163" s="609">
        <v>1</v>
      </c>
    </row>
    <row r="164" spans="1:38" x14ac:dyDescent="0.25">
      <c r="A164" s="326"/>
      <c r="J164" s="326">
        <v>0</v>
      </c>
      <c r="K164" s="326">
        <v>0</v>
      </c>
      <c r="L164" s="326">
        <v>0</v>
      </c>
      <c r="M164" s="326">
        <v>0</v>
      </c>
      <c r="N164" s="326"/>
      <c r="O164" s="326"/>
      <c r="P164" s="326"/>
      <c r="Q164" s="326"/>
      <c r="R164" s="326"/>
      <c r="S164" s="326"/>
      <c r="T164" s="326"/>
      <c r="U164" s="326"/>
      <c r="V164" s="326"/>
      <c r="W164" s="326"/>
      <c r="X164" s="326"/>
      <c r="Y164" s="326"/>
      <c r="Z164" s="326"/>
      <c r="AA164" s="326"/>
      <c r="AB164" s="309"/>
      <c r="AC164" s="309"/>
      <c r="AD164" s="309"/>
      <c r="AE164" s="309"/>
      <c r="AF164" s="309"/>
      <c r="AG164" s="309"/>
      <c r="AH164" s="309"/>
      <c r="AI164" s="309"/>
      <c r="AJ164" s="309"/>
      <c r="AK164" s="309"/>
      <c r="AL164" s="609">
        <v>1</v>
      </c>
    </row>
    <row r="165" spans="1:38" ht="16.5" thickBot="1" x14ac:dyDescent="0.3">
      <c r="A165" s="326"/>
      <c r="J165" s="326">
        <v>0</v>
      </c>
      <c r="K165" s="326">
        <v>0</v>
      </c>
      <c r="L165" s="326">
        <v>0</v>
      </c>
      <c r="M165" s="326">
        <v>0</v>
      </c>
      <c r="N165" s="326"/>
      <c r="O165" s="326"/>
      <c r="P165" s="326"/>
      <c r="Q165" s="326"/>
      <c r="R165" s="326"/>
      <c r="S165" s="326"/>
      <c r="T165" s="326"/>
      <c r="U165" s="326"/>
      <c r="V165" s="326"/>
      <c r="W165" s="326"/>
      <c r="X165" s="326"/>
      <c r="Y165" s="326"/>
      <c r="Z165" s="326"/>
      <c r="AA165" s="326"/>
      <c r="AB165" s="309"/>
      <c r="AC165" s="309"/>
      <c r="AD165" s="309"/>
      <c r="AE165" s="309"/>
      <c r="AF165" s="309"/>
      <c r="AG165" s="309"/>
      <c r="AH165" s="309"/>
      <c r="AI165" s="309"/>
      <c r="AJ165" s="309"/>
      <c r="AK165" s="309"/>
      <c r="AL165" s="609">
        <v>1</v>
      </c>
    </row>
    <row r="166" spans="1:38" ht="21" customHeight="1" x14ac:dyDescent="0.25">
      <c r="A166" s="326"/>
      <c r="B166" s="1909" t="s">
        <v>5131</v>
      </c>
      <c r="C166" s="1910" t="s">
        <v>55</v>
      </c>
      <c r="D166" s="1910" t="s">
        <v>5130</v>
      </c>
      <c r="E166" s="1910" t="s">
        <v>53</v>
      </c>
      <c r="F166" s="1910" t="s">
        <v>5129</v>
      </c>
      <c r="G166" s="1910" t="s">
        <v>56</v>
      </c>
      <c r="H166" s="1910" t="s">
        <v>5128</v>
      </c>
      <c r="I166" s="1910" t="s">
        <v>5127</v>
      </c>
      <c r="J166" s="1910" t="s">
        <v>5126</v>
      </c>
      <c r="K166" s="1911"/>
      <c r="L166" s="1912"/>
      <c r="M166" s="371" t="s">
        <v>5071</v>
      </c>
      <c r="N166" s="370"/>
      <c r="O166" s="370"/>
      <c r="P166" s="369"/>
      <c r="Q166" s="326"/>
      <c r="R166" s="326"/>
      <c r="S166" s="326"/>
      <c r="T166" s="326"/>
      <c r="U166" s="326"/>
      <c r="V166" s="326"/>
      <c r="W166" s="326"/>
      <c r="X166" s="326"/>
      <c r="Y166" s="326"/>
      <c r="Z166" s="326"/>
      <c r="AA166" s="326"/>
      <c r="AB166" s="309"/>
      <c r="AC166" s="309"/>
      <c r="AD166" s="309"/>
      <c r="AE166" s="309"/>
      <c r="AF166" s="309"/>
      <c r="AG166" s="309"/>
      <c r="AH166" s="309"/>
      <c r="AI166" s="309"/>
      <c r="AJ166" s="309"/>
      <c r="AK166" s="309"/>
      <c r="AL166" s="609">
        <v>1</v>
      </c>
    </row>
    <row r="167" spans="1:38" ht="21" customHeight="1" x14ac:dyDescent="0.25">
      <c r="A167" s="326"/>
      <c r="B167" s="1913" t="s">
        <v>5048</v>
      </c>
      <c r="C167" s="1914"/>
      <c r="D167" s="1914"/>
      <c r="E167" s="1914"/>
      <c r="F167" s="1914"/>
      <c r="G167" s="1914"/>
      <c r="H167" s="1914">
        <f t="shared" ref="H167:H181" si="8">SUM(C167:G167)</f>
        <v>0</v>
      </c>
      <c r="I167" s="1914">
        <v>4</v>
      </c>
      <c r="J167" s="1914" t="s">
        <v>5108</v>
      </c>
      <c r="K167" s="1915"/>
      <c r="L167" s="1916"/>
      <c r="M167" s="368" t="s">
        <v>5125</v>
      </c>
      <c r="N167" s="363"/>
      <c r="O167" s="363"/>
      <c r="P167" s="362"/>
      <c r="Q167" s="326"/>
      <c r="R167" s="326"/>
      <c r="S167" s="326"/>
      <c r="T167" s="326"/>
      <c r="U167" s="326"/>
      <c r="V167" s="326"/>
      <c r="W167" s="326"/>
      <c r="X167" s="326"/>
      <c r="Y167" s="326"/>
      <c r="Z167" s="326"/>
      <c r="AA167" s="326"/>
      <c r="AB167" s="309"/>
      <c r="AC167" s="309"/>
      <c r="AD167" s="309"/>
      <c r="AE167" s="309"/>
      <c r="AF167" s="309"/>
      <c r="AG167" s="309"/>
      <c r="AH167" s="309"/>
      <c r="AI167" s="309"/>
      <c r="AJ167" s="309"/>
      <c r="AK167" s="309"/>
      <c r="AL167" s="609">
        <v>1</v>
      </c>
    </row>
    <row r="168" spans="1:38" ht="21" customHeight="1" x14ac:dyDescent="0.25">
      <c r="A168" s="326"/>
      <c r="B168" s="1913" t="s">
        <v>5124</v>
      </c>
      <c r="C168" s="1914"/>
      <c r="D168" s="1914"/>
      <c r="E168" s="1914"/>
      <c r="F168" s="1914"/>
      <c r="G168" s="1914"/>
      <c r="H168" s="1914">
        <f t="shared" si="8"/>
        <v>0</v>
      </c>
      <c r="I168" s="1914">
        <v>10</v>
      </c>
      <c r="J168" s="1914" t="s">
        <v>5105</v>
      </c>
      <c r="K168" s="1915"/>
      <c r="L168" s="1916"/>
      <c r="M168" s="367" t="s">
        <v>5123</v>
      </c>
      <c r="N168" s="363"/>
      <c r="O168" s="363"/>
      <c r="P168" s="362"/>
      <c r="Q168" s="326"/>
      <c r="R168" s="326"/>
      <c r="S168" s="326"/>
      <c r="T168" s="326"/>
      <c r="U168" s="326"/>
      <c r="V168" s="326"/>
      <c r="W168" s="326"/>
      <c r="X168" s="326"/>
      <c r="Y168" s="326"/>
      <c r="Z168" s="326"/>
      <c r="AA168" s="326"/>
      <c r="AB168" s="309"/>
      <c r="AC168" s="309"/>
      <c r="AD168" s="309"/>
      <c r="AE168" s="309"/>
      <c r="AF168" s="309"/>
      <c r="AG168" s="309"/>
      <c r="AH168" s="309"/>
      <c r="AI168" s="309"/>
      <c r="AJ168" s="309"/>
      <c r="AK168" s="309"/>
      <c r="AL168" s="609">
        <v>1</v>
      </c>
    </row>
    <row r="169" spans="1:38" ht="21" customHeight="1" x14ac:dyDescent="0.25">
      <c r="A169" s="326"/>
      <c r="B169" s="402" t="s">
        <v>5122</v>
      </c>
      <c r="C169" s="401"/>
      <c r="D169" s="401"/>
      <c r="E169" s="401"/>
      <c r="F169" s="401"/>
      <c r="G169" s="401"/>
      <c r="H169" s="400">
        <f t="shared" si="8"/>
        <v>0</v>
      </c>
      <c r="I169" s="1917">
        <v>4</v>
      </c>
      <c r="J169" s="1918" t="s">
        <v>5108</v>
      </c>
      <c r="K169" s="399" t="s">
        <v>5072</v>
      </c>
      <c r="L169" s="398"/>
      <c r="M169" s="397" t="s">
        <v>5121</v>
      </c>
      <c r="N169" s="363"/>
      <c r="O169" s="363"/>
      <c r="P169" s="362"/>
      <c r="Q169" s="326"/>
      <c r="R169" s="326"/>
      <c r="S169" s="326"/>
      <c r="T169" s="326"/>
      <c r="U169" s="326"/>
      <c r="V169" s="326"/>
      <c r="W169" s="326"/>
      <c r="X169" s="326"/>
      <c r="Y169" s="326"/>
      <c r="Z169" s="326"/>
      <c r="AA169" s="326"/>
      <c r="AB169" s="309"/>
      <c r="AC169" s="309"/>
      <c r="AD169" s="309"/>
      <c r="AE169" s="309"/>
      <c r="AF169" s="309"/>
      <c r="AG169" s="309"/>
      <c r="AH169" s="309"/>
      <c r="AI169" s="309"/>
      <c r="AJ169" s="309"/>
      <c r="AK169" s="309"/>
      <c r="AL169" s="609">
        <v>1</v>
      </c>
    </row>
    <row r="170" spans="1:38" ht="21" customHeight="1" x14ac:dyDescent="0.25">
      <c r="A170" s="326"/>
      <c r="B170" s="396" t="s">
        <v>5120</v>
      </c>
      <c r="C170" s="384"/>
      <c r="D170" s="384"/>
      <c r="E170" s="384"/>
      <c r="F170" s="384"/>
      <c r="G170" s="383"/>
      <c r="H170" s="382">
        <f t="shared" si="8"/>
        <v>0</v>
      </c>
      <c r="I170" s="377">
        <v>2</v>
      </c>
      <c r="J170" s="376" t="s">
        <v>5108</v>
      </c>
      <c r="K170" s="1919" t="s">
        <v>5036</v>
      </c>
      <c r="L170" s="1920"/>
      <c r="M170" s="364" t="s">
        <v>5039</v>
      </c>
      <c r="N170" s="363"/>
      <c r="O170" s="363"/>
      <c r="P170" s="362"/>
      <c r="Q170" s="326"/>
      <c r="R170" s="326"/>
      <c r="S170" s="326"/>
      <c r="T170" s="326"/>
      <c r="U170" s="326"/>
      <c r="V170" s="326"/>
      <c r="W170" s="326"/>
      <c r="X170" s="326"/>
      <c r="Y170" s="326"/>
      <c r="Z170" s="326"/>
      <c r="AA170" s="326"/>
      <c r="AB170" s="309"/>
      <c r="AC170" s="309"/>
      <c r="AD170" s="309"/>
      <c r="AE170" s="309"/>
      <c r="AF170" s="309"/>
      <c r="AG170" s="309"/>
      <c r="AH170" s="309"/>
      <c r="AI170" s="309"/>
      <c r="AJ170" s="309"/>
      <c r="AK170" s="309"/>
      <c r="AL170" s="609">
        <v>1</v>
      </c>
    </row>
    <row r="171" spans="1:38" ht="21" customHeight="1" x14ac:dyDescent="0.25">
      <c r="A171" s="326"/>
      <c r="B171" s="395" t="s">
        <v>5119</v>
      </c>
      <c r="C171" s="384"/>
      <c r="D171" s="384"/>
      <c r="E171" s="384"/>
      <c r="F171" s="384"/>
      <c r="G171" s="383"/>
      <c r="H171" s="382">
        <f t="shared" si="8"/>
        <v>0</v>
      </c>
      <c r="I171" s="377">
        <v>4</v>
      </c>
      <c r="J171" s="376" t="s">
        <v>5105</v>
      </c>
      <c r="K171" s="1921"/>
      <c r="L171" s="1922"/>
      <c r="M171" s="361" t="s">
        <v>5038</v>
      </c>
      <c r="N171" s="360"/>
      <c r="O171" s="360"/>
      <c r="P171" s="359"/>
      <c r="Q171" s="326"/>
      <c r="R171" s="326"/>
      <c r="S171" s="326"/>
      <c r="T171" s="326"/>
      <c r="U171" s="326"/>
      <c r="V171" s="326"/>
      <c r="W171" s="326"/>
      <c r="X171" s="326"/>
      <c r="Y171" s="326"/>
      <c r="Z171" s="326"/>
      <c r="AA171" s="326"/>
      <c r="AB171" s="309"/>
      <c r="AC171" s="309"/>
      <c r="AD171" s="309"/>
      <c r="AE171" s="309"/>
      <c r="AF171" s="309"/>
      <c r="AG171" s="309"/>
      <c r="AH171" s="309"/>
      <c r="AI171" s="309"/>
      <c r="AJ171" s="309"/>
      <c r="AK171" s="309"/>
      <c r="AL171" s="609">
        <v>1</v>
      </c>
    </row>
    <row r="172" spans="1:38" ht="21" customHeight="1" x14ac:dyDescent="0.25">
      <c r="A172" s="326"/>
      <c r="B172" s="394" t="s">
        <v>5118</v>
      </c>
      <c r="C172" s="384"/>
      <c r="D172" s="384"/>
      <c r="E172" s="384"/>
      <c r="F172" s="384"/>
      <c r="G172" s="383"/>
      <c r="H172" s="382">
        <f t="shared" si="8"/>
        <v>0</v>
      </c>
      <c r="I172" s="377">
        <v>4</v>
      </c>
      <c r="J172" s="376" t="s">
        <v>5105</v>
      </c>
      <c r="K172" s="1921"/>
      <c r="L172" s="1922"/>
      <c r="M172" s="326"/>
      <c r="N172" s="326"/>
      <c r="O172" s="326"/>
      <c r="P172" s="326"/>
      <c r="Q172" s="326"/>
      <c r="R172" s="326"/>
      <c r="S172" s="326"/>
      <c r="T172" s="326"/>
      <c r="U172" s="326"/>
      <c r="V172" s="326"/>
      <c r="W172" s="326"/>
      <c r="X172" s="326"/>
      <c r="Y172" s="326"/>
      <c r="Z172" s="326"/>
      <c r="AA172" s="326"/>
      <c r="AB172" s="309"/>
      <c r="AC172" s="309"/>
      <c r="AD172" s="309"/>
      <c r="AE172" s="309"/>
      <c r="AF172" s="309"/>
      <c r="AG172" s="309"/>
      <c r="AH172" s="309"/>
      <c r="AI172" s="309"/>
      <c r="AJ172" s="309"/>
      <c r="AK172" s="309"/>
      <c r="AL172" s="609">
        <v>1</v>
      </c>
    </row>
    <row r="173" spans="1:38" ht="21" customHeight="1" x14ac:dyDescent="0.25">
      <c r="A173" s="326"/>
      <c r="B173" s="393" t="s">
        <v>5117</v>
      </c>
      <c r="C173" s="384"/>
      <c r="D173" s="384"/>
      <c r="E173" s="384"/>
      <c r="F173" s="384"/>
      <c r="G173" s="383"/>
      <c r="H173" s="382">
        <f t="shared" si="8"/>
        <v>0</v>
      </c>
      <c r="I173" s="377">
        <v>3</v>
      </c>
      <c r="J173" s="376" t="s">
        <v>5108</v>
      </c>
      <c r="K173" s="1921"/>
      <c r="L173" s="1922"/>
      <c r="M173" s="326"/>
      <c r="N173" s="326"/>
      <c r="O173" s="326"/>
      <c r="P173" s="326"/>
      <c r="Q173" s="326"/>
      <c r="R173" s="326"/>
      <c r="S173" s="326"/>
      <c r="T173" s="326"/>
      <c r="U173" s="326"/>
      <c r="V173" s="326"/>
      <c r="W173" s="326"/>
      <c r="X173" s="326"/>
      <c r="Y173" s="326"/>
      <c r="Z173" s="326"/>
      <c r="AA173" s="326"/>
      <c r="AB173" s="309"/>
      <c r="AC173" s="309"/>
      <c r="AD173" s="309"/>
      <c r="AE173" s="309"/>
      <c r="AF173" s="309"/>
      <c r="AG173" s="309"/>
      <c r="AH173" s="309"/>
      <c r="AI173" s="309"/>
      <c r="AJ173" s="309"/>
      <c r="AK173" s="309"/>
      <c r="AL173" s="609">
        <v>1</v>
      </c>
    </row>
    <row r="174" spans="1:38" ht="21" customHeight="1" x14ac:dyDescent="0.25">
      <c r="A174" s="326"/>
      <c r="B174" s="392" t="s">
        <v>5116</v>
      </c>
      <c r="C174" s="384"/>
      <c r="D174" s="384"/>
      <c r="E174" s="384"/>
      <c r="F174" s="384"/>
      <c r="G174" s="383"/>
      <c r="H174" s="382">
        <f t="shared" si="8"/>
        <v>0</v>
      </c>
      <c r="I174" s="377">
        <v>10</v>
      </c>
      <c r="J174" s="376" t="s">
        <v>5114</v>
      </c>
      <c r="K174" s="1923" t="s">
        <v>5047</v>
      </c>
      <c r="L174" s="1924"/>
      <c r="M174" s="326"/>
      <c r="N174" s="326"/>
      <c r="O174" s="326"/>
      <c r="P174" s="326"/>
      <c r="Q174" s="326"/>
      <c r="R174" s="326"/>
      <c r="S174" s="326"/>
      <c r="T174" s="326"/>
      <c r="U174" s="326"/>
      <c r="V174" s="326"/>
      <c r="W174" s="326"/>
      <c r="X174" s="326"/>
      <c r="Y174" s="326"/>
      <c r="Z174" s="326"/>
      <c r="AA174" s="326"/>
      <c r="AB174" s="309"/>
      <c r="AC174" s="309"/>
      <c r="AD174" s="309"/>
      <c r="AE174" s="309"/>
      <c r="AF174" s="309"/>
      <c r="AG174" s="309"/>
      <c r="AH174" s="309"/>
      <c r="AI174" s="309"/>
      <c r="AJ174" s="309"/>
      <c r="AK174" s="309"/>
      <c r="AL174" s="609">
        <v>1</v>
      </c>
    </row>
    <row r="175" spans="1:38" ht="21" customHeight="1" x14ac:dyDescent="0.25">
      <c r="A175" s="326"/>
      <c r="B175" s="391" t="s">
        <v>5115</v>
      </c>
      <c r="C175" s="384"/>
      <c r="D175" s="384"/>
      <c r="E175" s="384"/>
      <c r="F175" s="384"/>
      <c r="G175" s="383"/>
      <c r="H175" s="382">
        <f t="shared" si="8"/>
        <v>0</v>
      </c>
      <c r="I175" s="377">
        <v>10</v>
      </c>
      <c r="J175" s="376" t="s">
        <v>5114</v>
      </c>
      <c r="K175" s="1925"/>
      <c r="L175" s="1926"/>
      <c r="M175" s="326"/>
      <c r="N175" s="326"/>
      <c r="O175" s="326"/>
      <c r="P175" s="326"/>
      <c r="Q175" s="326"/>
      <c r="R175" s="326"/>
      <c r="S175" s="326"/>
      <c r="T175" s="326"/>
      <c r="U175" s="326"/>
      <c r="V175" s="326"/>
      <c r="W175" s="326"/>
      <c r="X175" s="326"/>
      <c r="Y175" s="326"/>
      <c r="Z175" s="326"/>
      <c r="AA175" s="326"/>
      <c r="AB175" s="309"/>
      <c r="AC175" s="309"/>
      <c r="AD175" s="309"/>
      <c r="AE175" s="309"/>
      <c r="AF175" s="309"/>
      <c r="AG175" s="309"/>
      <c r="AH175" s="309"/>
      <c r="AI175" s="309"/>
      <c r="AJ175" s="309"/>
      <c r="AK175" s="309"/>
      <c r="AL175" s="609">
        <v>1</v>
      </c>
    </row>
    <row r="176" spans="1:38" ht="21" customHeight="1" x14ac:dyDescent="0.25">
      <c r="A176" s="326"/>
      <c r="B176" s="390" t="s">
        <v>5113</v>
      </c>
      <c r="C176" s="384"/>
      <c r="D176" s="384"/>
      <c r="E176" s="384"/>
      <c r="F176" s="384"/>
      <c r="G176" s="383"/>
      <c r="H176" s="382">
        <f t="shared" si="8"/>
        <v>0</v>
      </c>
      <c r="I176" s="377">
        <v>8</v>
      </c>
      <c r="J176" s="376" t="s">
        <v>5105</v>
      </c>
      <c r="K176" s="389" t="s">
        <v>5037</v>
      </c>
      <c r="L176" s="388"/>
      <c r="M176" s="326"/>
      <c r="N176" s="326"/>
      <c r="O176" s="326"/>
      <c r="P176" s="326"/>
      <c r="Q176" s="326"/>
      <c r="R176" s="326"/>
      <c r="S176" s="326"/>
      <c r="T176" s="326"/>
      <c r="U176" s="326"/>
      <c r="V176" s="326"/>
      <c r="W176" s="326"/>
      <c r="X176" s="326"/>
      <c r="Y176" s="326"/>
      <c r="Z176" s="326"/>
      <c r="AA176" s="326"/>
      <c r="AB176" s="309"/>
      <c r="AC176" s="309"/>
      <c r="AD176" s="309"/>
      <c r="AE176" s="309"/>
      <c r="AF176" s="309"/>
      <c r="AG176" s="309"/>
      <c r="AH176" s="309"/>
      <c r="AI176" s="309"/>
      <c r="AJ176" s="309"/>
      <c r="AK176" s="309"/>
      <c r="AL176" s="609">
        <v>1</v>
      </c>
    </row>
    <row r="177" spans="1:38" ht="21" customHeight="1" x14ac:dyDescent="0.25">
      <c r="A177" s="326"/>
      <c r="B177" s="387" t="s">
        <v>5112</v>
      </c>
      <c r="C177" s="384"/>
      <c r="D177" s="384"/>
      <c r="E177" s="384"/>
      <c r="F177" s="384"/>
      <c r="G177" s="383"/>
      <c r="H177" s="382">
        <f t="shared" si="8"/>
        <v>0</v>
      </c>
      <c r="I177" s="377">
        <v>4</v>
      </c>
      <c r="J177" s="376" t="s">
        <v>5105</v>
      </c>
      <c r="K177" s="1927" t="s">
        <v>5111</v>
      </c>
      <c r="L177" s="1928"/>
      <c r="M177" s="326"/>
      <c r="N177" s="326"/>
      <c r="O177" s="326"/>
      <c r="P177" s="326"/>
      <c r="Q177" s="326"/>
      <c r="R177" s="326"/>
      <c r="S177" s="326"/>
      <c r="T177" s="326"/>
      <c r="U177" s="326"/>
      <c r="V177" s="326"/>
      <c r="W177" s="326"/>
      <c r="X177" s="326"/>
      <c r="Y177" s="326"/>
      <c r="Z177" s="326"/>
      <c r="AA177" s="326"/>
      <c r="AB177" s="309"/>
      <c r="AC177" s="309"/>
      <c r="AD177" s="309"/>
      <c r="AE177" s="309"/>
      <c r="AF177" s="309"/>
      <c r="AG177" s="309"/>
      <c r="AH177" s="309"/>
      <c r="AI177" s="309"/>
      <c r="AJ177" s="309"/>
      <c r="AK177" s="309"/>
      <c r="AL177" s="609">
        <v>1</v>
      </c>
    </row>
    <row r="178" spans="1:38" ht="21" customHeight="1" x14ac:dyDescent="0.25">
      <c r="A178" s="326"/>
      <c r="B178" s="387" t="s">
        <v>5110</v>
      </c>
      <c r="C178" s="384"/>
      <c r="D178" s="384"/>
      <c r="E178" s="384"/>
      <c r="F178" s="384"/>
      <c r="G178" s="383"/>
      <c r="H178" s="382">
        <f t="shared" si="8"/>
        <v>0</v>
      </c>
      <c r="I178" s="377">
        <v>6</v>
      </c>
      <c r="J178" s="376" t="s">
        <v>5105</v>
      </c>
      <c r="K178" s="1929"/>
      <c r="L178" s="1930"/>
      <c r="M178" s="326"/>
      <c r="N178" s="326"/>
      <c r="O178" s="326"/>
      <c r="P178" s="326"/>
      <c r="Q178" s="326"/>
      <c r="R178" s="326"/>
      <c r="S178" s="326"/>
      <c r="T178" s="326"/>
      <c r="U178" s="326"/>
      <c r="V178" s="326"/>
      <c r="W178" s="326"/>
      <c r="X178" s="326"/>
      <c r="Y178" s="326"/>
      <c r="Z178" s="326"/>
      <c r="AA178" s="326"/>
      <c r="AB178" s="309"/>
      <c r="AC178" s="309"/>
      <c r="AD178" s="309"/>
      <c r="AE178" s="309"/>
      <c r="AF178" s="309"/>
      <c r="AG178" s="309"/>
      <c r="AH178" s="309"/>
      <c r="AI178" s="309"/>
      <c r="AJ178" s="309"/>
      <c r="AK178" s="309"/>
      <c r="AL178" s="609">
        <v>1</v>
      </c>
    </row>
    <row r="179" spans="1:38" ht="21" customHeight="1" x14ac:dyDescent="0.25">
      <c r="A179" s="326"/>
      <c r="B179" s="386" t="s">
        <v>5109</v>
      </c>
      <c r="C179" s="384"/>
      <c r="D179" s="384"/>
      <c r="E179" s="384"/>
      <c r="F179" s="384"/>
      <c r="G179" s="383"/>
      <c r="H179" s="382">
        <f t="shared" si="8"/>
        <v>0</v>
      </c>
      <c r="I179" s="377">
        <v>3</v>
      </c>
      <c r="J179" s="376" t="s">
        <v>5108</v>
      </c>
      <c r="K179" s="1929"/>
      <c r="L179" s="1930"/>
      <c r="M179" s="326"/>
      <c r="N179" s="326"/>
      <c r="O179" s="326"/>
      <c r="P179" s="326"/>
      <c r="Q179" s="326"/>
      <c r="R179" s="326"/>
      <c r="S179" s="326"/>
      <c r="T179" s="326"/>
      <c r="U179" s="326"/>
      <c r="V179" s="326"/>
      <c r="W179" s="326"/>
      <c r="X179" s="326"/>
      <c r="Y179" s="326"/>
      <c r="Z179" s="326"/>
      <c r="AA179" s="326"/>
      <c r="AB179" s="309"/>
      <c r="AC179" s="309"/>
      <c r="AD179" s="309"/>
      <c r="AE179" s="309"/>
      <c r="AF179" s="309"/>
      <c r="AG179" s="309"/>
      <c r="AH179" s="309"/>
      <c r="AI179" s="309"/>
      <c r="AJ179" s="309"/>
      <c r="AK179" s="309"/>
      <c r="AL179" s="609">
        <v>1</v>
      </c>
    </row>
    <row r="180" spans="1:38" ht="21" customHeight="1" x14ac:dyDescent="0.25">
      <c r="A180" s="326"/>
      <c r="B180" s="385" t="s">
        <v>5034</v>
      </c>
      <c r="C180" s="384"/>
      <c r="D180" s="384"/>
      <c r="E180" s="384"/>
      <c r="F180" s="384"/>
      <c r="G180" s="383"/>
      <c r="H180" s="382">
        <f t="shared" si="8"/>
        <v>0</v>
      </c>
      <c r="I180" s="377">
        <v>4</v>
      </c>
      <c r="J180" s="376" t="s">
        <v>5108</v>
      </c>
      <c r="K180" s="1931" t="s">
        <v>5107</v>
      </c>
      <c r="L180" s="1932"/>
      <c r="M180" s="326"/>
      <c r="N180" s="326"/>
      <c r="O180" s="326"/>
      <c r="P180" s="326"/>
      <c r="Q180" s="326"/>
      <c r="R180" s="326"/>
      <c r="S180" s="326"/>
      <c r="T180" s="326"/>
      <c r="U180" s="326"/>
      <c r="V180" s="326"/>
      <c r="W180" s="326"/>
      <c r="X180" s="326"/>
      <c r="Y180" s="326"/>
      <c r="Z180" s="326"/>
      <c r="AA180" s="326"/>
      <c r="AB180" s="309"/>
      <c r="AC180" s="309"/>
      <c r="AD180" s="309"/>
      <c r="AE180" s="309"/>
      <c r="AF180" s="309"/>
      <c r="AG180" s="309"/>
      <c r="AH180" s="309"/>
      <c r="AI180" s="309"/>
      <c r="AJ180" s="309"/>
      <c r="AK180" s="309"/>
      <c r="AL180" s="609">
        <v>1</v>
      </c>
    </row>
    <row r="181" spans="1:38" ht="21" customHeight="1" x14ac:dyDescent="0.25">
      <c r="A181" s="326"/>
      <c r="B181" s="381" t="s">
        <v>5106</v>
      </c>
      <c r="C181" s="380"/>
      <c r="D181" s="380"/>
      <c r="E181" s="380"/>
      <c r="F181" s="380"/>
      <c r="G181" s="379"/>
      <c r="H181" s="378">
        <f t="shared" si="8"/>
        <v>0</v>
      </c>
      <c r="I181" s="377">
        <v>8</v>
      </c>
      <c r="J181" s="376" t="s">
        <v>5105</v>
      </c>
      <c r="K181" s="1933"/>
      <c r="L181" s="1934"/>
      <c r="M181" s="326"/>
      <c r="N181" s="326"/>
      <c r="O181" s="326"/>
      <c r="P181" s="326"/>
      <c r="Q181" s="326"/>
      <c r="R181" s="326"/>
      <c r="S181" s="326"/>
      <c r="T181" s="326"/>
      <c r="U181" s="326"/>
      <c r="V181" s="326"/>
      <c r="W181" s="326"/>
      <c r="X181" s="326"/>
      <c r="Y181" s="326"/>
      <c r="Z181" s="326"/>
      <c r="AA181" s="326"/>
      <c r="AB181" s="309"/>
      <c r="AC181" s="309"/>
      <c r="AD181" s="309"/>
      <c r="AE181" s="309"/>
      <c r="AF181" s="309"/>
      <c r="AG181" s="309"/>
      <c r="AH181" s="309"/>
      <c r="AI181" s="309"/>
      <c r="AJ181" s="309"/>
      <c r="AK181" s="309"/>
      <c r="AL181" s="609">
        <v>1</v>
      </c>
    </row>
    <row r="182" spans="1:38" ht="21" customHeight="1" x14ac:dyDescent="0.25">
      <c r="A182" s="326"/>
      <c r="B182" s="1935" t="s">
        <v>5104</v>
      </c>
      <c r="C182" s="1936"/>
      <c r="D182" s="1936"/>
      <c r="E182" s="1936"/>
      <c r="F182" s="1936"/>
      <c r="G182" s="1936"/>
      <c r="H182" s="1936"/>
      <c r="I182" s="1936"/>
      <c r="J182" s="1937"/>
      <c r="K182" s="375"/>
      <c r="L182" s="374"/>
      <c r="M182" s="326"/>
      <c r="N182" s="326"/>
      <c r="O182" s="326"/>
      <c r="P182" s="326"/>
      <c r="Q182" s="326"/>
      <c r="R182" s="326"/>
      <c r="S182" s="326"/>
      <c r="T182" s="326"/>
      <c r="U182" s="326"/>
      <c r="V182" s="326"/>
      <c r="W182" s="326"/>
      <c r="X182" s="326"/>
      <c r="Y182" s="326"/>
      <c r="Z182" s="326"/>
      <c r="AA182" s="326"/>
      <c r="AB182" s="309"/>
      <c r="AC182" s="309"/>
      <c r="AD182" s="309"/>
      <c r="AE182" s="309"/>
      <c r="AF182" s="309"/>
      <c r="AG182" s="309"/>
      <c r="AH182" s="309"/>
      <c r="AI182" s="309"/>
      <c r="AJ182" s="309"/>
      <c r="AK182" s="309"/>
      <c r="AL182" s="609">
        <v>1</v>
      </c>
    </row>
    <row r="183" spans="1:38" ht="21" customHeight="1" thickBot="1" x14ac:dyDescent="0.3">
      <c r="A183" s="326"/>
      <c r="B183" s="1938" t="s">
        <v>5103</v>
      </c>
      <c r="C183" s="1939"/>
      <c r="D183" s="1939"/>
      <c r="E183" s="1939"/>
      <c r="F183" s="1939"/>
      <c r="G183" s="1939"/>
      <c r="H183" s="1939"/>
      <c r="I183" s="1939"/>
      <c r="J183" s="1940"/>
      <c r="K183" s="373"/>
      <c r="L183" s="372"/>
      <c r="M183" s="326"/>
      <c r="N183" s="326"/>
      <c r="O183" s="326"/>
      <c r="P183" s="326"/>
      <c r="Q183" s="326"/>
      <c r="R183" s="326"/>
      <c r="S183" s="326"/>
      <c r="T183" s="326"/>
      <c r="U183" s="326"/>
      <c r="V183" s="326"/>
      <c r="W183" s="326"/>
      <c r="X183" s="326"/>
      <c r="Y183" s="326"/>
      <c r="Z183" s="326"/>
      <c r="AA183" s="326"/>
      <c r="AB183" s="309"/>
      <c r="AC183" s="309"/>
      <c r="AD183" s="309"/>
      <c r="AE183" s="309"/>
      <c r="AF183" s="309"/>
      <c r="AG183" s="309"/>
      <c r="AH183" s="309"/>
      <c r="AI183" s="309"/>
      <c r="AJ183" s="309"/>
      <c r="AK183" s="309"/>
      <c r="AL183" s="609">
        <v>1</v>
      </c>
    </row>
    <row r="184" spans="1:38" x14ac:dyDescent="0.25">
      <c r="A184" s="326"/>
      <c r="B184" s="326"/>
      <c r="C184" s="326"/>
      <c r="D184" s="326"/>
      <c r="E184" s="326"/>
      <c r="F184" s="326"/>
      <c r="G184" s="326"/>
      <c r="H184" s="326"/>
      <c r="I184" s="326"/>
      <c r="J184" s="326"/>
      <c r="K184" s="326"/>
      <c r="L184" s="326"/>
      <c r="M184" s="326"/>
      <c r="N184" s="326"/>
      <c r="O184" s="326"/>
      <c r="P184" s="326"/>
      <c r="Q184" s="326"/>
      <c r="R184" s="326"/>
      <c r="S184" s="326"/>
      <c r="T184" s="326"/>
      <c r="U184" s="326"/>
      <c r="V184" s="326"/>
      <c r="W184" s="326"/>
      <c r="X184" s="326"/>
      <c r="Y184" s="326"/>
      <c r="Z184" s="326"/>
      <c r="AA184" s="326"/>
      <c r="AB184" s="309"/>
      <c r="AC184" s="309"/>
      <c r="AD184" s="309"/>
      <c r="AE184" s="309"/>
      <c r="AF184" s="309"/>
      <c r="AG184" s="309"/>
      <c r="AH184" s="309"/>
      <c r="AI184" s="309"/>
      <c r="AJ184" s="309"/>
      <c r="AK184" s="309"/>
      <c r="AL184" s="609">
        <v>1</v>
      </c>
    </row>
    <row r="185" spans="1:38" x14ac:dyDescent="0.25">
      <c r="A185" s="326"/>
      <c r="B185" s="326"/>
      <c r="C185" s="326"/>
      <c r="D185" s="326"/>
      <c r="E185" s="326"/>
      <c r="F185" s="326"/>
      <c r="G185" s="326"/>
      <c r="H185" s="326"/>
      <c r="I185" s="326"/>
      <c r="J185" s="326"/>
      <c r="K185" s="326"/>
      <c r="L185" s="326"/>
      <c r="M185" s="326"/>
      <c r="N185" s="326"/>
      <c r="O185" s="326"/>
      <c r="P185" s="326"/>
      <c r="Q185" s="326"/>
      <c r="R185" s="326"/>
      <c r="S185" s="326"/>
      <c r="T185" s="326"/>
      <c r="U185" s="326"/>
      <c r="V185" s="326"/>
      <c r="W185" s="326"/>
      <c r="X185" s="326"/>
      <c r="Y185" s="326"/>
      <c r="Z185" s="326"/>
      <c r="AA185" s="326"/>
      <c r="AB185" s="309"/>
      <c r="AC185" s="309"/>
      <c r="AD185" s="309"/>
      <c r="AE185" s="309"/>
      <c r="AF185" s="309"/>
      <c r="AG185" s="309"/>
      <c r="AH185" s="309"/>
      <c r="AI185" s="309"/>
      <c r="AJ185" s="309"/>
      <c r="AK185" s="309"/>
      <c r="AL185" s="609">
        <v>1</v>
      </c>
    </row>
    <row r="186" spans="1:38" ht="23.25" x14ac:dyDescent="0.25">
      <c r="A186" s="326"/>
      <c r="B186" s="1880" t="s">
        <v>5102</v>
      </c>
      <c r="C186" s="1881"/>
      <c r="D186" s="1881"/>
      <c r="E186" s="1881"/>
      <c r="F186" s="1881"/>
      <c r="G186" s="1881"/>
      <c r="H186" s="1881"/>
      <c r="I186" s="326"/>
      <c r="J186" s="326"/>
      <c r="K186" s="326"/>
      <c r="L186" s="326"/>
      <c r="M186" s="326"/>
      <c r="N186" s="326"/>
      <c r="O186" s="326"/>
      <c r="P186" s="326"/>
      <c r="Q186" s="326"/>
      <c r="R186" s="326"/>
      <c r="S186" s="326"/>
      <c r="T186" s="326"/>
      <c r="U186" s="326"/>
      <c r="V186" s="326"/>
      <c r="W186" s="326"/>
      <c r="X186" s="326"/>
      <c r="Y186" s="326"/>
      <c r="Z186" s="326"/>
      <c r="AA186" s="326"/>
      <c r="AB186" s="309"/>
      <c r="AC186" s="309"/>
      <c r="AD186" s="309"/>
      <c r="AE186" s="309"/>
      <c r="AF186" s="309"/>
      <c r="AG186" s="309"/>
      <c r="AH186" s="309"/>
      <c r="AI186" s="309"/>
      <c r="AJ186" s="309"/>
      <c r="AK186" s="309"/>
      <c r="AL186" s="609">
        <v>1</v>
      </c>
    </row>
    <row r="187" spans="1:38" x14ac:dyDescent="0.25">
      <c r="A187" s="326"/>
      <c r="B187" s="326"/>
      <c r="C187" s="326"/>
      <c r="D187" s="326"/>
      <c r="E187" s="326"/>
      <c r="F187" s="326"/>
      <c r="G187" s="326"/>
      <c r="H187" s="326"/>
      <c r="I187" s="326"/>
      <c r="J187" s="326"/>
      <c r="K187" s="326"/>
      <c r="L187" s="326"/>
      <c r="M187" s="326"/>
      <c r="N187" s="326"/>
      <c r="O187" s="326"/>
      <c r="P187" s="326"/>
      <c r="Q187" s="326"/>
      <c r="R187" s="326"/>
      <c r="S187" s="326"/>
      <c r="T187" s="326"/>
      <c r="U187" s="326"/>
      <c r="V187" s="326"/>
      <c r="W187" s="326"/>
      <c r="X187" s="326"/>
      <c r="Y187" s="326"/>
      <c r="Z187" s="326"/>
      <c r="AA187" s="326"/>
      <c r="AB187" s="309"/>
      <c r="AC187" s="309"/>
      <c r="AD187" s="309"/>
      <c r="AE187" s="309"/>
      <c r="AF187" s="309"/>
      <c r="AG187" s="309"/>
      <c r="AH187" s="309"/>
      <c r="AI187" s="309"/>
      <c r="AJ187" s="309"/>
      <c r="AK187" s="309"/>
      <c r="AL187" s="609">
        <v>1</v>
      </c>
    </row>
    <row r="188" spans="1:38" ht="16.5" customHeight="1" thickBot="1" x14ac:dyDescent="0.3">
      <c r="A188" s="326"/>
      <c r="B188" s="326"/>
      <c r="C188" s="326"/>
      <c r="D188" s="326"/>
      <c r="E188" s="326"/>
      <c r="F188" s="326"/>
      <c r="G188" s="326"/>
      <c r="H188" s="326"/>
      <c r="I188" s="326"/>
      <c r="J188" s="326"/>
      <c r="K188" s="326"/>
      <c r="L188" s="326"/>
      <c r="M188" s="326"/>
      <c r="N188" s="326"/>
      <c r="O188" s="326"/>
      <c r="P188" s="326"/>
      <c r="Q188" s="326"/>
      <c r="R188" s="326"/>
      <c r="S188" s="326"/>
      <c r="T188" s="326"/>
      <c r="U188" s="326"/>
      <c r="V188" s="326"/>
      <c r="W188" s="326"/>
      <c r="X188" s="326"/>
      <c r="Y188" s="326"/>
      <c r="Z188" s="326"/>
      <c r="AA188" s="326"/>
      <c r="AB188" s="309"/>
      <c r="AC188" s="309"/>
      <c r="AD188" s="309"/>
      <c r="AE188" s="309"/>
      <c r="AF188" s="309"/>
      <c r="AG188" s="309"/>
      <c r="AH188" s="309"/>
      <c r="AI188" s="309"/>
      <c r="AJ188" s="309"/>
      <c r="AK188" s="309"/>
      <c r="AL188" s="609">
        <v>1</v>
      </c>
    </row>
    <row r="189" spans="1:38" ht="25.5" x14ac:dyDescent="0.25">
      <c r="A189" s="326"/>
      <c r="B189" s="589" t="s">
        <v>5101</v>
      </c>
      <c r="C189" s="1882" t="s">
        <v>5086</v>
      </c>
      <c r="D189" s="1883"/>
      <c r="E189" s="347" t="s">
        <v>5085</v>
      </c>
      <c r="F189" s="346">
        <v>366</v>
      </c>
      <c r="G189" s="371" t="s">
        <v>5071</v>
      </c>
      <c r="H189" s="370"/>
      <c r="I189" s="370"/>
      <c r="J189" s="369"/>
      <c r="K189" s="326"/>
      <c r="L189" s="326"/>
      <c r="M189" s="326"/>
      <c r="N189" s="326"/>
      <c r="O189" s="326"/>
      <c r="P189" s="326"/>
      <c r="Q189" s="326"/>
      <c r="R189" s="326"/>
      <c r="S189" s="326"/>
      <c r="T189" s="326"/>
      <c r="U189" s="326"/>
      <c r="V189" s="326"/>
      <c r="W189" s="326"/>
      <c r="X189" s="326"/>
      <c r="Y189" s="326"/>
      <c r="Z189" s="326"/>
      <c r="AA189" s="326"/>
      <c r="AB189" s="309"/>
      <c r="AC189" s="309"/>
      <c r="AD189" s="309"/>
      <c r="AE189" s="309"/>
      <c r="AF189" s="309"/>
      <c r="AG189" s="309"/>
      <c r="AH189" s="309"/>
      <c r="AI189" s="309"/>
      <c r="AJ189" s="309"/>
      <c r="AK189" s="309"/>
      <c r="AL189" s="609">
        <v>1</v>
      </c>
    </row>
    <row r="190" spans="1:38" ht="24.75" customHeight="1" thickBot="1" x14ac:dyDescent="0.3">
      <c r="A190" s="326"/>
      <c r="B190" s="357" t="s">
        <v>5096</v>
      </c>
      <c r="C190" s="1843">
        <v>28</v>
      </c>
      <c r="D190" s="1884"/>
      <c r="E190" s="345" t="s">
        <v>5083</v>
      </c>
      <c r="F190" s="358">
        <v>7</v>
      </c>
      <c r="G190" s="368" t="s">
        <v>5086</v>
      </c>
      <c r="H190" s="363"/>
      <c r="I190" s="363"/>
      <c r="J190" s="362"/>
      <c r="K190" s="326"/>
      <c r="L190" s="326"/>
      <c r="M190" s="326"/>
      <c r="N190" s="326"/>
      <c r="O190" s="326"/>
      <c r="P190" s="326"/>
      <c r="Q190" s="326"/>
      <c r="R190" s="326"/>
      <c r="S190" s="326"/>
      <c r="T190" s="326"/>
      <c r="U190" s="326"/>
      <c r="V190" s="326"/>
      <c r="W190" s="326"/>
      <c r="X190" s="326"/>
      <c r="Y190" s="326"/>
      <c r="Z190" s="326"/>
      <c r="AA190" s="326"/>
      <c r="AB190" s="309"/>
      <c r="AC190" s="309"/>
      <c r="AD190" s="309"/>
      <c r="AE190" s="309"/>
      <c r="AF190" s="309"/>
      <c r="AG190" s="309"/>
      <c r="AH190" s="309"/>
      <c r="AI190" s="309"/>
      <c r="AJ190" s="309"/>
      <c r="AK190" s="309"/>
      <c r="AL190" s="609">
        <v>1</v>
      </c>
    </row>
    <row r="191" spans="1:38" ht="18.75" x14ac:dyDescent="0.25">
      <c r="A191" s="326"/>
      <c r="B191" s="357" t="s">
        <v>5082</v>
      </c>
      <c r="C191" s="1885" t="s">
        <v>5100</v>
      </c>
      <c r="D191" s="1886"/>
      <c r="E191" s="342" t="s">
        <v>5052</v>
      </c>
      <c r="F191" s="341" t="s">
        <v>5080</v>
      </c>
      <c r="G191" s="367" t="s">
        <v>5099</v>
      </c>
      <c r="H191" s="363"/>
      <c r="I191" s="363"/>
      <c r="J191" s="362"/>
      <c r="K191" s="326"/>
      <c r="L191" s="326"/>
      <c r="M191" s="326"/>
      <c r="N191" s="326"/>
      <c r="O191" s="326"/>
      <c r="P191" s="326"/>
      <c r="Q191" s="326"/>
      <c r="R191" s="326"/>
      <c r="S191" s="326"/>
      <c r="T191" s="326"/>
      <c r="U191" s="326"/>
      <c r="V191" s="326"/>
      <c r="W191" s="326"/>
      <c r="X191" s="326"/>
      <c r="Y191" s="326"/>
      <c r="Z191" s="326"/>
      <c r="AA191" s="326"/>
      <c r="AB191" s="309"/>
      <c r="AC191" s="309"/>
      <c r="AD191" s="309"/>
      <c r="AE191" s="309"/>
      <c r="AF191" s="309"/>
      <c r="AG191" s="309"/>
      <c r="AH191" s="309"/>
      <c r="AI191" s="309"/>
      <c r="AJ191" s="309"/>
      <c r="AK191" s="309"/>
      <c r="AL191" s="609">
        <v>1</v>
      </c>
    </row>
    <row r="192" spans="1:38" ht="21" customHeight="1" x14ac:dyDescent="0.25">
      <c r="A192" s="326"/>
      <c r="B192" s="590" t="s">
        <v>5094</v>
      </c>
      <c r="C192" s="353">
        <v>6</v>
      </c>
      <c r="D192" s="352">
        <f>IF(OR(ISBLANK(C192),C192=""),"",IF(ISTEXT(C192),0,IF($C$190=0,0,C192/$C$190)))</f>
        <v>0.21428571428571427</v>
      </c>
      <c r="E192" s="355">
        <f>IF(OR(ISBLANK(C192),C192=""),"",IF(ISTEXT(C192),C192,IF($C$190=0,0,C192/$C$190*$F$189)))</f>
        <v>78.428571428571431</v>
      </c>
      <c r="F192" s="354">
        <f>IF(OR(ISBLANK(E192),E192=""),"",IF(ISTEXT(E192),E192,IF(E192=0,0,IF(ABS(E192-$F$189)&lt;0.0000001,"chaque repas",$F$189/E192))))</f>
        <v>4.666666666666667</v>
      </c>
      <c r="G192" s="366" t="s">
        <v>5085</v>
      </c>
      <c r="H192" s="363"/>
      <c r="I192" s="363"/>
      <c r="J192" s="362"/>
      <c r="K192" s="326"/>
      <c r="L192" s="326"/>
      <c r="M192" s="326"/>
      <c r="N192" s="326"/>
      <c r="O192" s="326"/>
      <c r="P192" s="326"/>
      <c r="Q192" s="326"/>
      <c r="R192" s="326"/>
      <c r="S192" s="326"/>
      <c r="T192" s="326"/>
      <c r="U192" s="326"/>
      <c r="V192" s="326"/>
      <c r="W192" s="326"/>
      <c r="X192" s="326"/>
      <c r="Y192" s="326"/>
      <c r="Z192" s="326"/>
      <c r="AA192" s="326"/>
      <c r="AB192" s="309"/>
      <c r="AC192" s="309"/>
      <c r="AD192" s="309"/>
      <c r="AE192" s="309"/>
      <c r="AF192" s="309"/>
      <c r="AG192" s="309"/>
      <c r="AH192" s="309"/>
      <c r="AI192" s="309"/>
      <c r="AJ192" s="309"/>
      <c r="AK192" s="309"/>
      <c r="AL192" s="609">
        <v>1</v>
      </c>
    </row>
    <row r="193" spans="1:38" ht="21" customHeight="1" x14ac:dyDescent="0.25">
      <c r="A193" s="326"/>
      <c r="B193" s="591" t="s">
        <v>5093</v>
      </c>
      <c r="C193" s="353">
        <v>3</v>
      </c>
      <c r="D193" s="352">
        <f>IF(OR(ISBLANK(C193),C193=""),"",IF(ISTEXT(C193),0,IF($C$190=0,0,C193/$C$190)))</f>
        <v>0.10714285714285714</v>
      </c>
      <c r="E193" s="355">
        <f>IF(OR(ISBLANK(C193),C193=""),"",IF(ISTEXT(C193),C193,IF($C$190=0,0,C193/$C$190*$F$189)))</f>
        <v>39.214285714285715</v>
      </c>
      <c r="F193" s="354">
        <f>IF(OR(ISBLANK(E193),E193=""),"",IF(ISTEXT(E193),E193,IF(E193=0,0,IF(ABS(E193-$F$189)&lt;0.0000001,"chaque repas",$F$189/E193))))</f>
        <v>9.3333333333333339</v>
      </c>
      <c r="G193" s="365" t="s">
        <v>5098</v>
      </c>
      <c r="H193" s="363"/>
      <c r="I193" s="363"/>
      <c r="J193" s="362"/>
      <c r="K193" s="326"/>
      <c r="L193" s="326"/>
      <c r="M193" s="326"/>
      <c r="N193" s="326"/>
      <c r="O193" s="326"/>
      <c r="P193" s="326"/>
      <c r="Q193" s="326"/>
      <c r="R193" s="326"/>
      <c r="S193" s="326"/>
      <c r="T193" s="326"/>
      <c r="U193" s="326"/>
      <c r="V193" s="326"/>
      <c r="W193" s="326"/>
      <c r="X193" s="326"/>
      <c r="Y193" s="326"/>
      <c r="Z193" s="326"/>
      <c r="AA193" s="326"/>
      <c r="AB193" s="309"/>
      <c r="AC193" s="309"/>
      <c r="AD193" s="309"/>
      <c r="AE193" s="309"/>
      <c r="AF193" s="309"/>
      <c r="AG193" s="309"/>
      <c r="AH193" s="309"/>
      <c r="AI193" s="309"/>
      <c r="AJ193" s="309"/>
      <c r="AK193" s="309"/>
      <c r="AL193" s="609">
        <v>1</v>
      </c>
    </row>
    <row r="194" spans="1:38" ht="21" customHeight="1" x14ac:dyDescent="0.25">
      <c r="A194" s="326"/>
      <c r="B194" s="592" t="s">
        <v>5092</v>
      </c>
      <c r="C194" s="353">
        <v>5</v>
      </c>
      <c r="D194" s="352">
        <f>IF(OR(ISBLANK(C194),C194=""),"",IF(ISTEXT(C194),0,IF($C$190=0,0,C194/$C$190)))</f>
        <v>0.17857142857142858</v>
      </c>
      <c r="E194" s="355">
        <f>IF(OR(ISBLANK(C194),C194=""),"",IF(ISTEXT(C194),C194,IF($C$190=0,0,C194/$C$190*$F$189)))</f>
        <v>65.357142857142861</v>
      </c>
      <c r="F194" s="354">
        <f>IF(OR(ISBLANK(E194),E194=""),"",IF(ISTEXT(E194),E194,IF(E194=0,0,IF(ABS(E194-$F$189)&lt;0.0000001,"chaque repas",$F$189/E194))))</f>
        <v>5.6</v>
      </c>
      <c r="G194" s="364" t="s">
        <v>5039</v>
      </c>
      <c r="H194" s="363"/>
      <c r="I194" s="363"/>
      <c r="J194" s="362"/>
      <c r="K194" s="326"/>
      <c r="L194" s="326"/>
      <c r="M194" s="326"/>
      <c r="N194" s="326"/>
      <c r="O194" s="326"/>
      <c r="P194" s="326"/>
      <c r="Q194" s="326"/>
      <c r="R194" s="326"/>
      <c r="S194" s="326"/>
      <c r="T194" s="326"/>
      <c r="U194" s="326"/>
      <c r="V194" s="326"/>
      <c r="W194" s="326"/>
      <c r="X194" s="326"/>
      <c r="Y194" s="326"/>
      <c r="Z194" s="326"/>
      <c r="AA194" s="326"/>
      <c r="AB194" s="309"/>
      <c r="AC194" s="309"/>
      <c r="AD194" s="309"/>
      <c r="AE194" s="309"/>
      <c r="AF194" s="309"/>
      <c r="AG194" s="309"/>
      <c r="AH194" s="309"/>
      <c r="AI194" s="309"/>
      <c r="AJ194" s="309"/>
      <c r="AK194" s="309"/>
      <c r="AL194" s="609">
        <v>1</v>
      </c>
    </row>
    <row r="195" spans="1:38" ht="21" customHeight="1" x14ac:dyDescent="0.25">
      <c r="A195" s="326"/>
      <c r="B195" s="593" t="s">
        <v>5091</v>
      </c>
      <c r="C195" s="353">
        <v>8</v>
      </c>
      <c r="D195" s="352">
        <f>IF(OR(ISBLANK(C195),C195=""),"",IF(ISTEXT(C195),0,IF($C$190=0,0,C195/$C$190)))</f>
        <v>0.2857142857142857</v>
      </c>
      <c r="E195" s="355">
        <f>IF(OR(ISBLANK(C195),C195=""),"",IF(ISTEXT(C195),C195,IF($C$190=0,0,C195/$C$190*$F$189)))</f>
        <v>104.57142857142857</v>
      </c>
      <c r="F195" s="354">
        <f>IF(OR(ISBLANK(E195),E195=""),"",IF(ISTEXT(E195),E195,IF(E195=0,0,IF(ABS(E195-$F$189)&lt;0.0000001,"chaque repas",$F$189/E195))))</f>
        <v>3.5</v>
      </c>
      <c r="G195" s="361" t="s">
        <v>5038</v>
      </c>
      <c r="H195" s="360"/>
      <c r="I195" s="360"/>
      <c r="J195" s="359"/>
      <c r="K195" s="326"/>
      <c r="L195" s="326"/>
      <c r="M195" s="326"/>
      <c r="N195" s="326"/>
      <c r="O195" s="326"/>
      <c r="P195" s="326"/>
      <c r="Q195" s="326"/>
      <c r="R195" s="326"/>
      <c r="S195" s="326"/>
      <c r="T195" s="326"/>
      <c r="U195" s="326"/>
      <c r="V195" s="326"/>
      <c r="W195" s="326"/>
      <c r="X195" s="326"/>
      <c r="Y195" s="326"/>
      <c r="Z195" s="326"/>
      <c r="AA195" s="326"/>
      <c r="AB195" s="309"/>
      <c r="AC195" s="309"/>
      <c r="AD195" s="309"/>
      <c r="AE195" s="309"/>
      <c r="AF195" s="309"/>
      <c r="AG195" s="309"/>
      <c r="AH195" s="309"/>
      <c r="AI195" s="309"/>
      <c r="AJ195" s="309"/>
      <c r="AK195" s="309"/>
      <c r="AL195" s="609">
        <v>1</v>
      </c>
    </row>
    <row r="196" spans="1:38" ht="21" customHeight="1" x14ac:dyDescent="0.25">
      <c r="A196" s="326"/>
      <c r="B196" s="594" t="s">
        <v>5090</v>
      </c>
      <c r="C196" s="353">
        <v>3</v>
      </c>
      <c r="D196" s="352">
        <f>IF(OR(ISBLANK(C196),C196=""),"",IF(ISTEXT(C196),0,IF($C$190=0,0,C196/$C$190)))</f>
        <v>0.10714285714285714</v>
      </c>
      <c r="E196" s="351">
        <f>IF(OR(ISBLANK(C196),C196=""),"",IF(ISTEXT(C196),C196,IF($C$190=0,0,C196/$C$190*$F$189)))</f>
        <v>39.214285714285715</v>
      </c>
      <c r="F196" s="350">
        <f>IF(OR(ISBLANK(E196),E196=""),"",IF(ISTEXT(E196),E196,IF(E196=0,0,IF(ABS(E196-$F$189)&lt;0.0000001,"chaque repas",$F$189/E196))))</f>
        <v>9.3333333333333339</v>
      </c>
      <c r="G196" s="326"/>
      <c r="H196" s="326"/>
      <c r="I196" s="326"/>
      <c r="J196" s="326"/>
      <c r="K196" s="326"/>
      <c r="L196" s="326"/>
      <c r="M196" s="326"/>
      <c r="N196" s="326"/>
      <c r="O196" s="326"/>
      <c r="P196" s="326"/>
      <c r="Q196" s="326"/>
      <c r="R196" s="326"/>
      <c r="S196" s="326"/>
      <c r="T196" s="326"/>
      <c r="U196" s="326"/>
      <c r="V196" s="326"/>
      <c r="W196" s="326"/>
      <c r="X196" s="326"/>
      <c r="Y196" s="326"/>
      <c r="Z196" s="326"/>
      <c r="AA196" s="326"/>
      <c r="AB196" s="309"/>
      <c r="AC196" s="309"/>
      <c r="AD196" s="309"/>
      <c r="AE196" s="309"/>
      <c r="AF196" s="309"/>
      <c r="AG196" s="309"/>
      <c r="AH196" s="309"/>
      <c r="AI196" s="309"/>
      <c r="AJ196" s="309"/>
      <c r="AK196" s="309"/>
      <c r="AL196" s="609">
        <v>1</v>
      </c>
    </row>
    <row r="197" spans="1:38" ht="21" customHeight="1" thickBot="1" x14ac:dyDescent="0.3">
      <c r="A197" s="326"/>
      <c r="B197" s="588" t="s">
        <v>5089</v>
      </c>
      <c r="C197" s="330"/>
      <c r="D197" s="329" t="s">
        <v>5088</v>
      </c>
      <c r="E197" s="349">
        <f>$F$189/$F$190</f>
        <v>52.285714285714285</v>
      </c>
      <c r="F197" s="348" t="s">
        <v>5074</v>
      </c>
      <c r="G197" s="326"/>
      <c r="H197" s="326"/>
      <c r="I197" s="326"/>
      <c r="J197" s="326"/>
      <c r="K197" s="326"/>
      <c r="L197" s="326"/>
      <c r="M197" s="326"/>
      <c r="N197" s="326"/>
      <c r="O197" s="326"/>
      <c r="P197" s="326"/>
      <c r="Q197" s="326"/>
      <c r="R197" s="326"/>
      <c r="S197" s="326"/>
      <c r="T197" s="326"/>
      <c r="U197" s="326"/>
      <c r="V197" s="326"/>
      <c r="W197" s="326"/>
      <c r="X197" s="326"/>
      <c r="Y197" s="326"/>
      <c r="Z197" s="326"/>
      <c r="AA197" s="326"/>
      <c r="AB197" s="309"/>
      <c r="AC197" s="309"/>
      <c r="AD197" s="309"/>
      <c r="AE197" s="309"/>
      <c r="AF197" s="309"/>
      <c r="AG197" s="309"/>
      <c r="AH197" s="309"/>
      <c r="AI197" s="309"/>
      <c r="AJ197" s="309"/>
      <c r="AK197" s="309"/>
      <c r="AL197" s="609">
        <v>1</v>
      </c>
    </row>
    <row r="198" spans="1:38" ht="16.5" thickBot="1" x14ac:dyDescent="0.3">
      <c r="A198" s="326"/>
      <c r="G198" s="326"/>
      <c r="H198" s="326"/>
      <c r="I198" s="326"/>
      <c r="J198" s="326"/>
      <c r="K198" s="326"/>
      <c r="L198" s="326"/>
      <c r="M198" s="326"/>
      <c r="N198" s="326"/>
      <c r="O198" s="326"/>
      <c r="P198" s="326"/>
      <c r="Q198" s="326"/>
      <c r="R198" s="326"/>
      <c r="S198" s="326"/>
      <c r="T198" s="326"/>
      <c r="U198" s="326"/>
      <c r="V198" s="326"/>
      <c r="W198" s="326"/>
      <c r="X198" s="326"/>
      <c r="Y198" s="326"/>
      <c r="Z198" s="326"/>
      <c r="AA198" s="326"/>
      <c r="AB198" s="309"/>
      <c r="AC198" s="309"/>
      <c r="AD198" s="309"/>
      <c r="AE198" s="309"/>
      <c r="AF198" s="309"/>
      <c r="AG198" s="309"/>
      <c r="AH198" s="309"/>
      <c r="AI198" s="309"/>
      <c r="AJ198" s="309"/>
      <c r="AK198" s="309"/>
      <c r="AL198" s="609">
        <v>1</v>
      </c>
    </row>
    <row r="199" spans="1:38" ht="25.5" x14ac:dyDescent="0.25">
      <c r="A199" s="326"/>
      <c r="B199" s="589" t="s">
        <v>5097</v>
      </c>
      <c r="C199" s="1882" t="s">
        <v>5086</v>
      </c>
      <c r="D199" s="1883"/>
      <c r="E199" s="347" t="s">
        <v>5085</v>
      </c>
      <c r="F199" s="346">
        <v>366</v>
      </c>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09"/>
      <c r="AC199" s="309"/>
      <c r="AD199" s="309"/>
      <c r="AE199" s="309"/>
      <c r="AF199" s="309"/>
      <c r="AG199" s="309"/>
      <c r="AH199" s="309"/>
      <c r="AI199" s="309"/>
      <c r="AJ199" s="309"/>
      <c r="AK199" s="309"/>
      <c r="AL199" s="609">
        <v>1</v>
      </c>
    </row>
    <row r="200" spans="1:38" ht="23.25" thickBot="1" x14ac:dyDescent="0.3">
      <c r="A200" s="326"/>
      <c r="B200" s="357" t="s">
        <v>5096</v>
      </c>
      <c r="C200" s="1843">
        <v>28</v>
      </c>
      <c r="D200" s="1884"/>
      <c r="E200" s="345" t="s">
        <v>5083</v>
      </c>
      <c r="F200" s="358">
        <v>7</v>
      </c>
      <c r="G200" s="326"/>
      <c r="H200" s="326"/>
      <c r="I200" s="326"/>
      <c r="J200" s="326"/>
      <c r="K200" s="326"/>
      <c r="L200" s="326"/>
      <c r="M200" s="326"/>
      <c r="N200" s="326"/>
      <c r="O200" s="326"/>
      <c r="P200" s="326"/>
      <c r="Q200" s="326"/>
      <c r="R200" s="326"/>
      <c r="S200" s="326"/>
      <c r="T200" s="326"/>
      <c r="U200" s="326"/>
      <c r="V200" s="326"/>
      <c r="W200" s="326"/>
      <c r="X200" s="326"/>
      <c r="Y200" s="326"/>
      <c r="Z200" s="326"/>
      <c r="AA200" s="326"/>
      <c r="AB200" s="309"/>
      <c r="AC200" s="309"/>
      <c r="AD200" s="309"/>
      <c r="AE200" s="309"/>
      <c r="AF200" s="309"/>
      <c r="AG200" s="309"/>
      <c r="AH200" s="309"/>
      <c r="AI200" s="309"/>
      <c r="AJ200" s="309"/>
      <c r="AK200" s="309"/>
      <c r="AL200" s="609">
        <v>1</v>
      </c>
    </row>
    <row r="201" spans="1:38" ht="18.75" customHeight="1" x14ac:dyDescent="0.25">
      <c r="A201" s="326"/>
      <c r="B201" s="357" t="s">
        <v>5095</v>
      </c>
      <c r="C201" s="1885" t="s">
        <v>5081</v>
      </c>
      <c r="D201" s="1886"/>
      <c r="E201" s="342" t="s">
        <v>5052</v>
      </c>
      <c r="F201" s="341" t="s">
        <v>5080</v>
      </c>
      <c r="G201" s="326"/>
      <c r="H201" s="326"/>
      <c r="I201" s="356"/>
      <c r="J201" s="356"/>
      <c r="K201" s="356"/>
      <c r="L201" s="356"/>
      <c r="M201" s="356"/>
      <c r="N201" s="356"/>
      <c r="O201" s="326"/>
      <c r="P201" s="326"/>
      <c r="Q201" s="326"/>
      <c r="R201" s="326"/>
      <c r="S201" s="326"/>
      <c r="T201" s="326"/>
      <c r="U201" s="326"/>
      <c r="V201" s="326"/>
      <c r="W201" s="326"/>
      <c r="X201" s="326"/>
      <c r="Y201" s="326"/>
      <c r="Z201" s="326"/>
      <c r="AA201" s="326"/>
      <c r="AB201" s="309"/>
      <c r="AC201" s="309"/>
      <c r="AD201" s="309"/>
      <c r="AE201" s="309"/>
      <c r="AF201" s="309"/>
      <c r="AG201" s="309"/>
      <c r="AH201" s="309"/>
      <c r="AI201" s="309"/>
      <c r="AJ201" s="309"/>
      <c r="AK201" s="309"/>
      <c r="AL201" s="609">
        <v>1</v>
      </c>
    </row>
    <row r="202" spans="1:38" ht="21" customHeight="1" x14ac:dyDescent="0.25">
      <c r="A202" s="326"/>
      <c r="B202" s="590" t="s">
        <v>5094</v>
      </c>
      <c r="C202" s="353">
        <v>4</v>
      </c>
      <c r="D202" s="352">
        <f>IF(OR(ISBLANK(C202),C202=""),"",IF(ISTEXT(C202),0,IF($C$200=0,0,C202/$C$200)))</f>
        <v>0.14285714285714285</v>
      </c>
      <c r="E202" s="355">
        <f>IF(OR(ISBLANK(C202),C202=""),"",IF(ISTEXT(C202),C202,IF($C$200=0,0,C202/$C$200*$F$199)))</f>
        <v>52.285714285714285</v>
      </c>
      <c r="F202" s="354">
        <f>IF(OR(ISBLANK(E202),E202=""),"",IF(ISTEXT(E202),E202,IF(E202=0,0,IF(ABS(E202-$F$199)&lt;0.0000001,"chaque repas",$F$199/E202))))</f>
        <v>7</v>
      </c>
      <c r="G202" s="326"/>
      <c r="H202" s="326"/>
      <c r="I202" s="326"/>
      <c r="J202" s="326"/>
      <c r="K202" s="326"/>
      <c r="L202" s="326"/>
      <c r="M202" s="326"/>
      <c r="N202" s="326"/>
      <c r="O202" s="326"/>
      <c r="P202" s="326"/>
      <c r="Q202" s="326"/>
      <c r="R202" s="326"/>
      <c r="S202" s="326"/>
      <c r="T202" s="326"/>
      <c r="U202" s="326"/>
      <c r="V202" s="326"/>
      <c r="W202" s="326"/>
      <c r="X202" s="326"/>
      <c r="Y202" s="326"/>
      <c r="Z202" s="326"/>
      <c r="AA202" s="326"/>
      <c r="AB202" s="309"/>
      <c r="AC202" s="309"/>
      <c r="AD202" s="309"/>
      <c r="AE202" s="309"/>
      <c r="AF202" s="309"/>
      <c r="AG202" s="309"/>
      <c r="AH202" s="309"/>
      <c r="AI202" s="309"/>
      <c r="AJ202" s="309"/>
      <c r="AK202" s="309"/>
      <c r="AL202" s="609">
        <v>1</v>
      </c>
    </row>
    <row r="203" spans="1:38" ht="21" customHeight="1" x14ac:dyDescent="0.25">
      <c r="A203" s="326"/>
      <c r="B203" s="591" t="s">
        <v>5093</v>
      </c>
      <c r="C203" s="353">
        <v>6</v>
      </c>
      <c r="D203" s="352">
        <f>IF(OR(ISBLANK(C203),C203=""),"",IF(ISTEXT(C203),0,IF($C$200=0,0,C203/$C$200)))</f>
        <v>0.21428571428571427</v>
      </c>
      <c r="E203" s="355">
        <f>IF(OR(ISBLANK(C203),C203=""),"",IF(ISTEXT(C203),C203,IF($C$200=0,0,C203/$C$200*$F$199)))</f>
        <v>78.428571428571431</v>
      </c>
      <c r="F203" s="354">
        <f>IF(OR(ISBLANK(E203),E203=""),"",IF(ISTEXT(E203),E203,IF(E203=0,0,IF(ABS(E203-$F$199)&lt;0.0000001,"chaque repas",$F$199/E203))))</f>
        <v>4.666666666666667</v>
      </c>
      <c r="G203" s="326"/>
      <c r="H203" s="326"/>
      <c r="I203" s="326"/>
      <c r="J203" s="326"/>
      <c r="K203" s="326"/>
      <c r="L203" s="326"/>
      <c r="M203" s="326"/>
      <c r="N203" s="326"/>
      <c r="O203" s="326"/>
      <c r="P203" s="326"/>
      <c r="Q203" s="326"/>
      <c r="R203" s="326"/>
      <c r="S203" s="326"/>
      <c r="T203" s="326"/>
      <c r="U203" s="326"/>
      <c r="V203" s="326"/>
      <c r="W203" s="326"/>
      <c r="X203" s="326"/>
      <c r="Y203" s="326"/>
      <c r="Z203" s="326"/>
      <c r="AA203" s="326"/>
      <c r="AB203" s="309"/>
      <c r="AC203" s="309"/>
      <c r="AD203" s="309"/>
      <c r="AE203" s="309"/>
      <c r="AF203" s="309"/>
      <c r="AG203" s="309"/>
      <c r="AH203" s="309"/>
      <c r="AI203" s="309"/>
      <c r="AJ203" s="309"/>
      <c r="AK203" s="309"/>
      <c r="AL203" s="609">
        <v>1</v>
      </c>
    </row>
    <row r="204" spans="1:38" ht="21" customHeight="1" x14ac:dyDescent="0.25">
      <c r="A204" s="326"/>
      <c r="B204" s="592" t="s">
        <v>5092</v>
      </c>
      <c r="C204" s="353">
        <v>3</v>
      </c>
      <c r="D204" s="352">
        <f>IF(OR(ISBLANK(C204),C204=""),"",IF(ISTEXT(C204),0,IF($C$200=0,0,C204/$C$200)))</f>
        <v>0.10714285714285714</v>
      </c>
      <c r="E204" s="355">
        <f>IF(OR(ISBLANK(C204),C204=""),"",IF(ISTEXT(C204),C204,IF($C$200=0,0,C204/$C$200*$F$199)))</f>
        <v>39.214285714285715</v>
      </c>
      <c r="F204" s="354">
        <f>IF(OR(ISBLANK(E204),E204=""),"",IF(ISTEXT(E204),E204,IF(E204=0,0,IF(ABS(E204-$F$199)&lt;0.0000001,"chaque repas",$F$199/E204))))</f>
        <v>9.3333333333333339</v>
      </c>
      <c r="G204" s="326"/>
      <c r="H204" s="326"/>
      <c r="I204" s="326"/>
      <c r="J204" s="326"/>
      <c r="K204" s="326"/>
      <c r="L204" s="326"/>
      <c r="M204" s="326"/>
      <c r="N204" s="326"/>
      <c r="O204" s="326"/>
      <c r="P204" s="326"/>
      <c r="Q204" s="326"/>
      <c r="R204" s="326"/>
      <c r="S204" s="326"/>
      <c r="T204" s="326"/>
      <c r="U204" s="326"/>
      <c r="V204" s="326"/>
      <c r="W204" s="326"/>
      <c r="X204" s="326"/>
      <c r="Y204" s="326"/>
      <c r="Z204" s="326"/>
      <c r="AA204" s="326"/>
      <c r="AB204" s="309"/>
      <c r="AC204" s="309"/>
      <c r="AD204" s="309"/>
      <c r="AE204" s="309"/>
      <c r="AF204" s="309"/>
      <c r="AG204" s="309"/>
      <c r="AH204" s="309"/>
      <c r="AI204" s="309"/>
      <c r="AJ204" s="309"/>
      <c r="AK204" s="309"/>
      <c r="AL204" s="609">
        <v>1</v>
      </c>
    </row>
    <row r="205" spans="1:38" ht="21" customHeight="1" x14ac:dyDescent="0.25">
      <c r="A205" s="326"/>
      <c r="B205" s="593" t="s">
        <v>5091</v>
      </c>
      <c r="C205" s="353" t="s">
        <v>5033</v>
      </c>
      <c r="D205" s="352">
        <f>IF(OR(ISBLANK(C205),C205=""),"",IF(ISTEXT(C205),0,IF($C$200=0,0,C205/$C$200)))</f>
        <v>0</v>
      </c>
      <c r="E205" s="355" t="str">
        <f>IF(OR(ISBLANK(C205),C205=""),"",IF(ISTEXT(C205),C205,IF($C$200=0,0,C205/$C$200*$F$199)))</f>
        <v>libre</v>
      </c>
      <c r="F205" s="354" t="str">
        <f>IF(OR(ISBLANK(E205),E205=""),"",IF(ISTEXT(E205),E205,IF(E205=0,0,IF(ABS(E205-$F$199)&lt;0.0000001,"chaque repas",$F$199/E205))))</f>
        <v>libre</v>
      </c>
      <c r="G205" s="326"/>
      <c r="H205" s="326"/>
      <c r="I205" s="326"/>
      <c r="J205" s="326"/>
      <c r="K205" s="326"/>
      <c r="L205" s="326"/>
      <c r="M205" s="326"/>
      <c r="N205" s="326"/>
      <c r="O205" s="326"/>
      <c r="P205" s="326"/>
      <c r="Q205" s="326"/>
      <c r="R205" s="326"/>
      <c r="S205" s="326"/>
      <c r="T205" s="326"/>
      <c r="U205" s="326"/>
      <c r="V205" s="326"/>
      <c r="W205" s="326"/>
      <c r="X205" s="326"/>
      <c r="Y205" s="326"/>
      <c r="Z205" s="326"/>
      <c r="AA205" s="326"/>
      <c r="AB205" s="309"/>
      <c r="AC205" s="309"/>
      <c r="AD205" s="309"/>
      <c r="AE205" s="309"/>
      <c r="AF205" s="309"/>
      <c r="AG205" s="309"/>
      <c r="AH205" s="309"/>
      <c r="AI205" s="309"/>
      <c r="AJ205" s="309"/>
      <c r="AK205" s="309"/>
      <c r="AL205" s="609">
        <v>1</v>
      </c>
    </row>
    <row r="206" spans="1:38" ht="21" customHeight="1" x14ac:dyDescent="0.25">
      <c r="A206" s="326"/>
      <c r="B206" s="594" t="s">
        <v>5090</v>
      </c>
      <c r="C206" s="353">
        <v>8</v>
      </c>
      <c r="D206" s="352">
        <f>IF(OR(ISBLANK(C206),C206=""),"",IF(ISTEXT(C206),0,IF($C$200=0,0,C206/$C$200)))</f>
        <v>0.2857142857142857</v>
      </c>
      <c r="E206" s="351">
        <f>IF(OR(ISBLANK(C206),C206=""),"",IF(ISTEXT(C206),C206,IF($C$200=0,0,C206/$C$200*$F$199)))</f>
        <v>104.57142857142857</v>
      </c>
      <c r="F206" s="350">
        <f>IF(OR(ISBLANK(E206),E206=""),"",IF(ISTEXT(E206),E206,IF(E206=0,0,IF(ABS(E206-$F$199)&lt;0.0000001,"chaque repas",$F$199/E206))))</f>
        <v>3.5</v>
      </c>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09"/>
      <c r="AC206" s="309"/>
      <c r="AD206" s="309"/>
      <c r="AE206" s="309"/>
      <c r="AF206" s="309"/>
      <c r="AG206" s="309"/>
      <c r="AH206" s="309"/>
      <c r="AI206" s="309"/>
      <c r="AJ206" s="309"/>
      <c r="AK206" s="309"/>
      <c r="AL206" s="609">
        <v>1</v>
      </c>
    </row>
    <row r="207" spans="1:38" ht="21" customHeight="1" thickBot="1" x14ac:dyDescent="0.3">
      <c r="A207" s="326"/>
      <c r="B207" s="331" t="s">
        <v>5089</v>
      </c>
      <c r="C207" s="330"/>
      <c r="D207" s="329" t="s">
        <v>5088</v>
      </c>
      <c r="E207" s="349">
        <f>$F$199/$F$200</f>
        <v>52.285714285714285</v>
      </c>
      <c r="F207" s="348" t="s">
        <v>5074</v>
      </c>
      <c r="G207" s="326"/>
      <c r="H207" s="326"/>
      <c r="I207" s="326"/>
      <c r="J207" s="326"/>
      <c r="K207" s="326"/>
      <c r="L207" s="326"/>
      <c r="M207" s="326"/>
      <c r="N207" s="326"/>
      <c r="O207" s="326"/>
      <c r="P207" s="326"/>
      <c r="Q207" s="326"/>
      <c r="R207" s="326"/>
      <c r="S207" s="326"/>
      <c r="T207" s="326"/>
      <c r="U207" s="326"/>
      <c r="V207" s="326"/>
      <c r="W207" s="326"/>
      <c r="X207" s="326"/>
      <c r="Y207" s="326"/>
      <c r="Z207" s="326"/>
      <c r="AA207" s="326"/>
      <c r="AB207" s="309"/>
      <c r="AC207" s="309"/>
      <c r="AD207" s="309"/>
      <c r="AE207" s="309"/>
      <c r="AF207" s="309"/>
      <c r="AG207" s="309"/>
      <c r="AH207" s="309"/>
      <c r="AI207" s="309"/>
      <c r="AJ207" s="309"/>
      <c r="AK207" s="309"/>
      <c r="AL207" s="609">
        <v>1</v>
      </c>
    </row>
    <row r="208" spans="1:38" ht="16.5" thickBot="1" x14ac:dyDescent="0.3">
      <c r="A208" s="326"/>
      <c r="G208" s="326"/>
      <c r="H208" s="326"/>
      <c r="I208" s="326"/>
      <c r="J208" s="326"/>
      <c r="K208" s="326"/>
      <c r="L208" s="326"/>
      <c r="M208" s="326"/>
      <c r="N208" s="326"/>
      <c r="O208" s="326"/>
      <c r="P208" s="326"/>
      <c r="Q208" s="326"/>
      <c r="R208" s="326"/>
      <c r="S208" s="326"/>
      <c r="T208" s="326"/>
      <c r="U208" s="326"/>
      <c r="V208" s="326"/>
      <c r="W208" s="326"/>
      <c r="X208" s="326"/>
      <c r="Y208" s="326"/>
      <c r="Z208" s="326"/>
      <c r="AA208" s="326"/>
      <c r="AB208" s="309"/>
      <c r="AC208" s="309"/>
      <c r="AD208" s="309"/>
      <c r="AE208" s="309"/>
      <c r="AF208" s="309"/>
      <c r="AG208" s="309"/>
      <c r="AH208" s="309"/>
      <c r="AI208" s="309"/>
      <c r="AJ208" s="309"/>
      <c r="AK208" s="309"/>
      <c r="AL208" s="609">
        <v>1</v>
      </c>
    </row>
    <row r="209" spans="1:38" ht="25.5" x14ac:dyDescent="0.25">
      <c r="A209" s="326"/>
      <c r="B209" s="589" t="s">
        <v>5087</v>
      </c>
      <c r="C209" s="1903" t="s">
        <v>5086</v>
      </c>
      <c r="D209" s="1904"/>
      <c r="E209" s="347" t="s">
        <v>5085</v>
      </c>
      <c r="F209" s="346">
        <v>145</v>
      </c>
      <c r="G209" s="326"/>
      <c r="H209" s="326"/>
      <c r="I209" s="326"/>
      <c r="J209" s="326"/>
      <c r="K209" s="326"/>
      <c r="L209" s="326"/>
      <c r="M209" s="326"/>
      <c r="N209" s="326"/>
      <c r="O209" s="326"/>
      <c r="P209" s="326"/>
      <c r="Q209" s="326"/>
      <c r="R209" s="326"/>
      <c r="S209" s="326"/>
      <c r="T209" s="326"/>
      <c r="U209" s="326"/>
      <c r="V209" s="326"/>
      <c r="W209" s="326"/>
      <c r="X209" s="326"/>
      <c r="Y209" s="326"/>
      <c r="Z209" s="326"/>
      <c r="AA209" s="326"/>
      <c r="AB209" s="309"/>
      <c r="AC209" s="309"/>
      <c r="AD209" s="309"/>
      <c r="AE209" s="309"/>
      <c r="AF209" s="309"/>
      <c r="AG209" s="309"/>
      <c r="AH209" s="309"/>
      <c r="AI209" s="309"/>
      <c r="AJ209" s="309"/>
      <c r="AK209" s="309"/>
      <c r="AL209" s="609">
        <v>1</v>
      </c>
    </row>
    <row r="210" spans="1:38" ht="23.25" thickBot="1" x14ac:dyDescent="0.3">
      <c r="A210" s="326"/>
      <c r="B210" s="343" t="s">
        <v>5084</v>
      </c>
      <c r="C210" s="1905">
        <v>20</v>
      </c>
      <c r="D210" s="1906"/>
      <c r="E210" s="345" t="s">
        <v>5083</v>
      </c>
      <c r="F210" s="344">
        <v>4</v>
      </c>
      <c r="G210" s="326"/>
      <c r="H210" s="326"/>
      <c r="I210" s="326"/>
      <c r="J210" s="326"/>
      <c r="K210" s="326"/>
      <c r="L210" s="326"/>
      <c r="M210" s="326"/>
      <c r="N210" s="326"/>
      <c r="O210" s="326"/>
      <c r="P210" s="326"/>
      <c r="Q210" s="326"/>
      <c r="R210" s="326"/>
      <c r="S210" s="326"/>
      <c r="T210" s="326"/>
      <c r="U210" s="326"/>
      <c r="V210" s="326"/>
      <c r="W210" s="326"/>
      <c r="X210" s="326"/>
      <c r="Y210" s="326"/>
      <c r="Z210" s="326"/>
      <c r="AA210" s="326"/>
      <c r="AB210" s="309"/>
      <c r="AC210" s="309"/>
      <c r="AD210" s="309"/>
      <c r="AE210" s="309"/>
      <c r="AF210" s="309"/>
      <c r="AG210" s="309"/>
      <c r="AH210" s="309"/>
      <c r="AI210" s="309"/>
      <c r="AJ210" s="309"/>
      <c r="AK210" s="309"/>
      <c r="AL210" s="609">
        <v>1</v>
      </c>
    </row>
    <row r="211" spans="1:38" ht="18.75" customHeight="1" x14ac:dyDescent="0.25">
      <c r="A211" s="326"/>
      <c r="B211" s="343" t="s">
        <v>5082</v>
      </c>
      <c r="C211" s="1907" t="s">
        <v>5081</v>
      </c>
      <c r="D211" s="1908"/>
      <c r="E211" s="342" t="s">
        <v>5052</v>
      </c>
      <c r="F211" s="341" t="s">
        <v>5080</v>
      </c>
      <c r="G211" s="326"/>
      <c r="H211" s="326"/>
      <c r="I211" s="326"/>
      <c r="J211" s="326"/>
      <c r="K211" s="326"/>
      <c r="L211" s="326"/>
      <c r="M211" s="326"/>
      <c r="N211" s="326"/>
      <c r="O211" s="326"/>
      <c r="P211" s="326"/>
      <c r="Q211" s="326"/>
      <c r="R211" s="326"/>
      <c r="S211" s="326"/>
      <c r="T211" s="326"/>
      <c r="U211" s="326"/>
      <c r="V211" s="326"/>
      <c r="W211" s="326"/>
      <c r="X211" s="326"/>
      <c r="Y211" s="326"/>
      <c r="Z211" s="326"/>
      <c r="AA211" s="326"/>
      <c r="AB211" s="309"/>
      <c r="AC211" s="309"/>
      <c r="AD211" s="309"/>
      <c r="AE211" s="309"/>
      <c r="AF211" s="309"/>
      <c r="AG211" s="309"/>
      <c r="AH211" s="309"/>
      <c r="AI211" s="309"/>
      <c r="AJ211" s="309"/>
      <c r="AK211" s="309"/>
      <c r="AL211" s="609">
        <v>1</v>
      </c>
    </row>
    <row r="212" spans="1:38" ht="21" customHeight="1" x14ac:dyDescent="0.25">
      <c r="A212" s="326"/>
      <c r="B212" s="340" t="s">
        <v>5079</v>
      </c>
      <c r="C212" s="335">
        <v>10</v>
      </c>
      <c r="D212" s="334">
        <f>IF(OR(ISBLANK(C212),C212=""),"",IF(ISTEXT(C212),0,IF(C210=0,0,C212/C210)))</f>
        <v>0.5</v>
      </c>
      <c r="E212" s="338">
        <f>IF(OR(ISBLANK(C212),C212=""),"",IF(ISTEXT(C212),C212,IF(C210=0,0,C212/C210*F209)))</f>
        <v>72.5</v>
      </c>
      <c r="F212" s="337">
        <f>IF(OR(ISBLANK(E212),E212=""),"",IF(ISTEXT(E212),E212,IF(E212=0,0,IF(ABS(E212-F209)&lt;0.0000001,"chaque repas",F209/E212))))</f>
        <v>2</v>
      </c>
      <c r="G212" s="326"/>
      <c r="H212" s="326"/>
      <c r="I212" s="326"/>
      <c r="J212" s="326"/>
      <c r="K212" s="326"/>
      <c r="L212" s="326"/>
      <c r="M212" s="326"/>
      <c r="N212" s="326"/>
      <c r="O212" s="326"/>
      <c r="P212" s="326"/>
      <c r="Q212" s="326"/>
      <c r="R212" s="326"/>
      <c r="S212" s="326"/>
      <c r="T212" s="326"/>
      <c r="U212" s="326"/>
      <c r="V212" s="326"/>
      <c r="W212" s="326"/>
      <c r="X212" s="326"/>
      <c r="Y212" s="326"/>
      <c r="Z212" s="326"/>
      <c r="AA212" s="326"/>
      <c r="AB212" s="309"/>
      <c r="AC212" s="309"/>
      <c r="AD212" s="309"/>
      <c r="AE212" s="309"/>
      <c r="AF212" s="309"/>
      <c r="AG212" s="309"/>
      <c r="AH212" s="309"/>
      <c r="AI212" s="309"/>
      <c r="AJ212" s="309"/>
      <c r="AK212" s="309"/>
      <c r="AL212" s="609">
        <v>1</v>
      </c>
    </row>
    <row r="213" spans="1:38" ht="21" customHeight="1" x14ac:dyDescent="0.25">
      <c r="A213" s="326"/>
      <c r="B213" s="339" t="s">
        <v>5078</v>
      </c>
      <c r="C213" s="335">
        <v>8</v>
      </c>
      <c r="D213" s="334">
        <f>IF(OR(ISBLANK(C213),C213=""),"",IF(ISTEXT(C213),0,IF(C210=0,0,C213/C210)))</f>
        <v>0.4</v>
      </c>
      <c r="E213" s="338">
        <f>IF(OR(ISBLANK(C213),C213=""),"",IF(ISTEXT(C213),C213,IF(C210=0,0,C213/C210*F209)))</f>
        <v>58</v>
      </c>
      <c r="F213" s="337">
        <f>IF(OR(ISBLANK(E213),E213=""),"",IF(ISTEXT(E213),E213,IF(E213=0,0,IF(ABS(E213-F209)&lt;0.0000001,"chaque repas",F209/E213))))</f>
        <v>2.5</v>
      </c>
      <c r="G213" s="326"/>
      <c r="H213" s="326"/>
      <c r="I213" s="326"/>
      <c r="J213" s="326"/>
      <c r="K213" s="326"/>
      <c r="L213" s="326"/>
      <c r="M213" s="326"/>
      <c r="N213" s="326"/>
      <c r="O213" s="326"/>
      <c r="P213" s="326"/>
      <c r="Q213" s="326"/>
      <c r="R213" s="326"/>
      <c r="S213" s="326"/>
      <c r="T213" s="326"/>
      <c r="U213" s="326"/>
      <c r="V213" s="326"/>
      <c r="W213" s="326"/>
      <c r="X213" s="326"/>
      <c r="Y213" s="326"/>
      <c r="Z213" s="326"/>
      <c r="AA213" s="326"/>
      <c r="AB213" s="309"/>
      <c r="AC213" s="309"/>
      <c r="AD213" s="309"/>
      <c r="AE213" s="309"/>
      <c r="AF213" s="309"/>
      <c r="AG213" s="309"/>
      <c r="AH213" s="309"/>
      <c r="AI213" s="309"/>
      <c r="AJ213" s="309"/>
      <c r="AK213" s="309"/>
      <c r="AL213" s="609">
        <v>1</v>
      </c>
    </row>
    <row r="214" spans="1:38" ht="21" customHeight="1" x14ac:dyDescent="0.25">
      <c r="A214" s="326"/>
      <c r="B214" s="339" t="s">
        <v>5077</v>
      </c>
      <c r="C214" s="335" t="s">
        <v>5033</v>
      </c>
      <c r="D214" s="334">
        <f>IF(OR(ISBLANK(C214),C214=""),"",IF(ISTEXT(C214),0,IF(C210=0,0,C214/C210)))</f>
        <v>0</v>
      </c>
      <c r="E214" s="338" t="str">
        <f>IF(OR(ISBLANK(C214),C214=""),"",IF(ISTEXT(C214),C214,IF(C210=0,0,C214/C210*F209)))</f>
        <v>libre</v>
      </c>
      <c r="F214" s="337" t="str">
        <f>IF(OR(ISBLANK(E214),E214=""),"",IF(ISTEXT(E214),E214,IF(E214=0,0,IF(ABS(E214-F209)&lt;0.0000001,"chaque repas",F209/E214))))</f>
        <v>libre</v>
      </c>
      <c r="G214" s="326"/>
      <c r="H214" s="326"/>
      <c r="I214" s="326"/>
      <c r="J214" s="326"/>
      <c r="K214" s="326"/>
      <c r="L214" s="326"/>
      <c r="M214" s="326"/>
      <c r="N214" s="326"/>
      <c r="O214" s="326"/>
      <c r="P214" s="326"/>
      <c r="Q214" s="326"/>
      <c r="R214" s="326"/>
      <c r="S214" s="326"/>
      <c r="T214" s="326"/>
      <c r="U214" s="326"/>
      <c r="V214" s="326"/>
      <c r="W214" s="326"/>
      <c r="X214" s="326"/>
      <c r="Y214" s="326"/>
      <c r="Z214" s="326"/>
      <c r="AA214" s="326"/>
      <c r="AB214" s="309"/>
      <c r="AC214" s="309"/>
      <c r="AD214" s="309"/>
      <c r="AE214" s="309"/>
      <c r="AF214" s="309"/>
      <c r="AG214" s="309"/>
      <c r="AH214" s="309"/>
      <c r="AI214" s="309"/>
      <c r="AJ214" s="309"/>
      <c r="AK214" s="309"/>
      <c r="AL214" s="609">
        <v>1</v>
      </c>
    </row>
    <row r="215" spans="1:38" ht="21" customHeight="1" x14ac:dyDescent="0.25">
      <c r="A215" s="326"/>
      <c r="B215" s="336" t="s">
        <v>5076</v>
      </c>
      <c r="C215" s="335" t="s">
        <v>5033</v>
      </c>
      <c r="D215" s="334">
        <f>IF(OR(ISBLANK(C215),C215=""),"",IF(ISTEXT(C215),0,IF(C210=0,0,C215/C210)))</f>
        <v>0</v>
      </c>
      <c r="E215" s="338" t="str">
        <f>IF(OR(ISBLANK(C215),C215=""),"",IF(ISTEXT(C215),C215,IF(C210=0,0,C215/C210*F209)))</f>
        <v>libre</v>
      </c>
      <c r="F215" s="337" t="str">
        <f>IF(OR(ISBLANK(E215),E215=""),"",IF(ISTEXT(E215),E215,IF(E215=0,0,IF(ABS(E215-F209)&lt;0.0000001,"chaque repas",F209/E215))))</f>
        <v>libre</v>
      </c>
      <c r="G215" s="326"/>
      <c r="H215" s="326"/>
      <c r="I215" s="326"/>
      <c r="J215" s="326"/>
      <c r="K215" s="326"/>
      <c r="L215" s="326"/>
      <c r="M215" s="326"/>
      <c r="N215" s="326"/>
      <c r="O215" s="326"/>
      <c r="P215" s="326"/>
      <c r="Q215" s="326"/>
      <c r="R215" s="326"/>
      <c r="S215" s="326"/>
      <c r="T215" s="326"/>
      <c r="U215" s="326"/>
      <c r="V215" s="326"/>
      <c r="W215" s="326"/>
      <c r="X215" s="326"/>
      <c r="Y215" s="326"/>
      <c r="Z215" s="326"/>
      <c r="AA215" s="326"/>
      <c r="AB215" s="309"/>
      <c r="AC215" s="309"/>
      <c r="AD215" s="309"/>
      <c r="AE215" s="309"/>
      <c r="AF215" s="309"/>
      <c r="AG215" s="309"/>
      <c r="AH215" s="309"/>
      <c r="AI215" s="309"/>
      <c r="AJ215" s="309"/>
      <c r="AK215" s="309"/>
      <c r="AL215" s="609">
        <v>1</v>
      </c>
    </row>
    <row r="216" spans="1:38" ht="21" customHeight="1" x14ac:dyDescent="0.25">
      <c r="A216" s="326"/>
      <c r="B216" s="336" t="s">
        <v>5075</v>
      </c>
      <c r="C216" s="335">
        <v>10</v>
      </c>
      <c r="D216" s="334">
        <f>IF(OR(ISBLANK(C216),C216=""),"",IF(ISTEXT(C216),0,IF(C210=0,0,C216/C210)))</f>
        <v>0.5</v>
      </c>
      <c r="E216" s="333">
        <f>IF(OR(ISBLANK(C216),C216=""),"",IF(ISTEXT(C216),C216,IF(C210=0,0,C216/C210*F209)))</f>
        <v>72.5</v>
      </c>
      <c r="F216" s="332">
        <f>IF(OR(ISBLANK(E216),E216=""),"",IF(ISTEXT(E216),E216,IF(E216=0,0,IF(ABS(E216-F209)&lt;0.0000001,"chaque repas",F209/E216))))</f>
        <v>2</v>
      </c>
      <c r="G216" s="326"/>
      <c r="H216" s="326"/>
      <c r="I216" s="326"/>
      <c r="J216" s="326"/>
      <c r="K216" s="326"/>
      <c r="L216" s="326"/>
      <c r="M216" s="326"/>
      <c r="N216" s="326"/>
      <c r="O216" s="326"/>
      <c r="P216" s="326"/>
      <c r="Q216" s="326"/>
      <c r="R216" s="326"/>
      <c r="S216" s="326"/>
      <c r="T216" s="326"/>
      <c r="U216" s="326"/>
      <c r="V216" s="326"/>
      <c r="W216" s="326"/>
      <c r="X216" s="326"/>
      <c r="Y216" s="326"/>
      <c r="Z216" s="326"/>
      <c r="AA216" s="326"/>
      <c r="AB216" s="309"/>
      <c r="AC216" s="309"/>
      <c r="AD216" s="309"/>
      <c r="AE216" s="309"/>
      <c r="AF216" s="309"/>
      <c r="AG216" s="309"/>
      <c r="AH216" s="309"/>
      <c r="AI216" s="309"/>
      <c r="AJ216" s="309"/>
      <c r="AK216" s="309"/>
      <c r="AL216" s="609">
        <v>1</v>
      </c>
    </row>
    <row r="217" spans="1:38" ht="21" customHeight="1" thickBot="1" x14ac:dyDescent="0.3">
      <c r="A217" s="326"/>
      <c r="B217" s="331"/>
      <c r="C217" s="330"/>
      <c r="D217" s="329">
        <f>SUM(D212:D216)</f>
        <v>1.4</v>
      </c>
      <c r="E217" s="328">
        <f>F209/F210</f>
        <v>36.25</v>
      </c>
      <c r="F217" s="327" t="s">
        <v>5074</v>
      </c>
      <c r="G217" s="326"/>
      <c r="H217" s="326"/>
      <c r="I217" s="326"/>
      <c r="J217" s="326"/>
      <c r="K217" s="326"/>
      <c r="L217" s="326"/>
      <c r="M217" s="326"/>
      <c r="N217" s="326"/>
      <c r="O217" s="326"/>
      <c r="P217" s="326"/>
      <c r="Q217" s="326"/>
      <c r="R217" s="326"/>
      <c r="S217" s="326"/>
      <c r="T217" s="326"/>
      <c r="U217" s="326"/>
      <c r="V217" s="326"/>
      <c r="W217" s="326"/>
      <c r="X217" s="326"/>
      <c r="Y217" s="326"/>
      <c r="Z217" s="326"/>
      <c r="AA217" s="326"/>
      <c r="AB217" s="309"/>
      <c r="AC217" s="309"/>
      <c r="AD217" s="309"/>
      <c r="AE217" s="309"/>
      <c r="AF217" s="309"/>
      <c r="AG217" s="309"/>
      <c r="AH217" s="309"/>
      <c r="AI217" s="309"/>
      <c r="AJ217" s="309"/>
      <c r="AK217" s="309"/>
      <c r="AL217" s="609">
        <v>1</v>
      </c>
    </row>
    <row r="218" spans="1:38" s="307" customFormat="1" x14ac:dyDescent="0.25">
      <c r="A218" s="309"/>
      <c r="B218" s="309"/>
      <c r="C218" s="309"/>
      <c r="D218" s="309"/>
      <c r="E218" s="309"/>
      <c r="F218" s="309"/>
      <c r="G218" s="309"/>
      <c r="H218" s="309"/>
      <c r="I218" s="309"/>
      <c r="J218" s="309"/>
      <c r="K218" s="309"/>
      <c r="L218" s="309"/>
      <c r="M218" s="309"/>
      <c r="N218" s="309"/>
      <c r="O218" s="309"/>
      <c r="P218" s="309"/>
      <c r="Q218" s="309"/>
      <c r="R218" s="309"/>
      <c r="S218" s="309"/>
      <c r="T218" s="309"/>
      <c r="U218" s="309"/>
      <c r="V218" s="309"/>
      <c r="W218" s="309"/>
      <c r="X218" s="309"/>
      <c r="Y218" s="309"/>
      <c r="Z218" s="309"/>
      <c r="AA218" s="309"/>
      <c r="AB218" s="309"/>
      <c r="AC218" s="309"/>
      <c r="AD218" s="309"/>
      <c r="AE218" s="309"/>
      <c r="AF218" s="309"/>
      <c r="AG218" s="309"/>
      <c r="AH218" s="309"/>
      <c r="AI218" s="309"/>
      <c r="AJ218" s="309"/>
      <c r="AK218" s="309"/>
      <c r="AL218" s="609">
        <v>1</v>
      </c>
    </row>
    <row r="219" spans="1:38" s="307" customFormat="1" x14ac:dyDescent="0.25">
      <c r="A219" s="309"/>
      <c r="B219" s="309"/>
      <c r="C219" s="309"/>
      <c r="D219" s="309"/>
      <c r="E219" s="309"/>
      <c r="F219" s="309"/>
      <c r="G219" s="309"/>
      <c r="H219" s="309"/>
      <c r="I219" s="309"/>
      <c r="J219" s="309"/>
      <c r="K219" s="309"/>
      <c r="L219" s="309"/>
      <c r="M219" s="309"/>
      <c r="N219" s="309"/>
      <c r="O219" s="309"/>
      <c r="P219" s="309"/>
      <c r="Q219" s="309"/>
      <c r="R219" s="309"/>
      <c r="S219" s="309"/>
      <c r="T219" s="309"/>
      <c r="U219" s="309"/>
      <c r="V219" s="309"/>
      <c r="W219" s="309"/>
      <c r="X219" s="309"/>
      <c r="Y219" s="309"/>
      <c r="Z219" s="309"/>
      <c r="AA219" s="309"/>
      <c r="AB219" s="309"/>
      <c r="AC219" s="309"/>
      <c r="AD219" s="309"/>
      <c r="AE219" s="309"/>
      <c r="AF219" s="309"/>
      <c r="AH219" s="309"/>
      <c r="AI219" s="309"/>
      <c r="AJ219" s="309"/>
      <c r="AK219" s="309"/>
      <c r="AL219" s="609">
        <v>1</v>
      </c>
    </row>
    <row r="220" spans="1:38" s="307" customFormat="1" ht="15.95" customHeight="1" x14ac:dyDescent="0.25">
      <c r="A220" s="309"/>
      <c r="B220" s="1887" t="s">
        <v>5073</v>
      </c>
      <c r="C220" s="681"/>
      <c r="D220" s="681"/>
      <c r="E220" s="681"/>
      <c r="F220" s="681"/>
      <c r="G220" s="681"/>
      <c r="H220" s="681"/>
      <c r="I220" s="681"/>
      <c r="J220" s="681"/>
      <c r="K220" s="681"/>
      <c r="L220" s="681"/>
      <c r="M220" s="681"/>
      <c r="N220" s="681"/>
      <c r="O220" s="681"/>
      <c r="P220" s="681"/>
      <c r="Q220" s="681"/>
      <c r="R220" s="681"/>
      <c r="S220" s="682"/>
      <c r="T220" s="682"/>
      <c r="U220" s="682"/>
      <c r="V220" s="682"/>
      <c r="W220" s="682"/>
      <c r="X220" s="682"/>
      <c r="Y220" s="682"/>
      <c r="Z220" s="682"/>
      <c r="AA220" s="682"/>
      <c r="AB220" s="682"/>
      <c r="AC220" s="682"/>
      <c r="AD220" s="1890" t="s">
        <v>5072</v>
      </c>
      <c r="AE220" s="1891"/>
      <c r="AF220" s="309"/>
      <c r="AG220" s="325" t="s">
        <v>5071</v>
      </c>
      <c r="AH220" s="683"/>
      <c r="AI220" s="683"/>
      <c r="AJ220" s="684"/>
      <c r="AK220" s="309"/>
      <c r="AL220" s="609">
        <v>1</v>
      </c>
    </row>
    <row r="221" spans="1:38" s="307" customFormat="1" ht="15.95" customHeight="1" x14ac:dyDescent="0.25">
      <c r="A221" s="309"/>
      <c r="B221" s="1888"/>
      <c r="C221" s="1892" t="s">
        <v>5070</v>
      </c>
      <c r="D221" s="1892"/>
      <c r="E221" s="1892"/>
      <c r="F221" s="1892"/>
      <c r="G221" s="1894">
        <v>2</v>
      </c>
      <c r="H221" s="1894"/>
      <c r="I221" s="1896" t="s">
        <v>5046</v>
      </c>
      <c r="J221" s="1896"/>
      <c r="K221" s="1896"/>
      <c r="L221" s="1896"/>
      <c r="M221" s="1897">
        <v>125</v>
      </c>
      <c r="N221" s="1897"/>
      <c r="O221" s="1899" t="s">
        <v>5069</v>
      </c>
      <c r="P221" s="1899"/>
      <c r="Q221" s="1899"/>
      <c r="R221" s="1899"/>
      <c r="S221" s="1900">
        <f>G221*M221</f>
        <v>250</v>
      </c>
      <c r="T221" s="1900"/>
      <c r="U221" s="1790" t="s">
        <v>5242</v>
      </c>
      <c r="V221" s="1790"/>
      <c r="W221" s="1790"/>
      <c r="X221" s="1790"/>
      <c r="Y221" s="1790"/>
      <c r="Z221" s="1790"/>
      <c r="AA221" s="1790"/>
      <c r="AB221" s="1790"/>
      <c r="AC221" s="1791"/>
      <c r="AD221" s="1890"/>
      <c r="AE221" s="1891"/>
      <c r="AF221" s="309"/>
      <c r="AG221" s="317" t="s">
        <v>5068</v>
      </c>
      <c r="AH221" s="685"/>
      <c r="AI221" s="685"/>
      <c r="AJ221" s="686"/>
      <c r="AK221" s="309"/>
      <c r="AL221" s="609">
        <v>1</v>
      </c>
    </row>
    <row r="222" spans="1:38" s="307" customFormat="1" ht="15.95" customHeight="1" x14ac:dyDescent="0.25">
      <c r="A222" s="309"/>
      <c r="B222" s="1888"/>
      <c r="C222" s="1892"/>
      <c r="D222" s="1892"/>
      <c r="E222" s="1892"/>
      <c r="F222" s="1892"/>
      <c r="G222" s="1894"/>
      <c r="H222" s="1894"/>
      <c r="I222" s="1896"/>
      <c r="J222" s="1896"/>
      <c r="K222" s="1896"/>
      <c r="L222" s="1896"/>
      <c r="M222" s="1897"/>
      <c r="N222" s="1897"/>
      <c r="O222" s="1899"/>
      <c r="P222" s="1899"/>
      <c r="Q222" s="1899"/>
      <c r="R222" s="1899"/>
      <c r="S222" s="1900"/>
      <c r="T222" s="1900"/>
      <c r="U222" s="1790"/>
      <c r="V222" s="1790"/>
      <c r="W222" s="1790"/>
      <c r="X222" s="1790"/>
      <c r="Y222" s="1790"/>
      <c r="Z222" s="1790"/>
      <c r="AA222" s="1790"/>
      <c r="AB222" s="1790"/>
      <c r="AC222" s="1791"/>
      <c r="AD222" s="1890"/>
      <c r="AE222" s="1891"/>
      <c r="AF222" s="309"/>
      <c r="AG222" s="317" t="s">
        <v>5067</v>
      </c>
      <c r="AH222" s="685"/>
      <c r="AI222" s="685"/>
      <c r="AJ222" s="686"/>
      <c r="AK222" s="309"/>
      <c r="AL222" s="609">
        <v>1</v>
      </c>
    </row>
    <row r="223" spans="1:38" s="307" customFormat="1" ht="15.95" customHeight="1" x14ac:dyDescent="0.25">
      <c r="A223" s="309"/>
      <c r="B223" s="1889"/>
      <c r="C223" s="1893"/>
      <c r="D223" s="1893"/>
      <c r="E223" s="1893"/>
      <c r="F223" s="1893"/>
      <c r="G223" s="1895"/>
      <c r="H223" s="1895"/>
      <c r="I223" s="1893"/>
      <c r="J223" s="1893"/>
      <c r="K223" s="1893"/>
      <c r="L223" s="1893"/>
      <c r="M223" s="1898"/>
      <c r="N223" s="1898"/>
      <c r="O223" s="1893"/>
      <c r="P223" s="1893"/>
      <c r="Q223" s="1893"/>
      <c r="R223" s="1893"/>
      <c r="S223" s="1895"/>
      <c r="T223" s="1895"/>
      <c r="U223" s="1792">
        <v>20</v>
      </c>
      <c r="V223" s="1792">
        <v>20</v>
      </c>
      <c r="W223" s="1792">
        <v>20</v>
      </c>
      <c r="X223" s="1792">
        <v>20</v>
      </c>
      <c r="Y223" s="1792">
        <v>20</v>
      </c>
      <c r="Z223" s="1792">
        <v>24</v>
      </c>
      <c r="AA223" s="1793">
        <v>28</v>
      </c>
      <c r="AB223" s="1901">
        <v>28</v>
      </c>
      <c r="AC223" s="1902">
        <v>56</v>
      </c>
      <c r="AD223" s="1890"/>
      <c r="AE223" s="1891"/>
      <c r="AF223" s="309"/>
      <c r="AG223" s="317" t="s">
        <v>5066</v>
      </c>
      <c r="AH223" s="685"/>
      <c r="AI223" s="685"/>
      <c r="AJ223" s="686"/>
      <c r="AK223" s="309"/>
      <c r="AL223" s="609">
        <v>1</v>
      </c>
    </row>
    <row r="224" spans="1:38" s="307" customFormat="1" ht="15.95" customHeight="1" x14ac:dyDescent="0.25">
      <c r="A224" s="309"/>
      <c r="B224" s="1889" t="s">
        <v>66</v>
      </c>
      <c r="C224" s="1875" t="s">
        <v>5065</v>
      </c>
      <c r="D224" s="1875"/>
      <c r="E224" s="1875" t="s">
        <v>5064</v>
      </c>
      <c r="F224" s="1875"/>
      <c r="G224" s="1875" t="s">
        <v>5063</v>
      </c>
      <c r="H224" s="1875"/>
      <c r="I224" s="1875" t="s">
        <v>5062</v>
      </c>
      <c r="J224" s="1875"/>
      <c r="K224" s="1875" t="s">
        <v>5057</v>
      </c>
      <c r="L224" s="1875"/>
      <c r="M224" s="1875" t="s">
        <v>5056</v>
      </c>
      <c r="N224" s="1875"/>
      <c r="O224" s="1875" t="s">
        <v>5055</v>
      </c>
      <c r="P224" s="1875"/>
      <c r="Q224" s="1876" t="s">
        <v>5054</v>
      </c>
      <c r="R224" s="1877"/>
      <c r="S224" s="1876" t="s">
        <v>5061</v>
      </c>
      <c r="T224" s="1877"/>
      <c r="U224" s="687" t="s">
        <v>5060</v>
      </c>
      <c r="V224" s="687" t="s">
        <v>5059</v>
      </c>
      <c r="W224" s="687" t="s">
        <v>259</v>
      </c>
      <c r="X224" s="687" t="s">
        <v>5058</v>
      </c>
      <c r="Y224" s="688" t="s">
        <v>5057</v>
      </c>
      <c r="Z224" s="688" t="s">
        <v>5056</v>
      </c>
      <c r="AA224" s="687" t="s">
        <v>5055</v>
      </c>
      <c r="AB224" s="689" t="s">
        <v>5054</v>
      </c>
      <c r="AC224" s="690" t="s">
        <v>5053</v>
      </c>
      <c r="AD224" s="1890"/>
      <c r="AE224" s="1891"/>
      <c r="AF224" s="309"/>
      <c r="AG224" s="324">
        <v>10</v>
      </c>
      <c r="AH224" s="323">
        <v>8</v>
      </c>
      <c r="AI224" s="691">
        <v>8</v>
      </c>
      <c r="AJ224" s="686"/>
      <c r="AK224" s="309"/>
      <c r="AL224" s="609">
        <v>1</v>
      </c>
    </row>
    <row r="225" spans="1:38" s="307" customFormat="1" ht="15.95" customHeight="1" x14ac:dyDescent="0.25">
      <c r="A225" s="309"/>
      <c r="B225" s="692"/>
      <c r="C225" s="693" t="s">
        <v>5052</v>
      </c>
      <c r="D225" s="694" t="s">
        <v>5051</v>
      </c>
      <c r="E225" s="693" t="s">
        <v>5052</v>
      </c>
      <c r="F225" s="695" t="s">
        <v>5051</v>
      </c>
      <c r="G225" s="693" t="s">
        <v>5052</v>
      </c>
      <c r="H225" s="695" t="s">
        <v>5051</v>
      </c>
      <c r="I225" s="693" t="s">
        <v>5052</v>
      </c>
      <c r="J225" s="695" t="s">
        <v>5051</v>
      </c>
      <c r="K225" s="693" t="s">
        <v>5052</v>
      </c>
      <c r="L225" s="695" t="s">
        <v>5051</v>
      </c>
      <c r="M225" s="693" t="s">
        <v>5052</v>
      </c>
      <c r="N225" s="695" t="s">
        <v>5051</v>
      </c>
      <c r="O225" s="693" t="s">
        <v>5052</v>
      </c>
      <c r="P225" s="695" t="s">
        <v>5051</v>
      </c>
      <c r="Q225" s="693" t="s">
        <v>5052</v>
      </c>
      <c r="R225" s="695" t="s">
        <v>5051</v>
      </c>
      <c r="S225" s="693" t="s">
        <v>5052</v>
      </c>
      <c r="T225" s="695" t="s">
        <v>5051</v>
      </c>
      <c r="U225" s="687" t="s">
        <v>5050</v>
      </c>
      <c r="V225" s="687" t="s">
        <v>5050</v>
      </c>
      <c r="W225" s="687" t="s">
        <v>5050</v>
      </c>
      <c r="X225" s="687" t="s">
        <v>5050</v>
      </c>
      <c r="Y225" s="688" t="s">
        <v>5050</v>
      </c>
      <c r="Z225" s="688" t="s">
        <v>5050</v>
      </c>
      <c r="AA225" s="687" t="s">
        <v>5050</v>
      </c>
      <c r="AB225" s="689" t="s">
        <v>5050</v>
      </c>
      <c r="AC225" s="690" t="s">
        <v>5050</v>
      </c>
      <c r="AD225" s="322"/>
      <c r="AE225" s="322"/>
      <c r="AF225" s="309"/>
      <c r="AG225" s="321" t="s">
        <v>5049</v>
      </c>
      <c r="AH225" s="685"/>
      <c r="AI225" s="685"/>
      <c r="AJ225" s="686"/>
      <c r="AK225" s="309"/>
      <c r="AL225" s="609">
        <v>1</v>
      </c>
    </row>
    <row r="226" spans="1:38" s="307" customFormat="1" ht="18" customHeight="1" x14ac:dyDescent="0.25">
      <c r="A226" s="309"/>
      <c r="B226" s="1878" t="s">
        <v>5048</v>
      </c>
      <c r="C226" s="1794">
        <f>IF(ISBLANK(U226),"",IF(ISTEXT(U226),U226,IF(U223=0,"",ROUND(U226/U223*S221,1))))</f>
        <v>50</v>
      </c>
      <c r="D226" s="1796">
        <f>IF(ISBLANK(U226),"",IF(ISTEXT(U226),U226,IF(C226=0,"non servi",IF(ABS(C226-S221)&lt;0.0000001,"chaque repas",ROUND(S221/C226,1)))))</f>
        <v>5</v>
      </c>
      <c r="E226" s="1794" t="str">
        <f>IF(ISBLANK(V226),"",IF(ISTEXT(V226),V226,IF(V223=0,"",ROUND(V226/V223*S221,1))))</f>
        <v/>
      </c>
      <c r="F226" s="1796" t="str">
        <f>IF(ISBLANK(V226),"",IF(ISTEXT(V226),V226,IF(E226=0,"non servi",IF(ABS(E226-S221)&lt;0.0000001,"chaque repas",ROUND(S221/E226,1)))))</f>
        <v/>
      </c>
      <c r="G226" s="1794" t="str">
        <f>IF(ISBLANK(W226),"",IF(ISTEXT(W226),W226,IF(W223=0,"",ROUND(W226/W223*S221,1))))</f>
        <v/>
      </c>
      <c r="H226" s="1796" t="str">
        <f>IF(ISBLANK(W226),"",IF(ISTEXT(W226),W226,IF(G226=0,"non servi",IF(ABS(G226-S221)&lt;0.0000001,"chaque repas",ROUND(S221/G226,1)))))</f>
        <v/>
      </c>
      <c r="I226" s="1794">
        <f>IF(ISBLANK(X226),"",IF(ISTEXT(X226),X226,IF(X223=0,"",ROUND(X226/X223*S221,1))))</f>
        <v>12.5</v>
      </c>
      <c r="J226" s="1796">
        <f>IF(ISBLANK(X226),"",IF(ISTEXT(X226),X226,IF(I226=0,"non servi",IF(ABS(I226-S221)&lt;0.0000001,"chaque repas",ROUND(S221/I226,1)))))</f>
        <v>20</v>
      </c>
      <c r="K226" s="1794">
        <f>IF(ISBLANK(Y226),"",IF(ISTEXT(Y226),Y226,IF(Y223=0,"",ROUND(Y226/Y223*S221,1))))</f>
        <v>100</v>
      </c>
      <c r="L226" s="1796">
        <f>IF(ISBLANK(Y226),"",IF(ISTEXT(Y226),Y226,IF(K226=0,"non servi",IF(ABS(K226-S221)&lt;0.0000001,"chaque repas",ROUND(S221/K226,1)))))</f>
        <v>2.5</v>
      </c>
      <c r="M226" s="1794">
        <f>IF(ISBLANK(Z226),"",IF(ISTEXT(Z226),Z226,IF(Z223=0,"",ROUND(Z226/Z223*S221,1))))</f>
        <v>104.2</v>
      </c>
      <c r="N226" s="1796">
        <f>IF(ISBLANK(Z226),"",IF(ISTEXT(Z226),Z226,IF(M226=0,"non servi",IF(ABS(M226-S221)&lt;0.0000001,"chaque repas",ROUND(S221/M226,1)))))</f>
        <v>2.4</v>
      </c>
      <c r="O226" s="1794">
        <f>IF(ISBLANK(AA226),"",IF(ISTEXT(AA226),AA226,IF(AA223=0,"",ROUND(AA226/AA223*S221,1))))</f>
        <v>107.1</v>
      </c>
      <c r="P226" s="1796">
        <f>IF(ISBLANK(AA226),"",IF(ISTEXT(AA226),AA226,IF(O226=0,"non servi",IF(ABS(O226-S221)&lt;0.0000001,"chaque repas",ROUND(S221/O226,1)))))</f>
        <v>2.2999999999999998</v>
      </c>
      <c r="Q226" s="1794">
        <f>IF(ISBLANK(AB226),"",IF(ISTEXT(AB226),AB226,IF(AB223=0,"",ROUND(AB226/AB223*S221,1))))</f>
        <v>17.899999999999999</v>
      </c>
      <c r="R226" s="696">
        <f>IF(ISBLANK(AB226),"",IF(ISTEXT(AB226),AB226,IF(Q226=0,"non servi",IF(ABS(Q226-S221)&lt;0.0000001,"chaque repas",ROUND(S221/Q226,1)))))</f>
        <v>14</v>
      </c>
      <c r="S226" s="1798">
        <f>IF(ISBLANK(AC226),"",IF(ISTEXT(AC226),AC226,IF(AC223=0,"",ROUND(AC226/AC223*S221,1))))</f>
        <v>35.700000000000003</v>
      </c>
      <c r="T226" s="1800">
        <f>IF(ISBLANK(AC226),"",IF(ISTEXT(AC226),AC226,IF(S226=0,"non servi",IF(ABS(S226-S221)&lt;0.0000001,"chaque repas",ROUND(S221/S226,1)))))</f>
        <v>7</v>
      </c>
      <c r="U226" s="1874">
        <v>4</v>
      </c>
      <c r="V226" s="1874"/>
      <c r="W226" s="1874"/>
      <c r="X226" s="1806">
        <v>1</v>
      </c>
      <c r="Y226" s="1806">
        <v>8</v>
      </c>
      <c r="Z226" s="1804">
        <v>10</v>
      </c>
      <c r="AA226" s="1804">
        <v>12</v>
      </c>
      <c r="AB226" s="1804">
        <v>2</v>
      </c>
      <c r="AC226" s="1804">
        <v>8</v>
      </c>
      <c r="AD226" s="1864" t="s">
        <v>5047</v>
      </c>
      <c r="AE226" s="1865"/>
      <c r="AF226" s="309"/>
      <c r="AG226" s="320" t="s">
        <v>5046</v>
      </c>
      <c r="AH226" s="685"/>
      <c r="AI226" s="685"/>
      <c r="AJ226" s="686"/>
      <c r="AK226" s="309"/>
      <c r="AL226" s="609">
        <v>1</v>
      </c>
    </row>
    <row r="227" spans="1:38" s="307" customFormat="1" ht="18" customHeight="1" x14ac:dyDescent="0.25">
      <c r="A227" s="309"/>
      <c r="B227" s="1879" t="s">
        <v>5243</v>
      </c>
      <c r="C227" s="1795" t="str">
        <f t="shared" ref="C227:C235" si="9">IF(ISBLANK(U227),"",IF(ISTEXT(U227),U227,IF(U$48=0,"",ROUND(U227/U$48*$S$46,1))))</f>
        <v/>
      </c>
      <c r="D227" s="1797" t="e">
        <f t="shared" ref="D227:D235" si="10">IF(ISBLANK(U227),"",IF(ISTEXT(U227),U227,IF(C227=0,"non servi",IF(ABS(C227-$S$46)&lt;0.0000001,"chaque repas",ROUND($S$46/C227,1)))))</f>
        <v>#VALUE!</v>
      </c>
      <c r="E227" s="1795" t="str">
        <f t="shared" ref="E227:E235" si="11">IF(ISBLANK(V227),"",IF(ISTEXT(V227),V227,IF(V$48=0,"",ROUND(V227/V$48*$S$46,1))))</f>
        <v/>
      </c>
      <c r="F227" s="1797" t="str">
        <f t="shared" ref="F227:F235" si="12">IF(ISBLANK(V227),"",IF(ISTEXT(V227),V227,IF(E227=0,"non servi",IF(ABS(E227-$S$46)&lt;0.0000001,"chaque repas",ROUND($S$46/E227,1)))))</f>
        <v/>
      </c>
      <c r="G227" s="1795" t="str">
        <f t="shared" ref="G227:G235" si="13">IF(ISBLANK(W227),"",IF(ISTEXT(W227),W227,IF(W$48=0,"",ROUND(W227/W$48*$S$46,1))))</f>
        <v>selon capacité</v>
      </c>
      <c r="H227" s="1797" t="str">
        <f t="shared" ref="H227:H235" si="14">IF(ISBLANK(W227),"",IF(ISTEXT(W227),W227,IF(G227=0,"non servi",IF(ABS(G227-$S$46)&lt;0.0000001,"chaque repas",ROUND($S$46/G227,1)))))</f>
        <v>selon capacité</v>
      </c>
      <c r="I227" s="1795" t="str">
        <f t="shared" ref="I227:I235" si="15">IF(ISBLANK(X227),"",IF(ISTEXT(X227),X227,IF(X$48=0,"",ROUND(X227/X$48*$S$46,1))))</f>
        <v/>
      </c>
      <c r="J227" s="1797" t="e">
        <f t="shared" ref="J227:J235" si="16">IF(ISBLANK(X227),"",IF(ISTEXT(X227),X227,IF(I227=0,"non servi",IF(ABS(I227-$S$46)&lt;0.0000001,"chaque repas",ROUND($S$46/I227,1)))))</f>
        <v>#VALUE!</v>
      </c>
      <c r="K227" s="1795" t="str">
        <f t="shared" ref="K227:K235" si="17">IF(ISBLANK(Y227),"",IF(ISTEXT(Y227),Y227,IF(Y$48=0,"",ROUND(Y227/Y$48*$S$46,1))))</f>
        <v/>
      </c>
      <c r="L227" s="1797" t="e">
        <f t="shared" ref="L227:L235" si="18">IF(ISBLANK(Y227),"",IF(ISTEXT(Y227),Y227,IF(K227=0,"non servi",IF(ABS(K227-$S$46)&lt;0.0000001,"chaque repas",ROUND($S$46/K227,1)))))</f>
        <v>#VALUE!</v>
      </c>
      <c r="M227" s="1795" t="str">
        <f t="shared" ref="M227:M235" si="19">IF(ISBLANK(Z227),"",IF(ISTEXT(Z227),Z227,IF(Z$48=0,"",ROUND(Z227/Z$48*$S$46,1))))</f>
        <v/>
      </c>
      <c r="N227" s="1797" t="e">
        <f t="shared" ref="N227:N235" si="20">IF(ISBLANK(Z227),"",IF(ISTEXT(Z227),Z227,IF(M227=0,"non servi",IF(ABS(M227-$S$46)&lt;0.0000001,"chaque repas",ROUND($S$46/M227,1)))))</f>
        <v>#VALUE!</v>
      </c>
      <c r="O227" s="1795" t="str">
        <f t="shared" ref="O227:O235" si="21">IF(ISBLANK(AA227),"",IF(ISTEXT(AA227),AA227,IF(AA$48=0,"",ROUND(AA227/AA$48*$S$46,1))))</f>
        <v/>
      </c>
      <c r="P227" s="1797" t="e">
        <f t="shared" ref="P227:P235" si="22">IF(ISBLANK(AA227),"",IF(ISTEXT(AA227),AA227,IF(O227=0,"non servi",IF(ABS(O227-$S$46)&lt;0.0000001,"chaque repas",ROUND($S$46/O227,1)))))</f>
        <v>#VALUE!</v>
      </c>
      <c r="Q227" s="1795" t="str">
        <f t="shared" ref="Q227:Q235" si="23">IF(ISBLANK(AB227),"",IF(ISTEXT(AB227),AB227,IF(AB$48=0,"",ROUND(AB227/AB$48*$S$46,1))))</f>
        <v>libre</v>
      </c>
      <c r="R227" s="700" t="str">
        <f>IF(ISBLANK(AB227),"",IF(ISTEXT(AB227),AB227,IF(Q227=0,"non servi",IF(ABS(Q227-S221)&lt;0.0000001,"chaque repas",ROUND(S221/Q227,1)))))</f>
        <v>libre</v>
      </c>
      <c r="S227" s="1799" t="str">
        <f t="shared" ref="S227:S235" si="24">IF(ISBLANK(AC227),"",IF(ISTEXT(AC227),AC227,IF(AC$48=0,"",ROUND(AC227/AC$48*$S$46,1))))</f>
        <v/>
      </c>
      <c r="T227" s="1801" t="e">
        <f t="shared" ref="T227:T235" si="25">IF(ISBLANK(AC227),"",IF(ISTEXT(AC227),AC227,IF(S227=0,"non servi",IF(ABS(S227-$S$46)&lt;0.0000001,"chaque repas",ROUND($S$46/S227,1)))))</f>
        <v>#VALUE!</v>
      </c>
      <c r="U227" s="1863">
        <v>10</v>
      </c>
      <c r="V227" s="1863"/>
      <c r="W227" s="1863" t="s">
        <v>5045</v>
      </c>
      <c r="X227" s="1803">
        <v>8</v>
      </c>
      <c r="Y227" s="1803">
        <v>10</v>
      </c>
      <c r="Z227" s="1805">
        <v>12</v>
      </c>
      <c r="AA227" s="1805">
        <v>14</v>
      </c>
      <c r="AB227" s="1805" t="s">
        <v>5033</v>
      </c>
      <c r="AC227" s="1805">
        <v>28</v>
      </c>
      <c r="AD227" s="1866"/>
      <c r="AE227" s="1867"/>
      <c r="AF227" s="309"/>
      <c r="AG227" s="319" t="s">
        <v>5044</v>
      </c>
      <c r="AH227" s="685"/>
      <c r="AI227" s="685"/>
      <c r="AJ227" s="686"/>
      <c r="AK227" s="309"/>
      <c r="AL227" s="609">
        <v>1</v>
      </c>
    </row>
    <row r="228" spans="1:38" s="307" customFormat="1" ht="21" customHeight="1" x14ac:dyDescent="0.25">
      <c r="A228" s="309"/>
      <c r="B228" s="703" t="s">
        <v>5227</v>
      </c>
      <c r="C228" s="698">
        <f>IF(ISBLANK(U228),"",IF(ISTEXT(U228),U228,IF(U223=0,"",ROUND(U228/U223*S221,1))))</f>
        <v>50</v>
      </c>
      <c r="D228" s="699">
        <f>IF(ISBLANK(U228),"",IF(ISTEXT(U228),U228,IF(C228=0,"non servi",IF(ABS(C228-S221)&lt;0.0000001,"chaque repas",ROUND(S221/C228,1)))))</f>
        <v>5</v>
      </c>
      <c r="E228" s="698" t="str">
        <f>IF(ISBLANK(V228),"",IF(ISTEXT(V228),V228,IF(V223=0,"",ROUND(V228/V223*S221,1))))</f>
        <v/>
      </c>
      <c r="F228" s="699" t="str">
        <f>IF(ISBLANK(V228),"",IF(ISTEXT(V228),V228,IF(E228=0,"non servi",IF(ABS(E228-S221)&lt;0.0000001,"chaque repas",ROUND(S221/E228,1)))))</f>
        <v/>
      </c>
      <c r="G228" s="698" t="str">
        <f>IF(ISBLANK(W228),"",IF(ISTEXT(W228),W228,IF(W223=0,"",ROUND(W228/W223*S221,1))))</f>
        <v/>
      </c>
      <c r="H228" s="699" t="str">
        <f>IF(ISBLANK(W228),"",IF(ISTEXT(W228),W228,IF(G228=0,"non servi",IF(ABS(G228-S221)&lt;0.0000001,"chaque repas",ROUND(S221/G228,1)))))</f>
        <v/>
      </c>
      <c r="I228" s="698">
        <f>IF(ISBLANK(X228),"",IF(ISTEXT(X228),X228,IF(X223=0,"",ROUND(X228/X223*S221,1))))</f>
        <v>25</v>
      </c>
      <c r="J228" s="699">
        <f>IF(ISBLANK(X228),"",IF(ISTEXT(X228),X228,IF(I228=0,"non servi",IF(ABS(I228-S221)&lt;0.0000001,"chaque repas",ROUND(S221/I228,1)))))</f>
        <v>10</v>
      </c>
      <c r="K228" s="698">
        <f>IF(ISBLANK(Y228),"",IF(ISTEXT(Y228),Y228,IF(Y223=0,"",ROUND(Y228/Y223*S221,1))))</f>
        <v>50</v>
      </c>
      <c r="L228" s="699">
        <f>IF(ISBLANK(Y228),"",IF(ISTEXT(Y228),Y228,IF(K228=0,"non servi",IF(ABS(K228-S221)&lt;0.0000001,"chaque repas",ROUND(S221/K228,1)))))</f>
        <v>5</v>
      </c>
      <c r="M228" s="698">
        <f>IF(ISBLANK(Z228),"",IF(ISTEXT(Z228),Z228,IF(Z223=0,"",ROUND(Z228/Z223*S221,1))))</f>
        <v>52.1</v>
      </c>
      <c r="N228" s="699">
        <f>IF(ISBLANK(Z228),"",IF(ISTEXT(Z228),Z228,IF(M228=0,"non servi",IF(ABS(M228-S221)&lt;0.0000001,"chaque repas",ROUND(S221/M228,1)))))</f>
        <v>4.8</v>
      </c>
      <c r="O228" s="698">
        <f>IF(ISBLANK(AA228),"",IF(ISTEXT(AA228),AA228,IF(AA223=0,"",ROUND(AA228/AA223*S221,1))))</f>
        <v>53.6</v>
      </c>
      <c r="P228" s="699">
        <f>IF(ISBLANK(AA228),"",IF(ISTEXT(AA228),AA228,IF(O228=0,"non servi",IF(ABS(O228-S221)&lt;0.0000001,"chaque repas",ROUND(S221/O228,1)))))</f>
        <v>4.7</v>
      </c>
      <c r="Q228" s="698">
        <f>IF(ISBLANK(AB228),"",IF(ISTEXT(AB228),AB228,IF(AB223=0,"",ROUND(AB228/AB223*S221,1))))</f>
        <v>35.700000000000003</v>
      </c>
      <c r="R228" s="700">
        <f>IF(ISBLANK(AB228),"",IF(ISTEXT(AB228),AB228,IF(Q228=0,"non servi",IF(ABS(Q228-S221)&lt;0.0000001,"chaque repas",ROUND(S221/Q228,1)))))</f>
        <v>7</v>
      </c>
      <c r="S228" s="701">
        <f>IF(ISBLANK(AC228),"",IF(ISTEXT(AC228),AC228,IF(AC223=0,"",ROUND(AC228/AC223*S221,1))))</f>
        <v>53.6</v>
      </c>
      <c r="T228" s="700">
        <f>IF(ISBLANK(AC228),"",IF(ISTEXT(AC228),AC228,IF(S228=0,"non servi",IF(ABS(S228-S221)&lt;0.0000001,"chaque repas",ROUND(S221/S228,1)))))</f>
        <v>4.7</v>
      </c>
      <c r="U228" s="602">
        <v>4</v>
      </c>
      <c r="V228" s="602"/>
      <c r="W228" s="602"/>
      <c r="X228" s="602">
        <v>2</v>
      </c>
      <c r="Y228" s="602">
        <v>4</v>
      </c>
      <c r="Z228" s="704">
        <v>5</v>
      </c>
      <c r="AA228" s="704">
        <v>6</v>
      </c>
      <c r="AB228" s="704">
        <v>4</v>
      </c>
      <c r="AC228" s="704">
        <v>12</v>
      </c>
      <c r="AD228" s="1866"/>
      <c r="AE228" s="1867"/>
      <c r="AF228" s="309"/>
      <c r="AG228" s="319" t="s">
        <v>5043</v>
      </c>
      <c r="AH228" s="685"/>
      <c r="AI228" s="685"/>
      <c r="AJ228" s="686"/>
      <c r="AK228" s="309"/>
      <c r="AL228" s="609">
        <v>1</v>
      </c>
    </row>
    <row r="229" spans="1:38" s="307" customFormat="1" ht="21" customHeight="1" x14ac:dyDescent="0.25">
      <c r="A229" s="309"/>
      <c r="B229" s="703" t="s">
        <v>5228</v>
      </c>
      <c r="C229" s="698">
        <f>IF(ISBLANK(U229),"",IF(ISTEXT(U229),U229,IF(U223=0,"",ROUND(U229/U223*S221,1))))</f>
        <v>25</v>
      </c>
      <c r="D229" s="699">
        <f>IF(ISBLANK(U229),"",IF(ISTEXT(U229),U229,IF(C229=0,"non servi",IF(ABS(C229-S221)&lt;0.0000001,"chaque repas",ROUND(S221/C229,1)))))</f>
        <v>10</v>
      </c>
      <c r="E229" s="698" t="str">
        <f>IF(ISBLANK(V229),"",IF(ISTEXT(V229),V229,IF(V223=0,"",ROUND(V229/V223*S221,1))))</f>
        <v/>
      </c>
      <c r="F229" s="699" t="str">
        <f>IF(ISBLANK(V229),"",IF(ISTEXT(V229),V229,IF(E229=0,"non servi",IF(ABS(E229-S221)&lt;0.0000001,"chaque repas",ROUND(S221/E229,1)))))</f>
        <v/>
      </c>
      <c r="G229" s="698" t="str">
        <f>IF(ISBLANK(W229),"",IF(ISTEXT(W229),W229,IF(W223=0,"",ROUND(W229/W223*S221,1))))</f>
        <v/>
      </c>
      <c r="H229" s="699" t="str">
        <f>IF(ISBLANK(W229),"",IF(ISTEXT(W229),W229,IF(G229=0,"non servi",IF(ABS(G229-S221)&lt;0.0000001,"chaque repas",ROUND(S221/G229,1)))))</f>
        <v/>
      </c>
      <c r="I229" s="698" t="str">
        <f>IF(ISBLANK(X229),"",IF(ISTEXT(X229),X229,IF(X223=0,"",ROUND(X229/X223*S221,1))))</f>
        <v/>
      </c>
      <c r="J229" s="699" t="str">
        <f>IF(ISBLANK(X229),"",IF(ISTEXT(X229),X229,IF(I229=0,"non servi",IF(ABS(I229-S221)&lt;0.0000001,"chaque repas",ROUND(S221/I229,1)))))</f>
        <v/>
      </c>
      <c r="K229" s="698">
        <f>IF(ISBLANK(Y229),"",IF(ISTEXT(Y229),Y229,IF(Y223=0,"",ROUND(Y229/Y223*S221,1))))</f>
        <v>25</v>
      </c>
      <c r="L229" s="699">
        <f>IF(ISBLANK(Y229),"",IF(ISTEXT(Y229),Y229,IF(K229=0,"non servi",IF(ABS(K229-S221)&lt;0.0000001,"chaque repas",ROUND(S221/K229,1)))))</f>
        <v>10</v>
      </c>
      <c r="M229" s="698">
        <f>IF(ISBLANK(Z229),"",IF(ISTEXT(Z229),Z229,IF(Z223=0,"",ROUND(Z229/Z223*S221,1))))</f>
        <v>20.8</v>
      </c>
      <c r="N229" s="699">
        <f>IF(ISBLANK(Z229),"",IF(ISTEXT(Z229),Z229,IF(M229=0,"non servi",IF(ABS(M229-S221)&lt;0.0000001,"chaque repas",ROUND(S221/M229,1)))))</f>
        <v>12</v>
      </c>
      <c r="O229" s="698">
        <f>IF(ISBLANK(AA229),"",IF(ISTEXT(AA229),AA229,IF(AA223=0,"",ROUND(AA229/AA223*S221,1))))</f>
        <v>26.8</v>
      </c>
      <c r="P229" s="699">
        <f>IF(ISBLANK(AA229),"",IF(ISTEXT(AA229),AA229,IF(O229=0,"non servi",IF(ABS(O229-S221)&lt;0.0000001,"chaque repas",ROUND(S221/O229,1)))))</f>
        <v>9.3000000000000007</v>
      </c>
      <c r="Q229" s="698">
        <f>IF(ISBLANK(AB229),"",IF(ISTEXT(AB229),AB229,IF(AB223=0,"",ROUND(AB229/AB223*S221,1))))</f>
        <v>53.6</v>
      </c>
      <c r="R229" s="700">
        <f>IF(ISBLANK(AB229),"",IF(ISTEXT(AB229),AB229,IF(Q229=0,"non servi",IF(ABS(Q229-S221)&lt;0.0000001,"chaque repas",ROUND(S221/Q229,1)))))</f>
        <v>4.7</v>
      </c>
      <c r="S229" s="701">
        <f>IF(ISBLANK(AC229),"",IF(ISTEXT(AC229),AC229,IF(AC223=0,"",ROUND(AC229/AC223*S221,1))))</f>
        <v>35.700000000000003</v>
      </c>
      <c r="T229" s="700">
        <f>IF(ISBLANK(AC229),"",IF(ISTEXT(AC229),AC229,IF(S229=0,"non servi",IF(ABS(S229-S221)&lt;0.0000001,"chaque repas",ROUND(S221/S229,1)))))</f>
        <v>7</v>
      </c>
      <c r="U229" s="705">
        <v>2</v>
      </c>
      <c r="V229" s="705"/>
      <c r="W229" s="705"/>
      <c r="X229" s="705"/>
      <c r="Y229" s="705">
        <v>2</v>
      </c>
      <c r="Z229" s="706">
        <v>2</v>
      </c>
      <c r="AA229" s="706">
        <v>3</v>
      </c>
      <c r="AB229" s="706">
        <v>6</v>
      </c>
      <c r="AC229" s="706">
        <v>8</v>
      </c>
      <c r="AD229" s="1866"/>
      <c r="AE229" s="1867"/>
      <c r="AF229" s="309"/>
      <c r="AG229" s="319" t="s">
        <v>5042</v>
      </c>
      <c r="AH229" s="685"/>
      <c r="AI229" s="685"/>
      <c r="AJ229" s="686"/>
      <c r="AK229" s="309"/>
      <c r="AL229" s="609">
        <v>1</v>
      </c>
    </row>
    <row r="230" spans="1:38" s="307" customFormat="1" ht="21" customHeight="1" x14ac:dyDescent="0.25">
      <c r="A230" s="309"/>
      <c r="B230" s="707" t="s">
        <v>5244</v>
      </c>
      <c r="C230" s="708">
        <f>IF(ISBLANK(U230),"",IF(ISTEXT(U230),U230,IF(U223=0,"",ROUND(U230/U223*S221,1))))</f>
        <v>50</v>
      </c>
      <c r="D230" s="709">
        <f>IF(ISBLANK(U230),"",IF(ISTEXT(U230),U230,IF(C230=0,"non servi",IF(ABS(C230-S221)&lt;0.0000001,"chaque repas",ROUND(S221/C230,1)))))</f>
        <v>5</v>
      </c>
      <c r="E230" s="710" t="str">
        <f>IF(ISBLANK(V230),"",IF(ISTEXT(V230),V230,IF(V223=0,"",ROUND(V230/V223*S221,1))))</f>
        <v/>
      </c>
      <c r="F230" s="709" t="str">
        <f>IF(ISBLANK(V230),"",IF(ISTEXT(V230),V230,IF(E230=0,"non servi",IF(ABS(E230-S221)&lt;0.0000001,"chaque repas",ROUND(S221/E230,1)))))</f>
        <v/>
      </c>
      <c r="G230" s="710" t="str">
        <f>IF(ISBLANK(W230),"",IF(ISTEXT(W230),W230,IF(W223=0,"",ROUND(W230/W223*S221,1))))</f>
        <v/>
      </c>
      <c r="H230" s="709" t="str">
        <f>IF(ISBLANK(W230),"",IF(ISTEXT(W230),W230,IF(G230=0,"non servi",IF(ABS(G230-S221)&lt;0.0000001,"chaque repas",ROUND(S221/G230,1)))))</f>
        <v/>
      </c>
      <c r="I230" s="710" t="str">
        <f>IF(ISBLANK(X230),"",IF(ISTEXT(X230),X230,IF(X223=0,"",ROUND(X230/X223*S221,1))))</f>
        <v/>
      </c>
      <c r="J230" s="709" t="str">
        <f>IF(ISBLANK(X230),"",IF(ISTEXT(X230),X230,IF(I230=0,"non servi",IF(ABS(I230-S221)&lt;0.0000001,"chaque repas",ROUND(S221/I230,1)))))</f>
        <v/>
      </c>
      <c r="K230" s="710">
        <f>IF(ISBLANK(Y230),"",IF(ISTEXT(Y230),Y230,IF(Y223=0,"",ROUND(Y230/Y223*S221,1))))</f>
        <v>50</v>
      </c>
      <c r="L230" s="709">
        <f>IF(ISBLANK(Y230),"",IF(ISTEXT(Y230),Y230,IF(K230=0,"non servi",IF(ABS(K230-S221)&lt;0.0000001,"chaque repas",ROUND(S221/K230,1)))))</f>
        <v>5</v>
      </c>
      <c r="M230" s="710">
        <f>IF(ISBLANK(Z230),"",IF(ISTEXT(Z230),Z230,IF(Z223=0,"",ROUND(Z230/Z223*S221,1))))</f>
        <v>52.1</v>
      </c>
      <c r="N230" s="709">
        <f>IF(ISBLANK(Z230),"",IF(ISTEXT(Z230),Z230,IF(M230=0,"non servi",IF(ABS(M230-S221)&lt;0.0000001,"chaque repas",ROUND(S221/M230,1)))))</f>
        <v>4.8</v>
      </c>
      <c r="O230" s="711">
        <f>IF(ISBLANK(AA230),"",IF(ISTEXT(AA230),AA230,IF(AA223=0,"",ROUND(AA230/AA223*S221,1))))</f>
        <v>44.6</v>
      </c>
      <c r="P230" s="709">
        <f>IF(ISBLANK(AA230),"",IF(ISTEXT(AA230),AA230,IF(O230=0,"non servi",IF(ABS(O230-S221)&lt;0.0000001,"chaque repas",ROUND(S221/O230,1)))))</f>
        <v>5.6</v>
      </c>
      <c r="Q230" s="710">
        <f>IF(ISBLANK(AB230),"",IF(ISTEXT(AB230),AB230,IF(AB223=0,"",ROUND(AB230/AB223*S221,1))))</f>
        <v>26.8</v>
      </c>
      <c r="R230" s="712">
        <f>IF(ISBLANK(AB230),"",IF(ISTEXT(AB230),AB230,IF(Q230=0,"non servi",IF(ABS(Q230-S221)&lt;0.0000001,"chaque repas",ROUND(S221/Q230,1)))))</f>
        <v>9.3000000000000007</v>
      </c>
      <c r="S230" s="710">
        <f>IF(ISBLANK(AC230),"",IF(ISTEXT(AC230),AC230,IF(AC223=0,"",ROUND(AC230/AC223*S221,1))))</f>
        <v>53.6</v>
      </c>
      <c r="T230" s="712">
        <f>IF(ISBLANK(AC230),"",IF(ISTEXT(AC230),AC230,IF(S230=0,"non servi",IF(ABS(S230-S221)&lt;0.0000001,"chaque repas",ROUND(S221/S230,1)))))</f>
        <v>4.7</v>
      </c>
      <c r="U230" s="702">
        <v>4</v>
      </c>
      <c r="V230" s="702"/>
      <c r="W230" s="702"/>
      <c r="X230" s="702"/>
      <c r="Y230" s="702">
        <v>4</v>
      </c>
      <c r="Z230" s="713">
        <v>5</v>
      </c>
      <c r="AA230" s="600">
        <v>5</v>
      </c>
      <c r="AB230" s="713">
        <v>3</v>
      </c>
      <c r="AC230" s="601">
        <v>12</v>
      </c>
      <c r="AD230" s="1866"/>
      <c r="AE230" s="1867"/>
      <c r="AF230" s="309"/>
      <c r="AG230" s="319" t="s">
        <v>5041</v>
      </c>
      <c r="AH230" s="685"/>
      <c r="AI230" s="685"/>
      <c r="AJ230" s="686"/>
      <c r="AK230" s="309"/>
      <c r="AL230" s="609">
        <v>1</v>
      </c>
    </row>
    <row r="231" spans="1:38" s="307" customFormat="1" ht="21" customHeight="1" x14ac:dyDescent="0.25">
      <c r="A231" s="309"/>
      <c r="B231" s="707" t="s">
        <v>5235</v>
      </c>
      <c r="C231" s="1870">
        <f>IF(ISBLANK(U231),"",IF(ISTEXT(U231),U231,IF(U223=0,"",ROUND(U231/U223*S221,1))))</f>
        <v>50</v>
      </c>
      <c r="D231" s="1871">
        <f>IF(ISBLANK(U231),"",IF(ISTEXT(U231),U231,IF(C231=0,"non servi",IF(ABS(C231-S221)&lt;0.0000001,"chaque repas",ROUND(S221/C231,1)))))</f>
        <v>5</v>
      </c>
      <c r="E231" s="1872">
        <f>IF(ISBLANK(V231),"",IF(ISTEXT(V231),V231,IF(V223=0,"",ROUND(V231/V223*S221,1))))</f>
        <v>50</v>
      </c>
      <c r="F231" s="1871">
        <f>IF(ISBLANK(V231),"",IF(ISTEXT(V231),V231,IF(E231=0,"non servi",IF(ABS(E231-S221)&lt;0.0000001,"chaque repas",ROUND(S221/E231,1)))))</f>
        <v>5</v>
      </c>
      <c r="G231" s="1872">
        <f>IF(ISBLANK(W231),"",IF(ISTEXT(W231),W231,IF(W223=0,"",ROUND(W231/W223*S221,1))))</f>
        <v>50</v>
      </c>
      <c r="H231" s="1871">
        <f>IF(ISBLANK(W231),"",IF(ISTEXT(W231),W231,IF(G231=0,"non servi",IF(ABS(G231-S221)&lt;0.0000001,"chaque repas",ROUND(S221/G231,1)))))</f>
        <v>5</v>
      </c>
      <c r="I231" s="1872">
        <f>IF(ISBLANK(X231),"",IF(ISTEXT(X231),X231,IF(X223=0,"",ROUND(X231/X223*S221,1))))</f>
        <v>50</v>
      </c>
      <c r="J231" s="1871">
        <f>IF(ISBLANK(X231),"",IF(ISTEXT(X231),X231,IF(I231=0,"non servi",IF(ABS(I231-S221)&lt;0.0000001,"chaque repas",ROUND(S221/I231,1)))))</f>
        <v>5</v>
      </c>
      <c r="K231" s="1872">
        <f>IF(ISBLANK(Y231),"",IF(ISTEXT(Y231),Y231,IF(Y223=0,"",ROUND(Y231/Y223*S221,1))))</f>
        <v>50</v>
      </c>
      <c r="L231" s="1871">
        <f>IF(ISBLANK(Y231),"",IF(ISTEXT(Y231),Y231,IF(K231=0,"non servi",IF(ABS(K231-S221)&lt;0.0000001,"chaque repas",ROUND(S221/K231,1)))))</f>
        <v>5</v>
      </c>
      <c r="M231" s="1872">
        <f>IF(ISBLANK(Z231),"",IF(ISTEXT(Z231),Z231,IF(Z223=0,"",ROUND(Z231/Z223*S221,1))))</f>
        <v>52.1</v>
      </c>
      <c r="N231" s="1871">
        <f>IF(ISBLANK(Z231),"",IF(ISTEXT(Z231),Z231,IF(M231=0,"non servi",IF(ABS(M231-S221)&lt;0.0000001,"chaque repas",ROUND(S221/M231,1)))))</f>
        <v>4.8</v>
      </c>
      <c r="O231" s="1873">
        <f>IF(ISBLANK(AA231),"",IF(ISTEXT(AA231),AA231,IF(AA223=0,"",ROUND(AA231/AA223*S221,1))))</f>
        <v>71.400000000000006</v>
      </c>
      <c r="P231" s="1871">
        <f>IF(ISBLANK(AA231),"",IF(ISTEXT(AA231),AA231,IF(O231=0,"non servi",IF(ABS(O231-S221)&lt;0.0000001,"chaque repas",ROUND(S221/O231,1)))))</f>
        <v>3.5</v>
      </c>
      <c r="Q231" s="1872" t="str">
        <f>IF(ISBLANK(AB231),"",IF(ISTEXT(AB231),AB231,IF(AB223=0,"",ROUND(AB231/AB223*S221,1))))</f>
        <v>libre</v>
      </c>
      <c r="R231" s="1785" t="str">
        <f>IF(ISBLANK(AB231),"",IF(ISTEXT(AB231),AB231,IF(Q231=0,"non servi",IF(ABS(Q231-S221)&lt;0.0000001,"chaque repas",ROUND(S221/Q231,1)))))</f>
        <v>libre</v>
      </c>
      <c r="S231" s="1786">
        <f>IF(ISBLANK(AC231),"",IF(ISTEXT(AC231),AC231,IF(AC223=0,"",ROUND(AC231/AC223*S221,1))))</f>
        <v>35.700000000000003</v>
      </c>
      <c r="T231" s="1785">
        <f>IF(ISBLANK(AC231),"",IF(ISTEXT(AC231),AC231,IF(S231=0,"non servi",IF(ABS(S231-S221)&lt;0.0000001,"chaque repas",ROUND(S221/S231,1)))))</f>
        <v>7</v>
      </c>
      <c r="U231" s="1804">
        <v>4</v>
      </c>
      <c r="V231" s="1804">
        <v>4</v>
      </c>
      <c r="W231" s="1806">
        <v>4</v>
      </c>
      <c r="X231" s="1804">
        <v>4</v>
      </c>
      <c r="Y231" s="1806">
        <v>4</v>
      </c>
      <c r="Z231" s="1806">
        <v>5</v>
      </c>
      <c r="AA231" s="1806">
        <v>8</v>
      </c>
      <c r="AB231" s="1806" t="s">
        <v>5033</v>
      </c>
      <c r="AC231" s="1806">
        <v>8</v>
      </c>
      <c r="AD231" s="1866"/>
      <c r="AE231" s="1867"/>
      <c r="AF231" s="309"/>
      <c r="AG231" s="318">
        <v>3.5</v>
      </c>
      <c r="AH231" s="317" t="s">
        <v>5040</v>
      </c>
      <c r="AI231" s="685"/>
      <c r="AJ231" s="686"/>
      <c r="AK231" s="309"/>
      <c r="AL231" s="609">
        <v>1</v>
      </c>
    </row>
    <row r="232" spans="1:38" s="307" customFormat="1" ht="21" customHeight="1" x14ac:dyDescent="0.25">
      <c r="A232" s="309"/>
      <c r="B232" s="714" t="s">
        <v>5236</v>
      </c>
      <c r="C232" s="1870" t="str">
        <f t="shared" si="9"/>
        <v/>
      </c>
      <c r="D232" s="1871" t="e">
        <f t="shared" si="10"/>
        <v>#VALUE!</v>
      </c>
      <c r="E232" s="1872" t="str">
        <f t="shared" si="11"/>
        <v/>
      </c>
      <c r="F232" s="1871" t="str">
        <f t="shared" si="12"/>
        <v/>
      </c>
      <c r="G232" s="1872" t="str">
        <f t="shared" si="13"/>
        <v/>
      </c>
      <c r="H232" s="1871" t="str">
        <f t="shared" si="14"/>
        <v/>
      </c>
      <c r="I232" s="1872" t="str">
        <f t="shared" si="15"/>
        <v/>
      </c>
      <c r="J232" s="1871" t="str">
        <f t="shared" si="16"/>
        <v/>
      </c>
      <c r="K232" s="1872" t="str">
        <f t="shared" si="17"/>
        <v/>
      </c>
      <c r="L232" s="1871" t="e">
        <f t="shared" si="18"/>
        <v>#VALUE!</v>
      </c>
      <c r="M232" s="1872" t="str">
        <f t="shared" si="19"/>
        <v/>
      </c>
      <c r="N232" s="1871" t="e">
        <f t="shared" si="20"/>
        <v>#VALUE!</v>
      </c>
      <c r="O232" s="1873" t="str">
        <f t="shared" si="21"/>
        <v/>
      </c>
      <c r="P232" s="1871" t="e">
        <f t="shared" si="22"/>
        <v>#VALUE!</v>
      </c>
      <c r="Q232" s="1872" t="str">
        <f t="shared" si="23"/>
        <v/>
      </c>
      <c r="R232" s="1785" t="e">
        <f t="shared" ref="R232" si="26">IF(ISBLANK(AB232),"",IF(ISTEXT(AB232),AB232,IF(Q232=0,"non servi",IF(ABS(Q232-$S$46)&lt;0.0000001,"chaque repas",ROUND($S$46/Q232,1)))))</f>
        <v>#VALUE!</v>
      </c>
      <c r="S232" s="1786" t="str">
        <f t="shared" si="24"/>
        <v/>
      </c>
      <c r="T232" s="1785" t="e">
        <f t="shared" si="25"/>
        <v>#VALUE!</v>
      </c>
      <c r="U232" s="1805">
        <v>3</v>
      </c>
      <c r="V232" s="1805"/>
      <c r="W232" s="1803"/>
      <c r="X232" s="1805"/>
      <c r="Y232" s="1803">
        <v>2</v>
      </c>
      <c r="Z232" s="1803">
        <v>2</v>
      </c>
      <c r="AA232" s="1803">
        <v>3</v>
      </c>
      <c r="AB232" s="1803">
        <v>8</v>
      </c>
      <c r="AC232" s="1803">
        <v>12</v>
      </c>
      <c r="AD232" s="1866"/>
      <c r="AE232" s="1867"/>
      <c r="AF232" s="309"/>
      <c r="AG232" s="715" t="s">
        <v>5039</v>
      </c>
      <c r="AH232" s="685"/>
      <c r="AI232" s="685"/>
      <c r="AJ232" s="686"/>
      <c r="AK232" s="309"/>
      <c r="AL232" s="609">
        <v>1</v>
      </c>
    </row>
    <row r="233" spans="1:38" s="307" customFormat="1" ht="21" customHeight="1" x14ac:dyDescent="0.25">
      <c r="A233" s="309"/>
      <c r="B233" s="716" t="s">
        <v>5222</v>
      </c>
      <c r="C233" s="708">
        <f>IF(ISBLANK(U233),"",IF(ISTEXT(U233),U233,IF(U223=0,"",ROUND(U233/U223*S221,1))))</f>
        <v>125</v>
      </c>
      <c r="D233" s="709">
        <f>IF(ISBLANK(U233),"",IF(ISTEXT(U233),U233,IF(C233=0,"non servi",IF(ABS(C233-S221)&lt;0.0000001,"chaque repas",ROUND(S221/C233,1)))))</f>
        <v>2</v>
      </c>
      <c r="E233" s="710">
        <f>IF(ISBLANK(V233),"",IF(ISTEXT(V233),V233,IF(V223=0,"",ROUND(V233/V223*S221,1))))</f>
        <v>250</v>
      </c>
      <c r="F233" s="709" t="str">
        <f>IF(ISBLANK(V233),"",IF(ISTEXT(V233),V233,IF(E233=0,"non servi",IF(ABS(E233-S221)&lt;0.0000001,"chaque repas",ROUND(S221/E233,1)))))</f>
        <v>chaque repas</v>
      </c>
      <c r="G233" s="710">
        <f>IF(ISBLANK(W233),"",IF(ISTEXT(W233),W233,IF(W223=0,"",ROUND(W233/W223*S221,1))))</f>
        <v>250</v>
      </c>
      <c r="H233" s="709" t="str">
        <f>IF(ISBLANK(W233),"",IF(ISTEXT(W233),W233,IF(G233=0,"non servi",IF(ABS(G233-S221)&lt;0.0000001,"chaque repas",ROUND(S221/G233,1)))))</f>
        <v>chaque repas</v>
      </c>
      <c r="I233" s="710">
        <f>IF(ISBLANK(X233),"",IF(ISTEXT(X233),X233,IF(X223=0,"",ROUND(X233/X223*S221,1))))</f>
        <v>125</v>
      </c>
      <c r="J233" s="709">
        <f>IF(ISBLANK(X233),"",IF(ISTEXT(X233),X233,IF(I233=0,"non servi",IF(ABS(I233-S221)&lt;0.0000001,"chaque repas",ROUND(S221/I233,1)))))</f>
        <v>2</v>
      </c>
      <c r="K233" s="710">
        <f>IF(ISBLANK(Y233),"",IF(ISTEXT(Y233),Y233,IF(Y223=0,"",ROUND(Y233/Y223*S221,1))))</f>
        <v>125</v>
      </c>
      <c r="L233" s="709">
        <f>IF(ISBLANK(Y233),"",IF(ISTEXT(Y233),Y233,IF(K233=0,"non servi",IF(ABS(K233-S221)&lt;0.0000001,"chaque repas",ROUND(S221/K233,1)))))</f>
        <v>2</v>
      </c>
      <c r="M233" s="710">
        <f>IF(ISBLANK(Z233),"",IF(ISTEXT(Z233),Z233,IF(Z223=0,"",ROUND(Z233/Z223*S221,1))))</f>
        <v>125</v>
      </c>
      <c r="N233" s="709">
        <f>IF(ISBLANK(Z233),"",IF(ISTEXT(Z233),Z233,IF(M233=0,"non servi",IF(ABS(M233-S221)&lt;0.0000001,"chaque repas",ROUND(S221/M233,1)))))</f>
        <v>2</v>
      </c>
      <c r="O233" s="711">
        <f>IF(ISBLANK(AA233),"",IF(ISTEXT(AA233),AA233,IF(AA223=0,"",ROUND(AA233/AA223*S221,1))))</f>
        <v>125</v>
      </c>
      <c r="P233" s="709">
        <f>IF(ISBLANK(AA233),"",IF(ISTEXT(AA233),AA233,IF(O233=0,"non servi",IF(ABS(O233-S221)&lt;0.0000001,"chaque repas",ROUND(S221/O233,1)))))</f>
        <v>2</v>
      </c>
      <c r="Q233" s="710">
        <f>IF(ISBLANK(AB233),"",IF(ISTEXT(AB233),AB233,IF(AB223=0,"",ROUND(AB233/AB223*S221,1))))</f>
        <v>107.1</v>
      </c>
      <c r="R233" s="712">
        <f>IF(ISBLANK(AB233),"",IF(ISTEXT(AB233),AB233,IF(Q233=0,"non servi",IF(ABS(Q233-S221)&lt;0.0000001,"chaque repas",ROUND(S221/Q233,1)))))</f>
        <v>2.2999999999999998</v>
      </c>
      <c r="S233" s="710">
        <f>IF(ISBLANK(AC233),"",IF(ISTEXT(AC233),AC233,IF(AC223=0,"",ROUND(AC233/AC223*S221,1))))</f>
        <v>107.1</v>
      </c>
      <c r="T233" s="712">
        <f>IF(ISBLANK(AC233),"",IF(ISTEXT(AC233),AC233,IF(S233=0,"non servi",IF(ABS(S233-S221)&lt;0.0000001,"chaque repas",ROUND(S221/S233,1)))))</f>
        <v>2.2999999999999998</v>
      </c>
      <c r="U233" s="705">
        <v>10</v>
      </c>
      <c r="V233" s="705">
        <v>20</v>
      </c>
      <c r="W233" s="603">
        <v>20</v>
      </c>
      <c r="X233" s="705">
        <v>10</v>
      </c>
      <c r="Y233" s="603">
        <v>10</v>
      </c>
      <c r="Z233" s="603">
        <v>12</v>
      </c>
      <c r="AA233" s="603">
        <v>14</v>
      </c>
      <c r="AB233" s="603">
        <v>12</v>
      </c>
      <c r="AC233" s="603">
        <v>24</v>
      </c>
      <c r="AD233" s="1868"/>
      <c r="AE233" s="1869"/>
      <c r="AF233" s="309"/>
      <c r="AG233" s="717" t="s">
        <v>5038</v>
      </c>
      <c r="AH233" s="718"/>
      <c r="AI233" s="718"/>
      <c r="AJ233" s="719"/>
      <c r="AK233" s="309"/>
      <c r="AL233" s="609">
        <v>1</v>
      </c>
    </row>
    <row r="234" spans="1:38" s="307" customFormat="1" ht="21" customHeight="1" x14ac:dyDescent="0.25">
      <c r="A234" s="309"/>
      <c r="B234" s="720" t="s">
        <v>5225</v>
      </c>
      <c r="C234" s="1857">
        <f>IF(ISBLANK(U234),"",IF(ISTEXT(U234),U234,IF(U223=0,"",ROUND(U234/U223*S221,1))))</f>
        <v>125</v>
      </c>
      <c r="D234" s="1788">
        <f>IF(ISBLANK(U234),"",IF(ISTEXT(U234),U234,IF(C234=0,"non servi",IF(ABS(C234-S221)&lt;0.0000001,"chaque repas",ROUND(S221/C234,1)))))</f>
        <v>2</v>
      </c>
      <c r="E234" s="1787">
        <f>IF(ISBLANK(V234),"",IF(ISTEXT(V234),V234,IF(V223=0,"",ROUND(V234/V223*S221,1))))</f>
        <v>250</v>
      </c>
      <c r="F234" s="1788" t="str">
        <f>IF(ISBLANK(V234),"",IF(ISTEXT(V234),V234,IF(E234=0,"non servi",IF(ABS(E234-S221)&lt;0.0000001,"chaque repas",ROUND(S221/E234,1)))))</f>
        <v>chaque repas</v>
      </c>
      <c r="G234" s="1787">
        <f>IF(ISBLANK(W234),"",IF(ISTEXT(W234),W234,IF(W223=0,"",ROUND(W234/W223*S221,1))))</f>
        <v>250</v>
      </c>
      <c r="H234" s="1788" t="str">
        <f>IF(ISBLANK(W234),"",IF(ISTEXT(W234),W234,IF(G234=0,"non servi",IF(ABS(G234-S221)&lt;0.0000001,"chaque repas",ROUND(S221/G234,1)))))</f>
        <v>chaque repas</v>
      </c>
      <c r="I234" s="1787">
        <f>IF(ISBLANK(X234),"",IF(ISTEXT(X234),X234,IF(X223=0,"",ROUND(X234/X223*S221,1))))</f>
        <v>125</v>
      </c>
      <c r="J234" s="1788">
        <f>IF(ISBLANK(X234),"",IF(ISTEXT(X234),X234,IF(I234=0,"non servi",IF(ABS(I234-S221)&lt;0.0000001,"chaque repas",ROUND(S221/I234,1)))))</f>
        <v>2</v>
      </c>
      <c r="K234" s="1787">
        <f>IF(ISBLANK(Y234),"",IF(ISTEXT(Y234),Y234,IF(Y223=0,"",ROUND(Y234/Y223*S221,1))))</f>
        <v>125</v>
      </c>
      <c r="L234" s="1788">
        <f>IF(ISBLANK(Y234),"",IF(ISTEXT(Y234),Y234,IF(K234=0,"non servi",IF(ABS(K234-S221)&lt;0.0000001,"chaque repas",ROUND(S221/K234,1)))))</f>
        <v>2</v>
      </c>
      <c r="M234" s="1787">
        <f>IF(ISBLANK(Z234),"",IF(ISTEXT(Z234),Z234,IF(Z223=0,"",ROUND(Z234/Z223*S221,1))))</f>
        <v>125</v>
      </c>
      <c r="N234" s="1788">
        <f>IF(ISBLANK(Z234),"",IF(ISTEXT(Z234),Z234,IF(M234=0,"non servi",IF(ABS(M234-S221)&lt;0.0000001,"chaque repas",ROUND(S221/M234,1)))))</f>
        <v>2</v>
      </c>
      <c r="O234" s="1787">
        <f>IF(ISBLANK(AA234),"",IF(ISTEXT(AA234),AA234,IF(AA223=0,"",ROUND(AA234/AA223*S221,1))))</f>
        <v>125</v>
      </c>
      <c r="P234" s="1788">
        <f>IF(ISBLANK(AA234),"",IF(ISTEXT(AA234),AA234,IF(O234=0,"non servi",IF(ABS(O234-S221)&lt;0.0000001,"chaque repas",ROUND(S221/O234,1)))))</f>
        <v>2</v>
      </c>
      <c r="Q234" s="1789">
        <f>IF(ISBLANK(AB234),"",IF(ISTEXT(AB234),AB234,IF(AB223=0,"",ROUND(AB234/AB223*S221,1))))</f>
        <v>107.1</v>
      </c>
      <c r="R234" s="721">
        <f>IF(ISBLANK(AB234),"",IF(ISTEXT(AB234),AB234,IF(Q234=0,"non servi",IF(ABS(Q234-S221)&lt;0.0000001,"chaque repas",ROUND(S221/Q234,1)))))</f>
        <v>2.2999999999999998</v>
      </c>
      <c r="S234" s="1858">
        <f>IF(ISBLANK(AC234),"",IF(ISTEXT(AC234),AC234,IF(AC223=0,"",ROUND(AC234/AC223*S221,1))))</f>
        <v>142.9</v>
      </c>
      <c r="T234" s="1859">
        <f>IF(ISBLANK(AC234),"",IF(ISTEXT(AC234),AC234,IF(S234=0,"non servi",IF(ABS(S234-S221)&lt;0.0000001,"chaque repas",ROUND(S221/S234,1)))))</f>
        <v>1.7</v>
      </c>
      <c r="U234" s="1860">
        <v>10</v>
      </c>
      <c r="V234" s="1860">
        <v>20</v>
      </c>
      <c r="W234" s="1862">
        <v>20</v>
      </c>
      <c r="X234" s="1860">
        <v>10</v>
      </c>
      <c r="Y234" s="1802">
        <v>10</v>
      </c>
      <c r="Z234" s="1802">
        <v>12</v>
      </c>
      <c r="AA234" s="1802">
        <v>14</v>
      </c>
      <c r="AB234" s="1802">
        <v>12</v>
      </c>
      <c r="AC234" s="1802">
        <v>32</v>
      </c>
      <c r="AD234" s="1849" t="s">
        <v>5037</v>
      </c>
      <c r="AE234" s="1850"/>
      <c r="AF234" s="309"/>
      <c r="AG234" s="309"/>
      <c r="AH234" s="309"/>
      <c r="AI234" s="309"/>
      <c r="AJ234" s="309"/>
      <c r="AK234" s="309"/>
      <c r="AL234" s="609">
        <v>1</v>
      </c>
    </row>
    <row r="235" spans="1:38" s="307" customFormat="1" ht="21" customHeight="1" x14ac:dyDescent="0.25">
      <c r="A235" s="309"/>
      <c r="B235" s="722" t="s">
        <v>5245</v>
      </c>
      <c r="C235" s="1857" t="str">
        <f t="shared" si="9"/>
        <v/>
      </c>
      <c r="D235" s="1788" t="e">
        <f t="shared" si="10"/>
        <v>#VALUE!</v>
      </c>
      <c r="E235" s="1787" t="str">
        <f t="shared" si="11"/>
        <v/>
      </c>
      <c r="F235" s="1788" t="str">
        <f t="shared" si="12"/>
        <v/>
      </c>
      <c r="G235" s="1787" t="str">
        <f t="shared" si="13"/>
        <v/>
      </c>
      <c r="H235" s="1788" t="e">
        <f t="shared" si="14"/>
        <v>#VALUE!</v>
      </c>
      <c r="I235" s="1787" t="str">
        <f t="shared" si="15"/>
        <v/>
      </c>
      <c r="J235" s="1788" t="e">
        <f t="shared" si="16"/>
        <v>#VALUE!</v>
      </c>
      <c r="K235" s="1787" t="str">
        <f t="shared" si="17"/>
        <v/>
      </c>
      <c r="L235" s="1788" t="e">
        <f t="shared" si="18"/>
        <v>#VALUE!</v>
      </c>
      <c r="M235" s="1787" t="str">
        <f t="shared" si="19"/>
        <v/>
      </c>
      <c r="N235" s="1788" t="e">
        <f t="shared" si="20"/>
        <v>#VALUE!</v>
      </c>
      <c r="O235" s="1787" t="str">
        <f t="shared" si="21"/>
        <v/>
      </c>
      <c r="P235" s="1788" t="e">
        <f t="shared" si="22"/>
        <v>#VALUE!</v>
      </c>
      <c r="Q235" s="1789" t="str">
        <f t="shared" si="23"/>
        <v/>
      </c>
      <c r="R235" s="721" t="e">
        <f>IF(ISBLANK(AB235),"",IF(ISTEXT(AB235),AB235,IF(Q235=0,"non servi",IF(ABS(Q235-S221)&lt;0.0000001,"chaque repas",ROUND(S221/Q235,1)))))</f>
        <v>#VALUE!</v>
      </c>
      <c r="S235" s="1858" t="str">
        <f t="shared" si="24"/>
        <v/>
      </c>
      <c r="T235" s="1859" t="e">
        <f t="shared" si="25"/>
        <v>#VALUE!</v>
      </c>
      <c r="U235" s="1861">
        <v>8</v>
      </c>
      <c r="V235" s="1861"/>
      <c r="W235" s="1863">
        <v>8</v>
      </c>
      <c r="X235" s="1861">
        <v>8</v>
      </c>
      <c r="Y235" s="1803">
        <v>12</v>
      </c>
      <c r="Z235" s="1803">
        <v>14</v>
      </c>
      <c r="AA235" s="1803">
        <v>16</v>
      </c>
      <c r="AB235" s="1803">
        <v>12</v>
      </c>
      <c r="AC235" s="1803">
        <v>16</v>
      </c>
      <c r="AD235" s="1851"/>
      <c r="AE235" s="1852"/>
      <c r="AF235" s="309"/>
      <c r="AG235" s="309"/>
      <c r="AH235" s="309"/>
      <c r="AI235" s="309"/>
      <c r="AJ235" s="309"/>
      <c r="AK235" s="309"/>
      <c r="AL235" s="609">
        <v>1</v>
      </c>
    </row>
    <row r="236" spans="1:38" s="307" customFormat="1" ht="21" customHeight="1" x14ac:dyDescent="0.25">
      <c r="A236" s="309"/>
      <c r="B236" s="723" t="s">
        <v>5246</v>
      </c>
      <c r="C236" s="724">
        <f>IF(ISBLANK(U236),"",IF(ISTEXT(U236),U236,IF(U223=0,"",ROUND(U236/U223*S221,1))))</f>
        <v>50</v>
      </c>
      <c r="D236" s="725">
        <f>IF(ISBLANK(U236),"",IF(ISTEXT(U236),U236,IF(C236=0,"non servi",IF(ABS(C236-S221)&lt;0.0000001,"chaque repas",ROUND(S221/C236,1)))))</f>
        <v>5</v>
      </c>
      <c r="E236" s="726" t="str">
        <f>IF(ISBLANK(V236),"",IF(ISTEXT(V236),V236,IF(V223=0,"",ROUND(V236/V223*S221,1))))</f>
        <v/>
      </c>
      <c r="F236" s="725" t="str">
        <f>IF(ISBLANK(V236),"",IF(ISTEXT(V236),V236,IF(E236=0,"non servi",IF(ABS(E236-S221)&lt;0.0000001,"chaque repas",ROUND(S221/E236,1)))))</f>
        <v/>
      </c>
      <c r="G236" s="726">
        <f>IF(ISBLANK(W236),"",IF(ISTEXT(W236),W236,IF(W223=0,"",ROUND(W236/W223*S221,1))))</f>
        <v>100</v>
      </c>
      <c r="H236" s="725">
        <f>IF(ISBLANK(W236),"",IF(ISTEXT(W236),W236,IF(G236=0,"non servi",IF(ABS(G236-S221)&lt;0.0000001,"chaque repas",ROUND(S221/G236,1)))))</f>
        <v>2.5</v>
      </c>
      <c r="I236" s="726">
        <f>IF(ISBLANK(X236),"",IF(ISTEXT(X236),X236,IF(X223=0,"",ROUND(X236/X223*S221,1))))</f>
        <v>100</v>
      </c>
      <c r="J236" s="725">
        <f>IF(ISBLANK(X236),"",IF(ISTEXT(X236),X236,IF(I236=0,"non servi",IF(ABS(I236-S221)&lt;0.0000001,"chaque repas",ROUND(S221/I236,1)))))</f>
        <v>2.5</v>
      </c>
      <c r="K236" s="726">
        <f>IF(ISBLANK(Y236),"",IF(ISTEXT(Y236),Y236,IF(Y223=0,"",ROUND(Y236/Y223*S221,1))))</f>
        <v>12.5</v>
      </c>
      <c r="L236" s="725">
        <f>IF(ISBLANK(Y236),"",IF(ISTEXT(Y236),Y236,IF(K236=0,"non servi",IF(ABS(K236-S221)&lt;0.0000001,"chaque repas",ROUND(S221/K236,1)))))</f>
        <v>20</v>
      </c>
      <c r="M236" s="726">
        <f>IF(ISBLANK(Z236),"",IF(ISTEXT(Z236),Z236,IF(Z223=0,"",ROUND(Z236/Z223*S221,1))))</f>
        <v>20.8</v>
      </c>
      <c r="N236" s="725">
        <f>IF(ISBLANK(Z236),"",IF(ISTEXT(Z236),Z236,IF(M236=0,"non servi",IF(ABS(M236-S221)&lt;0.0000001,"chaque repas",ROUND(S221/M236,1)))))</f>
        <v>12</v>
      </c>
      <c r="O236" s="726">
        <f>IF(ISBLANK(AA236),"",IF(ISTEXT(AA236),AA236,IF(AA223=0,"",ROUND(AA236/AA223*S221,1))))</f>
        <v>17.899999999999999</v>
      </c>
      <c r="P236" s="725">
        <f>IF(ISBLANK(AA236),"",IF(ISTEXT(AA236),AA236,IF(O236=0,"non servi",IF(ABS(O236-S221)&lt;0.0000001,"chaque repas",ROUND(S221/O236,1)))))</f>
        <v>14</v>
      </c>
      <c r="Q236" s="727">
        <f>IF(ISBLANK(AB236),"",IF(ISTEXT(AB236),AB236,IF(AB223=0,"",ROUND(AB236/AB223*S221,1))))</f>
        <v>17.899999999999999</v>
      </c>
      <c r="R236" s="728">
        <f>IF(ISBLANK(AB236),"",IF(ISTEXT(AB236),AB236,IF(Q236=0,"non servi",IF(ABS(Q236-S221)&lt;0.0000001,"chaque repas",ROUND(S221/Q236,1)))))</f>
        <v>14</v>
      </c>
      <c r="S236" s="729">
        <f>IF(ISBLANK(AC236),"",IF(ISTEXT(AC236),AC236,IF(AC223=0,"",ROUND(AC236/AC223*S221,1))))</f>
        <v>89.3</v>
      </c>
      <c r="T236" s="728">
        <f>IF(ISBLANK(AC236),"",IF(ISTEXT(AC236),AC236,IF(S236=0,"non servi",IF(ABS(S236-S221)&lt;0.0000001,"chaque repas",ROUND(S221/S236,1)))))</f>
        <v>2.8</v>
      </c>
      <c r="U236" s="605">
        <v>4</v>
      </c>
      <c r="V236" s="606"/>
      <c r="W236" s="606">
        <v>8</v>
      </c>
      <c r="X236" s="606">
        <v>8</v>
      </c>
      <c r="Y236" s="606">
        <v>1</v>
      </c>
      <c r="Z236" s="606">
        <v>2</v>
      </c>
      <c r="AA236" s="606">
        <v>2</v>
      </c>
      <c r="AB236" s="606">
        <v>2</v>
      </c>
      <c r="AC236" s="606">
        <v>20</v>
      </c>
      <c r="AD236" s="1853" t="s">
        <v>5036</v>
      </c>
      <c r="AE236" s="1854"/>
      <c r="AF236" s="309"/>
      <c r="AG236" s="309"/>
      <c r="AH236" s="309"/>
      <c r="AI236" s="309"/>
      <c r="AJ236" s="309"/>
      <c r="AK236" s="309"/>
      <c r="AL236" s="609">
        <v>1</v>
      </c>
    </row>
    <row r="237" spans="1:38" s="307" customFormat="1" ht="21" customHeight="1" x14ac:dyDescent="0.25">
      <c r="A237" s="309"/>
      <c r="B237" s="730" t="s">
        <v>5110</v>
      </c>
      <c r="C237" s="731">
        <f>IF(ISBLANK(U237),"",IF(ISTEXT(U237),U237,IF(U223=0,"",ROUND(U237/U223*S221,1))))</f>
        <v>75</v>
      </c>
      <c r="D237" s="732">
        <f>IF(ISBLANK(U237),"",IF(ISTEXT(U237),U237,IF(C237=0,"non servi",IF(ABS(C237-S221)&lt;0.0000001,"chaque repas",ROUND(S221/C237,1)))))</f>
        <v>3.3</v>
      </c>
      <c r="E237" s="733" t="str">
        <f>IF(ISBLANK(V237),"",IF(ISTEXT(V237),V237,IF(V223=0,"",ROUND(V237/V223*S221,1))))</f>
        <v/>
      </c>
      <c r="F237" s="732" t="str">
        <f>IF(ISBLANK(V237),"",IF(ISTEXT(V237),V237,IF(E237=0,"non servi",IF(ABS(E237-S221)&lt;0.0000001,"chaque repas",ROUND(S221/E237,1)))))</f>
        <v/>
      </c>
      <c r="G237" s="733">
        <f>IF(ISBLANK(W237),"",IF(ISTEXT(W237),W237,IF(W223=0,"",ROUND(W237/W223*S221,1))))</f>
        <v>25</v>
      </c>
      <c r="H237" s="732">
        <f>IF(ISBLANK(W237),"",IF(ISTEXT(W237),W237,IF(G237=0,"non servi",IF(ABS(G237-S221)&lt;0.0000001,"chaque repas",ROUND(S221/G237,1)))))</f>
        <v>10</v>
      </c>
      <c r="I237" s="733">
        <f>IF(ISBLANK(X237),"",IF(ISTEXT(X237),X237,IF(X223=0,"",ROUND(X237/X223*S221,1))))</f>
        <v>25</v>
      </c>
      <c r="J237" s="732">
        <f>IF(ISBLANK(X237),"",IF(ISTEXT(X237),X237,IF(I237=0,"non servi",IF(ABS(I237-S221)&lt;0.0000001,"chaque repas",ROUND(S221/I237,1)))))</f>
        <v>10</v>
      </c>
      <c r="K237" s="733">
        <f>IF(ISBLANK(Y237),"",IF(ISTEXT(Y237),Y237,IF(Y223=0,"",ROUND(Y237/Y223*S221,1))))</f>
        <v>87.5</v>
      </c>
      <c r="L237" s="732">
        <f>IF(ISBLANK(Y237),"",IF(ISTEXT(Y237),Y237,IF(K237=0,"non servi",IF(ABS(K237-S221)&lt;0.0000001,"chaque repas",ROUND(S221/K237,1)))))</f>
        <v>2.9</v>
      </c>
      <c r="M237" s="733">
        <f>IF(ISBLANK(Z237),"",IF(ISTEXT(Z237),Z237,IF(Z223=0,"",ROUND(Z237/Z223*S221,1))))</f>
        <v>83.3</v>
      </c>
      <c r="N237" s="732">
        <f>IF(ISBLANK(Z237),"",IF(ISTEXT(Z237),Z237,IF(M237=0,"non servi",IF(ABS(M237-S221)&lt;0.0000001,"chaque repas",ROUND(S221/M237,1)))))</f>
        <v>3</v>
      </c>
      <c r="O237" s="733">
        <f>IF(ISBLANK(AA237),"",IF(ISTEXT(AA237),AA237,IF(AA223=0,"",ROUND(AA237/AA223*S221,1))))</f>
        <v>89.3</v>
      </c>
      <c r="P237" s="732">
        <f>IF(ISBLANK(AA237),"",IF(ISTEXT(AA237),AA237,IF(O237=0,"non servi",IF(ABS(O237-S221)&lt;0.0000001,"chaque repas",ROUND(S221/O237,1)))))</f>
        <v>2.8</v>
      </c>
      <c r="Q237" s="734">
        <f>IF(ISBLANK(AB237),"",IF(ISTEXT(AB237),AB237,IF(AB223=0,"",ROUND(AB237/AB223*S221,1))))</f>
        <v>107.1</v>
      </c>
      <c r="R237" s="735">
        <f>IF(ISBLANK(AB237),"",IF(ISTEXT(AB237),AB237,IF(Q237=0,"non servi",IF(ABS(Q237-S221)&lt;0.0000001,"chaque repas",ROUND(S221/Q237,1)))))</f>
        <v>2.2999999999999998</v>
      </c>
      <c r="S237" s="736">
        <f>IF(ISBLANK(AC237),"",IF(ISTEXT(AC237),AC237,IF(AC223=0,"",ROUND(AC237/AC223*S221,1))))</f>
        <v>89.3</v>
      </c>
      <c r="T237" s="735">
        <f>IF(ISBLANK(AC237),"",IF(ISTEXT(AC237),AC237,IF(S237=0,"non servi",IF(ABS(S237-S221)&lt;0.0000001,"chaque repas",ROUND(S221/S237,1)))))</f>
        <v>2.8</v>
      </c>
      <c r="U237" s="604">
        <v>6</v>
      </c>
      <c r="V237" s="604"/>
      <c r="W237" s="604">
        <v>2</v>
      </c>
      <c r="X237" s="604">
        <v>2</v>
      </c>
      <c r="Y237" s="604">
        <v>7</v>
      </c>
      <c r="Z237" s="604">
        <v>8</v>
      </c>
      <c r="AA237" s="604">
        <v>10</v>
      </c>
      <c r="AB237" s="604">
        <v>12</v>
      </c>
      <c r="AC237" s="604">
        <v>20</v>
      </c>
      <c r="AD237" s="1855"/>
      <c r="AE237" s="1856"/>
      <c r="AF237" s="309"/>
      <c r="AG237" s="309"/>
      <c r="AH237" s="309"/>
      <c r="AI237" s="309"/>
      <c r="AJ237" s="309"/>
      <c r="AK237" s="309"/>
      <c r="AL237" s="609">
        <v>1</v>
      </c>
    </row>
    <row r="238" spans="1:38" s="307" customFormat="1" ht="21" customHeight="1" x14ac:dyDescent="0.25">
      <c r="A238" s="309"/>
      <c r="B238" s="737" t="s">
        <v>5035</v>
      </c>
      <c r="C238" s="738">
        <f>IF(ISBLANK(U238),"",IF(ISTEXT(U238),U238,IF(U223=0,"",ROUND(U238/U223*S221,1))))</f>
        <v>37.5</v>
      </c>
      <c r="D238" s="739">
        <f>IF(ISBLANK(U238),"",IF(ISTEXT(U238),U238,IF(C238=0,"non servi",IF(ABS(C238-S221)&lt;0.0000001,"chaque repas",ROUND(S221/C238,1)))))</f>
        <v>6.7</v>
      </c>
      <c r="E238" s="740" t="str">
        <f>IF(ISBLANK(V238),"",IF(ISTEXT(V238),V238,IF(V223=0,"",ROUND(V238/V223*S221,1))))</f>
        <v/>
      </c>
      <c r="F238" s="739" t="str">
        <f>IF(ISBLANK(V238),"",IF(ISTEXT(V238),V238,IF(E238=0,"non servi",IF(ABS(E238-S221)&lt;0.0000001,"chaque repas",ROUND(S221/E238,1)))))</f>
        <v/>
      </c>
      <c r="G238" s="740">
        <f>IF(ISBLANK(W238),"",IF(ISTEXT(W238),W238,IF(W223=0,"",ROUND(W238/W223*S221,1))))</f>
        <v>12.5</v>
      </c>
      <c r="H238" s="739">
        <f>IF(ISBLANK(W238),"",IF(ISTEXT(W238),W238,IF(G238=0,"non servi",IF(ABS(G238-S221)&lt;0.0000001,"chaque repas",ROUND(S221/G238,1)))))</f>
        <v>20</v>
      </c>
      <c r="I238" s="740">
        <f>IF(ISBLANK(X238),"",IF(ISTEXT(X238),X238,IF(X223=0,"",ROUND(X238/X223*S221,1))))</f>
        <v>12.5</v>
      </c>
      <c r="J238" s="739">
        <f>IF(ISBLANK(X238),"",IF(ISTEXT(X238),X238,IF(I238=0,"non servi",IF(ABS(I238-S221)&lt;0.0000001,"chaque repas",ROUND(S221/I238,1)))))</f>
        <v>20</v>
      </c>
      <c r="K238" s="740" t="str">
        <f>IF(ISBLANK(Y238),"",IF(ISTEXT(Y238),Y238,IF(Y223=0,"",ROUND(Y238/Y223*S221,1))))</f>
        <v>libre</v>
      </c>
      <c r="L238" s="739" t="str">
        <f>IF(ISBLANK(Y238),"",IF(ISTEXT(Y238),Y238,IF(K238=0,"non servi",IF(ABS(K238-S221)&lt;0.0000001,"chaque repas",ROUND(S221/K238,1)))))</f>
        <v>libre</v>
      </c>
      <c r="M238" s="740" t="str">
        <f>IF(ISBLANK(Z238),"",IF(ISTEXT(Z238),Z238,IF(Z223=0,"",ROUND(Z238/Z223*S221,1))))</f>
        <v>libre</v>
      </c>
      <c r="N238" s="739" t="str">
        <f>IF(ISBLANK(Z238),"",IF(ISTEXT(Z238),Z238,IF(M238=0,"non servi",IF(ABS(M238-S221)&lt;0.0000001,"chaque repas",ROUND(S221/M238,1)))))</f>
        <v>libre</v>
      </c>
      <c r="O238" s="740" t="str">
        <f>IF(ISBLANK(AA238),"",IF(ISTEXT(AA238),AA238,IF(AA223=0,"",ROUND(AA238/AA223*S221,1))))</f>
        <v>libre</v>
      </c>
      <c r="P238" s="739" t="str">
        <f>IF(ISBLANK(AA238),"",IF(ISTEXT(AA238),AA238,IF(O238=0,"non servi",IF(ABS(O238-S221)&lt;0.0000001,"chaque repas",ROUND(S221/O238,1)))))</f>
        <v>libre</v>
      </c>
      <c r="Q238" s="741" t="str">
        <f>IF(ISBLANK(AB238),"",IF(ISTEXT(AB238),AB238,IF(AB223=0,"",ROUND(AB238/AB223*S221,1))))</f>
        <v>libre</v>
      </c>
      <c r="R238" s="742" t="str">
        <f>IF(ISBLANK(AB238),"",IF(ISTEXT(AB238),AB238,IF(Q238=0,"non servi",IF(ABS(Q238-S221)&lt;0.0000001,"chaque repas",ROUND(S221/Q238,1)))))</f>
        <v>libre</v>
      </c>
      <c r="S238" s="743">
        <f>IF(ISBLANK(AC238),"",IF(ISTEXT(AC238),AC238,IF(AC223=0,"",ROUND(AC238/AC223*S221,1))))</f>
        <v>35.700000000000003</v>
      </c>
      <c r="T238" s="742">
        <f>IF(ISBLANK(AC238),"",IF(ISTEXT(AC238),AC238,IF(S238=0,"non servi",IF(ABS(S238-S221)&lt;0.0000001,"chaque repas",ROUND(S221/S238,1)))))</f>
        <v>7</v>
      </c>
      <c r="U238" s="600">
        <v>3</v>
      </c>
      <c r="V238" s="600"/>
      <c r="W238" s="600">
        <v>1</v>
      </c>
      <c r="X238" s="600">
        <v>1</v>
      </c>
      <c r="Y238" s="600" t="s">
        <v>5033</v>
      </c>
      <c r="Z238" s="600" t="s">
        <v>5033</v>
      </c>
      <c r="AA238" s="600" t="s">
        <v>5033</v>
      </c>
      <c r="AB238" s="600" t="s">
        <v>5033</v>
      </c>
      <c r="AC238" s="600">
        <v>8</v>
      </c>
      <c r="AD238" s="1855"/>
      <c r="AE238" s="1856"/>
      <c r="AF238" s="309"/>
      <c r="AG238" s="309"/>
      <c r="AH238" s="309"/>
      <c r="AI238" s="309"/>
      <c r="AJ238" s="309"/>
      <c r="AK238" s="309"/>
      <c r="AL238" s="609">
        <v>1</v>
      </c>
    </row>
    <row r="239" spans="1:38" s="307" customFormat="1" ht="21" customHeight="1" x14ac:dyDescent="0.25">
      <c r="A239" s="309"/>
      <c r="B239" s="744" t="s">
        <v>5034</v>
      </c>
      <c r="C239" s="745">
        <f>IF(ISBLANK(U239),"",IF(ISTEXT(U239),U239,IF(U223=0,"",ROUND(U239/U223*S221,1))))</f>
        <v>50</v>
      </c>
      <c r="D239" s="746">
        <f>IF(ISBLANK(U239),"",IF(ISTEXT(U239),U239,IF(C239=0,"non servi",IF(ABS(C239-S221)&lt;0.0000001,"chaque repas",ROUND(S221/C239,1)))))</f>
        <v>5</v>
      </c>
      <c r="E239" s="747" t="str">
        <f>IF(ISBLANK(V239),"",IF(ISTEXT(V239),V239,IF(V223=0,"",ROUND(V239/V223*S221,1))))</f>
        <v/>
      </c>
      <c r="F239" s="746" t="str">
        <f>IF(ISBLANK(V239),"",IF(ISTEXT(V239),V239,IF(E239=0,"non servi",IF(ABS(E239-S221)&lt;0.0000001,"chaque repas",ROUND(S221/E239,1)))))</f>
        <v/>
      </c>
      <c r="G239" s="747">
        <f>IF(ISBLANK(W239),"",IF(ISTEXT(W239),W239,IF(W223=0,"",ROUND(W239/W223*S221,1))))</f>
        <v>12.5</v>
      </c>
      <c r="H239" s="746">
        <f>IF(ISBLANK(W239),"",IF(ISTEXT(W239),W239,IF(G239=0,"non servi",IF(ABS(G239-S221)&lt;0.0000001,"chaque repas",ROUND(S221/G239,1)))))</f>
        <v>20</v>
      </c>
      <c r="I239" s="747">
        <f>IF(ISBLANK(X239),"",IF(ISTEXT(X239),X239,IF(X223=0,"",ROUND(X239/X223*S221,1))))</f>
        <v>12.5</v>
      </c>
      <c r="J239" s="746">
        <f>IF(ISBLANK(X239),"",IF(ISTEXT(X239),X239,IF(I239=0,"non servi",IF(ABS(I239-S221)&lt;0.0000001,"chaque repas",ROUND(S221/I239,1)))))</f>
        <v>20</v>
      </c>
      <c r="K239" s="747" t="str">
        <f>IF(ISBLANK(Y239),"",IF(ISTEXT(Y239),Y239,IF(Y223=0,"",ROUND(Y239/Y223*S221,1))))</f>
        <v>libre</v>
      </c>
      <c r="L239" s="746" t="str">
        <f>IF(ISBLANK(Y239),"",IF(ISTEXT(Y239),Y239,IF(K239=0,"non servi",IF(ABS(K239-S221)&lt;0.0000001,"chaque repas",ROUND(S221/K239,1)))))</f>
        <v>libre</v>
      </c>
      <c r="M239" s="747" t="str">
        <f>IF(ISBLANK(Z239),"",IF(ISTEXT(Z239),Z239,IF(Z223=0,"",ROUND(Z239/Z223*S221,1))))</f>
        <v>libre</v>
      </c>
      <c r="N239" s="746" t="str">
        <f>IF(ISBLANK(Z239),"",IF(ISTEXT(Z239),Z239,IF(M239=0,"non servi",IF(ABS(M239-S221)&lt;0.0000001,"chaque repas",ROUND(S221/M239,1)))))</f>
        <v>libre</v>
      </c>
      <c r="O239" s="747" t="str">
        <f>IF(ISBLANK(AA239),"",IF(ISTEXT(AA239),AA239,IF(AA223=0,"",ROUND(AA239/AA223*S221,1))))</f>
        <v>libre</v>
      </c>
      <c r="P239" s="746" t="str">
        <f>IF(ISBLANK(AA239),"",IF(ISTEXT(AA239),AA239,IF(O239=0,"non servi",IF(ABS(O239-S221)&lt;0.0000001,"chaque repas",ROUND(S221/O239,1)))))</f>
        <v>libre</v>
      </c>
      <c r="Q239" s="748" t="str">
        <f>IF(ISBLANK(AB239),"",IF(ISTEXT(AB239),AB239,IF(AB223=0,"",ROUND(AB239/AB223*S221,1))))</f>
        <v>libre</v>
      </c>
      <c r="R239" s="749" t="str">
        <f>IF(ISBLANK(AB239),"",IF(ISTEXT(AB239),AB239,IF(Q239=0,"non servi",IF(ABS(Q239-S221)&lt;0.0000001,"chaque repas",ROUND(S221/Q239,1)))))</f>
        <v>libre</v>
      </c>
      <c r="S239" s="747">
        <f>IF(ISBLANK(AC239),"",IF(ISTEXT(AC239),AC239,IF(AC223=0,"",ROUND(AC239/AC223*S221,1))))</f>
        <v>53.6</v>
      </c>
      <c r="T239" s="749">
        <f>IF(ISBLANK(AC239),"",IF(ISTEXT(AC239),AC239,IF(S239=0,"non servi",IF(ABS(S239-S221)&lt;0.0000001,"chaque repas",ROUND(S221/S239,1)))))</f>
        <v>4.7</v>
      </c>
      <c r="U239" s="607">
        <v>4</v>
      </c>
      <c r="V239" s="607"/>
      <c r="W239" s="607">
        <v>1</v>
      </c>
      <c r="X239" s="607">
        <v>1</v>
      </c>
      <c r="Y239" s="607" t="s">
        <v>5033</v>
      </c>
      <c r="Z239" s="607" t="s">
        <v>5033</v>
      </c>
      <c r="AA239" s="607" t="s">
        <v>5033</v>
      </c>
      <c r="AB239" s="607" t="s">
        <v>5033</v>
      </c>
      <c r="AC239" s="607">
        <v>12</v>
      </c>
      <c r="AD239" s="1855"/>
      <c r="AE239" s="1856"/>
      <c r="AF239" s="309"/>
      <c r="AG239" s="309"/>
      <c r="AH239" s="309"/>
      <c r="AI239" s="309"/>
      <c r="AJ239" s="309"/>
      <c r="AK239" s="309"/>
      <c r="AL239" s="609">
        <v>1</v>
      </c>
    </row>
    <row r="240" spans="1:38" s="307" customFormat="1" ht="21" customHeight="1" x14ac:dyDescent="0.25">
      <c r="A240" s="309"/>
      <c r="B240" s="750" t="s">
        <v>5247</v>
      </c>
      <c r="C240" s="751">
        <f>IF(ISBLANK(U240),"",IF(ISTEXT(U240),U240,IF(U223=0,"",ROUND(U240/U223*S221,1))))</f>
        <v>100</v>
      </c>
      <c r="D240" s="752">
        <f>IF(ISBLANK(U240),"",IF(ISTEXT(U240),U240,IF(C240=0,"non servi",IF(ABS(C240-S221)&lt;0.0000001,"chaque repas",ROUND(S221/C240,1)))))</f>
        <v>2.5</v>
      </c>
      <c r="E240" s="753">
        <f>IF(ISBLANK(V240),"",IF(ISTEXT(V240),V240,IF(V223=0,"",ROUND(V240/V223*S221,1))))</f>
        <v>250</v>
      </c>
      <c r="F240" s="752" t="str">
        <f>IF(ISBLANK(V240),"",IF(ISTEXT(V240),V240,IF(E240=0,"non servi",IF(ABS(E240-S221)&lt;0.0000001,"chaque repas",ROUND(S221/E240,1)))))</f>
        <v>chaque repas</v>
      </c>
      <c r="G240" s="753">
        <f>IF(ISBLANK(W240),"",IF(ISTEXT(W240),W240,IF(W223=0,"",ROUND(W240/W223*S221,1))))</f>
        <v>237.5</v>
      </c>
      <c r="H240" s="752">
        <f>IF(ISBLANK(W240),"",IF(ISTEXT(W240),W240,IF(G240=0,"non servi",IF(ABS(G240-S221)&lt;0.0000001,"chaque repas",ROUND(S221/G240,1)))))</f>
        <v>1.1000000000000001</v>
      </c>
      <c r="I240" s="753">
        <f>IF(ISBLANK(X240),"",IF(ISTEXT(X240),X240,IF(X223=0,"",ROUND(X240/X223*S221,1))))</f>
        <v>237.5</v>
      </c>
      <c r="J240" s="752">
        <f>IF(ISBLANK(X240),"",IF(ISTEXT(X240),X240,IF(I240=0,"non servi",IF(ABS(I240-S221)&lt;0.0000001,"chaque repas",ROUND(S221/I240,1)))))</f>
        <v>1.1000000000000001</v>
      </c>
      <c r="K240" s="753">
        <f>IF(ISBLANK(Y240),"",IF(ISTEXT(Y240),Y240,IF(Y223=0,"",ROUND(Y240/Y223*S221,1))))</f>
        <v>100</v>
      </c>
      <c r="L240" s="752">
        <f>IF(ISBLANK(Y240),"",IF(ISTEXT(Y240),Y240,IF(K240=0,"non servi",IF(ABS(K240-S221)&lt;0.0000001,"chaque repas",ROUND(S221/K240,1)))))</f>
        <v>2.5</v>
      </c>
      <c r="M240" s="753">
        <f>IF(ISBLANK(Z240),"",IF(ISTEXT(Z240),Z240,IF(Z223=0,"",ROUND(Z240/Z223*S221,1))))</f>
        <v>104.2</v>
      </c>
      <c r="N240" s="752">
        <f>IF(ISBLANK(Z240),"",IF(ISTEXT(Z240),Z240,IF(M240=0,"non servi",IF(ABS(M240-S221)&lt;0.0000001,"chaque repas",ROUND(S221/M240,1)))))</f>
        <v>2.4</v>
      </c>
      <c r="O240" s="753">
        <f>IF(ISBLANK(AA240),"",IF(ISTEXT(AA240),AA240,IF(AA223=0,"",ROUND(AA240/AA223*S221,1))))</f>
        <v>107.1</v>
      </c>
      <c r="P240" s="752">
        <f>IF(ISBLANK(AA240),"",IF(ISTEXT(AA240),AA240,IF(O240=0,"non servi",IF(ABS(O240-S221)&lt;0.0000001,"chaque repas",ROUND(S221/O240,1)))))</f>
        <v>2.2999999999999998</v>
      </c>
      <c r="Q240" s="754">
        <f>IF(ISBLANK(AB240),"",IF(ISTEXT(AB240),AB240,IF(AB223=0,"",ROUND(AB240/AB223*S221,1))))</f>
        <v>71.400000000000006</v>
      </c>
      <c r="R240" s="755">
        <f>IF(ISBLANK(AB240),"",IF(ISTEXT(AB240),AB240,IF(Q240=0,"non servi",IF(ABS(Q240-S221)&lt;0.0000001,"chaque repas",ROUND(S221/Q240,1)))))</f>
        <v>3.5</v>
      </c>
      <c r="S240" s="756">
        <f>IF(ISBLANK(AC240),"",IF(ISTEXT(AC240),AC240,IF(AC223=0,"",ROUND(AC240/AC223*S221,1))))</f>
        <v>107.1</v>
      </c>
      <c r="T240" s="755">
        <f>IF(ISBLANK(AC240),"",IF(ISTEXT(AC240),AC240,IF(S240=0,"non servi",IF(ABS(S240-S221)&lt;0.0000001,"chaque repas",ROUND(S221/S240,1)))))</f>
        <v>2.2999999999999998</v>
      </c>
      <c r="U240" s="604">
        <v>8</v>
      </c>
      <c r="V240" s="604">
        <v>20</v>
      </c>
      <c r="W240" s="604">
        <v>19</v>
      </c>
      <c r="X240" s="604">
        <v>19</v>
      </c>
      <c r="Y240" s="604">
        <v>8</v>
      </c>
      <c r="Z240" s="604">
        <v>10</v>
      </c>
      <c r="AA240" s="604">
        <v>12</v>
      </c>
      <c r="AB240" s="604">
        <v>8</v>
      </c>
      <c r="AC240" s="604">
        <v>24</v>
      </c>
      <c r="AD240" s="1855"/>
      <c r="AE240" s="1856"/>
      <c r="AF240" s="309"/>
      <c r="AG240" s="309"/>
      <c r="AH240" s="309"/>
      <c r="AI240" s="309"/>
      <c r="AJ240" s="309"/>
      <c r="AK240" s="309"/>
      <c r="AL240" s="609">
        <v>1</v>
      </c>
    </row>
    <row r="241" spans="1:38" s="307" customFormat="1" ht="21" customHeight="1" x14ac:dyDescent="0.25">
      <c r="A241" s="309"/>
      <c r="B241" s="757" t="s">
        <v>5032</v>
      </c>
      <c r="C241" s="751" t="str">
        <f>IF(ISBLANK(U241),"",IF(ISTEXT(U241),U241,IF(U223=0,"",ROUND(U241/U223*S221,1))))</f>
        <v/>
      </c>
      <c r="D241" s="752" t="str">
        <f>IF(ISBLANK(U241),"",IF(ISTEXT(U241),U241,IF(C241=0,"non servi",IF(ABS(C241-S221)&lt;0.0000001,"chaque repas",ROUND(S221/C241,1)))))</f>
        <v/>
      </c>
      <c r="E241" s="753">
        <f>IF(ISBLANK(V241),"",IF(ISTEXT(V241),V241,IF(V223=0,"",ROUND(V241/V223*S221,1))))</f>
        <v>50</v>
      </c>
      <c r="F241" s="752">
        <f>IF(ISBLANK(V241),"",IF(ISTEXT(V241),V241,IF(E241=0,"non servi",IF(ABS(E241-S221)&lt;0.0000001,"chaque repas",ROUND(S221/E241,1)))))</f>
        <v>5</v>
      </c>
      <c r="G241" s="753">
        <f>IF(ISBLANK(W241),"",IF(ISTEXT(W241),W241,IF(W223=0,"",ROUND(W241/W223*S221,1))))</f>
        <v>50</v>
      </c>
      <c r="H241" s="752">
        <f>IF(ISBLANK(W241),"",IF(ISTEXT(W241),W241,IF(G241=0,"non servi",IF(ABS(G241-S221)&lt;0.0000001,"chaque repas",ROUND(S221/G241,1)))))</f>
        <v>5</v>
      </c>
      <c r="I241" s="753">
        <f>IF(ISBLANK(X241),"",IF(ISTEXT(X241),X241,IF(X223=0,"",ROUND(X241/X223*S221,1))))</f>
        <v>50</v>
      </c>
      <c r="J241" s="752">
        <f>IF(ISBLANK(X241),"",IF(ISTEXT(X241),X241,IF(I241=0,"non servi",IF(ABS(I241-S221)&lt;0.0000001,"chaque repas",ROUND(S221/I241,1)))))</f>
        <v>5</v>
      </c>
      <c r="K241" s="753" t="str">
        <f>IF(ISBLANK(Y241),"",IF(ISTEXT(Y241),Y241,IF(Y223=0,"",ROUND(Y241/Y223*S221,1))))</f>
        <v/>
      </c>
      <c r="L241" s="752" t="str">
        <f>IF(ISBLANK(Y241),"",IF(ISTEXT(Y241),Y241,IF(K241=0,"non servi",IF(ABS(K241-S221)&lt;0.0000001,"chaque repas",ROUND(S221/K241,1)))))</f>
        <v/>
      </c>
      <c r="M241" s="753" t="str">
        <f>IF(ISBLANK(Z241),"",IF(ISTEXT(Z241),Z241,IF(Z223=0,"",ROUND(Z241/Z223*S221,1))))</f>
        <v/>
      </c>
      <c r="N241" s="752" t="str">
        <f>IF(ISBLANK(Z241),"",IF(ISTEXT(Z241),Z241,IF(M241=0,"non servi",IF(ABS(M241-S221)&lt;0.0000001,"chaque repas",ROUND(S221/M241,1)))))</f>
        <v/>
      </c>
      <c r="O241" s="753" t="str">
        <f>IF(ISBLANK(AA241),"",IF(ISTEXT(AA241),AA241,IF(AA223=0,"",ROUND(AA241/AA223*S221,1))))</f>
        <v/>
      </c>
      <c r="P241" s="752" t="str">
        <f>IF(ISBLANK(AA241),"",IF(ISTEXT(AA241),AA241,IF(O241=0,"non servi",IF(ABS(O241-S221)&lt;0.0000001,"chaque repas",ROUND(S221/O241,1)))))</f>
        <v/>
      </c>
      <c r="Q241" s="754" t="str">
        <f>IF(ISBLANK(AB241),"",IF(ISTEXT(AB241),AB241,IF(AB223=0,"",ROUND(AB241/AB223*S221,1))))</f>
        <v/>
      </c>
      <c r="R241" s="755" t="str">
        <f>IF(ISBLANK(AB241),"",IF(ISTEXT(AB241),AB241,IF(Q241=0,"non servi",IF(ABS(Q241-S221)&lt;0.0000001,"chaque repas",ROUND(S221/Q241,1)))))</f>
        <v/>
      </c>
      <c r="S241" s="756" t="str">
        <f>IF(ISBLANK(AC241),"",IF(ISTEXT(AC241),AC241,IF(AC223=0,"",ROUND(AC241/AC223*S221,1))))</f>
        <v/>
      </c>
      <c r="T241" s="755" t="str">
        <f>IF(ISBLANK(AC241),"",IF(ISTEXT(AC241),AC241,IF(S241=0,"non servi",IF(ABS(S241-S221)&lt;0.0000001,"chaque repas",ROUND(S221/S241,1)))))</f>
        <v/>
      </c>
      <c r="U241" s="604"/>
      <c r="V241" s="604">
        <v>4</v>
      </c>
      <c r="W241" s="604">
        <v>4</v>
      </c>
      <c r="X241" s="604">
        <v>4</v>
      </c>
      <c r="Y241" s="604"/>
      <c r="Z241" s="604"/>
      <c r="AA241" s="604"/>
      <c r="AB241" s="604"/>
      <c r="AC241" s="604"/>
      <c r="AD241" s="1855"/>
      <c r="AE241" s="1856"/>
      <c r="AF241" s="309"/>
      <c r="AG241" s="309"/>
      <c r="AH241" s="309"/>
      <c r="AI241" s="309"/>
      <c r="AJ241" s="309"/>
      <c r="AK241" s="309"/>
      <c r="AL241" s="609">
        <v>1</v>
      </c>
    </row>
    <row r="242" spans="1:38" s="307" customFormat="1" ht="21" customHeight="1" x14ac:dyDescent="0.25">
      <c r="A242" s="309"/>
      <c r="B242" s="758" t="s">
        <v>5031</v>
      </c>
      <c r="C242" s="751" t="str">
        <f>IF(ISBLANK(U242),"",IF(ISTEXT(U242),U242,IF(U223=0,"",ROUND(U242/U223*S221,1))))</f>
        <v/>
      </c>
      <c r="D242" s="752" t="str">
        <f>IF(ISBLANK(U242),"",IF(ISTEXT(U242),U242,IF(C242=0,"non servi",IF(ABS(C242-S221)&lt;0.0000001,"chaque repas",ROUND(S221/C242,1)))))</f>
        <v/>
      </c>
      <c r="E242" s="753">
        <f>IF(ISBLANK(V242),"",IF(ISTEXT(V242),V242,IF(V223=0,"",ROUND(V242/V223*S221,1))))</f>
        <v>0</v>
      </c>
      <c r="F242" s="752" t="str">
        <f>IF(ISBLANK(V242),"",IF(ISTEXT(V242),V242,IF(E242=0,"non servi",IF(ABS(E242-S221)&lt;0.0000001,"chaque repas",ROUND(S221/E242,1)))))</f>
        <v>non servi</v>
      </c>
      <c r="G242" s="753">
        <f>IF(ISBLANK(W242),"",IF(ISTEXT(W242),W242,IF(W223=0,"",ROUND(W242/W223*S221,1))))</f>
        <v>0</v>
      </c>
      <c r="H242" s="752" t="str">
        <f>IF(ISBLANK(W242),"",IF(ISTEXT(W242),W242,IF(G242=0,"non servi",IF(ABS(G242-S221)&lt;0.0000001,"chaque repas",ROUND(S221/G242,1)))))</f>
        <v>non servi</v>
      </c>
      <c r="I242" s="753">
        <f>IF(ISBLANK(X242),"",IF(ISTEXT(X242),X242,IF(X223=0,"",ROUND(X242/X223*S221,1))))</f>
        <v>25</v>
      </c>
      <c r="J242" s="752">
        <f>IF(ISBLANK(X242),"",IF(ISTEXT(X242),X242,IF(I242=0,"non servi",IF(ABS(I242-S221)&lt;0.0000001,"chaque repas",ROUND(S221/I242,1)))))</f>
        <v>10</v>
      </c>
      <c r="K242" s="753" t="str">
        <f>IF(ISBLANK(Y242),"",IF(ISTEXT(Y242),Y242,IF(Y223=0,"",ROUND(Y242/Y223*S221,1))))</f>
        <v/>
      </c>
      <c r="L242" s="752" t="str">
        <f>IF(ISBLANK(Y242),"",IF(ISTEXT(Y242),Y242,IF(K242=0,"non servi",IF(ABS(K242-S221)&lt;0.0000001,"chaque repas",ROUND(S221/K242,1)))))</f>
        <v/>
      </c>
      <c r="M242" s="753" t="str">
        <f>IF(ISBLANK(Z242),"",IF(ISTEXT(Z242),Z242,IF(Z223=0,"",ROUND(Z242/Z223*S221,1))))</f>
        <v/>
      </c>
      <c r="N242" s="752" t="str">
        <f>IF(ISBLANK(Z242),"",IF(ISTEXT(Z242),Z242,IF(M242=0,"non servi",IF(ABS(M242-S221)&lt;0.0000001,"chaque repas",ROUND(S221/M242,1)))))</f>
        <v/>
      </c>
      <c r="O242" s="753" t="str">
        <f>IF(ISBLANK(AA242),"",IF(ISTEXT(AA242),AA242,IF(AA223=0,"",ROUND(AA242/AA223*S221,1))))</f>
        <v/>
      </c>
      <c r="P242" s="752" t="str">
        <f>IF(ISBLANK(AA242),"",IF(ISTEXT(AA242),AA242,IF(O242=0,"non servi",IF(ABS(O242-S221)&lt;0.0000001,"chaque repas",ROUND(S221/O242,1)))))</f>
        <v/>
      </c>
      <c r="Q242" s="754" t="str">
        <f>IF(ISBLANK(AB242),"",IF(ISTEXT(AB242),AB242,IF(AB223=0,"",ROUND(AB242/AB223*S221,1))))</f>
        <v/>
      </c>
      <c r="R242" s="755" t="str">
        <f>IF(ISBLANK(AB242),"",IF(ISTEXT(AB242),AB242,IF(Q242=0,"non servi",IF(ABS(Q242-S221)&lt;0.0000001,"chaque repas",ROUND(S221/Q242,1)))))</f>
        <v/>
      </c>
      <c r="S242" s="756" t="str">
        <f>IF(ISBLANK(AC242),"",IF(ISTEXT(AC242),AC242,IF(AC223=0,"",ROUND(AC242/AC223*S221,1))))</f>
        <v/>
      </c>
      <c r="T242" s="755" t="str">
        <f>IF(ISBLANK(AC242),"",IF(ISTEXT(AC242),AC242,IF(S242=0,"non servi",IF(ABS(S242-S221)&lt;0.0000001,"chaque repas",ROUND(S221/S242,1)))))</f>
        <v/>
      </c>
      <c r="U242" s="604"/>
      <c r="V242" s="604">
        <v>0</v>
      </c>
      <c r="W242" s="604">
        <v>0</v>
      </c>
      <c r="X242" s="604">
        <v>2</v>
      </c>
      <c r="Y242" s="604"/>
      <c r="Z242" s="604"/>
      <c r="AA242" s="604"/>
      <c r="AB242" s="604"/>
      <c r="AC242" s="604"/>
      <c r="AD242" s="1855"/>
      <c r="AE242" s="1856"/>
      <c r="AF242" s="309"/>
      <c r="AG242" s="309"/>
      <c r="AH242" s="309"/>
      <c r="AI242" s="309"/>
      <c r="AJ242" s="309"/>
      <c r="AK242" s="309"/>
      <c r="AL242" s="609">
        <v>1</v>
      </c>
    </row>
    <row r="243" spans="1:38" s="307" customFormat="1" ht="21" customHeight="1" x14ac:dyDescent="0.25">
      <c r="A243" s="309"/>
      <c r="B243" s="759" t="s">
        <v>5248</v>
      </c>
      <c r="C243" s="751" t="str">
        <f>IF(ISBLANK(U243),"",IF(ISTEXT(U243),U243,IF(U223=0,"",ROUND(U243/U223*S221,1))))</f>
        <v/>
      </c>
      <c r="D243" s="752" t="str">
        <f>IF(ISBLANK(U243),"",IF(ISTEXT(U243),U243,IF(C243=0,"non servi",IF(ABS(C243-S221)&lt;0.0000001,"chaque repas",ROUND(S221/C243,1)))))</f>
        <v/>
      </c>
      <c r="E243" s="753" t="str">
        <f>IF(ISBLANK(V243),"",IF(ISTEXT(V243),V243,IF(V223=0,"",ROUND(V243/V223*S221,1))))</f>
        <v/>
      </c>
      <c r="F243" s="752" t="str">
        <f>IF(ISBLANK(V243),"",IF(ISTEXT(V243),V243,IF(E243=0,"non servi",IF(ABS(E243-S221)&lt;0.0000001,"chaque repas",ROUND(S221/E243,1)))))</f>
        <v/>
      </c>
      <c r="G243" s="753" t="str">
        <f>IF(ISBLANK(W243),"",IF(ISTEXT(W243),W243,IF(W223=0,"",ROUND(W243/W223*S221,1))))</f>
        <v/>
      </c>
      <c r="H243" s="752" t="str">
        <f>IF(ISBLANK(W243),"",IF(ISTEXT(W243),W243,IF(G243=0,"non servi",IF(ABS(G243-S221)&lt;0.0000001,"chaque repas",ROUND(S221/G243,1)))))</f>
        <v/>
      </c>
      <c r="I243" s="753">
        <f>IF(ISBLANK(X243),"",IF(ISTEXT(X243),X243,IF(X223=0,"",ROUND(X243/X223*S221,1))))</f>
        <v>25</v>
      </c>
      <c r="J243" s="752">
        <f>IF(ISBLANK(X243),"",IF(ISTEXT(X243),X243,IF(I243=0,"non servi",IF(ABS(I243-S221)&lt;0.0000001,"chaque repas",ROUND(S221/I243,1)))))</f>
        <v>10</v>
      </c>
      <c r="K243" s="753" t="str">
        <f>IF(ISBLANK(Y243),"",IF(ISTEXT(Y243),Y243,IF(Y223=0,"",ROUND(Y243/Y223*S221,1))))</f>
        <v/>
      </c>
      <c r="L243" s="752" t="str">
        <f>IF(ISBLANK(Y243),"",IF(ISTEXT(Y243),Y243,IF(K243=0,"non servi",IF(ABS(K243-S221)&lt;0.0000001,"chaque repas",ROUND(S221/K243,1)))))</f>
        <v/>
      </c>
      <c r="M243" s="753" t="str">
        <f>IF(ISBLANK(Z243),"",IF(ISTEXT(Z243),Z243,IF(Z223=0,"",ROUND(Z243/Z223*S221,1))))</f>
        <v/>
      </c>
      <c r="N243" s="752" t="str">
        <f>IF(ISBLANK(Z243),"",IF(ISTEXT(Z243),Z243,IF(M243=0,"non servi",IF(ABS(M243-S221)&lt;0.0000001,"chaque repas",ROUND(S221/M243,1)))))</f>
        <v/>
      </c>
      <c r="O243" s="753" t="str">
        <f>IF(ISBLANK(AA243),"",IF(ISTEXT(AA243),AA243,IF(AA223=0,"",ROUND(AA243/AA223*S221,1))))</f>
        <v/>
      </c>
      <c r="P243" s="752" t="str">
        <f>IF(ISBLANK(AA243),"",IF(ISTEXT(AA243),AA243,IF(O243=0,"non servi",IF(ABS(O243-S221)&lt;0.0000001,"chaque repas",ROUND(S221/O243,1)))))</f>
        <v/>
      </c>
      <c r="Q243" s="754" t="str">
        <f>IF(ISBLANK(AB243),"",IF(ISTEXT(AB243),AB243,IF(AB223=0,"",ROUND(AB243/AB223*S221,1))))</f>
        <v/>
      </c>
      <c r="R243" s="755" t="str">
        <f>IF(ISBLANK(AB243),"",IF(ISTEXT(AB243),AB243,IF(Q243=0,"non servi",IF(ABS(Q243-S221)&lt;0.0000001,"chaque repas",ROUND(S221/Q243,1)))))</f>
        <v/>
      </c>
      <c r="S243" s="756" t="str">
        <f>IF(ISBLANK(AC243),"",IF(ISTEXT(AC243),AC243,IF(AC223=0,"",ROUND(AC243/AC223*S221,1))))</f>
        <v/>
      </c>
      <c r="T243" s="755" t="str">
        <f>IF(ISBLANK(AC243),"",IF(ISTEXT(AC243),AC243,IF(S243=0,"non servi",IF(ABS(S243-S221)&lt;0.0000001,"chaque repas",ROUND(S221/S243,1)))))</f>
        <v/>
      </c>
      <c r="U243" s="604"/>
      <c r="V243" s="604"/>
      <c r="W243" s="604"/>
      <c r="X243" s="604">
        <v>2</v>
      </c>
      <c r="Y243" s="604"/>
      <c r="Z243" s="604"/>
      <c r="AA243" s="604"/>
      <c r="AB243" s="604"/>
      <c r="AC243" s="604"/>
      <c r="AD243" s="1855"/>
      <c r="AE243" s="1856"/>
      <c r="AF243" s="309"/>
      <c r="AG243" s="309"/>
      <c r="AH243" s="309"/>
      <c r="AI243" s="309"/>
      <c r="AJ243" s="309"/>
      <c r="AK243" s="309"/>
      <c r="AL243" s="609">
        <v>1</v>
      </c>
    </row>
    <row r="244" spans="1:38" s="307" customFormat="1" ht="21" customHeight="1" x14ac:dyDescent="0.25">
      <c r="A244" s="309"/>
      <c r="B244" s="760" t="s">
        <v>5249</v>
      </c>
      <c r="C244" s="761" t="str">
        <f>IF(ISBLANK(U244),"",IF(ISTEXT(U244),U244,IF(U223=0,"",ROUND(U244/U223*S221,1))))</f>
        <v/>
      </c>
      <c r="D244" s="762" t="str">
        <f>IF(ISBLANK(U244),"",IF(ISTEXT(U244),U244,IF(C244=0,"non servi",IF(ABS(C244-S221)&lt;0.0000001,"chaque repas",ROUND(S221/C244,1)))))</f>
        <v/>
      </c>
      <c r="E244" s="763" t="str">
        <f>IF(ISBLANK(V244),"",IF(ISTEXT(V244),V244,IF(V223=0,"",ROUND(V244/V223*S221,1))))</f>
        <v/>
      </c>
      <c r="F244" s="762" t="str">
        <f>IF(ISBLANK(V244),"",IF(ISTEXT(V244),V244,IF(E244=0,"non servi",IF(ABS(E244-S221)&lt;0.0000001,"chaque repas",ROUND(S221/E244,1)))))</f>
        <v/>
      </c>
      <c r="G244" s="763" t="str">
        <f>IF(ISBLANK(W244),"",IF(ISTEXT(W244),W244,IF(W223=0,"",ROUND(W244/W223*S221,1))))</f>
        <v/>
      </c>
      <c r="H244" s="762" t="str">
        <f>IF(ISBLANK(W244),"",IF(ISTEXT(W244),W244,IF(G244=0,"non servi",IF(ABS(G244-S221)&lt;0.0000001,"chaque repas",ROUND(S221/G244,1)))))</f>
        <v/>
      </c>
      <c r="I244" s="763" t="str">
        <f>IF(ISBLANK(X244),"",IF(ISTEXT(X244),X244,IF(X223=0,"",ROUND(X244/X223*S221,1))))</f>
        <v/>
      </c>
      <c r="J244" s="762" t="str">
        <f>IF(ISBLANK(X244),"",IF(ISTEXT(X244),X244,IF(I244=0,"non servi",IF(ABS(I244-S221)&lt;0.0000001,"chaque repas",ROUND(S221/I244,1)))))</f>
        <v/>
      </c>
      <c r="K244" s="763" t="str">
        <f>IF(ISBLANK(Y244),"",IF(ISTEXT(Y244),Y244,IF(Y223=0,"",ROUND(Y244/Y223*S221,1))))</f>
        <v/>
      </c>
      <c r="L244" s="762" t="str">
        <f>IF(ISBLANK(Y244),"",IF(ISTEXT(Y244),Y244,IF(K244=0,"non servi",IF(ABS(K244-S221)&lt;0.0000001,"chaque repas",ROUND(S221/K244,1)))))</f>
        <v/>
      </c>
      <c r="M244" s="763" t="str">
        <f>IF(ISBLANK(Z244),"",IF(ISTEXT(Z244),Z244,IF(Z223=0,"",ROUND(Z244/Z223*S221,1))))</f>
        <v/>
      </c>
      <c r="N244" s="762" t="str">
        <f>IF(ISBLANK(Z244),"",IF(ISTEXT(Z244),Z244,IF(M244=0,"non servi",IF(ABS(M244-S221)&lt;0.0000001,"chaque repas",ROUND(S221/M244,1)))))</f>
        <v/>
      </c>
      <c r="O244" s="763" t="str">
        <f>IF(ISBLANK(AA244),"",IF(ISTEXT(AA244),AA244,IF(AA223=0,"",ROUND(AA244/AA223*S221,1))))</f>
        <v>chaque jour</v>
      </c>
      <c r="P244" s="762" t="str">
        <f>IF(ISBLANK(AA244),"",IF(ISTEXT(AA244),AA244,IF(O244=0,"non servi",IF(ABS(O244-S221)&lt;0.0000001,"chaque repas",ROUND(S221/O244,1)))))</f>
        <v>chaque jour</v>
      </c>
      <c r="Q244" s="764" t="str">
        <f>IF(ISBLANK(AB244),"",IF(ISTEXT(AB244),AB244,IF(AB223=0,"",ROUND(AB244/AB223*S221,1))))</f>
        <v>chaque jour</v>
      </c>
      <c r="R244" s="765" t="str">
        <f>IF(ISBLANK(AB244),"",IF(ISTEXT(AB244),AB244,IF(Q244=0,"non servi",IF(ABS(Q244-S221)&lt;0.0000001,"chaque repas",ROUND(S221/Q244,1)))))</f>
        <v>chaque jour</v>
      </c>
      <c r="S244" s="766" t="str">
        <f>IF(ISBLANK(AC244),"",IF(ISTEXT(AC244),AC244,IF(AC223=0,"",ROUND(AC244/AC223*S221,1))))</f>
        <v/>
      </c>
      <c r="T244" s="765" t="str">
        <f>IF(ISBLANK(AC244),"",IF(ISTEXT(AC244),AC244,IF(S244=0,"non servi",IF(ABS(S244-S221)&lt;0.0000001,"chaque repas",ROUND(S221/S244,1)))))</f>
        <v/>
      </c>
      <c r="U244" s="600"/>
      <c r="V244" s="600"/>
      <c r="W244" s="600"/>
      <c r="X244" s="600"/>
      <c r="Y244" s="600"/>
      <c r="Z244" s="600"/>
      <c r="AA244" s="600" t="s">
        <v>5030</v>
      </c>
      <c r="AB244" s="600" t="s">
        <v>5030</v>
      </c>
      <c r="AC244" s="600"/>
      <c r="AD244" s="1855"/>
      <c r="AE244" s="1856"/>
      <c r="AF244" s="309"/>
      <c r="AG244" s="309"/>
      <c r="AH244" s="309"/>
      <c r="AI244" s="309"/>
      <c r="AJ244" s="309"/>
      <c r="AK244" s="309"/>
      <c r="AL244" s="609">
        <v>1</v>
      </c>
    </row>
    <row r="245" spans="1:38" s="307" customFormat="1" ht="21" customHeight="1" x14ac:dyDescent="0.25">
      <c r="A245" s="309"/>
      <c r="B245" s="767" t="s">
        <v>5250</v>
      </c>
      <c r="C245" s="768">
        <f>IF(ISBLANK(U245),"",IF(ISTEXT(U245),U245,IF(U223=0,"",ROUND(U245/U223*S221,1))))</f>
        <v>50</v>
      </c>
      <c r="D245" s="769">
        <f>IF(ISBLANK(U245),"",IF(ISTEXT(U245),U245,IF(C245=0,"non servi",IF(ABS(C245-S221)&lt;0.0000001,"chaque repas",ROUND(S221/C245,1)))))</f>
        <v>5</v>
      </c>
      <c r="E245" s="770" t="str">
        <f>IF(ISBLANK(V245),"",IF(ISTEXT(V245),V245,IF(V223=0,"",ROUND(V245/V223*S221,1))))</f>
        <v/>
      </c>
      <c r="F245" s="769" t="str">
        <f>IF(ISBLANK(V245),"",IF(ISTEXT(V245),V245,IF(E245=0,"non servi",IF(ABS(E245-S221)&lt;0.0000001,"chaque repas",ROUND(S221/E245,1)))))</f>
        <v/>
      </c>
      <c r="G245" s="770" t="str">
        <f>IF(ISBLANK(W245),"",IF(ISTEXT(W245),W245,IF(W223=0,"",ROUND(W245/W223*S221,1))))</f>
        <v/>
      </c>
      <c r="H245" s="769" t="str">
        <f>IF(ISBLANK(W245),"",IF(ISTEXT(W245),W245,IF(G245=0,"non servi",IF(ABS(G245-S221)&lt;0.0000001,"chaque repas",ROUND(S221/G245,1)))))</f>
        <v/>
      </c>
      <c r="I245" s="770" t="str">
        <f>IF(ISBLANK(X245),"",IF(ISTEXT(X245),X245,IF(X223=0,"",ROUND(X245/X223*S221,1))))</f>
        <v/>
      </c>
      <c r="J245" s="769" t="str">
        <f>IF(ISBLANK(X245),"",IF(ISTEXT(X245),X245,IF(I245=0,"non servi",IF(ABS(I245-S221)&lt;0.0000001,"chaque repas",ROUND(S221/I245,1)))))</f>
        <v/>
      </c>
      <c r="K245" s="770" t="str">
        <f>IF(ISBLANK(Y245),"",IF(ISTEXT(Y245),Y245,IF(Y223=0,"",ROUND(Y245/Y223*S221,1))))</f>
        <v/>
      </c>
      <c r="L245" s="769" t="str">
        <f>IF(ISBLANK(Y245),"",IF(ISTEXT(Y245),Y245,IF(K245=0,"non servi",IF(ABS(K245-S221)&lt;0.0000001,"chaque repas",ROUND(S221/K245,1)))))</f>
        <v/>
      </c>
      <c r="M245" s="770" t="str">
        <f>IF(ISBLANK(Z245),"",IF(ISTEXT(Z245),Z245,IF(Z223=0,"",ROUND(Z245/Z223*S221,1))))</f>
        <v/>
      </c>
      <c r="N245" s="769" t="str">
        <f>IF(ISBLANK(Z245),"",IF(ISTEXT(Z245),Z245,IF(M245=0,"non servi",IF(ABS(M245-S221)&lt;0.0000001,"chaque repas",ROUND(S221/M245,1)))))</f>
        <v/>
      </c>
      <c r="O245" s="770" t="str">
        <f>IF(ISBLANK(AA245),"",IF(ISTEXT(AA245),AA245,IF(AA223=0,"",ROUND(AA245/AA223*S221,1))))</f>
        <v/>
      </c>
      <c r="P245" s="769" t="str">
        <f>IF(ISBLANK(AA245),"",IF(ISTEXT(AA245),AA245,IF(O245=0,"non servi",IF(ABS(O245-S221)&lt;0.0000001,"chaque repas",ROUND(S221/O245,1)))))</f>
        <v/>
      </c>
      <c r="Q245" s="771" t="str">
        <f>IF(ISBLANK(AB245),"",IF(ISTEXT(AB245),AB245,IF(AB223=0,"",ROUND(AB245/AB223*S221,1))))</f>
        <v/>
      </c>
      <c r="R245" s="772" t="str">
        <f>IF(ISBLANK(AB245),"",IF(ISTEXT(AB245),AB245,IF(Q245=0,"non servi",IF(ABS(Q245-S221)&lt;0.0000001,"chaque repas",ROUND(S221/Q245,1)))))</f>
        <v/>
      </c>
      <c r="S245" s="773" t="str">
        <f>IF(ISBLANK(AC245),"",IF(ISTEXT(AC245),AC245,IF(AC223=0,"",ROUND(AC245/AC223*S221,1))))</f>
        <v/>
      </c>
      <c r="T245" s="772" t="str">
        <f>IF(ISBLANK(AC245),"",IF(ISTEXT(AC245),AC245,IF(S245=0,"non servi",IF(ABS(S245-S221)&lt;0.0000001,"chaque repas",ROUND(S221/S245,1)))))</f>
        <v/>
      </c>
      <c r="U245" s="599">
        <v>4</v>
      </c>
      <c r="V245" s="697"/>
      <c r="W245" s="697"/>
      <c r="X245" s="697"/>
      <c r="Y245" s="697"/>
      <c r="Z245" s="697"/>
      <c r="AA245" s="697"/>
      <c r="AB245" s="697"/>
      <c r="AC245" s="697"/>
      <c r="AD245" s="1855"/>
      <c r="AE245" s="1856"/>
      <c r="AF245" s="309"/>
      <c r="AG245" s="309"/>
      <c r="AH245" s="309"/>
      <c r="AI245" s="309"/>
      <c r="AJ245" s="309"/>
      <c r="AK245" s="309"/>
      <c r="AL245" s="609">
        <v>1</v>
      </c>
    </row>
    <row r="246" spans="1:38" s="307" customFormat="1" ht="21" customHeight="1" x14ac:dyDescent="0.25">
      <c r="A246" s="309"/>
      <c r="B246" s="774"/>
      <c r="C246" s="768"/>
      <c r="D246" s="775"/>
      <c r="E246" s="770"/>
      <c r="F246" s="775"/>
      <c r="G246" s="770"/>
      <c r="H246" s="775"/>
      <c r="I246" s="770"/>
      <c r="J246" s="775"/>
      <c r="K246" s="770"/>
      <c r="L246" s="775"/>
      <c r="M246" s="770"/>
      <c r="N246" s="775"/>
      <c r="O246" s="770"/>
      <c r="P246" s="775"/>
      <c r="Q246" s="771"/>
      <c r="R246" s="776"/>
      <c r="S246" s="773"/>
      <c r="T246" s="776"/>
      <c r="U246" s="777"/>
      <c r="V246" s="778"/>
      <c r="W246" s="778"/>
      <c r="X246" s="778"/>
      <c r="Y246" s="778"/>
      <c r="Z246" s="778"/>
      <c r="AA246" s="778"/>
      <c r="AB246" s="778"/>
      <c r="AC246" s="778"/>
      <c r="AD246" s="1855"/>
      <c r="AE246" s="1856"/>
      <c r="AF246" s="309"/>
      <c r="AG246" s="309"/>
      <c r="AH246" s="309"/>
      <c r="AI246" s="309"/>
      <c r="AJ246" s="309"/>
      <c r="AK246" s="309"/>
      <c r="AL246" s="609">
        <v>1</v>
      </c>
    </row>
    <row r="247" spans="1:38" s="307" customFormat="1" ht="18" customHeight="1" x14ac:dyDescent="0.25">
      <c r="A247" s="309"/>
      <c r="B247" s="779" t="s">
        <v>5029</v>
      </c>
      <c r="C247" s="780" t="s">
        <v>5028</v>
      </c>
      <c r="D247" s="781"/>
      <c r="E247" s="782"/>
      <c r="F247" s="783"/>
      <c r="G247" s="782"/>
      <c r="H247" s="783"/>
      <c r="I247" s="782"/>
      <c r="J247" s="783"/>
      <c r="K247" s="782"/>
      <c r="L247" s="783"/>
      <c r="M247" s="782"/>
      <c r="N247" s="783"/>
      <c r="O247" s="782"/>
      <c r="P247" s="784"/>
      <c r="Q247" s="785"/>
      <c r="R247" s="785"/>
      <c r="S247" s="785"/>
      <c r="T247" s="785"/>
      <c r="U247" s="785"/>
      <c r="V247" s="785"/>
      <c r="W247" s="785"/>
      <c r="X247" s="785"/>
      <c r="Y247" s="785"/>
      <c r="Z247" s="785"/>
      <c r="AA247" s="785"/>
      <c r="AB247" s="785"/>
      <c r="AC247" s="785"/>
      <c r="AD247" s="785"/>
      <c r="AE247" s="786"/>
      <c r="AF247" s="309"/>
      <c r="AG247" s="309"/>
      <c r="AH247" s="309"/>
      <c r="AI247" s="309"/>
      <c r="AJ247" s="309"/>
      <c r="AK247" s="309"/>
      <c r="AL247" s="609">
        <v>1</v>
      </c>
    </row>
    <row r="248" spans="1:38" s="307" customFormat="1" ht="18" customHeight="1" x14ac:dyDescent="0.25">
      <c r="A248" s="309"/>
      <c r="B248" s="787" t="s">
        <v>5027</v>
      </c>
      <c r="C248" s="788" t="s">
        <v>5026</v>
      </c>
      <c r="D248" s="789"/>
      <c r="E248" s="789"/>
      <c r="F248" s="789"/>
      <c r="G248" s="789"/>
      <c r="H248" s="789"/>
      <c r="I248" s="789"/>
      <c r="J248" s="789"/>
      <c r="K248" s="789"/>
      <c r="L248" s="789"/>
      <c r="M248" s="789"/>
      <c r="N248" s="789"/>
      <c r="O248" s="789"/>
      <c r="P248" s="789"/>
      <c r="Q248" s="789"/>
      <c r="R248" s="789"/>
      <c r="S248" s="789"/>
      <c r="T248" s="789"/>
      <c r="U248" s="789"/>
      <c r="V248" s="789"/>
      <c r="W248" s="789"/>
      <c r="X248" s="789"/>
      <c r="Y248" s="789"/>
      <c r="Z248" s="789"/>
      <c r="AA248" s="789"/>
      <c r="AB248" s="789"/>
      <c r="AC248" s="789"/>
      <c r="AD248" s="789"/>
      <c r="AE248" s="790"/>
      <c r="AF248" s="309"/>
      <c r="AG248" s="309"/>
      <c r="AH248" s="309"/>
      <c r="AI248" s="309"/>
      <c r="AJ248" s="309"/>
      <c r="AK248" s="309"/>
      <c r="AL248" s="609">
        <v>1</v>
      </c>
    </row>
    <row r="249" spans="1:38" s="307" customFormat="1" ht="18" customHeight="1" x14ac:dyDescent="0.25">
      <c r="A249" s="309"/>
      <c r="B249" s="791" t="s">
        <v>5025</v>
      </c>
      <c r="C249" s="792" t="s">
        <v>5251</v>
      </c>
      <c r="D249" s="793"/>
      <c r="E249" s="793"/>
      <c r="F249" s="793"/>
      <c r="G249" s="793"/>
      <c r="H249" s="793"/>
      <c r="I249" s="793"/>
      <c r="J249" s="793"/>
      <c r="K249" s="794"/>
      <c r="L249" s="794"/>
      <c r="M249" s="795"/>
      <c r="N249" s="795"/>
      <c r="O249" s="795"/>
      <c r="P249" s="795"/>
      <c r="Q249" s="794"/>
      <c r="R249" s="794"/>
      <c r="S249" s="794"/>
      <c r="T249" s="794"/>
      <c r="U249" s="794"/>
      <c r="V249" s="794"/>
      <c r="W249" s="794"/>
      <c r="X249" s="794"/>
      <c r="Y249" s="794"/>
      <c r="Z249" s="795"/>
      <c r="AA249" s="795"/>
      <c r="AB249" s="794"/>
      <c r="AC249" s="794"/>
      <c r="AD249" s="796"/>
      <c r="AE249" s="797"/>
      <c r="AF249" s="309"/>
      <c r="AG249" s="309"/>
      <c r="AH249" s="309"/>
      <c r="AI249" s="309"/>
      <c r="AJ249" s="309"/>
      <c r="AK249" s="309"/>
      <c r="AL249" s="609">
        <v>1</v>
      </c>
    </row>
    <row r="250" spans="1:38" s="307" customFormat="1" ht="18" customHeight="1" x14ac:dyDescent="0.25">
      <c r="A250" s="309"/>
      <c r="B250" s="316" t="s">
        <v>5024</v>
      </c>
      <c r="C250" s="315"/>
      <c r="D250" s="315"/>
      <c r="E250" s="315"/>
      <c r="F250" s="315"/>
      <c r="G250" s="315"/>
      <c r="H250" s="315"/>
      <c r="I250" s="315"/>
      <c r="J250" s="315"/>
      <c r="K250" s="315"/>
      <c r="L250" s="315"/>
      <c r="M250" s="798"/>
      <c r="N250" s="798"/>
      <c r="O250" s="798"/>
      <c r="P250" s="798"/>
      <c r="Q250" s="315"/>
      <c r="R250" s="315"/>
      <c r="S250" s="315"/>
      <c r="T250" s="315"/>
      <c r="U250" s="315"/>
      <c r="V250" s="315"/>
      <c r="W250" s="315"/>
      <c r="X250" s="315"/>
      <c r="Y250" s="315"/>
      <c r="Z250" s="798"/>
      <c r="AA250" s="798"/>
      <c r="AB250" s="315"/>
      <c r="AC250" s="315"/>
      <c r="AD250" s="796"/>
      <c r="AE250" s="797"/>
      <c r="AF250" s="309"/>
      <c r="AG250" s="309"/>
      <c r="AH250" s="309"/>
      <c r="AI250" s="309"/>
      <c r="AJ250" s="309"/>
      <c r="AK250" s="309"/>
      <c r="AL250" s="609">
        <v>1</v>
      </c>
    </row>
    <row r="251" spans="1:38" s="307" customFormat="1" ht="18" customHeight="1" x14ac:dyDescent="0.25">
      <c r="A251" s="309"/>
      <c r="B251" s="316" t="s">
        <v>5023</v>
      </c>
      <c r="C251" s="315"/>
      <c r="D251" s="315"/>
      <c r="E251" s="315"/>
      <c r="F251" s="315"/>
      <c r="G251" s="315"/>
      <c r="H251" s="315"/>
      <c r="I251" s="315"/>
      <c r="J251" s="315"/>
      <c r="K251" s="315"/>
      <c r="L251" s="315"/>
      <c r="M251" s="798"/>
      <c r="N251" s="798"/>
      <c r="O251" s="798"/>
      <c r="P251" s="798"/>
      <c r="Q251" s="315"/>
      <c r="R251" s="315"/>
      <c r="S251" s="315"/>
      <c r="T251" s="315"/>
      <c r="U251" s="315"/>
      <c r="V251" s="315"/>
      <c r="W251" s="315"/>
      <c r="X251" s="315"/>
      <c r="Y251" s="315"/>
      <c r="Z251" s="798"/>
      <c r="AA251" s="798"/>
      <c r="AB251" s="315"/>
      <c r="AC251" s="315"/>
      <c r="AD251" s="796"/>
      <c r="AE251" s="797"/>
      <c r="AF251" s="309"/>
      <c r="AG251" s="309"/>
      <c r="AH251" s="309"/>
      <c r="AI251" s="309"/>
      <c r="AJ251" s="309"/>
      <c r="AK251" s="309"/>
      <c r="AL251" s="609">
        <v>1</v>
      </c>
    </row>
    <row r="252" spans="1:38" s="307" customFormat="1" ht="18" customHeight="1" x14ac:dyDescent="0.25">
      <c r="A252" s="309"/>
      <c r="B252" s="316" t="s">
        <v>5022</v>
      </c>
      <c r="C252" s="315"/>
      <c r="D252" s="315"/>
      <c r="E252" s="315"/>
      <c r="F252" s="315"/>
      <c r="G252" s="315"/>
      <c r="H252" s="315"/>
      <c r="I252" s="315"/>
      <c r="J252" s="315"/>
      <c r="K252" s="315"/>
      <c r="L252" s="315"/>
      <c r="M252" s="798"/>
      <c r="N252" s="798"/>
      <c r="O252" s="798"/>
      <c r="P252" s="798"/>
      <c r="Q252" s="315"/>
      <c r="R252" s="315"/>
      <c r="S252" s="315"/>
      <c r="T252" s="315"/>
      <c r="U252" s="315"/>
      <c r="V252" s="315"/>
      <c r="W252" s="315"/>
      <c r="X252" s="315"/>
      <c r="Y252" s="315"/>
      <c r="Z252" s="798"/>
      <c r="AA252" s="798"/>
      <c r="AB252" s="315"/>
      <c r="AC252" s="315"/>
      <c r="AD252" s="796"/>
      <c r="AE252" s="797"/>
      <c r="AF252" s="309"/>
      <c r="AG252" s="309"/>
      <c r="AH252" s="309"/>
      <c r="AI252" s="309"/>
      <c r="AJ252" s="309"/>
      <c r="AK252" s="309"/>
      <c r="AL252" s="609">
        <v>1</v>
      </c>
    </row>
    <row r="253" spans="1:38" s="307" customFormat="1" ht="18" customHeight="1" x14ac:dyDescent="0.25">
      <c r="A253" s="309"/>
      <c r="B253" s="314" t="s">
        <v>5021</v>
      </c>
      <c r="C253" s="313"/>
      <c r="D253" s="313"/>
      <c r="E253" s="313"/>
      <c r="F253" s="313"/>
      <c r="G253" s="313"/>
      <c r="H253" s="313"/>
      <c r="I253" s="313"/>
      <c r="J253" s="313"/>
      <c r="K253" s="313"/>
      <c r="L253" s="313"/>
      <c r="M253" s="799"/>
      <c r="N253" s="799"/>
      <c r="O253" s="799"/>
      <c r="P253" s="799"/>
      <c r="Q253" s="313"/>
      <c r="R253" s="313"/>
      <c r="S253" s="313"/>
      <c r="T253" s="313"/>
      <c r="U253" s="313"/>
      <c r="V253" s="313"/>
      <c r="W253" s="313"/>
      <c r="X253" s="313"/>
      <c r="Y253" s="313"/>
      <c r="Z253" s="799"/>
      <c r="AA253" s="799"/>
      <c r="AB253" s="313"/>
      <c r="AC253" s="313"/>
      <c r="AD253" s="800"/>
      <c r="AE253" s="801"/>
      <c r="AF253" s="309"/>
      <c r="AG253" s="309"/>
      <c r="AH253" s="309"/>
      <c r="AI253" s="309"/>
      <c r="AJ253" s="309"/>
      <c r="AK253" s="309"/>
      <c r="AL253" s="609">
        <v>1</v>
      </c>
    </row>
    <row r="254" spans="1:38" s="307" customFormat="1" ht="16.5" thickBot="1" x14ac:dyDescent="0.3">
      <c r="B254" s="312" t="s">
        <v>5020</v>
      </c>
      <c r="C254" s="311"/>
      <c r="D254" s="311"/>
      <c r="E254" s="311"/>
      <c r="F254" s="311"/>
      <c r="G254" s="311"/>
      <c r="H254" s="311"/>
      <c r="I254" s="311"/>
      <c r="J254" s="311"/>
      <c r="K254" s="311"/>
      <c r="L254" s="311"/>
      <c r="M254" s="311"/>
      <c r="N254" s="311"/>
      <c r="O254" s="311"/>
      <c r="P254" s="311"/>
      <c r="Q254" s="311"/>
      <c r="R254" s="311"/>
      <c r="S254" s="311"/>
      <c r="T254" s="311"/>
      <c r="U254" s="311">
        <v>10</v>
      </c>
      <c r="V254" s="311">
        <v>10</v>
      </c>
      <c r="W254" s="311">
        <v>10</v>
      </c>
      <c r="X254" s="311">
        <v>10</v>
      </c>
      <c r="Y254" s="311">
        <v>10</v>
      </c>
      <c r="Z254" s="311">
        <v>10</v>
      </c>
      <c r="AA254" s="311">
        <v>10</v>
      </c>
      <c r="AB254" s="311">
        <v>10</v>
      </c>
      <c r="AC254" s="311">
        <v>10</v>
      </c>
      <c r="AD254" s="311">
        <v>10</v>
      </c>
      <c r="AE254" s="310">
        <v>10</v>
      </c>
      <c r="AF254" s="309"/>
      <c r="AG254" s="309"/>
      <c r="AH254" s="309"/>
      <c r="AI254" s="309"/>
      <c r="AJ254" s="309"/>
      <c r="AL254" s="609">
        <v>1</v>
      </c>
    </row>
    <row r="255" spans="1:38" x14ac:dyDescent="0.25">
      <c r="B255" s="803" t="s">
        <v>5252</v>
      </c>
      <c r="C255" s="802"/>
      <c r="D255" s="802"/>
      <c r="E255" s="802"/>
      <c r="F255" s="802"/>
      <c r="G255" s="802"/>
      <c r="H255" s="802"/>
      <c r="I255" s="802"/>
      <c r="J255" s="802"/>
      <c r="K255" s="802"/>
      <c r="L255" s="802"/>
      <c r="M255" s="802"/>
      <c r="N255" s="802"/>
      <c r="O255" s="802"/>
      <c r="P255" s="802"/>
      <c r="Q255" s="802"/>
      <c r="R255" s="802"/>
      <c r="S255" s="802"/>
      <c r="T255" s="802"/>
      <c r="U255" s="802"/>
      <c r="V255" s="802"/>
      <c r="W255" s="802"/>
      <c r="X255" s="802"/>
      <c r="Y255" s="802"/>
      <c r="Z255" s="802"/>
      <c r="AA255" s="802"/>
      <c r="AB255" s="802"/>
      <c r="AC255" s="802"/>
      <c r="AD255" s="309"/>
      <c r="AE255" s="309"/>
      <c r="AF255" s="309"/>
      <c r="AG255" s="309"/>
      <c r="AH255" s="309"/>
      <c r="AI255" s="309"/>
      <c r="AJ255" s="309"/>
      <c r="AL255" s="609">
        <v>1</v>
      </c>
    </row>
    <row r="256" spans="1:38" x14ac:dyDescent="0.25">
      <c r="C256" s="305"/>
      <c r="D256" s="305"/>
      <c r="E256" s="305"/>
      <c r="F256" s="305"/>
      <c r="G256" s="305"/>
      <c r="H256" s="305"/>
      <c r="I256" s="305"/>
      <c r="J256" s="305"/>
      <c r="K256" s="305"/>
      <c r="L256" s="305"/>
      <c r="M256" s="305"/>
      <c r="N256" s="305"/>
      <c r="O256" s="305"/>
      <c r="P256" s="305"/>
      <c r="Q256" s="305"/>
      <c r="R256" s="305"/>
      <c r="S256" s="305"/>
      <c r="T256" s="305"/>
      <c r="U256" s="305"/>
      <c r="V256" s="305"/>
      <c r="W256" s="305"/>
      <c r="X256" s="305"/>
      <c r="Y256" s="305"/>
      <c r="Z256" s="305"/>
      <c r="AA256" s="305"/>
      <c r="AB256" s="305"/>
      <c r="AC256" s="305"/>
      <c r="AL256" s="609">
        <v>1</v>
      </c>
    </row>
    <row r="257" spans="1:38" x14ac:dyDescent="0.25">
      <c r="B257" s="306" t="s">
        <v>5017</v>
      </c>
      <c r="AL257" s="609">
        <v>1</v>
      </c>
    </row>
    <row r="258" spans="1:38" x14ac:dyDescent="0.25">
      <c r="B258" s="306" t="s">
        <v>5017</v>
      </c>
      <c r="AL258" s="609">
        <v>1</v>
      </c>
    </row>
    <row r="259" spans="1:38" x14ac:dyDescent="0.25">
      <c r="B259" s="306" t="s">
        <v>5016</v>
      </c>
      <c r="AL259" s="609">
        <v>1</v>
      </c>
    </row>
    <row r="260" spans="1:38" x14ac:dyDescent="0.25">
      <c r="B260" s="306" t="s">
        <v>5016</v>
      </c>
      <c r="AL260" s="609">
        <v>1</v>
      </c>
    </row>
    <row r="261" spans="1:38" x14ac:dyDescent="0.25">
      <c r="B261" s="306" t="s">
        <v>5018</v>
      </c>
      <c r="AL261" s="609">
        <v>1</v>
      </c>
    </row>
    <row r="262" spans="1:38" x14ac:dyDescent="0.25">
      <c r="B262" s="306" t="s">
        <v>5017</v>
      </c>
      <c r="AL262" s="609">
        <v>1</v>
      </c>
    </row>
    <row r="263" spans="1:38" x14ac:dyDescent="0.25">
      <c r="B263" s="306" t="s">
        <v>5016</v>
      </c>
      <c r="AL263" s="609">
        <v>1</v>
      </c>
    </row>
    <row r="264" spans="1:38" x14ac:dyDescent="0.25">
      <c r="B264" s="306" t="s">
        <v>5015</v>
      </c>
      <c r="AL264" s="609">
        <v>1</v>
      </c>
    </row>
    <row r="265" spans="1:38" x14ac:dyDescent="0.25">
      <c r="AL265" s="609">
        <v>1</v>
      </c>
    </row>
    <row r="266" spans="1:38" s="307" customFormat="1" x14ac:dyDescent="0.25">
      <c r="A266" s="609">
        <v>1</v>
      </c>
      <c r="B266" s="609">
        <v>1</v>
      </c>
      <c r="C266" s="609">
        <v>1</v>
      </c>
      <c r="D266" s="609">
        <v>1</v>
      </c>
      <c r="E266" s="609">
        <v>1</v>
      </c>
      <c r="F266" s="609">
        <v>1</v>
      </c>
      <c r="G266" s="609">
        <v>1</v>
      </c>
      <c r="H266" s="609">
        <v>1</v>
      </c>
      <c r="I266" s="609">
        <v>1</v>
      </c>
      <c r="J266" s="609">
        <v>1</v>
      </c>
      <c r="K266" s="609">
        <v>1</v>
      </c>
      <c r="L266" s="609">
        <v>1</v>
      </c>
      <c r="M266" s="609">
        <v>1</v>
      </c>
      <c r="N266" s="609">
        <v>1</v>
      </c>
      <c r="O266" s="609">
        <v>1</v>
      </c>
      <c r="P266" s="609">
        <v>1</v>
      </c>
      <c r="Q266" s="609">
        <v>1</v>
      </c>
      <c r="R266" s="609">
        <v>1</v>
      </c>
      <c r="S266" s="609">
        <v>1</v>
      </c>
      <c r="T266" s="609">
        <v>1</v>
      </c>
      <c r="U266" s="609">
        <v>1</v>
      </c>
      <c r="V266" s="609">
        <v>1</v>
      </c>
      <c r="W266" s="609">
        <v>1</v>
      </c>
      <c r="X266" s="609">
        <v>1</v>
      </c>
      <c r="Y266" s="609">
        <v>1</v>
      </c>
      <c r="Z266" s="609">
        <v>1</v>
      </c>
      <c r="AA266" s="609">
        <v>1</v>
      </c>
      <c r="AB266" s="609">
        <v>1</v>
      </c>
      <c r="AC266" s="609">
        <v>1</v>
      </c>
      <c r="AD266" s="609">
        <v>1</v>
      </c>
      <c r="AE266" s="609">
        <v>1</v>
      </c>
      <c r="AF266" s="609">
        <v>1</v>
      </c>
      <c r="AG266" s="609">
        <v>1</v>
      </c>
      <c r="AH266" s="609">
        <v>1</v>
      </c>
      <c r="AI266" s="609">
        <v>1</v>
      </c>
      <c r="AJ266" s="609">
        <v>1</v>
      </c>
      <c r="AK266" s="609">
        <v>1</v>
      </c>
      <c r="AL266" s="308" t="s">
        <v>5019</v>
      </c>
    </row>
  </sheetData>
  <mergeCells count="238">
    <mergeCell ref="B2:N2"/>
    <mergeCell ref="B4:H4"/>
    <mergeCell ref="C8:D8"/>
    <mergeCell ref="E8:F8"/>
    <mergeCell ref="G8:H8"/>
    <mergeCell ref="B9:B10"/>
    <mergeCell ref="F17:F18"/>
    <mergeCell ref="C9:D10"/>
    <mergeCell ref="E9:F10"/>
    <mergeCell ref="G9:H10"/>
    <mergeCell ref="C11:D11"/>
    <mergeCell ref="E11:F11"/>
    <mergeCell ref="G11:H11"/>
    <mergeCell ref="C20:C21"/>
    <mergeCell ref="D20:D21"/>
    <mergeCell ref="E20:E21"/>
    <mergeCell ref="F20:F21"/>
    <mergeCell ref="G20:H21"/>
    <mergeCell ref="C12:D12"/>
    <mergeCell ref="G13:H19"/>
    <mergeCell ref="C17:C18"/>
    <mergeCell ref="D17:D18"/>
    <mergeCell ref="E17:E18"/>
    <mergeCell ref="G28:H33"/>
    <mergeCell ref="G22:H27"/>
    <mergeCell ref="B24:B25"/>
    <mergeCell ref="C24:C25"/>
    <mergeCell ref="D24:D25"/>
    <mergeCell ref="E24:E25"/>
    <mergeCell ref="F24:F25"/>
    <mergeCell ref="B32:B33"/>
    <mergeCell ref="C32:C33"/>
    <mergeCell ref="D32:D33"/>
    <mergeCell ref="E32:E33"/>
    <mergeCell ref="F32:F33"/>
    <mergeCell ref="B29:B30"/>
    <mergeCell ref="C29:C30"/>
    <mergeCell ref="D29:D30"/>
    <mergeCell ref="E29:E30"/>
    <mergeCell ref="F29:F30"/>
    <mergeCell ref="C108:D108"/>
    <mergeCell ref="E108:F108"/>
    <mergeCell ref="G108:H108"/>
    <mergeCell ref="G34:H36"/>
    <mergeCell ref="B37:B38"/>
    <mergeCell ref="C37:C38"/>
    <mergeCell ref="D37:D38"/>
    <mergeCell ref="E37:E38"/>
    <mergeCell ref="F37:F38"/>
    <mergeCell ref="G37:H40"/>
    <mergeCell ref="B109:B110"/>
    <mergeCell ref="C109:D110"/>
    <mergeCell ref="E109:F110"/>
    <mergeCell ref="G109:H110"/>
    <mergeCell ref="C111:D111"/>
    <mergeCell ref="E111:F111"/>
    <mergeCell ref="G111:H111"/>
    <mergeCell ref="C112:D112"/>
    <mergeCell ref="G113:H119"/>
    <mergeCell ref="C117:C118"/>
    <mergeCell ref="D117:D118"/>
    <mergeCell ref="E117:E118"/>
    <mergeCell ref="F117:F118"/>
    <mergeCell ref="C120:C121"/>
    <mergeCell ref="D120:D121"/>
    <mergeCell ref="E120:E121"/>
    <mergeCell ref="F120:F121"/>
    <mergeCell ref="G120:H121"/>
    <mergeCell ref="G122:H127"/>
    <mergeCell ref="B124:B125"/>
    <mergeCell ref="C124:C125"/>
    <mergeCell ref="D124:D125"/>
    <mergeCell ref="E124:E125"/>
    <mergeCell ref="F124:F125"/>
    <mergeCell ref="C128:C130"/>
    <mergeCell ref="D128:D130"/>
    <mergeCell ref="E128:E130"/>
    <mergeCell ref="F128:F130"/>
    <mergeCell ref="G128:H133"/>
    <mergeCell ref="B129:B130"/>
    <mergeCell ref="B132:B133"/>
    <mergeCell ref="C132:C133"/>
    <mergeCell ref="D132:D133"/>
    <mergeCell ref="E132:E133"/>
    <mergeCell ref="F132:F133"/>
    <mergeCell ref="G134:H136"/>
    <mergeCell ref="B137:B138"/>
    <mergeCell ref="C137:C138"/>
    <mergeCell ref="D137:D138"/>
    <mergeCell ref="E137:E138"/>
    <mergeCell ref="F137:F138"/>
    <mergeCell ref="G137:H140"/>
    <mergeCell ref="B144:I144"/>
    <mergeCell ref="C162:I162"/>
    <mergeCell ref="B166:L166"/>
    <mergeCell ref="B167:L168"/>
    <mergeCell ref="I169:J169"/>
    <mergeCell ref="K170:L173"/>
    <mergeCell ref="K174:L175"/>
    <mergeCell ref="K177:L179"/>
    <mergeCell ref="K180:L181"/>
    <mergeCell ref="B182:J182"/>
    <mergeCell ref="B183:J183"/>
    <mergeCell ref="AD220:AE224"/>
    <mergeCell ref="C221:F223"/>
    <mergeCell ref="G221:H223"/>
    <mergeCell ref="I221:L223"/>
    <mergeCell ref="M221:N223"/>
    <mergeCell ref="O221:R223"/>
    <mergeCell ref="S221:T223"/>
    <mergeCell ref="AB223:AC223"/>
    <mergeCell ref="C209:D209"/>
    <mergeCell ref="C210:D210"/>
    <mergeCell ref="C211:D211"/>
    <mergeCell ref="C224:D224"/>
    <mergeCell ref="E224:F224"/>
    <mergeCell ref="G224:H224"/>
    <mergeCell ref="B226:B227"/>
    <mergeCell ref="C226:C227"/>
    <mergeCell ref="D226:D227"/>
    <mergeCell ref="E226:E227"/>
    <mergeCell ref="F226:F227"/>
    <mergeCell ref="G226:G227"/>
    <mergeCell ref="H226:H227"/>
    <mergeCell ref="B186:H186"/>
    <mergeCell ref="C189:D189"/>
    <mergeCell ref="C190:D190"/>
    <mergeCell ref="C191:D191"/>
    <mergeCell ref="C199:D199"/>
    <mergeCell ref="C200:D200"/>
    <mergeCell ref="C201:D201"/>
    <mergeCell ref="B220:B224"/>
    <mergeCell ref="J226:J227"/>
    <mergeCell ref="K226:K227"/>
    <mergeCell ref="L226:L227"/>
    <mergeCell ref="M226:M227"/>
    <mergeCell ref="N226:N227"/>
    <mergeCell ref="U226:U227"/>
    <mergeCell ref="W226:W227"/>
    <mergeCell ref="I224:J224"/>
    <mergeCell ref="K224:L224"/>
    <mergeCell ref="M224:N224"/>
    <mergeCell ref="O224:P224"/>
    <mergeCell ref="Q224:R224"/>
    <mergeCell ref="S224:T224"/>
    <mergeCell ref="V226:V227"/>
    <mergeCell ref="AD226:AE233"/>
    <mergeCell ref="C231:C232"/>
    <mergeCell ref="D231:D232"/>
    <mergeCell ref="E231:E232"/>
    <mergeCell ref="F231:F232"/>
    <mergeCell ref="G231:G232"/>
    <mergeCell ref="H231:H232"/>
    <mergeCell ref="I231:I232"/>
    <mergeCell ref="V231:V232"/>
    <mergeCell ref="W231:W232"/>
    <mergeCell ref="X231:X232"/>
    <mergeCell ref="AA231:AA232"/>
    <mergeCell ref="J231:J232"/>
    <mergeCell ref="K231:K232"/>
    <mergeCell ref="L231:L232"/>
    <mergeCell ref="M231:M232"/>
    <mergeCell ref="N231:N232"/>
    <mergeCell ref="AB231:AB232"/>
    <mergeCell ref="AC231:AC232"/>
    <mergeCell ref="O231:O232"/>
    <mergeCell ref="P231:P232"/>
    <mergeCell ref="Q231:Q232"/>
    <mergeCell ref="AA226:AA227"/>
    <mergeCell ref="I226:I227"/>
    <mergeCell ref="AD234:AE235"/>
    <mergeCell ref="AD236:AE246"/>
    <mergeCell ref="AA234:AA235"/>
    <mergeCell ref="AB234:AB235"/>
    <mergeCell ref="K234:K235"/>
    <mergeCell ref="L234:L235"/>
    <mergeCell ref="M234:M235"/>
    <mergeCell ref="N234:N235"/>
    <mergeCell ref="C234:C235"/>
    <mergeCell ref="D234:D235"/>
    <mergeCell ref="E234:E235"/>
    <mergeCell ref="F234:F235"/>
    <mergeCell ref="G234:G235"/>
    <mergeCell ref="H234:H235"/>
    <mergeCell ref="I234:I235"/>
    <mergeCell ref="J234:J235"/>
    <mergeCell ref="AC234:AC235"/>
    <mergeCell ref="S234:S235"/>
    <mergeCell ref="T234:T235"/>
    <mergeCell ref="U234:U235"/>
    <mergeCell ref="V234:V235"/>
    <mergeCell ref="W234:W235"/>
    <mergeCell ref="X234:X235"/>
    <mergeCell ref="Y234:Y235"/>
    <mergeCell ref="O4:S7"/>
    <mergeCell ref="O8:P8"/>
    <mergeCell ref="Q8:Q14"/>
    <mergeCell ref="R8:S8"/>
    <mergeCell ref="O11:P12"/>
    <mergeCell ref="R11:S12"/>
    <mergeCell ref="O13:P13"/>
    <mergeCell ref="R13:S13"/>
    <mergeCell ref="O14:P14"/>
    <mergeCell ref="R14:S14"/>
    <mergeCell ref="O19:O20"/>
    <mergeCell ref="P19:P20"/>
    <mergeCell ref="R19:R20"/>
    <mergeCell ref="S19:S20"/>
    <mergeCell ref="O22:O23"/>
    <mergeCell ref="P22:P23"/>
    <mergeCell ref="R22:R23"/>
    <mergeCell ref="S22:S23"/>
    <mergeCell ref="O29:O30"/>
    <mergeCell ref="P29:P30"/>
    <mergeCell ref="R29:R30"/>
    <mergeCell ref="S29:S30"/>
    <mergeCell ref="R231:R232"/>
    <mergeCell ref="S231:S232"/>
    <mergeCell ref="T231:T232"/>
    <mergeCell ref="O234:O235"/>
    <mergeCell ref="P234:P235"/>
    <mergeCell ref="Q234:Q235"/>
    <mergeCell ref="U221:AC222"/>
    <mergeCell ref="U223:AA223"/>
    <mergeCell ref="O226:O227"/>
    <mergeCell ref="P226:P227"/>
    <mergeCell ref="Q226:Q227"/>
    <mergeCell ref="S226:S227"/>
    <mergeCell ref="T226:T227"/>
    <mergeCell ref="Z234:Z235"/>
    <mergeCell ref="AB226:AB227"/>
    <mergeCell ref="AC226:AC227"/>
    <mergeCell ref="X226:X227"/>
    <mergeCell ref="Y226:Y227"/>
    <mergeCell ref="Z226:Z227"/>
    <mergeCell ref="U231:U232"/>
    <mergeCell ref="Y231:Y232"/>
    <mergeCell ref="Z231:Z23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CB1BA-63D2-4C14-97BB-5B9521FA2785}">
  <dimension ref="A1:CX2459"/>
  <sheetViews>
    <sheetView showGridLines="0" workbookViewId="0">
      <selection activeCell="A4" sqref="A4"/>
    </sheetView>
  </sheetViews>
  <sheetFormatPr baseColWidth="10" defaultColWidth="9" defaultRowHeight="15.75" x14ac:dyDescent="0.25"/>
  <cols>
    <col min="1" max="1" width="6.75" style="1368" customWidth="1"/>
    <col min="2" max="2" width="50.25" style="1443" customWidth="1"/>
    <col min="3" max="3" width="50.25" style="1368" customWidth="1"/>
    <col min="4" max="4" width="38.875" style="1368" customWidth="1"/>
    <col min="5" max="5" width="20.125" style="1368" customWidth="1"/>
    <col min="6" max="18" width="12.125" style="1368" customWidth="1"/>
    <col min="19" max="19" width="34.25" style="1368" customWidth="1"/>
    <col min="20" max="20" width="2.25" style="1368" customWidth="1"/>
    <col min="21" max="25" width="20.625" style="1368" customWidth="1"/>
    <col min="26" max="26" width="18.625" style="1368" customWidth="1"/>
    <col min="27" max="27" width="20.625" style="1368" customWidth="1"/>
    <col min="28" max="28" width="10.25" style="1368" customWidth="1"/>
    <col min="29" max="29" width="17.875" style="1368" customWidth="1"/>
    <col min="30" max="30" width="19.875" style="1368" customWidth="1"/>
    <col min="31" max="32" width="5.75" style="1368" customWidth="1"/>
    <col min="33" max="33" width="19.875" style="1368" customWidth="1"/>
    <col min="34" max="34" width="12.75" style="1368" customWidth="1"/>
    <col min="35" max="36" width="5.75" style="1368" customWidth="1"/>
    <col min="37" max="37" width="15.5" style="1368" customWidth="1"/>
    <col min="38" max="90" width="5.75" style="1368" customWidth="1"/>
    <col min="91" max="91" width="2" style="1444" customWidth="1"/>
    <col min="92" max="92" width="12.625" style="1368" customWidth="1"/>
    <col min="93" max="93" width="36.625" style="1368" customWidth="1"/>
    <col min="94" max="94" width="14.875" style="1368" customWidth="1"/>
    <col min="95" max="96" width="36.625" style="1368" customWidth="1"/>
    <col min="97" max="97" width="40.875" style="1368" customWidth="1"/>
    <col min="98" max="98" width="69.375" style="1368" customWidth="1"/>
    <col min="99" max="99" width="98" style="1368" customWidth="1"/>
    <col min="100" max="100" width="11.375" style="1368" customWidth="1"/>
    <col min="101" max="101" width="9" style="1368"/>
    <col min="102" max="102" width="9" style="1367"/>
    <col min="103" max="16384" width="9" style="1368"/>
  </cols>
  <sheetData>
    <row r="1" spans="1:102" ht="27.95" customHeight="1" x14ac:dyDescent="0.25">
      <c r="A1" s="2033" t="s">
        <v>8097</v>
      </c>
      <c r="B1" s="2033"/>
      <c r="C1" s="2033"/>
      <c r="D1" s="2033"/>
      <c r="E1" s="2033"/>
      <c r="F1" s="2033"/>
      <c r="G1" s="2033"/>
      <c r="H1" s="2033"/>
      <c r="I1" s="2033"/>
      <c r="J1" s="2033"/>
      <c r="K1" s="2033"/>
      <c r="L1" s="2033"/>
      <c r="M1" s="2033"/>
      <c r="N1" s="2033"/>
      <c r="O1" s="2033"/>
      <c r="P1" s="2033"/>
      <c r="Q1" s="2033"/>
      <c r="R1" s="2033"/>
      <c r="S1" s="2033"/>
      <c r="U1" s="1369" t="s">
        <v>13650</v>
      </c>
      <c r="V1" s="1370" t="s">
        <v>13651</v>
      </c>
      <c r="X1" s="1371" t="s">
        <v>8126</v>
      </c>
      <c r="Y1" s="1372" t="s">
        <v>13652</v>
      </c>
      <c r="AA1" s="1373" t="s">
        <v>8130</v>
      </c>
      <c r="AB1" s="1374" t="s">
        <v>13653</v>
      </c>
      <c r="AD1" s="1375" t="s">
        <v>8134</v>
      </c>
      <c r="AE1" s="1376" t="s">
        <v>13654</v>
      </c>
      <c r="CM1" s="1377"/>
      <c r="CN1" s="1378" t="s">
        <v>8098</v>
      </c>
      <c r="CO1" s="1378" t="s">
        <v>8099</v>
      </c>
      <c r="CP1" s="1378" t="s">
        <v>3273</v>
      </c>
      <c r="CQ1" s="1378" t="s">
        <v>8100</v>
      </c>
      <c r="CR1" s="1378" t="s">
        <v>8101</v>
      </c>
      <c r="CS1" s="1378" t="s">
        <v>8102</v>
      </c>
      <c r="CT1" s="1378" t="s">
        <v>5004</v>
      </c>
      <c r="CU1" s="1378" t="s">
        <v>8103</v>
      </c>
      <c r="CV1" s="1378" t="s">
        <v>7443</v>
      </c>
      <c r="CW1" s="1378"/>
      <c r="CX1" s="1379">
        <v>1</v>
      </c>
    </row>
    <row r="2" spans="1:102" ht="23.1" customHeight="1" x14ac:dyDescent="0.25">
      <c r="A2" s="2034" t="s">
        <v>13655</v>
      </c>
      <c r="B2" s="2034"/>
      <c r="C2" s="2034"/>
      <c r="D2" s="2034"/>
      <c r="E2" s="2034"/>
      <c r="F2" s="2034"/>
      <c r="G2" s="2034"/>
      <c r="H2" s="2034"/>
      <c r="I2" s="2034"/>
      <c r="J2" s="2034"/>
      <c r="K2" s="2034"/>
      <c r="L2" s="2034"/>
      <c r="M2" s="2034"/>
      <c r="N2" s="2034"/>
      <c r="O2" s="2034"/>
      <c r="P2" s="2034"/>
      <c r="Q2" s="2034"/>
      <c r="R2" s="2034"/>
      <c r="S2" s="2034"/>
      <c r="U2" s="1380" t="s">
        <v>8124</v>
      </c>
      <c r="V2" s="1381" t="s">
        <v>13656</v>
      </c>
      <c r="X2" s="1382" t="s">
        <v>8127</v>
      </c>
      <c r="Y2" s="1383" t="s">
        <v>13657</v>
      </c>
      <c r="AA2" s="1384" t="s">
        <v>8131</v>
      </c>
      <c r="AB2" s="1385" t="s">
        <v>13658</v>
      </c>
      <c r="AD2" s="1386" t="s">
        <v>8135</v>
      </c>
      <c r="AE2" s="1387" t="s">
        <v>13659</v>
      </c>
      <c r="AG2" s="1136" t="s">
        <v>4830</v>
      </c>
      <c r="CM2" s="1377"/>
      <c r="CN2" s="1388" t="s">
        <v>8104</v>
      </c>
      <c r="CO2" s="1388" t="s">
        <v>8105</v>
      </c>
      <c r="CP2" s="1388" t="s">
        <v>8106</v>
      </c>
      <c r="CQ2" s="1388" t="s">
        <v>8107</v>
      </c>
      <c r="CR2" s="1388" t="s">
        <v>8107</v>
      </c>
      <c r="CS2" s="1388" t="s">
        <v>8108</v>
      </c>
      <c r="CT2" s="1388" t="s">
        <v>8109</v>
      </c>
      <c r="CU2" s="1388" t="s">
        <v>8110</v>
      </c>
      <c r="CV2" s="1389" t="s">
        <v>8111</v>
      </c>
      <c r="CX2" s="1379">
        <v>1</v>
      </c>
    </row>
    <row r="3" spans="1:102" ht="23.1" customHeight="1" x14ac:dyDescent="0.25">
      <c r="A3" s="2035" t="s">
        <v>8112</v>
      </c>
      <c r="B3" s="2035"/>
      <c r="C3" s="2035"/>
      <c r="D3" s="2035"/>
      <c r="E3" s="2035"/>
      <c r="F3" s="2035"/>
      <c r="G3" s="2035"/>
      <c r="H3" s="2035"/>
      <c r="I3" s="2035"/>
      <c r="J3" s="2035"/>
      <c r="K3" s="2035"/>
      <c r="L3" s="2035"/>
      <c r="M3" s="2035"/>
      <c r="N3" s="2035"/>
      <c r="O3" s="2035"/>
      <c r="P3" s="2035"/>
      <c r="Q3" s="2035"/>
      <c r="R3" s="2035"/>
      <c r="S3" s="2035"/>
      <c r="U3" s="1390" t="s">
        <v>7912</v>
      </c>
      <c r="V3" s="1391" t="s">
        <v>13660</v>
      </c>
      <c r="X3" s="1392" t="s">
        <v>8128</v>
      </c>
      <c r="Y3" s="1393" t="s">
        <v>13661</v>
      </c>
      <c r="AA3" s="1394" t="s">
        <v>8132</v>
      </c>
      <c r="AB3" s="1395" t="s">
        <v>13662</v>
      </c>
      <c r="CM3" s="1377"/>
      <c r="CN3" s="1388" t="s">
        <v>8113</v>
      </c>
      <c r="CO3" s="1388" t="s">
        <v>8105</v>
      </c>
      <c r="CP3" s="1388" t="s">
        <v>8106</v>
      </c>
      <c r="CQ3" s="1388" t="s">
        <v>8114</v>
      </c>
      <c r="CR3" s="1388" t="s">
        <v>8115</v>
      </c>
      <c r="CS3" s="1388" t="s">
        <v>8108</v>
      </c>
      <c r="CT3" s="1388" t="s">
        <v>8109</v>
      </c>
      <c r="CU3" s="1388" t="s">
        <v>8110</v>
      </c>
      <c r="CV3" s="1389" t="s">
        <v>8111</v>
      </c>
      <c r="CX3" s="1379">
        <v>1</v>
      </c>
    </row>
    <row r="4" spans="1:102" ht="20.100000000000001" customHeight="1" x14ac:dyDescent="0.25">
      <c r="A4" s="1343"/>
      <c r="B4" s="1334" t="s">
        <v>13663</v>
      </c>
      <c r="C4" s="1396"/>
      <c r="D4" s="1396"/>
      <c r="E4" s="1397"/>
      <c r="F4" s="1398" t="s">
        <v>8105</v>
      </c>
      <c r="G4" s="1397"/>
      <c r="H4" s="1399"/>
      <c r="I4" s="1399"/>
      <c r="J4" s="1399"/>
      <c r="K4" s="1399"/>
      <c r="L4" s="1399"/>
      <c r="M4" s="1399"/>
      <c r="N4" s="1399"/>
      <c r="O4" s="1399"/>
      <c r="P4" s="1399"/>
      <c r="Q4" s="1400" t="s">
        <v>8116</v>
      </c>
      <c r="R4" s="1342" t="str">
        <f>$CX$2459</f>
        <v>CX2459</v>
      </c>
      <c r="S4" s="1399"/>
      <c r="U4" s="1401" t="s">
        <v>8125</v>
      </c>
      <c r="V4" s="1402" t="s">
        <v>13664</v>
      </c>
      <c r="X4" s="1403" t="s">
        <v>8129</v>
      </c>
      <c r="Y4" s="1404" t="s">
        <v>13665</v>
      </c>
      <c r="AA4" s="1405" t="s">
        <v>8133</v>
      </c>
      <c r="AB4" s="1406" t="s">
        <v>13666</v>
      </c>
      <c r="CM4" s="1377"/>
      <c r="CN4" s="1388" t="s">
        <v>8117</v>
      </c>
      <c r="CO4" s="1388" t="s">
        <v>8105</v>
      </c>
      <c r="CP4" s="1388" t="s">
        <v>8106</v>
      </c>
      <c r="CQ4" s="1388" t="s">
        <v>8118</v>
      </c>
      <c r="CR4" s="1388" t="s">
        <v>8118</v>
      </c>
      <c r="CS4" s="1388" t="s">
        <v>8108</v>
      </c>
      <c r="CT4" s="1388" t="s">
        <v>8109</v>
      </c>
      <c r="CU4" s="1388" t="s">
        <v>8110</v>
      </c>
      <c r="CV4" s="1389" t="s">
        <v>8111</v>
      </c>
      <c r="CX4" s="1379">
        <v>1</v>
      </c>
    </row>
    <row r="5" spans="1:102" ht="18.75" x14ac:dyDescent="0.25">
      <c r="A5" s="1343"/>
      <c r="B5" s="2036" t="s">
        <v>8119</v>
      </c>
      <c r="C5" s="2036"/>
      <c r="D5" s="2036"/>
      <c r="E5" s="1407" t="s">
        <v>13447</v>
      </c>
      <c r="F5" s="1343"/>
      <c r="G5" s="1343"/>
      <c r="H5" s="1343"/>
      <c r="J5" s="1343"/>
      <c r="L5" s="1364" t="s">
        <v>8120</v>
      </c>
      <c r="M5" s="1343"/>
      <c r="N5" s="1343"/>
      <c r="O5" s="1343"/>
      <c r="P5" s="1343"/>
      <c r="Q5" s="1343"/>
      <c r="R5" s="1343"/>
      <c r="S5" s="1343"/>
      <c r="CM5" s="1377"/>
      <c r="CN5" s="1388" t="s">
        <v>8121</v>
      </c>
      <c r="CO5" s="1388" t="s">
        <v>8105</v>
      </c>
      <c r="CP5" s="1388" t="s">
        <v>8106</v>
      </c>
      <c r="CQ5" s="1388" t="s">
        <v>8122</v>
      </c>
      <c r="CR5" s="1388" t="s">
        <v>8122</v>
      </c>
      <c r="CS5" s="1388" t="s">
        <v>8108</v>
      </c>
      <c r="CT5" s="1388" t="s">
        <v>8109</v>
      </c>
      <c r="CU5" s="1388" t="s">
        <v>8110</v>
      </c>
      <c r="CV5" s="1389" t="s">
        <v>8111</v>
      </c>
      <c r="CX5" s="1379">
        <v>1</v>
      </c>
    </row>
    <row r="6" spans="1:102" ht="51.95" customHeight="1" x14ac:dyDescent="0.25">
      <c r="A6" s="1408" t="s">
        <v>5254</v>
      </c>
      <c r="B6" s="1409" t="s">
        <v>13448</v>
      </c>
      <c r="C6" s="1410" t="s">
        <v>13449</v>
      </c>
      <c r="D6" s="1410" t="s">
        <v>8123</v>
      </c>
      <c r="E6" s="1408" t="str">
        <f>"Céréales contenant du gluten "&amp;(COUNTIF(E7:E66,"X")+COUNTIF(E7:E66,"~?"))</f>
        <v>Céréales contenant du gluten 2</v>
      </c>
      <c r="F6" s="1408" t="str">
        <f>"Crustacés "&amp;" "&amp;(COUNTIF(F7:F66,"X")+COUNTIF(F7:F66,"~?"))</f>
        <v>Crustacés  2</v>
      </c>
      <c r="G6" s="1408" t="str">
        <f>"Œufs "&amp;(COUNTIF(G7:G66,"X")+COUNTIF(G7:G66,"~?"))</f>
        <v>Œufs 4</v>
      </c>
      <c r="H6" s="1408" t="str">
        <f>"Poissons "&amp;(COUNTIF(H7:H66,"X")+COUNTIF(H7:H66,"~?"))</f>
        <v>Poissons 5</v>
      </c>
      <c r="I6" s="1408" t="str">
        <f>"Arachides "&amp;" "&amp;(COUNTIF(I7:I66,"X")+COUNTIF(I7:I66,"~?"))</f>
        <v>Arachides  1</v>
      </c>
      <c r="J6" s="1408" t="str">
        <f>"Soja "&amp;" "&amp;(COUNTIF(J7:J66,"X")+COUNTIF(J7:J66,"~?"))</f>
        <v>Soja  2</v>
      </c>
      <c r="K6" s="1408" t="str">
        <f>"Lait "&amp;" "&amp;(COUNTIF(K7:K66,"X")+COUNTIF(K7:K66,"~?"))</f>
        <v>Lait  8</v>
      </c>
      <c r="L6" s="1408" t="str">
        <f>"Fruits à coque "&amp;" "&amp;(COUNTIF(L7:L66,"X")+COUNTIF(L7:L66,"~?"))</f>
        <v>Fruits à coque  0</v>
      </c>
      <c r="M6" s="1408" t="str">
        <f>"Céleri "&amp;(COUNTIF(M7:M66,"X")+COUNTIF(M7:M66,"~?"))</f>
        <v>Céleri 1</v>
      </c>
      <c r="N6" s="1408" t="str">
        <f>"Moutarde "&amp;(COUNTIF(N7:N66,"X")+COUNTIF(N7:N66,"~?"))</f>
        <v>Moutarde 0</v>
      </c>
      <c r="O6" s="1408" t="str">
        <f>"Sésame "&amp;(COUNTIF(O7:O66,"X")+COUNTIF(O7:O66,"~?"))</f>
        <v>Sésame 1</v>
      </c>
      <c r="P6" s="1408" t="str">
        <f>"Sulfites "&amp;(COUNTIF(P7:P66,"X")+COUNTIF(P7:P66,"~?"))</f>
        <v>Sulfites 2</v>
      </c>
      <c r="Q6" s="1408" t="str">
        <f>"Lupin "&amp;(COUNTIF(Q7:Q66,"X")+COUNTIF(Q7:Q66,"~?"))</f>
        <v>Lupin 1</v>
      </c>
      <c r="R6" s="1408" t="str">
        <f>"Mollusques "&amp;(COUNTIF(R7:R66,"X")+COUNTIF(R7:R66,"~?"))</f>
        <v>Mollusques 4</v>
      </c>
      <c r="S6" s="1408" t="s">
        <v>13450</v>
      </c>
      <c r="U6" s="1411" t="s">
        <v>8136</v>
      </c>
      <c r="V6" s="1411" t="s">
        <v>8137</v>
      </c>
      <c r="W6" s="1411" t="s">
        <v>8138</v>
      </c>
      <c r="X6" s="1411" t="s">
        <v>8139</v>
      </c>
      <c r="Y6" s="1411" t="s">
        <v>8140</v>
      </c>
      <c r="Z6" s="1411" t="s">
        <v>8141</v>
      </c>
      <c r="AA6" s="1411" t="s">
        <v>8142</v>
      </c>
      <c r="AB6" s="1411" t="s">
        <v>8143</v>
      </c>
      <c r="AC6" s="1411" t="s">
        <v>8144</v>
      </c>
      <c r="AD6" s="1411" t="s">
        <v>8145</v>
      </c>
      <c r="AE6" s="1411" t="s">
        <v>8146</v>
      </c>
      <c r="AF6" s="1411" t="s">
        <v>8105</v>
      </c>
      <c r="AG6" s="1411" t="s">
        <v>8147</v>
      </c>
      <c r="AH6" s="1411" t="s">
        <v>8148</v>
      </c>
      <c r="AI6" s="1411" t="s">
        <v>8124</v>
      </c>
      <c r="AJ6" s="1411" t="s">
        <v>8149</v>
      </c>
      <c r="AK6" s="1411" t="s">
        <v>8150</v>
      </c>
      <c r="AL6" s="1411" t="s">
        <v>8151</v>
      </c>
      <c r="AM6" s="1411" t="s">
        <v>7912</v>
      </c>
      <c r="AN6" s="1411" t="s">
        <v>8152</v>
      </c>
      <c r="AO6" s="1411" t="s">
        <v>8153</v>
      </c>
      <c r="AP6" s="1411" t="s">
        <v>8154</v>
      </c>
      <c r="AQ6" s="1411" t="s">
        <v>8155</v>
      </c>
      <c r="AR6" s="1411" t="s">
        <v>8156</v>
      </c>
      <c r="AS6" s="1411" t="s">
        <v>8157</v>
      </c>
      <c r="AT6" s="1411" t="s">
        <v>8158</v>
      </c>
      <c r="AU6" s="1411" t="s">
        <v>8159</v>
      </c>
      <c r="AV6" s="1411" t="s">
        <v>8160</v>
      </c>
      <c r="AW6" s="1411" t="s">
        <v>8161</v>
      </c>
      <c r="AX6" s="1411" t="s">
        <v>8162</v>
      </c>
      <c r="AY6" s="1411" t="s">
        <v>8163</v>
      </c>
      <c r="AZ6" s="1411" t="s">
        <v>8125</v>
      </c>
      <c r="BA6" s="1411" t="s">
        <v>8164</v>
      </c>
      <c r="BB6" s="1411" t="s">
        <v>8126</v>
      </c>
      <c r="BC6" s="1411" t="s">
        <v>8165</v>
      </c>
      <c r="BD6" s="1411" t="s">
        <v>8166</v>
      </c>
      <c r="BE6" s="1411" t="s">
        <v>8167</v>
      </c>
      <c r="BF6" s="1411" t="s">
        <v>8127</v>
      </c>
      <c r="BG6" s="1411" t="s">
        <v>8168</v>
      </c>
      <c r="BH6" s="1411" t="s">
        <v>8169</v>
      </c>
      <c r="BI6" s="1411" t="s">
        <v>8170</v>
      </c>
      <c r="BJ6" s="1411" t="s">
        <v>8171</v>
      </c>
      <c r="BK6" s="1411" t="s">
        <v>8172</v>
      </c>
      <c r="BL6" s="1411" t="s">
        <v>8173</v>
      </c>
      <c r="BM6" s="1411" t="s">
        <v>8128</v>
      </c>
      <c r="BN6" s="1411" t="s">
        <v>8174</v>
      </c>
      <c r="BO6" s="1411" t="s">
        <v>8175</v>
      </c>
      <c r="BP6" s="1411" t="s">
        <v>8176</v>
      </c>
      <c r="BQ6" s="1411" t="s">
        <v>8129</v>
      </c>
      <c r="BR6" s="1411" t="s">
        <v>8177</v>
      </c>
      <c r="BS6" s="1411" t="s">
        <v>8178</v>
      </c>
      <c r="BT6" s="1411" t="s">
        <v>8130</v>
      </c>
      <c r="BU6" s="1411" t="s">
        <v>8179</v>
      </c>
      <c r="BV6" s="1411" t="s">
        <v>8180</v>
      </c>
      <c r="BW6" s="1411" t="s">
        <v>8131</v>
      </c>
      <c r="BX6" s="1411" t="s">
        <v>8181</v>
      </c>
      <c r="BY6" s="1411" t="s">
        <v>8182</v>
      </c>
      <c r="BZ6" s="1411" t="s">
        <v>8132</v>
      </c>
      <c r="CA6" s="1411" t="s">
        <v>8183</v>
      </c>
      <c r="CB6" s="1411" t="s">
        <v>8184</v>
      </c>
      <c r="CC6" s="1411" t="s">
        <v>8133</v>
      </c>
      <c r="CD6" s="1411" t="s">
        <v>8185</v>
      </c>
      <c r="CE6" s="1411" t="s">
        <v>8186</v>
      </c>
      <c r="CF6" s="1411" t="s">
        <v>8134</v>
      </c>
      <c r="CG6" s="1411" t="s">
        <v>8187</v>
      </c>
      <c r="CH6" s="1411" t="s">
        <v>8188</v>
      </c>
      <c r="CI6" s="1411" t="s">
        <v>8189</v>
      </c>
      <c r="CJ6" s="1411" t="s">
        <v>8190</v>
      </c>
      <c r="CK6" s="1411" t="s">
        <v>8191</v>
      </c>
      <c r="CL6" s="1411" t="s">
        <v>8135</v>
      </c>
      <c r="CM6" s="1377"/>
      <c r="CN6" s="1388" t="s">
        <v>8192</v>
      </c>
      <c r="CO6" s="1388" t="s">
        <v>8105</v>
      </c>
      <c r="CP6" s="1388" t="s">
        <v>8106</v>
      </c>
      <c r="CQ6" s="1388" t="s">
        <v>8193</v>
      </c>
      <c r="CR6" s="1388" t="s">
        <v>8193</v>
      </c>
      <c r="CS6" s="1388" t="s">
        <v>8194</v>
      </c>
      <c r="CT6" s="1388" t="s">
        <v>8195</v>
      </c>
      <c r="CU6" s="1388" t="s">
        <v>8110</v>
      </c>
      <c r="CV6" s="1389" t="s">
        <v>8196</v>
      </c>
      <c r="CX6" s="1379">
        <v>1</v>
      </c>
    </row>
    <row r="7" spans="1:102" ht="21" customHeight="1" x14ac:dyDescent="0.25">
      <c r="A7" s="1412">
        <v>1</v>
      </c>
      <c r="B7" s="1413" t="s">
        <v>8197</v>
      </c>
      <c r="C7" s="1414" t="str">
        <f t="shared" ref="C7:C66" si="0">IF(7=7,IF($B7="","",TRIM(IF(RIGHT(TRIM($B7),1)="?",LEFT(TRIM($B7),LEN(TRIM($B7))-1),TRIM($B7)))&amp;IF(COUNTIF($E7:$R7,"X")&gt;0," *",IF(OR(E7="?",F7="?",G7="?",H7="?",I7="?",J7="?",K7="?",L7="?",M7="?",N7="?",O7="?",P7="?",Q7="?",R7="?")," ?",""))),"")</f>
        <v>Ail haché</v>
      </c>
      <c r="D7" s="1415" t="str">
        <f>IF(7=7,IF($B7="","",IF(E7="X",""&amp;"Céréales contenant du gluten","")&amp;IF(F7="X",IF(COUNTIF($E7:$E7,"X")&gt;0,", ","")&amp;"Crustacés","")&amp;IF(G7="X",IF(COUNTIF($E7:$F7,"X")&gt;0,", ","")&amp;"Œufs","")&amp;IF(H7="X",IF(COUNTIF($E7:$G7,"X")&gt;0,", ","")&amp;"Poissons","")&amp;IF(I7="X",IF(COUNTIF($E7:$H7,"X")&gt;0,", ","")&amp;"Arachides","")&amp;IF(J7="X",IF(COUNTIF($E7:$I7,"X")&gt;0,", ","")&amp;"Soja","")&amp;IF(K7="X",IF(COUNTIF($E7:$J7,"X")&gt;0,", ","")&amp;"Lait","")&amp;IF(L7="X",IF(COUNTIF($E7:$K7,"X")&gt;0,", ","")&amp;"Fruits à coque","")&amp;IF(M7="X",IF(COUNTIF($E7:$L7,"X")&gt;0,", ","")&amp;"Céleri","")&amp;IF(N7="X",IF(COUNTIF($E7:$M7,"X")&gt;0,", ","")&amp;"Moutarde","")&amp;IF(O7="X",IF(COUNTIF($E7:$N7,"X")&gt;0,", ","")&amp;"Sésame","")&amp;IF(P7="X",IF(COUNTIF($E7:$O7,"X")&gt;0,", ","")&amp;"Sulfites","")&amp;IF(Q7="X",IF(COUNTIF($E7:$P7,"X")&gt;0,", ","")&amp;"Lupin","")&amp;IF(R7="X",IF(COUNTIF($E7:$Q7,"X")&gt;0,", ","")&amp;"Mollusques","")),"")</f>
        <v/>
      </c>
      <c r="E7" s="1416" t="str">
        <f>IF(7=7,IF($B7="","",AF7),"")</f>
        <v/>
      </c>
      <c r="F7" s="1416" t="str">
        <f>IF(7=7,IF($B7="","",AI7),"")</f>
        <v/>
      </c>
      <c r="G7" s="1416" t="str">
        <f>IF(7=7,IF($B7="","",AM7),"")</f>
        <v/>
      </c>
      <c r="H7" s="1416" t="str">
        <f>IF(7=7,IF($B7="","",IF(ISNUMBER(SEARCH(" colin ",$AA7)),"X",AZ7)),"")</f>
        <v/>
      </c>
      <c r="I7" s="1416" t="str">
        <f>IF(7=7,IF($B7="","",BB7),"")</f>
        <v/>
      </c>
      <c r="J7" s="1416" t="str">
        <f>IF(7=7,IF($B7="","",BF7),"")</f>
        <v/>
      </c>
      <c r="K7" s="1416" t="str">
        <f>IF(7=7,IF($B7="","",BM7),"")</f>
        <v/>
      </c>
      <c r="L7" s="1416" t="str">
        <f>IF(7=7,IF($B7="","",BQ7),"")</f>
        <v/>
      </c>
      <c r="M7" s="1416" t="str">
        <f>IF(7=7,IF($B7="","",BT7),"")</f>
        <v/>
      </c>
      <c r="N7" s="1416" t="str">
        <f>IF(7=7,IF($B7="","",BW7),"")</f>
        <v/>
      </c>
      <c r="O7" s="1416" t="str">
        <f>IF(7=7,IF($B7="","",BZ7),"")</f>
        <v/>
      </c>
      <c r="P7" s="1416" t="str">
        <f>IF(7=7,IF($B7="","",CC7),"")</f>
        <v/>
      </c>
      <c r="Q7" s="1416" t="str">
        <f>IF(7=7,IF($B7="","",CF7),"")</f>
        <v/>
      </c>
      <c r="R7" s="1416" t="str">
        <f>IF(7=7,IF($B7="","",CL7),"")</f>
        <v/>
      </c>
      <c r="S7" s="1417" t="str">
        <f>IF(7=7,IF($B7="","",IF(E7="?",""&amp;"Céréales contenant du gluten","")&amp;IF(F7="?",IF(COUNTIF($E7:$E7,"~?")&gt;0,", ","")&amp;"Crustacés","")&amp;IF(G7="?",IF(COUNTIF($E7:$F7,"~?")&gt;0,", ","")&amp;"Œufs","")&amp;IF(H7="?",IF(COUNTIF($E7:$G7,"~?")&gt;0,", ","")&amp;"Poissons","")&amp;IF(I7="?",IF(COUNTIF($E7:$H7,"~?")&gt;0,", ","")&amp;"Arachides","")&amp;IF(J7="?",IF(COUNTIF($E7:$I7,"~?")&gt;0,", ","")&amp;"Soja","")&amp;IF(K7="?",IF(COUNTIF($E7:$J7,"~?")&gt;0,", ","")&amp;"Lait","")&amp;IF(L7="?",IF(COUNTIF($E7:$K7,"~?")&gt;0,", ","")&amp;"Fruits à coque","")&amp;IF(M7="?",IF(COUNTIF($E7:$L7,"~?")&gt;0,", ","")&amp;"Céleri","")&amp;IF(N7="?",IF(COUNTIF($E7:$M7,"~?")&gt;0,", ","")&amp;"Moutarde","")&amp;IF(O7="?",IF(COUNTIF($E7:$N7,"~?")&gt;0,", ","")&amp;"Sésame","")&amp;IF(P7="?",IF(COUNTIF($E7:$O7,"~?")&gt;0,", ","")&amp;"Sulfites","")&amp;IF(Q7="?",IF(COUNTIF($E7:$P7,"~?")&gt;0,", ","")&amp;"Lupin","")&amp;IF(R7="?",IF(COUNTIF($E7:$Q7,"~?")&gt;0,", ","")&amp;"Mollusques","")),"")</f>
        <v/>
      </c>
      <c r="U7" s="1368" t="str">
        <f>IF(7=7,IF($B7="","",$B7),"")</f>
        <v>Ail haché</v>
      </c>
      <c r="V7" s="1368" t="str">
        <f>IF(7=7,LOWER(CLEAN(SUBSTITUTE(SUBSTITUTE(SUBSTITUTE(SUBSTITUTE($U7,CHAR(160)," ")," "," "),CHAR(10)," "),CHAR(13)," "))),"")</f>
        <v>ail haché</v>
      </c>
      <c r="W7" s="1368" t="str">
        <f>IF(7=7,SUBSTITUTE(SUBSTITUTE(SUBSTITUTE(SUBSTITUTE(SUBSTITUTE(SUBSTITUTE(SUBSTITUTE(SUBSTITUTE(SUBSTITUTE(SUBSTITUTE(SUBSTITUTE(SUBSTITUTE($V7,"œ","oe"),"æ","ae"),"à","a"),"á","a"),"â","a"),"ä","a"),"ã","a"),"ç","c"),"è","e"),"é","e"),"ê","e"),"ë","e"),"")</f>
        <v>ail hache</v>
      </c>
      <c r="X7" s="1368" t="str">
        <f>IF(7=7,SUBSTITUTE(SUBSTITUTE(SUBSTITUTE(SUBSTITUTE(SUBSTITUTE(SUBSTITUTE(SUBSTITUTE(SUBSTITUTE(SUBSTITUTE(SUBSTITUTE(SUBSTITUTE(SUBSTITUTE(SUBSTITUTE(SUBSTITUTE(SUBSTITUTE(SUBSTITUTE($W7,"ì","i"),"í","i"),"î","i"),"ï","i"),"ñ","n"),"ò","o"),"ó","o"),"ô","o"),"ö","o"),"õ","o"),"ù","u"),"ú","u"),"û","u"),"ü","u"),"ý","y"),"ÿ","y"),"")</f>
        <v>ail hache</v>
      </c>
      <c r="Y7" s="1368" t="str">
        <f>IF(7=7,SUBSTITUTE(SUBSTITUTE(SUBSTITUTE(SUBSTITUTE(SUBSTITUTE(SUBSTITUTE(SUBSTITUTE(SUBSTITUTE(SUBSTITUTE(SUBSTITUTE(SUBSTITUTE(SUBSTITUTE(SUBSTITUTE(SUBSTITUTE($X7,"’"," "),"`"," "),"–"," "),"—"," "),"-"," "),"'"," "),"/"," "),"_"," "),","," "),"."," "),"("," "),")"," "),";"," "),":"," "),"")</f>
        <v>ail hache</v>
      </c>
      <c r="Z7" s="1368" t="str">
        <f>IF(7=7,SUBSTITUTE(SUBSTITUTE(SUBSTITUTE(SUBSTITUTE(SUBSTITUTE(SUBSTITUTE(SUBSTITUTE(SUBSTITUTE(SUBSTITUTE(SUBSTITUTE(SUBSTITUTE(SUBSTITUTE(SUBSTITUTE(SUBSTITUTE(SUBSTITUTE($Y7,"!"," "),"?"," "),"+"," "),"*"," "),"&amp;"," "),"["," "),"]"," "),"{"," "),"}"," "),"%"," "),"="," "),"\"," "),"|"," "),"&lt;"," "),"&gt;"," "),"")</f>
        <v>ail hache</v>
      </c>
      <c r="AA7" s="1368" t="str">
        <f>IF(7=7," "&amp;TRIM(SUBSTITUTE(SUBSTITUTE(SUBSTITUTE(SUBSTITUTE(SUBSTITUTE(SUBSTITUTE($Z7,CHAR(34)," "),"  "," "),"  "," "),"  "," "),"  "," "),"  "," "))&amp;" ","")</f>
        <v xml:space="preserve"> ail hache </v>
      </c>
      <c r="AB7" s="1368">
        <f>IF(7=7,IF($U7="","",SUMPRODUCT(--ISNUMBER(SEARCH(" "&amp;$CR$2:$CR$101&amp;" ",$AD7)))),"")</f>
        <v>0</v>
      </c>
      <c r="AC7" s="1368">
        <f>IF(7=7,IF($U7="","",SUMPRODUCT(--ISNUMBER(SEARCH(" "&amp;$CR$102:$CR$151&amp;" ",$AD7)))),"")</f>
        <v>0</v>
      </c>
      <c r="AD7" s="1368" t="str">
        <f t="shared" ref="AD7:AD66" si="1">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"&amp;$CR$112&amp;" "," ")," "&amp;$CR$113&amp;" "," ")," "&amp;$CR$114&amp;" "," ")," "&amp;$CR$115&amp;" "," ")," "&amp;$CR$148&amp;" "," ")," "&amp;$CR$152&amp;" "," ")," "&amp;$CR$153&amp;" "," ")," "&amp;$CR$154&amp;" "," ")," "&amp;$CR$155&amp;" "," ")," "&amp;$CR$156&amp;" "," ")," "&amp;$CR$157&amp;" "," ")," "&amp;$CR$158&amp;" "," ")," "&amp;$CR$159&amp;" "," ")," "&amp;$CR$160&amp;" "," ")," "&amp;$CR$161&amp;" "," ")," "&amp;$CR$162&amp;" "," ")," "&amp;$CR$163&amp;" "," ")," "&amp;$CR$164&amp;" "," ")," "&amp;$CR$165&amp;" "," ")," "&amp;$CR$166&amp;" "," ")," "&amp;$CR$167&amp;" "," ")," "&amp;$CR$168&amp;" "," ")," "&amp;$CR$169&amp;" "," ")," "&amp;$CR$170&amp;" "," ")," "&amp;$CR$171&amp;" "," ")," "&amp;$CR$172&amp;" "," ")," "&amp;$CR$173&amp;" "," ")," "&amp;$CR$174&amp;" "," ")," "&amp;$CR$175&amp;" "," ")," "&amp;$CR$176&amp;" "," ")," "&amp;$CR$177&amp;" "," ")," "&amp;$CR$178&amp;" "," ")," "&amp;$CR$179&amp;" "," ")," "&amp;$CR$180&amp;" "," ")," "&amp;$CR$181&amp;" "," ")," "&amp;$CR$182&amp;" "," ")," "&amp;$CR$183&amp;" "," ")," "&amp;$CR$2417&amp;" "," ")," "&amp;$CR$2425&amp;" "," ")," "&amp;$CR$2426&amp;" "," ")," "&amp;$CR$2427&amp;" "," ")," "&amp;$CR$2428&amp;" "," ")," "&amp;$CR$2429&amp;" "," ")," "&amp;$CR$2430&amp;" "," ")," "&amp;$CR$2431&amp;" "," ")," "&amp;$CR$2432&amp;" "," ")," "&amp;$CR$2433&amp;" "," ")," "&amp;$CR$2434&amp;" "," ")," "&amp;$CR$2435&amp;" "," ")," "&amp;$CR$2436&amp;" "," ")," "&amp;$CR$2437&amp;" "," "))</f>
        <v xml:space="preserve"> ail hache </v>
      </c>
      <c r="AE7" s="1368">
        <f t="shared" ref="AE7:AE66" si="2">IF($U7="","",SUMPRODUCT(--ISNUMBER(SEARCH(" "&amp;$CR$184:$CR$205&amp;" ",$AD7)))+--ISNUMBER(SEARCH(" "&amp;$CR$2454&amp;" ",$AD7)))</f>
        <v>0</v>
      </c>
      <c r="AF7" s="1368" t="str">
        <f>IF(7=7,IF($U7="","",IF(SUM(AB7:AC7)+SUMPRODUCT(--ISNUMBER(SEARCH(" "&amp;$CR$2418:$CR$2420&amp;" ",$AD7)))&gt;0,"X",IF(AE7&gt;0,"?",""))),"")</f>
        <v/>
      </c>
      <c r="AG7" s="1368">
        <f>IF(7=7,IF($U7="","",SUMPRODUCT(--ISNUMBER(SEARCH(" "&amp;$CR$206:$CR$305&amp;" ",$AA7)))),"")</f>
        <v>0</v>
      </c>
      <c r="AH7" s="1368">
        <f>IF(7=7,IF($U7="","",SUMPRODUCT(--ISNUMBER(SEARCH(" "&amp;$CR$306:$CR$340&amp;" ",$AA7)))),"")</f>
        <v>0</v>
      </c>
      <c r="AI7" s="1368" t="str">
        <f>IF(7=7,IF($U7="","",IF((SUM(AG7:AH7))-(0)&gt;0,"X",IF((0)-(0)&gt;0,"?",""))),"")</f>
        <v/>
      </c>
      <c r="AJ7" s="1368">
        <f>IF(7=7,IF($U7="","",SUMPRODUCT(--ISNUMBER(SEARCH(" "&amp;$CR$341:$CR$398&amp;" ",$AA7)))),"")</f>
        <v>0</v>
      </c>
      <c r="AK7" s="1368">
        <f>IF(7=7,IF($U7="","",SUMPRODUCT(--ISNUMBER(SEARCH(" "&amp;$CR$399:$CR$426&amp;" ",$AL7)))+SUMPRODUCT(--ISNUMBER(SEARCH(" "&amp;$CR$2440:$CR$2453&amp;" ",$AL7)))),"")</f>
        <v>0</v>
      </c>
      <c r="AL7" s="1368" t="str">
        <f>IF(7=7,IF($U7="","",SUBSTITUTE(SUBSTITUTE(SUBSTITUTE(SUBSTITUTE(SUBSTITUTE(SUBSTITUTE(SUBSTITUTE(SUBSTITUTE(SUBSTITUTE(SUBSTITUTE(SUBSTITUTE(SUBSTITUTE(SUBSTITUTE(SUBSTITUTE($AA7," "&amp;$CR$2455&amp;" "," ")," "&amp;$CR$433&amp;" "," ")," "&amp;$CR$431&amp;" "," ")," "&amp;$CR$2438&amp;" "," ")," "&amp;$CR$2439&amp;" "," ")," "&amp;$CR$428&amp;" "," ")," "&amp;$CR$432&amp;" "," ")," "&amp;$CR$434&amp;" "," ")," "&amp;$CR$429&amp;" "," ")," "&amp;$CR$427&amp;" "," ")," "&amp;$CR$1367&amp;" "," ")," "&amp;$CR$435&amp;" "," ")," "&amp;$CR$1366&amp;" "," ")," "&amp;$CR$430&amp;" "," ")),"")</f>
        <v xml:space="preserve"> ail hache </v>
      </c>
      <c r="AM7" s="1368" t="str">
        <f>IF(7=7,IF($U7="","",IF(AJ7&gt;0,"X",IF(AK7&gt;0,"?",""))),"")</f>
        <v/>
      </c>
      <c r="AN7" s="1368">
        <f>IF(7=7,IF($U7="","",SUMPRODUCT(--ISNUMBER(SEARCH(" "&amp;$CR$436:$CR$535&amp;" ",$AX7)))),"")</f>
        <v>0</v>
      </c>
      <c r="AO7" s="1368">
        <f>IF(7=7,IF($U7="","",SUMPRODUCT(--ISNUMBER(SEARCH(" "&amp;$CR$536:$CR$635&amp;" ",$AX7)))),"")</f>
        <v>0</v>
      </c>
      <c r="AP7" s="1368">
        <f>IF(7=7,IF($U7="","",SUMPRODUCT(--ISNUMBER(SEARCH(" "&amp;$CR$636:$CR$735&amp;" ",$AX7)))),"")</f>
        <v>0</v>
      </c>
      <c r="AQ7" s="1368">
        <f>IF(7=7,IF($U7="","",SUMPRODUCT(--ISNUMBER(SEARCH(" "&amp;$CR$736:$CR$835&amp;" ",$AX7)))),"")</f>
        <v>0</v>
      </c>
      <c r="AR7" s="1368">
        <f>IF(7=7,IF($U7="","",SUMPRODUCT(--ISNUMBER(SEARCH(" "&amp;$CR$836:$CR$935&amp;" ",$AX7)))),"")</f>
        <v>0</v>
      </c>
      <c r="AS7" s="1368">
        <f>IF(7=7,IF($U7="","",SUMPRODUCT(--ISNUMBER(SEARCH(" "&amp;$CR$936:$CR$1035&amp;" ",$AX7)))),"")</f>
        <v>0</v>
      </c>
      <c r="AT7" s="1368">
        <f>IF(7=7,IF($U7="","",SUMPRODUCT(--ISNUMBER(SEARCH(" "&amp;$CR$1036:$CR$1135&amp;" ",$AX7)))),"")</f>
        <v>0</v>
      </c>
      <c r="AU7" s="1368">
        <f>IF(7=7,IF($U7="","",SUMPRODUCT(--ISNUMBER(SEARCH(" "&amp;$CR$1136:$CR$1235&amp;" ",$AX7)))),"")</f>
        <v>0</v>
      </c>
      <c r="AV7" s="1368">
        <f>IF(7=7,IF($U7="","",SUMPRODUCT(--ISNUMBER(SEARCH(" "&amp;$CR$1236:$CR$1335&amp;" ",$AX7)))),"")</f>
        <v>0</v>
      </c>
      <c r="AW7" s="1368">
        <f>IF(7=7,IF($U7="","",SUMPRODUCT(--ISNUMBER(SEARCH(" "&amp;$CR$1336:$CR$1363&amp;" ",$AX7)))),"")</f>
        <v>0</v>
      </c>
      <c r="AX7" s="1368" t="str">
        <f>IF(7=7,IF($U7="","",SUBSTITUTE(SUBSTITUTE(SUBSTITUTE(SUBSTITUTE(SUBSTITUTE(SUBSTITUTE(SUBSTITUTE(SUBSTITUTE(SUBSTITUTE($AA7," "&amp;$CR$1365&amp;" "," ")," "&amp;$CR$1364&amp;" "," ")," "&amp;$CR$1370&amp;" "," ")," "&amp;$CR$1371&amp;" "," ")," "&amp;$CR$1367&amp;" "," ")," "&amp;$CR$1369&amp;" "," ")," "&amp;$CR$1366&amp;" "," ")," "&amp;$CR$1368&amp;" "," ")," "&amp;$CR$1372&amp;" "," ")),"")</f>
        <v xml:space="preserve"> ail hache </v>
      </c>
      <c r="AY7" s="1368">
        <f>IF(7=7,IF($U7="","",SUMPRODUCT(--ISNUMBER(SEARCH(" "&amp;$CR$1373:$CR$1383&amp;" ",$AX7)))),"")</f>
        <v>0</v>
      </c>
      <c r="AZ7" s="1368" t="str">
        <f>IF(7=7,IF($U7="","",IF(SUM(AN7:AW7)+SUMPRODUCT(--ISNUMBER(SEARCH(" "&amp;$CR$2421:$CR$2422&amp;" ",$AX7)))&gt;0,"X",IF(AY7&gt;0,"?",""))),"")</f>
        <v/>
      </c>
      <c r="BA7" s="1368">
        <f>IF(7=7,IF($U7="","",SUMPRODUCT(--ISNUMBER(SEARCH(" "&amp;$CR$1384:$CR$1404&amp;" ",$AA7)))),"")</f>
        <v>0</v>
      </c>
      <c r="BB7" s="1368" t="str">
        <f>IF(7=7,IF($U7="","",IF((BA7)-(0)&gt;0,"X",IF((0)-(0)&gt;0,"?",""))),"")</f>
        <v/>
      </c>
      <c r="BC7" s="1368">
        <f>IF(7=7,IF($U7="","",SUMPRODUCT(--ISNUMBER(SEARCH(" "&amp;$CR$1405:$CR$1442&amp;" ",$BD7)))),"")</f>
        <v>0</v>
      </c>
      <c r="BD7" s="1368" t="str">
        <f>IF(7=7,IF($U7="","",SUBSTITUTE(SUBSTITUTE($AA7," "&amp;$CR$1443&amp;" "," ")," "&amp;$CR$1444&amp;" "," ")),"")</f>
        <v xml:space="preserve"> ail hache </v>
      </c>
      <c r="BE7" s="1368">
        <f>IF(7=7,IF($U7="","",SUMPRODUCT(--ISNUMBER(SEARCH(" "&amp;$CR$1445:$CR$1455&amp;" ",$BD7)))),"")</f>
        <v>0</v>
      </c>
      <c r="BF7" s="1368" t="str">
        <f>IF(7=7,IF($U7="","",IF(BC7&gt;0,"X",IF(BE7&gt;0,"?",""))),"")</f>
        <v/>
      </c>
      <c r="BG7" s="1368">
        <f>IF(7=7,IF($U7="","",SUMPRODUCT(--ISNUMBER(SEARCH(" "&amp;$CR$1456:$CR$1555&amp;" ",$BJ7)))),"")</f>
        <v>0</v>
      </c>
      <c r="BH7" s="1368">
        <f>IF(7=7,IF($U7="","",SUMPRODUCT(--ISNUMBER(SEARCH(" "&amp;$CR$1556:$CR$1655&amp;" ",$BJ7)))),"")</f>
        <v>0</v>
      </c>
      <c r="BI7" s="1368">
        <f>IF(7=7,IF($U7="","",SUMPRODUCT(--ISNUMBER(SEARCH(" "&amp;$CR$1656:$CR$1739&amp;" ",$BJ7)))),"")</f>
        <v>0</v>
      </c>
      <c r="BJ7" s="1368" t="str">
        <f>IF(7=7,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ail hache </v>
      </c>
      <c r="BK7" s="1368">
        <f>IF(7=7,IF($U7="","",SUMPRODUCT(--ISNUMBER(SEARCH(" "&amp;$CR$1790:$CR$1869&amp;" ",$BL7)))+SUMPRODUCT(--ISNUMBER(SEARCH(" "&amp;$CR$2440:$CR$2453&amp;" ",$BL7)))),"")</f>
        <v>0</v>
      </c>
      <c r="BL7" s="1368" t="str">
        <f>IF(7=7,IF($U7="","",SUBSTITUTE(SUBSTITUTE(SUBSTITUTE(SUBSTITUTE(SUBSTITUTE(SUBSTITUTE(SUBSTITUTE(SUBSTITUTE(SUBSTITUTE(SUBSTITUTE(SUBSTITUTE(SUBSTITUTE(SUBSTITUTE($BJ7," "&amp;$CR$1876&amp;" "," ")," "&amp;$CR$1874&amp;" "," ")," "&amp;$CR$2438&amp;" "," ")," "&amp;$CR$2439&amp;" "," ")," "&amp;$CR$1871&amp;" "," ")," "&amp;$CR$1875&amp;" "," ")," "&amp;$CR$1877&amp;" "," ")," "&amp;$CR$1872&amp;" "," ")," "&amp;$CR$1870&amp;" "," ")," "&amp;$CR$1367&amp;" "," ")," "&amp;$CR$1878&amp;" "," ")," "&amp;$CR$1366&amp;" "," ")," "&amp;$CR$1873&amp;" "," ")),"")</f>
        <v xml:space="preserve"> ail hache </v>
      </c>
      <c r="BM7" s="1368" t="str">
        <f>IF(7=7,IF($U7="","",IF(SUM(BG7:BI7)+SUMPRODUCT(--ISNUMBER(SEARCH(" "&amp;$CR$2423:$CR$2424&amp;" ",$BJ7)))&gt;0,"X",IF(BK7&gt;0,"?",""))),"")</f>
        <v/>
      </c>
      <c r="BN7" s="1368">
        <f>IF(7=7,IF($U7="","",SUMPRODUCT(--ISNUMBER(SEARCH(" "&amp;$CR$1879:$CR$1936&amp;" ",$BO7)))),"")</f>
        <v>0</v>
      </c>
      <c r="BO7" s="1368" t="str">
        <f>IF(7=7,IF($U7="","",SUBSTITUTE(SUBSTITUTE(SUBSTITUTE(SUBSTITUTE(SUBSTITUTE(SUBSTITUTE(SUBSTITUTE(SUBSTITUTE(SUBSTITUTE(SUBSTITUTE(SUBSTITUTE(SUBSTITUTE(SUBSTITUTE(SUBSTITUTE(SUBSTITUTE(SUBSTITUTE(SUBSTITUTE(SUBSTITUTE(SUBSTITUTE(SUBSTITUTE(SUBSTITUTE(SUBSTITUTE(SUBSTITUTE($AA7,"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ail hache </v>
      </c>
      <c r="BP7" s="1368">
        <f>IF(7=7,IF($U7="","",SUMPRODUCT(--ISNUMBER(SEARCH(" "&amp;$CR$1960:$CR$1976&amp;" ",$BO7)))),"")</f>
        <v>0</v>
      </c>
      <c r="BQ7" s="1368" t="str">
        <f>IF(7=7,IF($U7="","",IF(BN7&gt;0,"X",IF(BP7&gt;0,"?",""))),"")</f>
        <v/>
      </c>
      <c r="BR7" s="1368">
        <f>IF(7=7,IF($U7="","",SUMPRODUCT(--ISNUMBER(SEARCH(" "&amp;$CR$1977:$CR$1990&amp;" ",$AA7)))),"")</f>
        <v>0</v>
      </c>
      <c r="BS7" s="1368">
        <f>IF(7=7,IF($U7="","",SUMPRODUCT(--ISNUMBER(SEARCH(" "&amp;$CR$1991:$CR$2005&amp;" ",$AA7)))),"")</f>
        <v>0</v>
      </c>
      <c r="BT7" s="1368" t="str">
        <f>IF(7=7,IF($U7="","",IF((BR7)-(0)&gt;0,"X",IF((BS7)-(0)&gt;0,"?",""))),"")</f>
        <v/>
      </c>
      <c r="BU7" s="1368">
        <f>IF(7=7,IF($U7="","",SUMPRODUCT(--ISNUMBER(SEARCH(" "&amp;$CR$2006:$CR$2023&amp;" ",$AA7)))),"")</f>
        <v>0</v>
      </c>
      <c r="BV7" s="1368">
        <f>IF(7=7,IF($U7="","",SUMPRODUCT(--ISNUMBER(SEARCH(" "&amp;$CR$2024:$CR$2038&amp;" ",$AA7)))),"")</f>
        <v>0</v>
      </c>
      <c r="BW7" s="1368" t="str">
        <f>IF(7=7,IF($U7="","",IF((BU7)-(0)&gt;0,"X",IF((BV7)-(0)&gt;0,"?",""))),"")</f>
        <v/>
      </c>
      <c r="BX7" s="1368">
        <f>IF(7=7,IF($U7="","",SUMPRODUCT(--ISNUMBER(SEARCH(" "&amp;$CR$2039:$CR$2057&amp;" ",$AA7)))),"")</f>
        <v>0</v>
      </c>
      <c r="BY7" s="1368">
        <f>IF(7=7,IF($U7="","",SUMPRODUCT(--ISNUMBER(SEARCH(" "&amp;$CR$2058:$CR$2072&amp;" ",$AA7)))),"")</f>
        <v>0</v>
      </c>
      <c r="BZ7" s="1368" t="str">
        <f>IF(7=7,IF($U7="","",IF((BX7)-(0)&gt;0,"X",IF((BY7)-(0)&gt;0,"?",""))),"")</f>
        <v/>
      </c>
      <c r="CA7" s="1368">
        <f>IF(7=7,IF($U7="","",SUMPRODUCT(--ISNUMBER(SEARCH(" "&amp;$CR$2073:$CR$2093&amp;" ",$AA7)))),"")</f>
        <v>0</v>
      </c>
      <c r="CB7" s="1368">
        <f>IF(7=7,IF($U7="","",SUMPRODUCT(--ISNUMBER(SEARCH(" "&amp;$CR$2094:$CR$2133&amp;" ",SUBSTITUTE(SUBSTITUTE($AA7," "&amp;$CR$1367&amp;" "," ")," "&amp;$CR$1366&amp;" "," "))))+--ISNUMBER(SEARCH("poiré",$V7))),"")</f>
        <v>0</v>
      </c>
      <c r="CC7" s="1368" t="str">
        <f>IF(7=7,IF($U7="","",IF(OR(CA7&gt;0,ISNUMBER(SEARCH(" vinaigre de vin ",$AA7)),ISNUMBER(SEARCH(" vinaigre au vin ",$AA7))),"X",IF(CB7&gt;0,"?",""))),"")</f>
        <v/>
      </c>
      <c r="CD7" s="1368">
        <f>IF(7=7,IF($U7="","",SUMPRODUCT(--ISNUMBER(SEARCH(" "&amp;$CR$2134:$CR$2146&amp;" ",$AA7)))),"")</f>
        <v>0</v>
      </c>
      <c r="CE7" s="1368">
        <f>IF(7=7,IF($U7="","",SUMPRODUCT(--ISNUMBER(SEARCH(" "&amp;$CR$2147:$CR$2152&amp;" ",$AA7)))),"")</f>
        <v>0</v>
      </c>
      <c r="CF7" s="1368" t="str">
        <f>IF(7=7,IF($U7="","",IF((CD7)-(0)&gt;0,"X",IF((CE7)-(0)&gt;0,"?",""))),"")</f>
        <v/>
      </c>
      <c r="CG7" s="1368">
        <f>IF(7=7,IF($U7="","",SUMPRODUCT(--ISNUMBER(SEARCH(" "&amp;$CR$2153:$CR$2252&amp;" ",$CJ7)))),"")</f>
        <v>0</v>
      </c>
      <c r="CH7" s="1368">
        <f>IF(7=7,IF($U7="","",SUMPRODUCT(--ISNUMBER(SEARCH(" "&amp;$CR$2253:$CR$2352&amp;" ",$CJ7)))),"")</f>
        <v>0</v>
      </c>
      <c r="CI7" s="1368">
        <f>IF(7=7,IF($U7="","",SUMPRODUCT(--ISNUMBER(SEARCH(" "&amp;$CR$2353:$CR$2395&amp;" ",$CJ7)))),"")</f>
        <v>0</v>
      </c>
      <c r="CJ7" s="1368" t="str">
        <f>IF(7=7,IF($U7="","",SUBSTITUTE(SUBSTITUTE(SUBSTITUTE(SUBSTITUTE(SUBSTITUTE(SUBSTITUTE(SUBSTITUTE(SUBSTITUTE(SUBSTITUTE(SUBSTITUTE(SUBSTITUTE(SUBSTITUTE(SUBSTITUTE(SUBSTITUTE(SUBSTITUTE(SUBSTITUTE($AA7," "&amp;$CR$2401&amp;" "," ")," "&amp;$CR$2400&amp;" "," ")," "&amp;$CR$2399&amp;" "," ")," "&amp;$CR$2406&amp;" "," ")," "&amp;$CR$2398&amp;" "," ")," "&amp;$CR$2410&amp;" "," ")," "&amp;$CR$2397&amp;" "," ")," "&amp;$CR$2402&amp;" "," ")," "&amp;$CR$2405&amp;" "," ")," "&amp;$CR$2396&amp;" "," ")," "&amp;$CR$2404&amp;" "," ")," "&amp;$CR$2411&amp;" "," ")," "&amp;$CR$2408&amp;" "," ")," "&amp;$CR$2403&amp;" "," ")," "&amp;$CR$2407&amp;" "," ")," "&amp;$CR$2409&amp;" "," ")),"")</f>
        <v xml:space="preserve"> ail hache </v>
      </c>
      <c r="CK7" s="1368">
        <f>IF(7=7,IF($U7="","",SUMPRODUCT(--ISNUMBER(SEARCH(" "&amp;$CR$2412:$CR$2416&amp;" ",$CJ7)))),"")</f>
        <v>0</v>
      </c>
      <c r="CL7" s="1368" t="str">
        <f>IF(7=7,IF($U7="","",IF(SUM(CG7:CI7)&gt;0,"X",IF(CK7&gt;0,"?",""))),"")</f>
        <v/>
      </c>
      <c r="CM7" s="1377"/>
      <c r="CN7" s="1388" t="s">
        <v>8198</v>
      </c>
      <c r="CO7" s="1388" t="s">
        <v>8105</v>
      </c>
      <c r="CP7" s="1388" t="s">
        <v>8106</v>
      </c>
      <c r="CQ7" s="1388" t="s">
        <v>8199</v>
      </c>
      <c r="CR7" s="1388" t="s">
        <v>8200</v>
      </c>
      <c r="CS7" s="1388" t="s">
        <v>8108</v>
      </c>
      <c r="CT7" s="1388" t="s">
        <v>8109</v>
      </c>
      <c r="CU7" s="1388" t="s">
        <v>8110</v>
      </c>
      <c r="CV7" s="1389" t="s">
        <v>8111</v>
      </c>
      <c r="CX7" s="1379">
        <v>1</v>
      </c>
    </row>
    <row r="8" spans="1:102" ht="21" customHeight="1" x14ac:dyDescent="0.25">
      <c r="A8" s="1412">
        <v>2</v>
      </c>
      <c r="B8" s="1413" t="s">
        <v>8201</v>
      </c>
      <c r="C8" s="1414" t="str">
        <f t="shared" si="0"/>
        <v>Ail hachée surgelé</v>
      </c>
      <c r="D8" s="1415" t="str">
        <f>IF(8=8,IF($B8="","",IF(E8="X",""&amp;"Céréales contenant du gluten","")&amp;IF(F8="X",IF(COUNTIF($E8:$E8,"X")&gt;0,", ","")&amp;"Crustacés","")&amp;IF(G8="X",IF(COUNTIF($E8:$F8,"X")&gt;0,", ","")&amp;"Œufs","")&amp;IF(H8="X",IF(COUNTIF($E8:$G8,"X")&gt;0,", ","")&amp;"Poissons","")&amp;IF(I8="X",IF(COUNTIF($E8:$H8,"X")&gt;0,", ","")&amp;"Arachides","")&amp;IF(J8="X",IF(COUNTIF($E8:$I8,"X")&gt;0,", ","")&amp;"Soja","")&amp;IF(K8="X",IF(COUNTIF($E8:$J8,"X")&gt;0,", ","")&amp;"Lait","")&amp;IF(L8="X",IF(COUNTIF($E8:$K8,"X")&gt;0,", ","")&amp;"Fruits à coque","")&amp;IF(M8="X",IF(COUNTIF($E8:$L8,"X")&gt;0,", ","")&amp;"Céleri","")&amp;IF(N8="X",IF(COUNTIF($E8:$M8,"X")&gt;0,", ","")&amp;"Moutarde","")&amp;IF(O8="X",IF(COUNTIF($E8:$N8,"X")&gt;0,", ","")&amp;"Sésame","")&amp;IF(P8="X",IF(COUNTIF($E8:$O8,"X")&gt;0,", ","")&amp;"Sulfites","")&amp;IF(Q8="X",IF(COUNTIF($E8:$P8,"X")&gt;0,", ","")&amp;"Lupin","")&amp;IF(R8="X",IF(COUNTIF($E8:$Q8,"X")&gt;0,", ","")&amp;"Mollusques","")),"")</f>
        <v/>
      </c>
      <c r="E8" s="1416" t="str">
        <f>IF(8=8,IF($B8="","",AF8),"")</f>
        <v/>
      </c>
      <c r="F8" s="1416" t="str">
        <f>IF(8=8,IF($B8="","",AI8),"")</f>
        <v/>
      </c>
      <c r="G8" s="1416" t="str">
        <f>IF(8=8,IF($B8="","",AM8),"")</f>
        <v/>
      </c>
      <c r="H8" s="1416" t="str">
        <f>IF(8=8,IF($B8="","",IF(ISNUMBER(SEARCH(" colin ",$AA8)),"X",AZ8)),"")</f>
        <v/>
      </c>
      <c r="I8" s="1416" t="str">
        <f>IF(8=8,IF($B8="","",BB8),"")</f>
        <v/>
      </c>
      <c r="J8" s="1416" t="str">
        <f>IF(8=8,IF($B8="","",BF8),"")</f>
        <v/>
      </c>
      <c r="K8" s="1416" t="str">
        <f>IF(8=8,IF($B8="","",BM8),"")</f>
        <v/>
      </c>
      <c r="L8" s="1416" t="str">
        <f>IF(8=8,IF($B8="","",BQ8),"")</f>
        <v/>
      </c>
      <c r="M8" s="1416" t="str">
        <f>IF(8=8,IF($B8="","",BT8),"")</f>
        <v/>
      </c>
      <c r="N8" s="1416" t="str">
        <f>IF(8=8,IF($B8="","",BW8),"")</f>
        <v/>
      </c>
      <c r="O8" s="1416" t="str">
        <f>IF(8=8,IF($B8="","",BZ8),"")</f>
        <v/>
      </c>
      <c r="P8" s="1416" t="str">
        <f>IF(8=8,IF($B8="","",CC8),"")</f>
        <v/>
      </c>
      <c r="Q8" s="1416" t="str">
        <f>IF(8=8,IF($B8="","",CF8),"")</f>
        <v/>
      </c>
      <c r="R8" s="1416" t="str">
        <f>IF(8=8,IF($B8="","",CL8),"")</f>
        <v/>
      </c>
      <c r="S8" s="1417" t="str">
        <f>IF(8=8,IF($B8="","",IF(E8="?",""&amp;"Céréales contenant du gluten","")&amp;IF(F8="?",IF(COUNTIF($E8:$E8,"~?")&gt;0,", ","")&amp;"Crustacés","")&amp;IF(G8="?",IF(COUNTIF($E8:$F8,"~?")&gt;0,", ","")&amp;"Œufs","")&amp;IF(H8="?",IF(COUNTIF($E8:$G8,"~?")&gt;0,", ","")&amp;"Poissons","")&amp;IF(I8="?",IF(COUNTIF($E8:$H8,"~?")&gt;0,", ","")&amp;"Arachides","")&amp;IF(J8="?",IF(COUNTIF($E8:$I8,"~?")&gt;0,", ","")&amp;"Soja","")&amp;IF(K8="?",IF(COUNTIF($E8:$J8,"~?")&gt;0,", ","")&amp;"Lait","")&amp;IF(L8="?",IF(COUNTIF($E8:$K8,"~?")&gt;0,", ","")&amp;"Fruits à coque","")&amp;IF(M8="?",IF(COUNTIF($E8:$L8,"~?")&gt;0,", ","")&amp;"Céleri","")&amp;IF(N8="?",IF(COUNTIF($E8:$M8,"~?")&gt;0,", ","")&amp;"Moutarde","")&amp;IF(O8="?",IF(COUNTIF($E8:$N8,"~?")&gt;0,", ","")&amp;"Sésame","")&amp;IF(P8="?",IF(COUNTIF($E8:$O8,"~?")&gt;0,", ","")&amp;"Sulfites","")&amp;IF(Q8="?",IF(COUNTIF($E8:$P8,"~?")&gt;0,", ","")&amp;"Lupin","")&amp;IF(R8="?",IF(COUNTIF($E8:$Q8,"~?")&gt;0,", ","")&amp;"Mollusques","")),"")</f>
        <v/>
      </c>
      <c r="U8" s="1368" t="str">
        <f>IF(8=8,IF($B8="","",$B8),"")</f>
        <v>Ail hachée surgelé</v>
      </c>
      <c r="V8" s="1368" t="str">
        <f>IF(8=8,LOWER(CLEAN(SUBSTITUTE(SUBSTITUTE(SUBSTITUTE(SUBSTITUTE($U8,CHAR(160)," ")," "," "),CHAR(10)," "),CHAR(13)," "))),"")</f>
        <v>ail hachée surgelé</v>
      </c>
      <c r="W8" s="1368" t="str">
        <f>IF(8=8,SUBSTITUTE(SUBSTITUTE(SUBSTITUTE(SUBSTITUTE(SUBSTITUTE(SUBSTITUTE(SUBSTITUTE(SUBSTITUTE(SUBSTITUTE(SUBSTITUTE(SUBSTITUTE(SUBSTITUTE($V8,"œ","oe"),"æ","ae"),"à","a"),"á","a"),"â","a"),"ä","a"),"ã","a"),"ç","c"),"è","e"),"é","e"),"ê","e"),"ë","e"),"")</f>
        <v>ail hachee surgele</v>
      </c>
      <c r="X8" s="1368" t="str">
        <f>IF(8=8,SUBSTITUTE(SUBSTITUTE(SUBSTITUTE(SUBSTITUTE(SUBSTITUTE(SUBSTITUTE(SUBSTITUTE(SUBSTITUTE(SUBSTITUTE(SUBSTITUTE(SUBSTITUTE(SUBSTITUTE(SUBSTITUTE(SUBSTITUTE(SUBSTITUTE(SUBSTITUTE($W8,"ì","i"),"í","i"),"î","i"),"ï","i"),"ñ","n"),"ò","o"),"ó","o"),"ô","o"),"ö","o"),"õ","o"),"ù","u"),"ú","u"),"û","u"),"ü","u"),"ý","y"),"ÿ","y"),"")</f>
        <v>ail hachee surgele</v>
      </c>
      <c r="Y8" s="1368" t="str">
        <f>IF(8=8,SUBSTITUTE(SUBSTITUTE(SUBSTITUTE(SUBSTITUTE(SUBSTITUTE(SUBSTITUTE(SUBSTITUTE(SUBSTITUTE(SUBSTITUTE(SUBSTITUTE(SUBSTITUTE(SUBSTITUTE(SUBSTITUTE(SUBSTITUTE($X8,"’"," "),"`"," "),"–"," "),"—"," "),"-"," "),"'"," "),"/"," "),"_"," "),","," "),"."," "),"("," "),")"," "),";"," "),":"," "),"")</f>
        <v>ail hachee surgele</v>
      </c>
      <c r="Z8" s="1368" t="str">
        <f>IF(8=8,SUBSTITUTE(SUBSTITUTE(SUBSTITUTE(SUBSTITUTE(SUBSTITUTE(SUBSTITUTE(SUBSTITUTE(SUBSTITUTE(SUBSTITUTE(SUBSTITUTE(SUBSTITUTE(SUBSTITUTE(SUBSTITUTE(SUBSTITUTE(SUBSTITUTE($Y8,"!"," "),"?"," "),"+"," "),"*"," "),"&amp;"," "),"["," "),"]"," "),"{"," "),"}"," "),"%"," "),"="," "),"\"," "),"|"," "),"&lt;"," "),"&gt;"," "),"")</f>
        <v>ail hachee surgele</v>
      </c>
      <c r="AA8" s="1368" t="str">
        <f>IF(8=8," "&amp;TRIM(SUBSTITUTE(SUBSTITUTE(SUBSTITUTE(SUBSTITUTE(SUBSTITUTE(SUBSTITUTE($Z8,CHAR(34)," "),"  "," "),"  "," "),"  "," "),"  "," "),"  "," "))&amp;" ","")</f>
        <v xml:space="preserve"> ail hachee surgele </v>
      </c>
      <c r="AB8" s="1368">
        <f>IF(8=8,IF($U8="","",SUMPRODUCT(--ISNUMBER(SEARCH(" "&amp;$CR$2:$CR$101&amp;" ",$AD8)))),"")</f>
        <v>0</v>
      </c>
      <c r="AC8" s="1368">
        <f>IF(8=8,IF($U8="","",SUMPRODUCT(--ISNUMBER(SEARCH(" "&amp;$CR$102:$CR$151&amp;" ",$AD8)))),"")</f>
        <v>0</v>
      </c>
      <c r="AD8" s="1368" t="str">
        <f t="shared" si="1"/>
        <v xml:space="preserve"> ail hachee surgele </v>
      </c>
      <c r="AE8" s="1368">
        <f t="shared" si="2"/>
        <v>0</v>
      </c>
      <c r="AF8" s="1368" t="str">
        <f>IF(8=8,IF($U8="","",IF(SUM(AB8:AC8)+SUMPRODUCT(--ISNUMBER(SEARCH(" "&amp;$CR$2418:$CR$2420&amp;" ",$AD8)))&gt;0,"X",IF(AE8&gt;0,"?",""))),"")</f>
        <v/>
      </c>
      <c r="AG8" s="1368">
        <f>IF(8=8,IF($U8="","",SUMPRODUCT(--ISNUMBER(SEARCH(" "&amp;$CR$206:$CR$305&amp;" ",$AA8)))),"")</f>
        <v>0</v>
      </c>
      <c r="AH8" s="1368">
        <f>IF(8=8,IF($U8="","",SUMPRODUCT(--ISNUMBER(SEARCH(" "&amp;$CR$306:$CR$340&amp;" ",$AA8)))),"")</f>
        <v>0</v>
      </c>
      <c r="AI8" s="1368" t="str">
        <f>IF(8=8,IF($U8="","",IF((SUM(AG8:AH8))-(0)&gt;0,"X",IF((0)-(0)&gt;0,"?",""))),"")</f>
        <v/>
      </c>
      <c r="AJ8" s="1368">
        <f>IF(8=8,IF($U8="","",SUMPRODUCT(--ISNUMBER(SEARCH(" "&amp;$CR$341:$CR$398&amp;" ",$AA8)))),"")</f>
        <v>0</v>
      </c>
      <c r="AK8" s="1368">
        <f>IF(8=8,IF($U8="","",SUMPRODUCT(--ISNUMBER(SEARCH(" "&amp;$CR$399:$CR$426&amp;" ",$AL8)))+SUMPRODUCT(--ISNUMBER(SEARCH(" "&amp;$CR$2440:$CR$2453&amp;" ",$AL8)))),"")</f>
        <v>0</v>
      </c>
      <c r="AL8" s="1368" t="str">
        <f>IF(8=8,IF($U8="","",SUBSTITUTE(SUBSTITUTE(SUBSTITUTE(SUBSTITUTE(SUBSTITUTE(SUBSTITUTE(SUBSTITUTE(SUBSTITUTE(SUBSTITUTE(SUBSTITUTE(SUBSTITUTE(SUBSTITUTE(SUBSTITUTE(SUBSTITUTE($AA8," "&amp;$CR$2455&amp;" "," ")," "&amp;$CR$433&amp;" "," ")," "&amp;$CR$431&amp;" "," ")," "&amp;$CR$2438&amp;" "," ")," "&amp;$CR$2439&amp;" "," ")," "&amp;$CR$428&amp;" "," ")," "&amp;$CR$432&amp;" "," ")," "&amp;$CR$434&amp;" "," ")," "&amp;$CR$429&amp;" "," ")," "&amp;$CR$427&amp;" "," ")," "&amp;$CR$1367&amp;" "," ")," "&amp;$CR$435&amp;" "," ")," "&amp;$CR$1366&amp;" "," ")," "&amp;$CR$430&amp;" "," ")),"")</f>
        <v xml:space="preserve"> ail hachee surgele </v>
      </c>
      <c r="AM8" s="1368" t="str">
        <f>IF(8=8,IF($U8="","",IF(AJ8&gt;0,"X",IF(AK8&gt;0,"?",""))),"")</f>
        <v/>
      </c>
      <c r="AN8" s="1368">
        <f>IF(8=8,IF($U8="","",SUMPRODUCT(--ISNUMBER(SEARCH(" "&amp;$CR$436:$CR$535&amp;" ",$AX8)))),"")</f>
        <v>0</v>
      </c>
      <c r="AO8" s="1368">
        <f>IF(8=8,IF($U8="","",SUMPRODUCT(--ISNUMBER(SEARCH(" "&amp;$CR$536:$CR$635&amp;" ",$AX8)))),"")</f>
        <v>0</v>
      </c>
      <c r="AP8" s="1368">
        <f>IF(8=8,IF($U8="","",SUMPRODUCT(--ISNUMBER(SEARCH(" "&amp;$CR$636:$CR$735&amp;" ",$AX8)))),"")</f>
        <v>0</v>
      </c>
      <c r="AQ8" s="1368">
        <f>IF(8=8,IF($U8="","",SUMPRODUCT(--ISNUMBER(SEARCH(" "&amp;$CR$736:$CR$835&amp;" ",$AX8)))),"")</f>
        <v>0</v>
      </c>
      <c r="AR8" s="1368">
        <f>IF(8=8,IF($U8="","",SUMPRODUCT(--ISNUMBER(SEARCH(" "&amp;$CR$836:$CR$935&amp;" ",$AX8)))),"")</f>
        <v>0</v>
      </c>
      <c r="AS8" s="1368">
        <f>IF(8=8,IF($U8="","",SUMPRODUCT(--ISNUMBER(SEARCH(" "&amp;$CR$936:$CR$1035&amp;" ",$AX8)))),"")</f>
        <v>0</v>
      </c>
      <c r="AT8" s="1368">
        <f>IF(8=8,IF($U8="","",SUMPRODUCT(--ISNUMBER(SEARCH(" "&amp;$CR$1036:$CR$1135&amp;" ",$AX8)))),"")</f>
        <v>0</v>
      </c>
      <c r="AU8" s="1368">
        <f>IF(8=8,IF($U8="","",SUMPRODUCT(--ISNUMBER(SEARCH(" "&amp;$CR$1136:$CR$1235&amp;" ",$AX8)))),"")</f>
        <v>0</v>
      </c>
      <c r="AV8" s="1368">
        <f>IF(8=8,IF($U8="","",SUMPRODUCT(--ISNUMBER(SEARCH(" "&amp;$CR$1236:$CR$1335&amp;" ",$AX8)))),"")</f>
        <v>0</v>
      </c>
      <c r="AW8" s="1368">
        <f>IF(8=8,IF($U8="","",SUMPRODUCT(--ISNUMBER(SEARCH(" "&amp;$CR$1336:$CR$1363&amp;" ",$AX8)))),"")</f>
        <v>0</v>
      </c>
      <c r="AX8" s="1368" t="str">
        <f>IF(8=8,IF($U8="","",SUBSTITUTE(SUBSTITUTE(SUBSTITUTE(SUBSTITUTE(SUBSTITUTE(SUBSTITUTE(SUBSTITUTE(SUBSTITUTE(SUBSTITUTE($AA8," "&amp;$CR$1365&amp;" "," ")," "&amp;$CR$1364&amp;" "," ")," "&amp;$CR$1370&amp;" "," ")," "&amp;$CR$1371&amp;" "," ")," "&amp;$CR$1367&amp;" "," ")," "&amp;$CR$1369&amp;" "," ")," "&amp;$CR$1366&amp;" "," ")," "&amp;$CR$1368&amp;" "," ")," "&amp;$CR$1372&amp;" "," ")),"")</f>
        <v xml:space="preserve"> ail hachee surgele </v>
      </c>
      <c r="AY8" s="1368">
        <f>IF(8=8,IF($U8="","",SUMPRODUCT(--ISNUMBER(SEARCH(" "&amp;$CR$1373:$CR$1383&amp;" ",$AX8)))),"")</f>
        <v>0</v>
      </c>
      <c r="AZ8" s="1368" t="str">
        <f>IF(8=8,IF($U8="","",IF(SUM(AN8:AW8)+SUMPRODUCT(--ISNUMBER(SEARCH(" "&amp;$CR$2421:$CR$2422&amp;" ",$AX8)))&gt;0,"X",IF(AY8&gt;0,"?",""))),"")</f>
        <v/>
      </c>
      <c r="BA8" s="1368">
        <f>IF(8=8,IF($U8="","",SUMPRODUCT(--ISNUMBER(SEARCH(" "&amp;$CR$1384:$CR$1404&amp;" ",$AA8)))),"")</f>
        <v>0</v>
      </c>
      <c r="BB8" s="1368" t="str">
        <f>IF(8=8,IF($U8="","",IF((BA8)-(0)&gt;0,"X",IF((0)-(0)&gt;0,"?",""))),"")</f>
        <v/>
      </c>
      <c r="BC8" s="1368">
        <f>IF(8=8,IF($U8="","",SUMPRODUCT(--ISNUMBER(SEARCH(" "&amp;$CR$1405:$CR$1442&amp;" ",$BD8)))),"")</f>
        <v>0</v>
      </c>
      <c r="BD8" s="1368" t="str">
        <f>IF(8=8,IF($U8="","",SUBSTITUTE(SUBSTITUTE($AA8," "&amp;$CR$1443&amp;" "," ")," "&amp;$CR$1444&amp;" "," ")),"")</f>
        <v xml:space="preserve"> ail hachee surgele </v>
      </c>
      <c r="BE8" s="1368">
        <f>IF(8=8,IF($U8="","",SUMPRODUCT(--ISNUMBER(SEARCH(" "&amp;$CR$1445:$CR$1455&amp;" ",$BD8)))),"")</f>
        <v>0</v>
      </c>
      <c r="BF8" s="1368" t="str">
        <f>IF(8=8,IF($U8="","",IF(BC8&gt;0,"X",IF(BE8&gt;0,"?",""))),"")</f>
        <v/>
      </c>
      <c r="BG8" s="1368">
        <f>IF(8=8,IF($U8="","",SUMPRODUCT(--ISNUMBER(SEARCH(" "&amp;$CR$1456:$CR$1555&amp;" ",$BJ8)))),"")</f>
        <v>0</v>
      </c>
      <c r="BH8" s="1368">
        <f>IF(8=8,IF($U8="","",SUMPRODUCT(--ISNUMBER(SEARCH(" "&amp;$CR$1556:$CR$1655&amp;" ",$BJ8)))),"")</f>
        <v>0</v>
      </c>
      <c r="BI8" s="1368">
        <f>IF(8=8,IF($U8="","",SUMPRODUCT(--ISNUMBER(SEARCH(" "&amp;$CR$1656:$CR$1739&amp;" ",$BJ8)))),"")</f>
        <v>0</v>
      </c>
      <c r="BJ8" s="1368" t="str">
        <f>IF(8=8,IF($U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ail hachee surgele </v>
      </c>
      <c r="BK8" s="1368">
        <f>IF(8=8,IF($U8="","",SUMPRODUCT(--ISNUMBER(SEARCH(" "&amp;$CR$1790:$CR$1869&amp;" ",$BL8)))+SUMPRODUCT(--ISNUMBER(SEARCH(" "&amp;$CR$2440:$CR$2453&amp;" ",$BL8)))),"")</f>
        <v>0</v>
      </c>
      <c r="BL8" s="1368" t="str">
        <f>IF(8=8,IF($U8="","",SUBSTITUTE(SUBSTITUTE(SUBSTITUTE(SUBSTITUTE(SUBSTITUTE(SUBSTITUTE(SUBSTITUTE(SUBSTITUTE(SUBSTITUTE(SUBSTITUTE(SUBSTITUTE(SUBSTITUTE(SUBSTITUTE($BJ8," "&amp;$CR$1876&amp;" "," ")," "&amp;$CR$1874&amp;" "," ")," "&amp;$CR$2438&amp;" "," ")," "&amp;$CR$2439&amp;" "," ")," "&amp;$CR$1871&amp;" "," ")," "&amp;$CR$1875&amp;" "," ")," "&amp;$CR$1877&amp;" "," ")," "&amp;$CR$1872&amp;" "," ")," "&amp;$CR$1870&amp;" "," ")," "&amp;$CR$1367&amp;" "," ")," "&amp;$CR$1878&amp;" "," ")," "&amp;$CR$1366&amp;" "," ")," "&amp;$CR$1873&amp;" "," ")),"")</f>
        <v xml:space="preserve"> ail hachee surgele </v>
      </c>
      <c r="BM8" s="1368" t="str">
        <f>IF(8=8,IF($U8="","",IF(SUM(BG8:BI8)+SUMPRODUCT(--ISNUMBER(SEARCH(" "&amp;$CR$2423:$CR$2424&amp;" ",$BJ8)))&gt;0,"X",IF(BK8&gt;0,"?",""))),"")</f>
        <v/>
      </c>
      <c r="BN8" s="1368">
        <f>IF(8=8,IF($U8="","",SUMPRODUCT(--ISNUMBER(SEARCH(" "&amp;$CR$1879:$CR$1936&amp;" ",$BO8)))),"")</f>
        <v>0</v>
      </c>
      <c r="BO8" s="1368" t="str">
        <f>IF(8=8,IF($U8="","",SUBSTITUTE(SUBSTITUTE(SUBSTITUTE(SUBSTITUTE(SUBSTITUTE(SUBSTITUTE(SUBSTITUTE(SUBSTITUTE(SUBSTITUTE(SUBSTITUTE(SUBSTITUTE(SUBSTITUTE(SUBSTITUTE(SUBSTITUTE(SUBSTITUTE(SUBSTITUTE(SUBSTITUTE(SUBSTITUTE(SUBSTITUTE(SUBSTITUTE(SUBSTITUTE(SUBSTITUTE(SUBSTITUTE($AA8,"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ail hachee surgele </v>
      </c>
      <c r="BP8" s="1368">
        <f>IF(8=8,IF($U8="","",SUMPRODUCT(--ISNUMBER(SEARCH(" "&amp;$CR$1960:$CR$1976&amp;" ",$BO8)))),"")</f>
        <v>0</v>
      </c>
      <c r="BQ8" s="1368" t="str">
        <f>IF(8=8,IF($U8="","",IF(BN8&gt;0,"X",IF(BP8&gt;0,"?",""))),"")</f>
        <v/>
      </c>
      <c r="BR8" s="1368">
        <f>IF(8=8,IF($U8="","",SUMPRODUCT(--ISNUMBER(SEARCH(" "&amp;$CR$1977:$CR$1990&amp;" ",$AA8)))),"")</f>
        <v>0</v>
      </c>
      <c r="BS8" s="1368">
        <f>IF(8=8,IF($U8="","",SUMPRODUCT(--ISNUMBER(SEARCH(" "&amp;$CR$1991:$CR$2005&amp;" ",$AA8)))),"")</f>
        <v>0</v>
      </c>
      <c r="BT8" s="1368" t="str">
        <f>IF(8=8,IF($U8="","",IF((BR8)-(0)&gt;0,"X",IF((BS8)-(0)&gt;0,"?",""))),"")</f>
        <v/>
      </c>
      <c r="BU8" s="1368">
        <f>IF(8=8,IF($U8="","",SUMPRODUCT(--ISNUMBER(SEARCH(" "&amp;$CR$2006:$CR$2023&amp;" ",$AA8)))),"")</f>
        <v>0</v>
      </c>
      <c r="BV8" s="1368">
        <f>IF(8=8,IF($U8="","",SUMPRODUCT(--ISNUMBER(SEARCH(" "&amp;$CR$2024:$CR$2038&amp;" ",$AA8)))),"")</f>
        <v>0</v>
      </c>
      <c r="BW8" s="1368" t="str">
        <f>IF(8=8,IF($U8="","",IF((BU8)-(0)&gt;0,"X",IF((BV8)-(0)&gt;0,"?",""))),"")</f>
        <v/>
      </c>
      <c r="BX8" s="1368">
        <f>IF(8=8,IF($U8="","",SUMPRODUCT(--ISNUMBER(SEARCH(" "&amp;$CR$2039:$CR$2057&amp;" ",$AA8)))),"")</f>
        <v>0</v>
      </c>
      <c r="BY8" s="1368">
        <f>IF(8=8,IF($U8="","",SUMPRODUCT(--ISNUMBER(SEARCH(" "&amp;$CR$2058:$CR$2072&amp;" ",$AA8)))),"")</f>
        <v>0</v>
      </c>
      <c r="BZ8" s="1368" t="str">
        <f>IF(8=8,IF($U8="","",IF((BX8)-(0)&gt;0,"X",IF((BY8)-(0)&gt;0,"?",""))),"")</f>
        <v/>
      </c>
      <c r="CA8" s="1368">
        <f>IF(8=8,IF($U8="","",SUMPRODUCT(--ISNUMBER(SEARCH(" "&amp;$CR$2073:$CR$2093&amp;" ",$AA8)))),"")</f>
        <v>0</v>
      </c>
      <c r="CB8" s="1368">
        <f>IF(8=8,IF($U8="","",SUMPRODUCT(--ISNUMBER(SEARCH(" "&amp;$CR$2094:$CR$2133&amp;" ",SUBSTITUTE(SUBSTITUTE($AA8," "&amp;$CR$1367&amp;" "," ")," "&amp;$CR$1366&amp;" "," "))))+--ISNUMBER(SEARCH("poiré",$V8))),"")</f>
        <v>0</v>
      </c>
      <c r="CC8" s="1368" t="str">
        <f>IF(8=8,IF($U8="","",IF(OR(CA8&gt;0,ISNUMBER(SEARCH(" vinaigre de vin ",$AA8)),ISNUMBER(SEARCH(" vinaigre au vin ",$AA8))),"X",IF(CB8&gt;0,"?",""))),"")</f>
        <v/>
      </c>
      <c r="CD8" s="1368">
        <f>IF(8=8,IF($U8="","",SUMPRODUCT(--ISNUMBER(SEARCH(" "&amp;$CR$2134:$CR$2146&amp;" ",$AA8)))),"")</f>
        <v>0</v>
      </c>
      <c r="CE8" s="1368">
        <f>IF(8=8,IF($U8="","",SUMPRODUCT(--ISNUMBER(SEARCH(" "&amp;$CR$2147:$CR$2152&amp;" ",$AA8)))),"")</f>
        <v>0</v>
      </c>
      <c r="CF8" s="1368" t="str">
        <f>IF(8=8,IF($U8="","",IF((CD8)-(0)&gt;0,"X",IF((CE8)-(0)&gt;0,"?",""))),"")</f>
        <v/>
      </c>
      <c r="CG8" s="1368">
        <f>IF(8=8,IF($U8="","",SUMPRODUCT(--ISNUMBER(SEARCH(" "&amp;$CR$2153:$CR$2252&amp;" ",$CJ8)))),"")</f>
        <v>0</v>
      </c>
      <c r="CH8" s="1368">
        <f>IF(8=8,IF($U8="","",SUMPRODUCT(--ISNUMBER(SEARCH(" "&amp;$CR$2253:$CR$2352&amp;" ",$CJ8)))),"")</f>
        <v>0</v>
      </c>
      <c r="CI8" s="1368">
        <f>IF(8=8,IF($U8="","",SUMPRODUCT(--ISNUMBER(SEARCH(" "&amp;$CR$2353:$CR$2395&amp;" ",$CJ8)))),"")</f>
        <v>0</v>
      </c>
      <c r="CJ8" s="1368" t="str">
        <f>IF(8=8,IF($U8="","",SUBSTITUTE(SUBSTITUTE(SUBSTITUTE(SUBSTITUTE(SUBSTITUTE(SUBSTITUTE(SUBSTITUTE(SUBSTITUTE(SUBSTITUTE(SUBSTITUTE(SUBSTITUTE(SUBSTITUTE(SUBSTITUTE(SUBSTITUTE(SUBSTITUTE(SUBSTITUTE($AA8," "&amp;$CR$2401&amp;" "," ")," "&amp;$CR$2400&amp;" "," ")," "&amp;$CR$2399&amp;" "," ")," "&amp;$CR$2406&amp;" "," ")," "&amp;$CR$2398&amp;" "," ")," "&amp;$CR$2410&amp;" "," ")," "&amp;$CR$2397&amp;" "," ")," "&amp;$CR$2402&amp;" "," ")," "&amp;$CR$2405&amp;" "," ")," "&amp;$CR$2396&amp;" "," ")," "&amp;$CR$2404&amp;" "," ")," "&amp;$CR$2411&amp;" "," ")," "&amp;$CR$2408&amp;" "," ")," "&amp;$CR$2403&amp;" "," ")," "&amp;$CR$2407&amp;" "," ")," "&amp;$CR$2409&amp;" "," ")),"")</f>
        <v xml:space="preserve"> ail hachee surgele </v>
      </c>
      <c r="CK8" s="1368">
        <f>IF(8=8,IF($U8="","",SUMPRODUCT(--ISNUMBER(SEARCH(" "&amp;$CR$2412:$CR$2416&amp;" ",$CJ8)))),"")</f>
        <v>0</v>
      </c>
      <c r="CL8" s="1368" t="str">
        <f>IF(8=8,IF($U8="","",IF(SUM(CG8:CI8)&gt;0,"X",IF(CK8&gt;0,"?",""))),"")</f>
        <v/>
      </c>
      <c r="CM8" s="1377"/>
      <c r="CN8" s="1388" t="s">
        <v>8202</v>
      </c>
      <c r="CO8" s="1388" t="s">
        <v>8105</v>
      </c>
      <c r="CP8" s="1388" t="s">
        <v>8106</v>
      </c>
      <c r="CQ8" s="1388" t="s">
        <v>8203</v>
      </c>
      <c r="CR8" s="1388" t="s">
        <v>8204</v>
      </c>
      <c r="CS8" s="1388" t="s">
        <v>8108</v>
      </c>
      <c r="CT8" s="1388" t="s">
        <v>8109</v>
      </c>
      <c r="CU8" s="1388" t="s">
        <v>8110</v>
      </c>
      <c r="CV8" s="1389" t="s">
        <v>8111</v>
      </c>
      <c r="CX8" s="1379">
        <v>1</v>
      </c>
    </row>
    <row r="9" spans="1:102" ht="21" customHeight="1" x14ac:dyDescent="0.25">
      <c r="A9" s="1412">
        <v>3</v>
      </c>
      <c r="B9" s="1413" t="s">
        <v>8205</v>
      </c>
      <c r="C9" s="1414" t="str">
        <f t="shared" si="0"/>
        <v>Aubergines</v>
      </c>
      <c r="D9" s="1415" t="str">
        <f>IF(9=9,IF($B9="","",IF(E9="X",""&amp;"Céréales contenant du gluten","")&amp;IF(F9="X",IF(COUNTIF($E9:$E9,"X")&gt;0,", ","")&amp;"Crustacés","")&amp;IF(G9="X",IF(COUNTIF($E9:$F9,"X")&gt;0,", ","")&amp;"Œufs","")&amp;IF(H9="X",IF(COUNTIF($E9:$G9,"X")&gt;0,", ","")&amp;"Poissons","")&amp;IF(I9="X",IF(COUNTIF($E9:$H9,"X")&gt;0,", ","")&amp;"Arachides","")&amp;IF(J9="X",IF(COUNTIF($E9:$I9,"X")&gt;0,", ","")&amp;"Soja","")&amp;IF(K9="X",IF(COUNTIF($E9:$J9,"X")&gt;0,", ","")&amp;"Lait","")&amp;IF(L9="X",IF(COUNTIF($E9:$K9,"X")&gt;0,", ","")&amp;"Fruits à coque","")&amp;IF(M9="X",IF(COUNTIF($E9:$L9,"X")&gt;0,", ","")&amp;"Céleri","")&amp;IF(N9="X",IF(COUNTIF($E9:$M9,"X")&gt;0,", ","")&amp;"Moutarde","")&amp;IF(O9="X",IF(COUNTIF($E9:$N9,"X")&gt;0,", ","")&amp;"Sésame","")&amp;IF(P9="X",IF(COUNTIF($E9:$O9,"X")&gt;0,", ","")&amp;"Sulfites","")&amp;IF(Q9="X",IF(COUNTIF($E9:$P9,"X")&gt;0,", ","")&amp;"Lupin","")&amp;IF(R9="X",IF(COUNTIF($E9:$Q9,"X")&gt;0,", ","")&amp;"Mollusques","")),"")</f>
        <v/>
      </c>
      <c r="E9" s="1416" t="str">
        <f>IF(9=9,IF($B9="","",AF9),"")</f>
        <v/>
      </c>
      <c r="F9" s="1416" t="str">
        <f>IF(9=9,IF($B9="","",AI9),"")</f>
        <v/>
      </c>
      <c r="G9" s="1416" t="str">
        <f>IF(9=9,IF($B9="","",AM9),"")</f>
        <v/>
      </c>
      <c r="H9" s="1416" t="str">
        <f>IF(9=9,IF($B9="","",IF(ISNUMBER(SEARCH(" colin ",$AA9)),"X",AZ9)),"")</f>
        <v/>
      </c>
      <c r="I9" s="1416" t="str">
        <f>IF(9=9,IF($B9="","",BB9),"")</f>
        <v/>
      </c>
      <c r="J9" s="1416" t="str">
        <f>IF(9=9,IF($B9="","",BF9),"")</f>
        <v/>
      </c>
      <c r="K9" s="1416" t="str">
        <f>IF(9=9,IF($B9="","",BM9),"")</f>
        <v/>
      </c>
      <c r="L9" s="1416" t="str">
        <f>IF(9=9,IF($B9="","",BQ9),"")</f>
        <v/>
      </c>
      <c r="M9" s="1416" t="str">
        <f>IF(9=9,IF($B9="","",BT9),"")</f>
        <v/>
      </c>
      <c r="N9" s="1416" t="str">
        <f>IF(9=9,IF($B9="","",BW9),"")</f>
        <v/>
      </c>
      <c r="O9" s="1416" t="str">
        <f>IF(9=9,IF($B9="","",BZ9),"")</f>
        <v/>
      </c>
      <c r="P9" s="1416" t="str">
        <f>IF(9=9,IF($B9="","",CC9),"")</f>
        <v/>
      </c>
      <c r="Q9" s="1416" t="str">
        <f>IF(9=9,IF($B9="","",CF9),"")</f>
        <v/>
      </c>
      <c r="R9" s="1416" t="str">
        <f>IF(9=9,IF($B9="","",CL9),"")</f>
        <v/>
      </c>
      <c r="S9" s="1417" t="str">
        <f>IF(9=9,IF($B9="","",IF(E9="?",""&amp;"Céréales contenant du gluten","")&amp;IF(F9="?",IF(COUNTIF($E9:$E9,"~?")&gt;0,", ","")&amp;"Crustacés","")&amp;IF(G9="?",IF(COUNTIF($E9:$F9,"~?")&gt;0,", ","")&amp;"Œufs","")&amp;IF(H9="?",IF(COUNTIF($E9:$G9,"~?")&gt;0,", ","")&amp;"Poissons","")&amp;IF(I9="?",IF(COUNTIF($E9:$H9,"~?")&gt;0,", ","")&amp;"Arachides","")&amp;IF(J9="?",IF(COUNTIF($E9:$I9,"~?")&gt;0,", ","")&amp;"Soja","")&amp;IF(K9="?",IF(COUNTIF($E9:$J9,"~?")&gt;0,", ","")&amp;"Lait","")&amp;IF(L9="?",IF(COUNTIF($E9:$K9,"~?")&gt;0,", ","")&amp;"Fruits à coque","")&amp;IF(M9="?",IF(COUNTIF($E9:$L9,"~?")&gt;0,", ","")&amp;"Céleri","")&amp;IF(N9="?",IF(COUNTIF($E9:$M9,"~?")&gt;0,", ","")&amp;"Moutarde","")&amp;IF(O9="?",IF(COUNTIF($E9:$N9,"~?")&gt;0,", ","")&amp;"Sésame","")&amp;IF(P9="?",IF(COUNTIF($E9:$O9,"~?")&gt;0,", ","")&amp;"Sulfites","")&amp;IF(Q9="?",IF(COUNTIF($E9:$P9,"~?")&gt;0,", ","")&amp;"Lupin","")&amp;IF(R9="?",IF(COUNTIF($E9:$Q9,"~?")&gt;0,", ","")&amp;"Mollusques","")),"")</f>
        <v/>
      </c>
      <c r="U9" s="1368" t="str">
        <f>IF(9=9,IF($B9="","",$B9),"")</f>
        <v>Aubergines</v>
      </c>
      <c r="V9" s="1368" t="str">
        <f>IF(9=9,LOWER(CLEAN(SUBSTITUTE(SUBSTITUTE(SUBSTITUTE(SUBSTITUTE($U9,CHAR(160)," ")," "," "),CHAR(10)," "),CHAR(13)," "))),"")</f>
        <v>aubergines</v>
      </c>
      <c r="W9" s="1368" t="str">
        <f>IF(9=9,SUBSTITUTE(SUBSTITUTE(SUBSTITUTE(SUBSTITUTE(SUBSTITUTE(SUBSTITUTE(SUBSTITUTE(SUBSTITUTE(SUBSTITUTE(SUBSTITUTE(SUBSTITUTE(SUBSTITUTE($V9,"œ","oe"),"æ","ae"),"à","a"),"á","a"),"â","a"),"ä","a"),"ã","a"),"ç","c"),"è","e"),"é","e"),"ê","e"),"ë","e"),"")</f>
        <v>aubergines</v>
      </c>
      <c r="X9" s="1368" t="str">
        <f>IF(9=9,SUBSTITUTE(SUBSTITUTE(SUBSTITUTE(SUBSTITUTE(SUBSTITUTE(SUBSTITUTE(SUBSTITUTE(SUBSTITUTE(SUBSTITUTE(SUBSTITUTE(SUBSTITUTE(SUBSTITUTE(SUBSTITUTE(SUBSTITUTE(SUBSTITUTE(SUBSTITUTE($W9,"ì","i"),"í","i"),"î","i"),"ï","i"),"ñ","n"),"ò","o"),"ó","o"),"ô","o"),"ö","o"),"õ","o"),"ù","u"),"ú","u"),"û","u"),"ü","u"),"ý","y"),"ÿ","y"),"")</f>
        <v>aubergines</v>
      </c>
      <c r="Y9" s="1368" t="str">
        <f>IF(9=9,SUBSTITUTE(SUBSTITUTE(SUBSTITUTE(SUBSTITUTE(SUBSTITUTE(SUBSTITUTE(SUBSTITUTE(SUBSTITUTE(SUBSTITUTE(SUBSTITUTE(SUBSTITUTE(SUBSTITUTE(SUBSTITUTE(SUBSTITUTE($X9,"’"," "),"`"," "),"–"," "),"—"," "),"-"," "),"'"," "),"/"," "),"_"," "),","," "),"."," "),"("," "),")"," "),";"," "),":"," "),"")</f>
        <v>aubergines</v>
      </c>
      <c r="Z9" s="1368" t="str">
        <f>IF(9=9,SUBSTITUTE(SUBSTITUTE(SUBSTITUTE(SUBSTITUTE(SUBSTITUTE(SUBSTITUTE(SUBSTITUTE(SUBSTITUTE(SUBSTITUTE(SUBSTITUTE(SUBSTITUTE(SUBSTITUTE(SUBSTITUTE(SUBSTITUTE(SUBSTITUTE($Y9,"!"," "),"?"," "),"+"," "),"*"," "),"&amp;"," "),"["," "),"]"," "),"{"," "),"}"," "),"%"," "),"="," "),"\"," "),"|"," "),"&lt;"," "),"&gt;"," "),"")</f>
        <v>aubergines</v>
      </c>
      <c r="AA9" s="1368" t="str">
        <f>IF(9=9," "&amp;TRIM(SUBSTITUTE(SUBSTITUTE(SUBSTITUTE(SUBSTITUTE(SUBSTITUTE(SUBSTITUTE($Z9,CHAR(34)," "),"  "," "),"  "," "),"  "," "),"  "," "),"  "," "))&amp;" ","")</f>
        <v xml:space="preserve"> aubergines </v>
      </c>
      <c r="AB9" s="1368">
        <f>IF(9=9,IF($U9="","",SUMPRODUCT(--ISNUMBER(SEARCH(" "&amp;$CR$2:$CR$101&amp;" ",$AD9)))),"")</f>
        <v>0</v>
      </c>
      <c r="AC9" s="1368">
        <f>IF(9=9,IF($U9="","",SUMPRODUCT(--ISNUMBER(SEARCH(" "&amp;$CR$102:$CR$151&amp;" ",$AD9)))),"")</f>
        <v>0</v>
      </c>
      <c r="AD9" s="1368" t="str">
        <f t="shared" si="1"/>
        <v xml:space="preserve"> aubergines </v>
      </c>
      <c r="AE9" s="1368">
        <f t="shared" si="2"/>
        <v>0</v>
      </c>
      <c r="AF9" s="1368" t="str">
        <f>IF(9=9,IF($U9="","",IF(SUM(AB9:AC9)+SUMPRODUCT(--ISNUMBER(SEARCH(" "&amp;$CR$2418:$CR$2420&amp;" ",$AD9)))&gt;0,"X",IF(AE9&gt;0,"?",""))),"")</f>
        <v/>
      </c>
      <c r="AG9" s="1368">
        <f>IF(9=9,IF($U9="","",SUMPRODUCT(--ISNUMBER(SEARCH(" "&amp;$CR$206:$CR$305&amp;" ",$AA9)))),"")</f>
        <v>0</v>
      </c>
      <c r="AH9" s="1368">
        <f>IF(9=9,IF($U9="","",SUMPRODUCT(--ISNUMBER(SEARCH(" "&amp;$CR$306:$CR$340&amp;" ",$AA9)))),"")</f>
        <v>0</v>
      </c>
      <c r="AI9" s="1368" t="str">
        <f>IF(9=9,IF($U9="","",IF((SUM(AG9:AH9))-(0)&gt;0,"X",IF((0)-(0)&gt;0,"?",""))),"")</f>
        <v/>
      </c>
      <c r="AJ9" s="1368">
        <f>IF(9=9,IF($U9="","",SUMPRODUCT(--ISNUMBER(SEARCH(" "&amp;$CR$341:$CR$398&amp;" ",$AA9)))),"")</f>
        <v>0</v>
      </c>
      <c r="AK9" s="1368">
        <f>IF(9=9,IF($U9="","",SUMPRODUCT(--ISNUMBER(SEARCH(" "&amp;$CR$399:$CR$426&amp;" ",$AL9)))+SUMPRODUCT(--ISNUMBER(SEARCH(" "&amp;$CR$2440:$CR$2453&amp;" ",$AL9)))),"")</f>
        <v>0</v>
      </c>
      <c r="AL9" s="1368" t="str">
        <f>IF(9=9,IF($U9="","",SUBSTITUTE(SUBSTITUTE(SUBSTITUTE(SUBSTITUTE(SUBSTITUTE(SUBSTITUTE(SUBSTITUTE(SUBSTITUTE(SUBSTITUTE(SUBSTITUTE(SUBSTITUTE(SUBSTITUTE(SUBSTITUTE(SUBSTITUTE($AA9," "&amp;$CR$2455&amp;" "," ")," "&amp;$CR$433&amp;" "," ")," "&amp;$CR$431&amp;" "," ")," "&amp;$CR$2438&amp;" "," ")," "&amp;$CR$2439&amp;" "," ")," "&amp;$CR$428&amp;" "," ")," "&amp;$CR$432&amp;" "," ")," "&amp;$CR$434&amp;" "," ")," "&amp;$CR$429&amp;" "," ")," "&amp;$CR$427&amp;" "," ")," "&amp;$CR$1367&amp;" "," ")," "&amp;$CR$435&amp;" "," ")," "&amp;$CR$1366&amp;" "," ")," "&amp;$CR$430&amp;" "," ")),"")</f>
        <v xml:space="preserve"> aubergines </v>
      </c>
      <c r="AM9" s="1368" t="str">
        <f>IF(9=9,IF($U9="","",IF(AJ9&gt;0,"X",IF(AK9&gt;0,"?",""))),"")</f>
        <v/>
      </c>
      <c r="AN9" s="1368">
        <f>IF(9=9,IF($U9="","",SUMPRODUCT(--ISNUMBER(SEARCH(" "&amp;$CR$436:$CR$535&amp;" ",$AX9)))),"")</f>
        <v>0</v>
      </c>
      <c r="AO9" s="1368">
        <f>IF(9=9,IF($U9="","",SUMPRODUCT(--ISNUMBER(SEARCH(" "&amp;$CR$536:$CR$635&amp;" ",$AX9)))),"")</f>
        <v>0</v>
      </c>
      <c r="AP9" s="1368">
        <f>IF(9=9,IF($U9="","",SUMPRODUCT(--ISNUMBER(SEARCH(" "&amp;$CR$636:$CR$735&amp;" ",$AX9)))),"")</f>
        <v>0</v>
      </c>
      <c r="AQ9" s="1368">
        <f>IF(9=9,IF($U9="","",SUMPRODUCT(--ISNUMBER(SEARCH(" "&amp;$CR$736:$CR$835&amp;" ",$AX9)))),"")</f>
        <v>0</v>
      </c>
      <c r="AR9" s="1368">
        <f>IF(9=9,IF($U9="","",SUMPRODUCT(--ISNUMBER(SEARCH(" "&amp;$CR$836:$CR$935&amp;" ",$AX9)))),"")</f>
        <v>0</v>
      </c>
      <c r="AS9" s="1368">
        <f>IF(9=9,IF($U9="","",SUMPRODUCT(--ISNUMBER(SEARCH(" "&amp;$CR$936:$CR$1035&amp;" ",$AX9)))),"")</f>
        <v>0</v>
      </c>
      <c r="AT9" s="1368">
        <f>IF(9=9,IF($U9="","",SUMPRODUCT(--ISNUMBER(SEARCH(" "&amp;$CR$1036:$CR$1135&amp;" ",$AX9)))),"")</f>
        <v>0</v>
      </c>
      <c r="AU9" s="1368">
        <f>IF(9=9,IF($U9="","",SUMPRODUCT(--ISNUMBER(SEARCH(" "&amp;$CR$1136:$CR$1235&amp;" ",$AX9)))),"")</f>
        <v>0</v>
      </c>
      <c r="AV9" s="1368">
        <f>IF(9=9,IF($U9="","",SUMPRODUCT(--ISNUMBER(SEARCH(" "&amp;$CR$1236:$CR$1335&amp;" ",$AX9)))),"")</f>
        <v>0</v>
      </c>
      <c r="AW9" s="1368">
        <f>IF(9=9,IF($U9="","",SUMPRODUCT(--ISNUMBER(SEARCH(" "&amp;$CR$1336:$CR$1363&amp;" ",$AX9)))),"")</f>
        <v>0</v>
      </c>
      <c r="AX9" s="1368" t="str">
        <f>IF(9=9,IF($U9="","",SUBSTITUTE(SUBSTITUTE(SUBSTITUTE(SUBSTITUTE(SUBSTITUTE(SUBSTITUTE(SUBSTITUTE(SUBSTITUTE(SUBSTITUTE($AA9," "&amp;$CR$1365&amp;" "," ")," "&amp;$CR$1364&amp;" "," ")," "&amp;$CR$1370&amp;" "," ")," "&amp;$CR$1371&amp;" "," ")," "&amp;$CR$1367&amp;" "," ")," "&amp;$CR$1369&amp;" "," ")," "&amp;$CR$1366&amp;" "," ")," "&amp;$CR$1368&amp;" "," ")," "&amp;$CR$1372&amp;" "," ")),"")</f>
        <v xml:space="preserve"> aubergines </v>
      </c>
      <c r="AY9" s="1368">
        <f>IF(9=9,IF($U9="","",SUMPRODUCT(--ISNUMBER(SEARCH(" "&amp;$CR$1373:$CR$1383&amp;" ",$AX9)))),"")</f>
        <v>0</v>
      </c>
      <c r="AZ9" s="1368" t="str">
        <f>IF(9=9,IF($U9="","",IF(SUM(AN9:AW9)+SUMPRODUCT(--ISNUMBER(SEARCH(" "&amp;$CR$2421:$CR$2422&amp;" ",$AX9)))&gt;0,"X",IF(AY9&gt;0,"?",""))),"")</f>
        <v/>
      </c>
      <c r="BA9" s="1368">
        <f>IF(9=9,IF($U9="","",SUMPRODUCT(--ISNUMBER(SEARCH(" "&amp;$CR$1384:$CR$1404&amp;" ",$AA9)))),"")</f>
        <v>0</v>
      </c>
      <c r="BB9" s="1368" t="str">
        <f>IF(9=9,IF($U9="","",IF((BA9)-(0)&gt;0,"X",IF((0)-(0)&gt;0,"?",""))),"")</f>
        <v/>
      </c>
      <c r="BC9" s="1368">
        <f>IF(9=9,IF($U9="","",SUMPRODUCT(--ISNUMBER(SEARCH(" "&amp;$CR$1405:$CR$1442&amp;" ",$BD9)))),"")</f>
        <v>0</v>
      </c>
      <c r="BD9" s="1368" t="str">
        <f>IF(9=9,IF($U9="","",SUBSTITUTE(SUBSTITUTE($AA9," "&amp;$CR$1443&amp;" "," ")," "&amp;$CR$1444&amp;" "," ")),"")</f>
        <v xml:space="preserve"> aubergines </v>
      </c>
      <c r="BE9" s="1368">
        <f>IF(9=9,IF($U9="","",SUMPRODUCT(--ISNUMBER(SEARCH(" "&amp;$CR$1445:$CR$1455&amp;" ",$BD9)))),"")</f>
        <v>0</v>
      </c>
      <c r="BF9" s="1368" t="str">
        <f>IF(9=9,IF($U9="","",IF(BC9&gt;0,"X",IF(BE9&gt;0,"?",""))),"")</f>
        <v/>
      </c>
      <c r="BG9" s="1368">
        <f>IF(9=9,IF($U9="","",SUMPRODUCT(--ISNUMBER(SEARCH(" "&amp;$CR$1456:$CR$1555&amp;" ",$BJ9)))),"")</f>
        <v>0</v>
      </c>
      <c r="BH9" s="1368">
        <f>IF(9=9,IF($U9="","",SUMPRODUCT(--ISNUMBER(SEARCH(" "&amp;$CR$1556:$CR$1655&amp;" ",$BJ9)))),"")</f>
        <v>0</v>
      </c>
      <c r="BI9" s="1368">
        <f>IF(9=9,IF($U9="","",SUMPRODUCT(--ISNUMBER(SEARCH(" "&amp;$CR$1656:$CR$1739&amp;" ",$BJ9)))),"")</f>
        <v>0</v>
      </c>
      <c r="BJ9" s="1368" t="str">
        <f>IF(9=9,IF($U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aubergines </v>
      </c>
      <c r="BK9" s="1368">
        <f>IF(9=9,IF($U9="","",SUMPRODUCT(--ISNUMBER(SEARCH(" "&amp;$CR$1790:$CR$1869&amp;" ",$BL9)))+SUMPRODUCT(--ISNUMBER(SEARCH(" "&amp;$CR$2440:$CR$2453&amp;" ",$BL9)))),"")</f>
        <v>0</v>
      </c>
      <c r="BL9" s="1368" t="str">
        <f>IF(9=9,IF($U9="","",SUBSTITUTE(SUBSTITUTE(SUBSTITUTE(SUBSTITUTE(SUBSTITUTE(SUBSTITUTE(SUBSTITUTE(SUBSTITUTE(SUBSTITUTE(SUBSTITUTE(SUBSTITUTE(SUBSTITUTE(SUBSTITUTE($BJ9," "&amp;$CR$1876&amp;" "," ")," "&amp;$CR$1874&amp;" "," ")," "&amp;$CR$2438&amp;" "," ")," "&amp;$CR$2439&amp;" "," ")," "&amp;$CR$1871&amp;" "," ")," "&amp;$CR$1875&amp;" "," ")," "&amp;$CR$1877&amp;" "," ")," "&amp;$CR$1872&amp;" "," ")," "&amp;$CR$1870&amp;" "," ")," "&amp;$CR$1367&amp;" "," ")," "&amp;$CR$1878&amp;" "," ")," "&amp;$CR$1366&amp;" "," ")," "&amp;$CR$1873&amp;" "," ")),"")</f>
        <v xml:space="preserve"> aubergines </v>
      </c>
      <c r="BM9" s="1368" t="str">
        <f>IF(9=9,IF($U9="","",IF(SUM(BG9:BI9)+SUMPRODUCT(--ISNUMBER(SEARCH(" "&amp;$CR$2423:$CR$2424&amp;" ",$BJ9)))&gt;0,"X",IF(BK9&gt;0,"?",""))),"")</f>
        <v/>
      </c>
      <c r="BN9" s="1368">
        <f>IF(9=9,IF($U9="","",SUMPRODUCT(--ISNUMBER(SEARCH(" "&amp;$CR$1879:$CR$1936&amp;" ",$BO9)))),"")</f>
        <v>0</v>
      </c>
      <c r="BO9" s="1368" t="str">
        <f>IF(9=9,IF($U9="","",SUBSTITUTE(SUBSTITUTE(SUBSTITUTE(SUBSTITUTE(SUBSTITUTE(SUBSTITUTE(SUBSTITUTE(SUBSTITUTE(SUBSTITUTE(SUBSTITUTE(SUBSTITUTE(SUBSTITUTE(SUBSTITUTE(SUBSTITUTE(SUBSTITUTE(SUBSTITUTE(SUBSTITUTE(SUBSTITUTE(SUBSTITUTE(SUBSTITUTE(SUBSTITUTE(SUBSTITUTE(SUBSTITUTE($AA9,"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aubergines </v>
      </c>
      <c r="BP9" s="1368">
        <f>IF(9=9,IF($U9="","",SUMPRODUCT(--ISNUMBER(SEARCH(" "&amp;$CR$1960:$CR$1976&amp;" ",$BO9)))),"")</f>
        <v>0</v>
      </c>
      <c r="BQ9" s="1368" t="str">
        <f>IF(9=9,IF($U9="","",IF(BN9&gt;0,"X",IF(BP9&gt;0,"?",""))),"")</f>
        <v/>
      </c>
      <c r="BR9" s="1368">
        <f>IF(9=9,IF($U9="","",SUMPRODUCT(--ISNUMBER(SEARCH(" "&amp;$CR$1977:$CR$1990&amp;" ",$AA9)))),"")</f>
        <v>0</v>
      </c>
      <c r="BS9" s="1368">
        <f>IF(9=9,IF($U9="","",SUMPRODUCT(--ISNUMBER(SEARCH(" "&amp;$CR$1991:$CR$2005&amp;" ",$AA9)))),"")</f>
        <v>0</v>
      </c>
      <c r="BT9" s="1368" t="str">
        <f>IF(9=9,IF($U9="","",IF((BR9)-(0)&gt;0,"X",IF((BS9)-(0)&gt;0,"?",""))),"")</f>
        <v/>
      </c>
      <c r="BU9" s="1368">
        <f>IF(9=9,IF($U9="","",SUMPRODUCT(--ISNUMBER(SEARCH(" "&amp;$CR$2006:$CR$2023&amp;" ",$AA9)))),"")</f>
        <v>0</v>
      </c>
      <c r="BV9" s="1368">
        <f>IF(9=9,IF($U9="","",SUMPRODUCT(--ISNUMBER(SEARCH(" "&amp;$CR$2024:$CR$2038&amp;" ",$AA9)))),"")</f>
        <v>0</v>
      </c>
      <c r="BW9" s="1368" t="str">
        <f>IF(9=9,IF($U9="","",IF((BU9)-(0)&gt;0,"X",IF((BV9)-(0)&gt;0,"?",""))),"")</f>
        <v/>
      </c>
      <c r="BX9" s="1368">
        <f>IF(9=9,IF($U9="","",SUMPRODUCT(--ISNUMBER(SEARCH(" "&amp;$CR$2039:$CR$2057&amp;" ",$AA9)))),"")</f>
        <v>0</v>
      </c>
      <c r="BY9" s="1368">
        <f>IF(9=9,IF($U9="","",SUMPRODUCT(--ISNUMBER(SEARCH(" "&amp;$CR$2058:$CR$2072&amp;" ",$AA9)))),"")</f>
        <v>0</v>
      </c>
      <c r="BZ9" s="1368" t="str">
        <f>IF(9=9,IF($U9="","",IF((BX9)-(0)&gt;0,"X",IF((BY9)-(0)&gt;0,"?",""))),"")</f>
        <v/>
      </c>
      <c r="CA9" s="1368">
        <f>IF(9=9,IF($U9="","",SUMPRODUCT(--ISNUMBER(SEARCH(" "&amp;$CR$2073:$CR$2093&amp;" ",$AA9)))),"")</f>
        <v>0</v>
      </c>
      <c r="CB9" s="1368">
        <f>IF(9=9,IF($U9="","",SUMPRODUCT(--ISNUMBER(SEARCH(" "&amp;$CR$2094:$CR$2133&amp;" ",SUBSTITUTE(SUBSTITUTE($AA9," "&amp;$CR$1367&amp;" "," ")," "&amp;$CR$1366&amp;" "," "))))+--ISNUMBER(SEARCH("poiré",$V9))),"")</f>
        <v>0</v>
      </c>
      <c r="CC9" s="1368" t="str">
        <f>IF(9=9,IF($U9="","",IF(OR(CA9&gt;0,ISNUMBER(SEARCH(" vinaigre de vin ",$AA9)),ISNUMBER(SEARCH(" vinaigre au vin ",$AA9))),"X",IF(CB9&gt;0,"?",""))),"")</f>
        <v/>
      </c>
      <c r="CD9" s="1368">
        <f>IF(9=9,IF($U9="","",SUMPRODUCT(--ISNUMBER(SEARCH(" "&amp;$CR$2134:$CR$2146&amp;" ",$AA9)))),"")</f>
        <v>0</v>
      </c>
      <c r="CE9" s="1368">
        <f>IF(9=9,IF($U9="","",SUMPRODUCT(--ISNUMBER(SEARCH(" "&amp;$CR$2147:$CR$2152&amp;" ",$AA9)))),"")</f>
        <v>0</v>
      </c>
      <c r="CF9" s="1368" t="str">
        <f>IF(9=9,IF($U9="","",IF((CD9)-(0)&gt;0,"X",IF((CE9)-(0)&gt;0,"?",""))),"")</f>
        <v/>
      </c>
      <c r="CG9" s="1368">
        <f>IF(9=9,IF($U9="","",SUMPRODUCT(--ISNUMBER(SEARCH(" "&amp;$CR$2153:$CR$2252&amp;" ",$CJ9)))),"")</f>
        <v>0</v>
      </c>
      <c r="CH9" s="1368">
        <f>IF(9=9,IF($U9="","",SUMPRODUCT(--ISNUMBER(SEARCH(" "&amp;$CR$2253:$CR$2352&amp;" ",$CJ9)))),"")</f>
        <v>0</v>
      </c>
      <c r="CI9" s="1368">
        <f>IF(9=9,IF($U9="","",SUMPRODUCT(--ISNUMBER(SEARCH(" "&amp;$CR$2353:$CR$2395&amp;" ",$CJ9)))),"")</f>
        <v>0</v>
      </c>
      <c r="CJ9" s="1368" t="str">
        <f>IF(9=9,IF($U9="","",SUBSTITUTE(SUBSTITUTE(SUBSTITUTE(SUBSTITUTE(SUBSTITUTE(SUBSTITUTE(SUBSTITUTE(SUBSTITUTE(SUBSTITUTE(SUBSTITUTE(SUBSTITUTE(SUBSTITUTE(SUBSTITUTE(SUBSTITUTE(SUBSTITUTE(SUBSTITUTE($AA9," "&amp;$CR$2401&amp;" "," ")," "&amp;$CR$2400&amp;" "," ")," "&amp;$CR$2399&amp;" "," ")," "&amp;$CR$2406&amp;" "," ")," "&amp;$CR$2398&amp;" "," ")," "&amp;$CR$2410&amp;" "," ")," "&amp;$CR$2397&amp;" "," ")," "&amp;$CR$2402&amp;" "," ")," "&amp;$CR$2405&amp;" "," ")," "&amp;$CR$2396&amp;" "," ")," "&amp;$CR$2404&amp;" "," ")," "&amp;$CR$2411&amp;" "," ")," "&amp;$CR$2408&amp;" "," ")," "&amp;$CR$2403&amp;" "," ")," "&amp;$CR$2407&amp;" "," ")," "&amp;$CR$2409&amp;" "," ")),"")</f>
        <v xml:space="preserve"> aubergines </v>
      </c>
      <c r="CK9" s="1368">
        <f>IF(9=9,IF($U9="","",SUMPRODUCT(--ISNUMBER(SEARCH(" "&amp;$CR$2412:$CR$2416&amp;" ",$CJ9)))),"")</f>
        <v>0</v>
      </c>
      <c r="CL9" s="1368" t="str">
        <f>IF(9=9,IF($U9="","",IF(SUM(CG9:CI9)&gt;0,"X",IF(CK9&gt;0,"?",""))),"")</f>
        <v/>
      </c>
      <c r="CM9" s="1377"/>
      <c r="CN9" s="1388" t="s">
        <v>8206</v>
      </c>
      <c r="CO9" s="1388" t="s">
        <v>8105</v>
      </c>
      <c r="CP9" s="1388" t="s">
        <v>8106</v>
      </c>
      <c r="CQ9" s="1388" t="s">
        <v>8207</v>
      </c>
      <c r="CR9" s="1388" t="s">
        <v>8208</v>
      </c>
      <c r="CS9" s="1388" t="s">
        <v>8108</v>
      </c>
      <c r="CT9" s="1388" t="s">
        <v>8109</v>
      </c>
      <c r="CU9" s="1388" t="s">
        <v>8110</v>
      </c>
      <c r="CV9" s="1389" t="s">
        <v>8111</v>
      </c>
      <c r="CX9" s="1379">
        <v>1</v>
      </c>
    </row>
    <row r="10" spans="1:102" ht="21" customHeight="1" x14ac:dyDescent="0.25">
      <c r="A10" s="1412">
        <v>4</v>
      </c>
      <c r="B10" s="1413" t="s">
        <v>8209</v>
      </c>
      <c r="C10" s="1414" t="str">
        <f t="shared" si="0"/>
        <v>Beurre *</v>
      </c>
      <c r="D10" s="1415" t="str">
        <f>IF(10=10,IF($B10="","",IF(E10="X",""&amp;"Céréales contenant du gluten","")&amp;IF(F10="X",IF(COUNTIF($E10:$E10,"X")&gt;0,", ","")&amp;"Crustacés","")&amp;IF(G10="X",IF(COUNTIF($E10:$F10,"X")&gt;0,", ","")&amp;"Œufs","")&amp;IF(H10="X",IF(COUNTIF($E10:$G10,"X")&gt;0,", ","")&amp;"Poissons","")&amp;IF(I10="X",IF(COUNTIF($E10:$H10,"X")&gt;0,", ","")&amp;"Arachides","")&amp;IF(J10="X",IF(COUNTIF($E10:$I10,"X")&gt;0,", ","")&amp;"Soja","")&amp;IF(K10="X",IF(COUNTIF($E10:$J10,"X")&gt;0,", ","")&amp;"Lait","")&amp;IF(L10="X",IF(COUNTIF($E10:$K10,"X")&gt;0,", ","")&amp;"Fruits à coque","")&amp;IF(M10="X",IF(COUNTIF($E10:$L10,"X")&gt;0,", ","")&amp;"Céleri","")&amp;IF(N10="X",IF(COUNTIF($E10:$M10,"X")&gt;0,", ","")&amp;"Moutarde","")&amp;IF(O10="X",IF(COUNTIF($E10:$N10,"X")&gt;0,", ","")&amp;"Sésame","")&amp;IF(P10="X",IF(COUNTIF($E10:$O10,"X")&gt;0,", ","")&amp;"Sulfites","")&amp;IF(Q10="X",IF(COUNTIF($E10:$P10,"X")&gt;0,", ","")&amp;"Lupin","")&amp;IF(R10="X",IF(COUNTIF($E10:$Q10,"X")&gt;0,", ","")&amp;"Mollusques","")),"")</f>
        <v>Lait</v>
      </c>
      <c r="E10" s="1416" t="str">
        <f>IF(10=10,IF($B10="","",AF10),"")</f>
        <v/>
      </c>
      <c r="F10" s="1416" t="str">
        <f>IF(10=10,IF($B10="","",AI10),"")</f>
        <v/>
      </c>
      <c r="G10" s="1416" t="str">
        <f>IF(10=10,IF($B10="","",AM10),"")</f>
        <v/>
      </c>
      <c r="H10" s="1416" t="str">
        <f>IF(10=10,IF($B10="","",IF(ISNUMBER(SEARCH(" colin ",$AA10)),"X",AZ10)),"")</f>
        <v/>
      </c>
      <c r="I10" s="1416" t="str">
        <f>IF(10=10,IF($B10="","",BB10),"")</f>
        <v/>
      </c>
      <c r="J10" s="1416" t="str">
        <f>IF(10=10,IF($B10="","",BF10),"")</f>
        <v/>
      </c>
      <c r="K10" s="1416" t="str">
        <f>IF(10=10,IF($B10="","",BM10),"")</f>
        <v>X</v>
      </c>
      <c r="L10" s="1416" t="str">
        <f>IF(10=10,IF($B10="","",BQ10),"")</f>
        <v/>
      </c>
      <c r="M10" s="1416" t="str">
        <f>IF(10=10,IF($B10="","",BT10),"")</f>
        <v/>
      </c>
      <c r="N10" s="1416" t="str">
        <f>IF(10=10,IF($B10="","",BW10),"")</f>
        <v/>
      </c>
      <c r="O10" s="1416" t="str">
        <f>IF(10=10,IF($B10="","",BZ10),"")</f>
        <v/>
      </c>
      <c r="P10" s="1416" t="str">
        <f>IF(10=10,IF($B10="","",CC10),"")</f>
        <v/>
      </c>
      <c r="Q10" s="1416" t="str">
        <f>IF(10=10,IF($B10="","",CF10),"")</f>
        <v/>
      </c>
      <c r="R10" s="1416" t="str">
        <f>IF(10=10,IF($B10="","",CL10),"")</f>
        <v/>
      </c>
      <c r="S10" s="1417" t="str">
        <f>IF(10=10,IF($B10="","",IF(E10="?",""&amp;"Céréales contenant du gluten","")&amp;IF(F10="?",IF(COUNTIF($E10:$E10,"~?")&gt;0,", ","")&amp;"Crustacés","")&amp;IF(G10="?",IF(COUNTIF($E10:$F10,"~?")&gt;0,", ","")&amp;"Œufs","")&amp;IF(H10="?",IF(COUNTIF($E10:$G10,"~?")&gt;0,", ","")&amp;"Poissons","")&amp;IF(I10="?",IF(COUNTIF($E10:$H10,"~?")&gt;0,", ","")&amp;"Arachides","")&amp;IF(J10="?",IF(COUNTIF($E10:$I10,"~?")&gt;0,", ","")&amp;"Soja","")&amp;IF(K10="?",IF(COUNTIF($E10:$J10,"~?")&gt;0,", ","")&amp;"Lait","")&amp;IF(L10="?",IF(COUNTIF($E10:$K10,"~?")&gt;0,", ","")&amp;"Fruits à coque","")&amp;IF(M10="?",IF(COUNTIF($E10:$L10,"~?")&gt;0,", ","")&amp;"Céleri","")&amp;IF(N10="?",IF(COUNTIF($E10:$M10,"~?")&gt;0,", ","")&amp;"Moutarde","")&amp;IF(O10="?",IF(COUNTIF($E10:$N10,"~?")&gt;0,", ","")&amp;"Sésame","")&amp;IF(P10="?",IF(COUNTIF($E10:$O10,"~?")&gt;0,", ","")&amp;"Sulfites","")&amp;IF(Q10="?",IF(COUNTIF($E10:$P10,"~?")&gt;0,", ","")&amp;"Lupin","")&amp;IF(R10="?",IF(COUNTIF($E10:$Q10,"~?")&gt;0,", ","")&amp;"Mollusques","")),"")</f>
        <v/>
      </c>
      <c r="U10" s="1368" t="str">
        <f>IF(10=10,IF($B10="","",$B10),"")</f>
        <v>Beurre</v>
      </c>
      <c r="V10" s="1368" t="str">
        <f>IF(10=10,LOWER(CLEAN(SUBSTITUTE(SUBSTITUTE(SUBSTITUTE(SUBSTITUTE($U10,CHAR(160)," ")," "," "),CHAR(10)," "),CHAR(13)," "))),"")</f>
        <v>beurre</v>
      </c>
      <c r="W10" s="1368" t="str">
        <f>IF(10=10,SUBSTITUTE(SUBSTITUTE(SUBSTITUTE(SUBSTITUTE(SUBSTITUTE(SUBSTITUTE(SUBSTITUTE(SUBSTITUTE(SUBSTITUTE(SUBSTITUTE(SUBSTITUTE(SUBSTITUTE($V10,"œ","oe"),"æ","ae"),"à","a"),"á","a"),"â","a"),"ä","a"),"ã","a"),"ç","c"),"è","e"),"é","e"),"ê","e"),"ë","e"),"")</f>
        <v>beurre</v>
      </c>
      <c r="X10" s="1368" t="str">
        <f>IF(10=10,SUBSTITUTE(SUBSTITUTE(SUBSTITUTE(SUBSTITUTE(SUBSTITUTE(SUBSTITUTE(SUBSTITUTE(SUBSTITUTE(SUBSTITUTE(SUBSTITUTE(SUBSTITUTE(SUBSTITUTE(SUBSTITUTE(SUBSTITUTE(SUBSTITUTE(SUBSTITUTE($W10,"ì","i"),"í","i"),"î","i"),"ï","i"),"ñ","n"),"ò","o"),"ó","o"),"ô","o"),"ö","o"),"õ","o"),"ù","u"),"ú","u"),"û","u"),"ü","u"),"ý","y"),"ÿ","y"),"")</f>
        <v>beurre</v>
      </c>
      <c r="Y10" s="1368" t="str">
        <f>IF(10=10,SUBSTITUTE(SUBSTITUTE(SUBSTITUTE(SUBSTITUTE(SUBSTITUTE(SUBSTITUTE(SUBSTITUTE(SUBSTITUTE(SUBSTITUTE(SUBSTITUTE(SUBSTITUTE(SUBSTITUTE(SUBSTITUTE(SUBSTITUTE($X10,"’"," "),"`"," "),"–"," "),"—"," "),"-"," "),"'"," "),"/"," "),"_"," "),","," "),"."," "),"("," "),")"," "),";"," "),":"," "),"")</f>
        <v>beurre</v>
      </c>
      <c r="Z10" s="1368" t="str">
        <f>IF(10=10,SUBSTITUTE(SUBSTITUTE(SUBSTITUTE(SUBSTITUTE(SUBSTITUTE(SUBSTITUTE(SUBSTITUTE(SUBSTITUTE(SUBSTITUTE(SUBSTITUTE(SUBSTITUTE(SUBSTITUTE(SUBSTITUTE(SUBSTITUTE(SUBSTITUTE($Y10,"!"," "),"?"," "),"+"," "),"*"," "),"&amp;"," "),"["," "),"]"," "),"{"," "),"}"," "),"%"," "),"="," "),"\"," "),"|"," "),"&lt;"," "),"&gt;"," "),"")</f>
        <v>beurre</v>
      </c>
      <c r="AA10" s="1368" t="str">
        <f>IF(10=10," "&amp;TRIM(SUBSTITUTE(SUBSTITUTE(SUBSTITUTE(SUBSTITUTE(SUBSTITUTE(SUBSTITUTE($Z10,CHAR(34)," "),"  "," "),"  "," "),"  "," "),"  "," "),"  "," "))&amp;" ","")</f>
        <v xml:space="preserve"> beurre </v>
      </c>
      <c r="AB10" s="1368">
        <f>IF(10=10,IF($U10="","",SUMPRODUCT(--ISNUMBER(SEARCH(" "&amp;$CR$2:$CR$101&amp;" ",$AD10)))),"")</f>
        <v>0</v>
      </c>
      <c r="AC10" s="1368">
        <f>IF(10=10,IF($U10="","",SUMPRODUCT(--ISNUMBER(SEARCH(" "&amp;$CR$102:$CR$151&amp;" ",$AD10)))),"")</f>
        <v>0</v>
      </c>
      <c r="AD10" s="1368" t="str">
        <f t="shared" si="1"/>
        <v xml:space="preserve"> beurre </v>
      </c>
      <c r="AE10" s="1368">
        <f t="shared" si="2"/>
        <v>0</v>
      </c>
      <c r="AF10" s="1368" t="str">
        <f>IF(10=10,IF($U10="","",IF(SUM(AB10:AC10)+SUMPRODUCT(--ISNUMBER(SEARCH(" "&amp;$CR$2418:$CR$2420&amp;" ",$AD10)))&gt;0,"X",IF(AE10&gt;0,"?",""))),"")</f>
        <v/>
      </c>
      <c r="AG10" s="1368">
        <f>IF(10=10,IF($U10="","",SUMPRODUCT(--ISNUMBER(SEARCH(" "&amp;$CR$206:$CR$305&amp;" ",$AA10)))),"")</f>
        <v>0</v>
      </c>
      <c r="AH10" s="1368">
        <f>IF(10=10,IF($U10="","",SUMPRODUCT(--ISNUMBER(SEARCH(" "&amp;$CR$306:$CR$340&amp;" ",$AA10)))),"")</f>
        <v>0</v>
      </c>
      <c r="AI10" s="1368" t="str">
        <f>IF(10=10,IF($U10="","",IF((SUM(AG10:AH10))-(0)&gt;0,"X",IF((0)-(0)&gt;0,"?",""))),"")</f>
        <v/>
      </c>
      <c r="AJ10" s="1368">
        <f>IF(10=10,IF($U10="","",SUMPRODUCT(--ISNUMBER(SEARCH(" "&amp;$CR$341:$CR$398&amp;" ",$AA10)))),"")</f>
        <v>0</v>
      </c>
      <c r="AK10" s="1368">
        <f>IF(10=10,IF($U10="","",SUMPRODUCT(--ISNUMBER(SEARCH(" "&amp;$CR$399:$CR$426&amp;" ",$AL10)))+SUMPRODUCT(--ISNUMBER(SEARCH(" "&amp;$CR$2440:$CR$2453&amp;" ",$AL10)))),"")</f>
        <v>0</v>
      </c>
      <c r="AL10" s="1368" t="str">
        <f>IF(10=10,IF($U10="","",SUBSTITUTE(SUBSTITUTE(SUBSTITUTE(SUBSTITUTE(SUBSTITUTE(SUBSTITUTE(SUBSTITUTE(SUBSTITUTE(SUBSTITUTE(SUBSTITUTE(SUBSTITUTE(SUBSTITUTE(SUBSTITUTE(SUBSTITUTE($AA10," "&amp;$CR$2455&amp;" "," ")," "&amp;$CR$433&amp;" "," ")," "&amp;$CR$431&amp;" "," ")," "&amp;$CR$2438&amp;" "," ")," "&amp;$CR$2439&amp;" "," ")," "&amp;$CR$428&amp;" "," ")," "&amp;$CR$432&amp;" "," ")," "&amp;$CR$434&amp;" "," ")," "&amp;$CR$429&amp;" "," ")," "&amp;$CR$427&amp;" "," ")," "&amp;$CR$1367&amp;" "," ")," "&amp;$CR$435&amp;" "," ")," "&amp;$CR$1366&amp;" "," ")," "&amp;$CR$430&amp;" "," ")),"")</f>
        <v xml:space="preserve"> beurre </v>
      </c>
      <c r="AM10" s="1368" t="str">
        <f>IF(10=10,IF($U10="","",IF(AJ10&gt;0,"X",IF(AK10&gt;0,"?",""))),"")</f>
        <v/>
      </c>
      <c r="AN10" s="1368">
        <f>IF(10=10,IF($U10="","",SUMPRODUCT(--ISNUMBER(SEARCH(" "&amp;$CR$436:$CR$535&amp;" ",$AX10)))),"")</f>
        <v>0</v>
      </c>
      <c r="AO10" s="1368">
        <f>IF(10=10,IF($U10="","",SUMPRODUCT(--ISNUMBER(SEARCH(" "&amp;$CR$536:$CR$635&amp;" ",$AX10)))),"")</f>
        <v>0</v>
      </c>
      <c r="AP10" s="1368">
        <f>IF(10=10,IF($U10="","",SUMPRODUCT(--ISNUMBER(SEARCH(" "&amp;$CR$636:$CR$735&amp;" ",$AX10)))),"")</f>
        <v>0</v>
      </c>
      <c r="AQ10" s="1368">
        <f>IF(10=10,IF($U10="","",SUMPRODUCT(--ISNUMBER(SEARCH(" "&amp;$CR$736:$CR$835&amp;" ",$AX10)))),"")</f>
        <v>0</v>
      </c>
      <c r="AR10" s="1368">
        <f>IF(10=10,IF($U10="","",SUMPRODUCT(--ISNUMBER(SEARCH(" "&amp;$CR$836:$CR$935&amp;" ",$AX10)))),"")</f>
        <v>0</v>
      </c>
      <c r="AS10" s="1368">
        <f>IF(10=10,IF($U10="","",SUMPRODUCT(--ISNUMBER(SEARCH(" "&amp;$CR$936:$CR$1035&amp;" ",$AX10)))),"")</f>
        <v>0</v>
      </c>
      <c r="AT10" s="1368">
        <f>IF(10=10,IF($U10="","",SUMPRODUCT(--ISNUMBER(SEARCH(" "&amp;$CR$1036:$CR$1135&amp;" ",$AX10)))),"")</f>
        <v>0</v>
      </c>
      <c r="AU10" s="1368">
        <f>IF(10=10,IF($U10="","",SUMPRODUCT(--ISNUMBER(SEARCH(" "&amp;$CR$1136:$CR$1235&amp;" ",$AX10)))),"")</f>
        <v>0</v>
      </c>
      <c r="AV10" s="1368">
        <f>IF(10=10,IF($U10="","",SUMPRODUCT(--ISNUMBER(SEARCH(" "&amp;$CR$1236:$CR$1335&amp;" ",$AX10)))),"")</f>
        <v>0</v>
      </c>
      <c r="AW10" s="1368">
        <f>IF(10=10,IF($U10="","",SUMPRODUCT(--ISNUMBER(SEARCH(" "&amp;$CR$1336:$CR$1363&amp;" ",$AX10)))),"")</f>
        <v>0</v>
      </c>
      <c r="AX10" s="1368" t="str">
        <f>IF(10=10,IF($U10="","",SUBSTITUTE(SUBSTITUTE(SUBSTITUTE(SUBSTITUTE(SUBSTITUTE(SUBSTITUTE(SUBSTITUTE(SUBSTITUTE(SUBSTITUTE($AA10," "&amp;$CR$1365&amp;" "," ")," "&amp;$CR$1364&amp;" "," ")," "&amp;$CR$1370&amp;" "," ")," "&amp;$CR$1371&amp;" "," ")," "&amp;$CR$1367&amp;" "," ")," "&amp;$CR$1369&amp;" "," ")," "&amp;$CR$1366&amp;" "," ")," "&amp;$CR$1368&amp;" "," ")," "&amp;$CR$1372&amp;" "," ")),"")</f>
        <v xml:space="preserve"> beurre </v>
      </c>
      <c r="AY10" s="1368">
        <f>IF(10=10,IF($U10="","",SUMPRODUCT(--ISNUMBER(SEARCH(" "&amp;$CR$1373:$CR$1383&amp;" ",$AX10)))),"")</f>
        <v>0</v>
      </c>
      <c r="AZ10" s="1368" t="str">
        <f>IF(10=10,IF($U10="","",IF(SUM(AN10:AW10)+SUMPRODUCT(--ISNUMBER(SEARCH(" "&amp;$CR$2421:$CR$2422&amp;" ",$AX10)))&gt;0,"X",IF(AY10&gt;0,"?",""))),"")</f>
        <v/>
      </c>
      <c r="BA10" s="1368">
        <f>IF(10=10,IF($U10="","",SUMPRODUCT(--ISNUMBER(SEARCH(" "&amp;$CR$1384:$CR$1404&amp;" ",$AA10)))),"")</f>
        <v>0</v>
      </c>
      <c r="BB10" s="1368" t="str">
        <f>IF(10=10,IF($U10="","",IF((BA10)-(0)&gt;0,"X",IF((0)-(0)&gt;0,"?",""))),"")</f>
        <v/>
      </c>
      <c r="BC10" s="1368">
        <f>IF(10=10,IF($U10="","",SUMPRODUCT(--ISNUMBER(SEARCH(" "&amp;$CR$1405:$CR$1442&amp;" ",$BD10)))),"")</f>
        <v>0</v>
      </c>
      <c r="BD10" s="1368" t="str">
        <f>IF(10=10,IF($U10="","",SUBSTITUTE(SUBSTITUTE($AA10," "&amp;$CR$1443&amp;" "," ")," "&amp;$CR$1444&amp;" "," ")),"")</f>
        <v xml:space="preserve"> beurre </v>
      </c>
      <c r="BE10" s="1368">
        <f>IF(10=10,IF($U10="","",SUMPRODUCT(--ISNUMBER(SEARCH(" "&amp;$CR$1445:$CR$1455&amp;" ",$BD10)))),"")</f>
        <v>0</v>
      </c>
      <c r="BF10" s="1368" t="str">
        <f>IF(10=10,IF($U10="","",IF(BC10&gt;0,"X",IF(BE10&gt;0,"?",""))),"")</f>
        <v/>
      </c>
      <c r="BG10" s="1368">
        <f>IF(10=10,IF($U10="","",SUMPRODUCT(--ISNUMBER(SEARCH(" "&amp;$CR$1456:$CR$1555&amp;" ",$BJ10)))),"")</f>
        <v>1</v>
      </c>
      <c r="BH10" s="1368">
        <f>IF(10=10,IF($U10="","",SUMPRODUCT(--ISNUMBER(SEARCH(" "&amp;$CR$1556:$CR$1655&amp;" ",$BJ10)))),"")</f>
        <v>0</v>
      </c>
      <c r="BI10" s="1368">
        <f>IF(10=10,IF($U10="","",SUMPRODUCT(--ISNUMBER(SEARCH(" "&amp;$CR$1656:$CR$1739&amp;" ",$BJ10)))),"")</f>
        <v>0</v>
      </c>
      <c r="BJ10" s="1368" t="str">
        <f>IF(10=10,IF($U10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beurre </v>
      </c>
      <c r="BK10" s="1368">
        <f>IF(10=10,IF($U10="","",SUMPRODUCT(--ISNUMBER(SEARCH(" "&amp;$CR$1790:$CR$1869&amp;" ",$BL10)))+SUMPRODUCT(--ISNUMBER(SEARCH(" "&amp;$CR$2440:$CR$2453&amp;" ",$BL10)))),"")</f>
        <v>0</v>
      </c>
      <c r="BL10" s="1368" t="str">
        <f>IF(10=10,IF($U10="","",SUBSTITUTE(SUBSTITUTE(SUBSTITUTE(SUBSTITUTE(SUBSTITUTE(SUBSTITUTE(SUBSTITUTE(SUBSTITUTE(SUBSTITUTE(SUBSTITUTE(SUBSTITUTE(SUBSTITUTE(SUBSTITUTE($BJ10," "&amp;$CR$1876&amp;" "," ")," "&amp;$CR$1874&amp;" "," ")," "&amp;$CR$2438&amp;" "," ")," "&amp;$CR$2439&amp;" "," ")," "&amp;$CR$1871&amp;" "," ")," "&amp;$CR$1875&amp;" "," ")," "&amp;$CR$1877&amp;" "," ")," "&amp;$CR$1872&amp;" "," ")," "&amp;$CR$1870&amp;" "," ")," "&amp;$CR$1367&amp;" "," ")," "&amp;$CR$1878&amp;" "," ")," "&amp;$CR$1366&amp;" "," ")," "&amp;$CR$1873&amp;" "," ")),"")</f>
        <v xml:space="preserve"> beurre </v>
      </c>
      <c r="BM10" s="1368" t="str">
        <f>IF(10=10,IF($U10="","",IF(SUM(BG10:BI10)+SUMPRODUCT(--ISNUMBER(SEARCH(" "&amp;$CR$2423:$CR$2424&amp;" ",$BJ10)))&gt;0,"X",IF(BK10&gt;0,"?",""))),"")</f>
        <v>X</v>
      </c>
      <c r="BN10" s="1368">
        <f>IF(10=10,IF($U10="","",SUMPRODUCT(--ISNUMBER(SEARCH(" "&amp;$CR$1879:$CR$1936&amp;" ",$BO10)))),"")</f>
        <v>0</v>
      </c>
      <c r="BO10" s="1368" t="str">
        <f>IF(10=10,IF($U10="","",SUBSTITUTE(SUBSTITUTE(SUBSTITUTE(SUBSTITUTE(SUBSTITUTE(SUBSTITUTE(SUBSTITUTE(SUBSTITUTE(SUBSTITUTE(SUBSTITUTE(SUBSTITUTE(SUBSTITUTE(SUBSTITUTE(SUBSTITUTE(SUBSTITUTE(SUBSTITUTE(SUBSTITUTE(SUBSTITUTE(SUBSTITUTE(SUBSTITUTE(SUBSTITUTE(SUBSTITUTE(SUBSTITUTE($AA10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beurre </v>
      </c>
      <c r="BP10" s="1368">
        <f>IF(10=10,IF($U10="","",SUMPRODUCT(--ISNUMBER(SEARCH(" "&amp;$CR$1960:$CR$1976&amp;" ",$BO10)))),"")</f>
        <v>0</v>
      </c>
      <c r="BQ10" s="1368" t="str">
        <f>IF(10=10,IF($U10="","",IF(BN10&gt;0,"X",IF(BP10&gt;0,"?",""))),"")</f>
        <v/>
      </c>
      <c r="BR10" s="1368">
        <f>IF(10=10,IF($U10="","",SUMPRODUCT(--ISNUMBER(SEARCH(" "&amp;$CR$1977:$CR$1990&amp;" ",$AA10)))),"")</f>
        <v>0</v>
      </c>
      <c r="BS10" s="1368">
        <f>IF(10=10,IF($U10="","",SUMPRODUCT(--ISNUMBER(SEARCH(" "&amp;$CR$1991:$CR$2005&amp;" ",$AA10)))),"")</f>
        <v>0</v>
      </c>
      <c r="BT10" s="1368" t="str">
        <f>IF(10=10,IF($U10="","",IF((BR10)-(0)&gt;0,"X",IF((BS10)-(0)&gt;0,"?",""))),"")</f>
        <v/>
      </c>
      <c r="BU10" s="1368">
        <f>IF(10=10,IF($U10="","",SUMPRODUCT(--ISNUMBER(SEARCH(" "&amp;$CR$2006:$CR$2023&amp;" ",$AA10)))),"")</f>
        <v>0</v>
      </c>
      <c r="BV10" s="1368">
        <f>IF(10=10,IF($U10="","",SUMPRODUCT(--ISNUMBER(SEARCH(" "&amp;$CR$2024:$CR$2038&amp;" ",$AA10)))),"")</f>
        <v>0</v>
      </c>
      <c r="BW10" s="1368" t="str">
        <f>IF(10=10,IF($U10="","",IF((BU10)-(0)&gt;0,"X",IF((BV10)-(0)&gt;0,"?",""))),"")</f>
        <v/>
      </c>
      <c r="BX10" s="1368">
        <f>IF(10=10,IF($U10="","",SUMPRODUCT(--ISNUMBER(SEARCH(" "&amp;$CR$2039:$CR$2057&amp;" ",$AA10)))),"")</f>
        <v>0</v>
      </c>
      <c r="BY10" s="1368">
        <f>IF(10=10,IF($U10="","",SUMPRODUCT(--ISNUMBER(SEARCH(" "&amp;$CR$2058:$CR$2072&amp;" ",$AA10)))),"")</f>
        <v>0</v>
      </c>
      <c r="BZ10" s="1368" t="str">
        <f>IF(10=10,IF($U10="","",IF((BX10)-(0)&gt;0,"X",IF((BY10)-(0)&gt;0,"?",""))),"")</f>
        <v/>
      </c>
      <c r="CA10" s="1368">
        <f>IF(10=10,IF($U10="","",SUMPRODUCT(--ISNUMBER(SEARCH(" "&amp;$CR$2073:$CR$2093&amp;" ",$AA10)))),"")</f>
        <v>0</v>
      </c>
      <c r="CB10" s="1368">
        <f>IF(10=10,IF($U10="","",SUMPRODUCT(--ISNUMBER(SEARCH(" "&amp;$CR$2094:$CR$2133&amp;" ",SUBSTITUTE(SUBSTITUTE($AA10," "&amp;$CR$1367&amp;" "," ")," "&amp;$CR$1366&amp;" "," "))))+--ISNUMBER(SEARCH("poiré",$V10))),"")</f>
        <v>0</v>
      </c>
      <c r="CC10" s="1368" t="str">
        <f>IF(10=10,IF($U10="","",IF(OR(CA10&gt;0,ISNUMBER(SEARCH(" vinaigre de vin ",$AA10)),ISNUMBER(SEARCH(" vinaigre au vin ",$AA10))),"X",IF(CB10&gt;0,"?",""))),"")</f>
        <v/>
      </c>
      <c r="CD10" s="1368">
        <f>IF(10=10,IF($U10="","",SUMPRODUCT(--ISNUMBER(SEARCH(" "&amp;$CR$2134:$CR$2146&amp;" ",$AA10)))),"")</f>
        <v>0</v>
      </c>
      <c r="CE10" s="1368">
        <f>IF(10=10,IF($U10="","",SUMPRODUCT(--ISNUMBER(SEARCH(" "&amp;$CR$2147:$CR$2152&amp;" ",$AA10)))),"")</f>
        <v>0</v>
      </c>
      <c r="CF10" s="1368" t="str">
        <f>IF(10=10,IF($U10="","",IF((CD10)-(0)&gt;0,"X",IF((CE10)-(0)&gt;0,"?",""))),"")</f>
        <v/>
      </c>
      <c r="CG10" s="1368">
        <f>IF(10=10,IF($U10="","",SUMPRODUCT(--ISNUMBER(SEARCH(" "&amp;$CR$2153:$CR$2252&amp;" ",$CJ10)))),"")</f>
        <v>0</v>
      </c>
      <c r="CH10" s="1368">
        <f>IF(10=10,IF($U10="","",SUMPRODUCT(--ISNUMBER(SEARCH(" "&amp;$CR$2253:$CR$2352&amp;" ",$CJ10)))),"")</f>
        <v>0</v>
      </c>
      <c r="CI10" s="1368">
        <f>IF(10=10,IF($U10="","",SUMPRODUCT(--ISNUMBER(SEARCH(" "&amp;$CR$2353:$CR$2395&amp;" ",$CJ10)))),"")</f>
        <v>0</v>
      </c>
      <c r="CJ10" s="1368" t="str">
        <f>IF(10=10,IF($U10="","",SUBSTITUTE(SUBSTITUTE(SUBSTITUTE(SUBSTITUTE(SUBSTITUTE(SUBSTITUTE(SUBSTITUTE(SUBSTITUTE(SUBSTITUTE(SUBSTITUTE(SUBSTITUTE(SUBSTITUTE(SUBSTITUTE(SUBSTITUTE(SUBSTITUTE(SUBSTITUTE($AA10," "&amp;$CR$2401&amp;" "," ")," "&amp;$CR$2400&amp;" "," ")," "&amp;$CR$2399&amp;" "," ")," "&amp;$CR$2406&amp;" "," ")," "&amp;$CR$2398&amp;" "," ")," "&amp;$CR$2410&amp;" "," ")," "&amp;$CR$2397&amp;" "," ")," "&amp;$CR$2402&amp;" "," ")," "&amp;$CR$2405&amp;" "," ")," "&amp;$CR$2396&amp;" "," ")," "&amp;$CR$2404&amp;" "," ")," "&amp;$CR$2411&amp;" "," ")," "&amp;$CR$2408&amp;" "," ")," "&amp;$CR$2403&amp;" "," ")," "&amp;$CR$2407&amp;" "," ")," "&amp;$CR$2409&amp;" "," ")),"")</f>
        <v xml:space="preserve"> beurre </v>
      </c>
      <c r="CK10" s="1368">
        <f>IF(10=10,IF($U10="","",SUMPRODUCT(--ISNUMBER(SEARCH(" "&amp;$CR$2412:$CR$2416&amp;" ",$CJ10)))),"")</f>
        <v>0</v>
      </c>
      <c r="CL10" s="1368" t="str">
        <f>IF(10=10,IF($U10="","",IF(SUM(CG10:CI10)&gt;0,"X",IF(CK10&gt;0,"?",""))),"")</f>
        <v/>
      </c>
      <c r="CM10" s="1377"/>
      <c r="CN10" s="1388" t="s">
        <v>8210</v>
      </c>
      <c r="CO10" s="1388" t="s">
        <v>8105</v>
      </c>
      <c r="CP10" s="1388" t="s">
        <v>8106</v>
      </c>
      <c r="CQ10" s="1388" t="s">
        <v>8211</v>
      </c>
      <c r="CR10" s="1388" t="s">
        <v>8212</v>
      </c>
      <c r="CS10" s="1388" t="s">
        <v>8108</v>
      </c>
      <c r="CT10" s="1388" t="s">
        <v>8109</v>
      </c>
      <c r="CU10" s="1388" t="s">
        <v>8110</v>
      </c>
      <c r="CV10" s="1389" t="s">
        <v>8111</v>
      </c>
      <c r="CX10" s="1379">
        <v>1</v>
      </c>
    </row>
    <row r="11" spans="1:102" ht="21" customHeight="1" x14ac:dyDescent="0.25">
      <c r="A11" s="1412">
        <v>5</v>
      </c>
      <c r="B11" s="1413" t="s">
        <v>8213</v>
      </c>
      <c r="C11" s="1414" t="str">
        <f t="shared" si="0"/>
        <v>Bouillon de volaille</v>
      </c>
      <c r="D11" s="1415" t="str">
        <f>IF(11=11,IF($B11="","",IF(E11="X",""&amp;"Céréales contenant du gluten","")&amp;IF(F11="X",IF(COUNTIF($E11:$E11,"X")&gt;0,", ","")&amp;"Crustacés","")&amp;IF(G11="X",IF(COUNTIF($E11:$F11,"X")&gt;0,", ","")&amp;"Œufs","")&amp;IF(H11="X",IF(COUNTIF($E11:$G11,"X")&gt;0,", ","")&amp;"Poissons","")&amp;IF(I11="X",IF(COUNTIF($E11:$H11,"X")&gt;0,", ","")&amp;"Arachides","")&amp;IF(J11="X",IF(COUNTIF($E11:$I11,"X")&gt;0,", ","")&amp;"Soja","")&amp;IF(K11="X",IF(COUNTIF($E11:$J11,"X")&gt;0,", ","")&amp;"Lait","")&amp;IF(L11="X",IF(COUNTIF($E11:$K11,"X")&gt;0,", ","")&amp;"Fruits à coque","")&amp;IF(M11="X",IF(COUNTIF($E11:$L11,"X")&gt;0,", ","")&amp;"Céleri","")&amp;IF(N11="X",IF(COUNTIF($E11:$M11,"X")&gt;0,", ","")&amp;"Moutarde","")&amp;IF(O11="X",IF(COUNTIF($E11:$N11,"X")&gt;0,", ","")&amp;"Sésame","")&amp;IF(P11="X",IF(COUNTIF($E11:$O11,"X")&gt;0,", ","")&amp;"Sulfites","")&amp;IF(Q11="X",IF(COUNTIF($E11:$P11,"X")&gt;0,", ","")&amp;"Lupin","")&amp;IF(R11="X",IF(COUNTIF($E11:$Q11,"X")&gt;0,", ","")&amp;"Mollusques","")),"")</f>
        <v/>
      </c>
      <c r="E11" s="1416" t="str">
        <f>IF(11=11,IF($B11="","",AF11),"")</f>
        <v/>
      </c>
      <c r="F11" s="1416" t="str">
        <f>IF(11=11,IF($B11="","",AI11),"")</f>
        <v/>
      </c>
      <c r="G11" s="1416" t="str">
        <f>IF(11=11,IF($B11="","",AM11),"")</f>
        <v/>
      </c>
      <c r="H11" s="1416" t="str">
        <f>IF(11=11,IF($B11="","",IF(ISNUMBER(SEARCH(" colin ",$AA11)),"X",AZ11)),"")</f>
        <v/>
      </c>
      <c r="I11" s="1416" t="str">
        <f>IF(11=11,IF($B11="","",BB11),"")</f>
        <v/>
      </c>
      <c r="J11" s="1416" t="str">
        <f>IF(11=11,IF($B11="","",BF11),"")</f>
        <v/>
      </c>
      <c r="K11" s="1416" t="str">
        <f>IF(11=11,IF($B11="","",BM11),"")</f>
        <v/>
      </c>
      <c r="L11" s="1416" t="str">
        <f>IF(11=11,IF($B11="","",BQ11),"")</f>
        <v/>
      </c>
      <c r="M11" s="1416" t="str">
        <f>IF(11=11,IF($B11="","",BT11),"")</f>
        <v/>
      </c>
      <c r="N11" s="1416" t="str">
        <f>IF(11=11,IF($B11="","",BW11),"")</f>
        <v/>
      </c>
      <c r="O11" s="1416" t="str">
        <f>IF(11=11,IF($B11="","",BZ11),"")</f>
        <v/>
      </c>
      <c r="P11" s="1416" t="str">
        <f>IF(11=11,IF($B11="","",CC11),"")</f>
        <v/>
      </c>
      <c r="Q11" s="1416" t="str">
        <f>IF(11=11,IF($B11="","",CF11),"")</f>
        <v/>
      </c>
      <c r="R11" s="1416" t="str">
        <f>IF(11=11,IF($B11="","",CL11),"")</f>
        <v/>
      </c>
      <c r="S11" s="1417" t="str">
        <f>IF(11=11,IF($B11="","",IF(E11="?",""&amp;"Céréales contenant du gluten","")&amp;IF(F11="?",IF(COUNTIF($E11:$E11,"~?")&gt;0,", ","")&amp;"Crustacés","")&amp;IF(G11="?",IF(COUNTIF($E11:$F11,"~?")&gt;0,", ","")&amp;"Œufs","")&amp;IF(H11="?",IF(COUNTIF($E11:$G11,"~?")&gt;0,", ","")&amp;"Poissons","")&amp;IF(I11="?",IF(COUNTIF($E11:$H11,"~?")&gt;0,", ","")&amp;"Arachides","")&amp;IF(J11="?",IF(COUNTIF($E11:$I11,"~?")&gt;0,", ","")&amp;"Soja","")&amp;IF(K11="?",IF(COUNTIF($E11:$J11,"~?")&gt;0,", ","")&amp;"Lait","")&amp;IF(L11="?",IF(COUNTIF($E11:$K11,"~?")&gt;0,", ","")&amp;"Fruits à coque","")&amp;IF(M11="?",IF(COUNTIF($E11:$L11,"~?")&gt;0,", ","")&amp;"Céleri","")&amp;IF(N11="?",IF(COUNTIF($E11:$M11,"~?")&gt;0,", ","")&amp;"Moutarde","")&amp;IF(O11="?",IF(COUNTIF($E11:$N11,"~?")&gt;0,", ","")&amp;"Sésame","")&amp;IF(P11="?",IF(COUNTIF($E11:$O11,"~?")&gt;0,", ","")&amp;"Sulfites","")&amp;IF(Q11="?",IF(COUNTIF($E11:$P11,"~?")&gt;0,", ","")&amp;"Lupin","")&amp;IF(R11="?",IF(COUNTIF($E11:$Q11,"~?")&gt;0,", ","")&amp;"Mollusques","")),"")</f>
        <v/>
      </c>
      <c r="U11" s="1368" t="str">
        <f>IF(11=11,IF($B11="","",$B11),"")</f>
        <v>Bouillon de volaille</v>
      </c>
      <c r="V11" s="1368" t="str">
        <f>IF(11=11,LOWER(CLEAN(SUBSTITUTE(SUBSTITUTE(SUBSTITUTE(SUBSTITUTE($U11,CHAR(160)," ")," "," "),CHAR(10)," "),CHAR(13)," "))),"")</f>
        <v>bouillon de volaille</v>
      </c>
      <c r="W11" s="1368" t="str">
        <f>IF(11=11,SUBSTITUTE(SUBSTITUTE(SUBSTITUTE(SUBSTITUTE(SUBSTITUTE(SUBSTITUTE(SUBSTITUTE(SUBSTITUTE(SUBSTITUTE(SUBSTITUTE(SUBSTITUTE(SUBSTITUTE($V11,"œ","oe"),"æ","ae"),"à","a"),"á","a"),"â","a"),"ä","a"),"ã","a"),"ç","c"),"è","e"),"é","e"),"ê","e"),"ë","e"),"")</f>
        <v>bouillon de volaille</v>
      </c>
      <c r="X11" s="1368" t="str">
        <f>IF(11=11,SUBSTITUTE(SUBSTITUTE(SUBSTITUTE(SUBSTITUTE(SUBSTITUTE(SUBSTITUTE(SUBSTITUTE(SUBSTITUTE(SUBSTITUTE(SUBSTITUTE(SUBSTITUTE(SUBSTITUTE(SUBSTITUTE(SUBSTITUTE(SUBSTITUTE(SUBSTITUTE($W11,"ì","i"),"í","i"),"î","i"),"ï","i"),"ñ","n"),"ò","o"),"ó","o"),"ô","o"),"ö","o"),"õ","o"),"ù","u"),"ú","u"),"û","u"),"ü","u"),"ý","y"),"ÿ","y"),"")</f>
        <v>bouillon de volaille</v>
      </c>
      <c r="Y11" s="1368" t="str">
        <f>IF(11=11,SUBSTITUTE(SUBSTITUTE(SUBSTITUTE(SUBSTITUTE(SUBSTITUTE(SUBSTITUTE(SUBSTITUTE(SUBSTITUTE(SUBSTITUTE(SUBSTITUTE(SUBSTITUTE(SUBSTITUTE(SUBSTITUTE(SUBSTITUTE($X11,"’"," "),"`"," "),"–"," "),"—"," "),"-"," "),"'"," "),"/"," "),"_"," "),","," "),"."," "),"("," "),")"," "),";"," "),":"," "),"")</f>
        <v>bouillon de volaille</v>
      </c>
      <c r="Z11" s="1368" t="str">
        <f>IF(11=11,SUBSTITUTE(SUBSTITUTE(SUBSTITUTE(SUBSTITUTE(SUBSTITUTE(SUBSTITUTE(SUBSTITUTE(SUBSTITUTE(SUBSTITUTE(SUBSTITUTE(SUBSTITUTE(SUBSTITUTE(SUBSTITUTE(SUBSTITUTE(SUBSTITUTE($Y11,"!"," "),"?"," "),"+"," "),"*"," "),"&amp;"," "),"["," "),"]"," "),"{"," "),"}"," "),"%"," "),"="," "),"\"," "),"|"," "),"&lt;"," "),"&gt;"," "),"")</f>
        <v>bouillon de volaille</v>
      </c>
      <c r="AA11" s="1368" t="str">
        <f>IF(11=11," "&amp;TRIM(SUBSTITUTE(SUBSTITUTE(SUBSTITUTE(SUBSTITUTE(SUBSTITUTE(SUBSTITUTE($Z11,CHAR(34)," "),"  "," "),"  "," "),"  "," "),"  "," "),"  "," "))&amp;" ","")</f>
        <v xml:space="preserve"> bouillon de volaille </v>
      </c>
      <c r="AB11" s="1368">
        <f>IF(11=11,IF($U11="","",SUMPRODUCT(--ISNUMBER(SEARCH(" "&amp;$CR$2:$CR$101&amp;" ",$AD11)))),"")</f>
        <v>0</v>
      </c>
      <c r="AC11" s="1368">
        <f>IF(11=11,IF($U11="","",SUMPRODUCT(--ISNUMBER(SEARCH(" "&amp;$CR$102:$CR$151&amp;" ",$AD11)))),"")</f>
        <v>0</v>
      </c>
      <c r="AD11" s="1368" t="str">
        <f t="shared" si="1"/>
        <v xml:space="preserve"> bouillon de volaille </v>
      </c>
      <c r="AE11" s="1368">
        <f t="shared" si="2"/>
        <v>0</v>
      </c>
      <c r="AF11" s="1368" t="str">
        <f>IF(11=11,IF($U11="","",IF(SUM(AB11:AC11)+SUMPRODUCT(--ISNUMBER(SEARCH(" "&amp;$CR$2418:$CR$2420&amp;" ",$AD11)))&gt;0,"X",IF(AE11&gt;0,"?",""))),"")</f>
        <v/>
      </c>
      <c r="AG11" s="1368">
        <f>IF(11=11,IF($U11="","",SUMPRODUCT(--ISNUMBER(SEARCH(" "&amp;$CR$206:$CR$305&amp;" ",$AA11)))),"")</f>
        <v>0</v>
      </c>
      <c r="AH11" s="1368">
        <f>IF(11=11,IF($U11="","",SUMPRODUCT(--ISNUMBER(SEARCH(" "&amp;$CR$306:$CR$340&amp;" ",$AA11)))),"")</f>
        <v>0</v>
      </c>
      <c r="AI11" s="1368" t="str">
        <f>IF(11=11,IF($U11="","",IF((SUM(AG11:AH11))-(0)&gt;0,"X",IF((0)-(0)&gt;0,"?",""))),"")</f>
        <v/>
      </c>
      <c r="AJ11" s="1368">
        <f>IF(11=11,IF($U11="","",SUMPRODUCT(--ISNUMBER(SEARCH(" "&amp;$CR$341:$CR$398&amp;" ",$AA11)))),"")</f>
        <v>0</v>
      </c>
      <c r="AK11" s="1368">
        <f>IF(11=11,IF($U11="","",SUMPRODUCT(--ISNUMBER(SEARCH(" "&amp;$CR$399:$CR$426&amp;" ",$AL11)))+SUMPRODUCT(--ISNUMBER(SEARCH(" "&amp;$CR$2440:$CR$2453&amp;" ",$AL11)))),"")</f>
        <v>0</v>
      </c>
      <c r="AL11" s="1368" t="str">
        <f>IF(11=11,IF($U11="","",SUBSTITUTE(SUBSTITUTE(SUBSTITUTE(SUBSTITUTE(SUBSTITUTE(SUBSTITUTE(SUBSTITUTE(SUBSTITUTE(SUBSTITUTE(SUBSTITUTE(SUBSTITUTE(SUBSTITUTE(SUBSTITUTE(SUBSTITUTE($AA11," "&amp;$CR$2455&amp;" "," ")," "&amp;$CR$433&amp;" "," ")," "&amp;$CR$431&amp;" "," ")," "&amp;$CR$2438&amp;" "," ")," "&amp;$CR$2439&amp;" "," ")," "&amp;$CR$428&amp;" "," ")," "&amp;$CR$432&amp;" "," ")," "&amp;$CR$434&amp;" "," ")," "&amp;$CR$429&amp;" "," ")," "&amp;$CR$427&amp;" "," ")," "&amp;$CR$1367&amp;" "," ")," "&amp;$CR$435&amp;" "," ")," "&amp;$CR$1366&amp;" "," ")," "&amp;$CR$430&amp;" "," ")),"")</f>
        <v xml:space="preserve"> bouillon de volaille </v>
      </c>
      <c r="AM11" s="1368" t="str">
        <f>IF(11=11,IF($U11="","",IF(AJ11&gt;0,"X",IF(AK11&gt;0,"?",""))),"")</f>
        <v/>
      </c>
      <c r="AN11" s="1368">
        <f>IF(11=11,IF($U11="","",SUMPRODUCT(--ISNUMBER(SEARCH(" "&amp;$CR$436:$CR$535&amp;" ",$AX11)))),"")</f>
        <v>0</v>
      </c>
      <c r="AO11" s="1368">
        <f>IF(11=11,IF($U11="","",SUMPRODUCT(--ISNUMBER(SEARCH(" "&amp;$CR$536:$CR$635&amp;" ",$AX11)))),"")</f>
        <v>0</v>
      </c>
      <c r="AP11" s="1368">
        <f>IF(11=11,IF($U11="","",SUMPRODUCT(--ISNUMBER(SEARCH(" "&amp;$CR$636:$CR$735&amp;" ",$AX11)))),"")</f>
        <v>0</v>
      </c>
      <c r="AQ11" s="1368">
        <f>IF(11=11,IF($U11="","",SUMPRODUCT(--ISNUMBER(SEARCH(" "&amp;$CR$736:$CR$835&amp;" ",$AX11)))),"")</f>
        <v>0</v>
      </c>
      <c r="AR11" s="1368">
        <f>IF(11=11,IF($U11="","",SUMPRODUCT(--ISNUMBER(SEARCH(" "&amp;$CR$836:$CR$935&amp;" ",$AX11)))),"")</f>
        <v>0</v>
      </c>
      <c r="AS11" s="1368">
        <f>IF(11=11,IF($U11="","",SUMPRODUCT(--ISNUMBER(SEARCH(" "&amp;$CR$936:$CR$1035&amp;" ",$AX11)))),"")</f>
        <v>0</v>
      </c>
      <c r="AT11" s="1368">
        <f>IF(11=11,IF($U11="","",SUMPRODUCT(--ISNUMBER(SEARCH(" "&amp;$CR$1036:$CR$1135&amp;" ",$AX11)))),"")</f>
        <v>0</v>
      </c>
      <c r="AU11" s="1368">
        <f>IF(11=11,IF($U11="","",SUMPRODUCT(--ISNUMBER(SEARCH(" "&amp;$CR$1136:$CR$1235&amp;" ",$AX11)))),"")</f>
        <v>0</v>
      </c>
      <c r="AV11" s="1368">
        <f>IF(11=11,IF($U11="","",SUMPRODUCT(--ISNUMBER(SEARCH(" "&amp;$CR$1236:$CR$1335&amp;" ",$AX11)))),"")</f>
        <v>0</v>
      </c>
      <c r="AW11" s="1368">
        <f>IF(11=11,IF($U11="","",SUMPRODUCT(--ISNUMBER(SEARCH(" "&amp;$CR$1336:$CR$1363&amp;" ",$AX11)))),"")</f>
        <v>0</v>
      </c>
      <c r="AX11" s="1368" t="str">
        <f>IF(11=11,IF($U11="","",SUBSTITUTE(SUBSTITUTE(SUBSTITUTE(SUBSTITUTE(SUBSTITUTE(SUBSTITUTE(SUBSTITUTE(SUBSTITUTE(SUBSTITUTE($AA11," "&amp;$CR$1365&amp;" "," ")," "&amp;$CR$1364&amp;" "," ")," "&amp;$CR$1370&amp;" "," ")," "&amp;$CR$1371&amp;" "," ")," "&amp;$CR$1367&amp;" "," ")," "&amp;$CR$1369&amp;" "," ")," "&amp;$CR$1366&amp;" "," ")," "&amp;$CR$1368&amp;" "," ")," "&amp;$CR$1372&amp;" "," ")),"")</f>
        <v xml:space="preserve"> bouillon de volaille </v>
      </c>
      <c r="AY11" s="1368">
        <f>IF(11=11,IF($U11="","",SUMPRODUCT(--ISNUMBER(SEARCH(" "&amp;$CR$1373:$CR$1383&amp;" ",$AX11)))),"")</f>
        <v>0</v>
      </c>
      <c r="AZ11" s="1368" t="str">
        <f>IF(11=11,IF($U11="","",IF(SUM(AN11:AW11)+SUMPRODUCT(--ISNUMBER(SEARCH(" "&amp;$CR$2421:$CR$2422&amp;" ",$AX11)))&gt;0,"X",IF(AY11&gt;0,"?",""))),"")</f>
        <v/>
      </c>
      <c r="BA11" s="1368">
        <f>IF(11=11,IF($U11="","",SUMPRODUCT(--ISNUMBER(SEARCH(" "&amp;$CR$1384:$CR$1404&amp;" ",$AA11)))),"")</f>
        <v>0</v>
      </c>
      <c r="BB11" s="1368" t="str">
        <f>IF(11=11,IF($U11="","",IF((BA11)-(0)&gt;0,"X",IF((0)-(0)&gt;0,"?",""))),"")</f>
        <v/>
      </c>
      <c r="BC11" s="1368">
        <f>IF(11=11,IF($U11="","",SUMPRODUCT(--ISNUMBER(SEARCH(" "&amp;$CR$1405:$CR$1442&amp;" ",$BD11)))),"")</f>
        <v>0</v>
      </c>
      <c r="BD11" s="1368" t="str">
        <f>IF(11=11,IF($U11="","",SUBSTITUTE(SUBSTITUTE($AA11," "&amp;$CR$1443&amp;" "," ")," "&amp;$CR$1444&amp;" "," ")),"")</f>
        <v xml:space="preserve"> bouillon de volaille </v>
      </c>
      <c r="BE11" s="1368">
        <f>IF(11=11,IF($U11="","",SUMPRODUCT(--ISNUMBER(SEARCH(" "&amp;$CR$1445:$CR$1455&amp;" ",$BD11)))),"")</f>
        <v>0</v>
      </c>
      <c r="BF11" s="1368" t="str">
        <f>IF(11=11,IF($U11="","",IF(BC11&gt;0,"X",IF(BE11&gt;0,"?",""))),"")</f>
        <v/>
      </c>
      <c r="BG11" s="1368">
        <f>IF(11=11,IF($U11="","",SUMPRODUCT(--ISNUMBER(SEARCH(" "&amp;$CR$1456:$CR$1555&amp;" ",$BJ11)))),"")</f>
        <v>0</v>
      </c>
      <c r="BH11" s="1368">
        <f>IF(11=11,IF($U11="","",SUMPRODUCT(--ISNUMBER(SEARCH(" "&amp;$CR$1556:$CR$1655&amp;" ",$BJ11)))),"")</f>
        <v>0</v>
      </c>
      <c r="BI11" s="1368">
        <f>IF(11=11,IF($U11="","",SUMPRODUCT(--ISNUMBER(SEARCH(" "&amp;$CR$1656:$CR$1739&amp;" ",$BJ11)))),"")</f>
        <v>0</v>
      </c>
      <c r="BJ11" s="1368" t="str">
        <f>IF(11=11,IF($U11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bouillon de volaille </v>
      </c>
      <c r="BK11" s="1368">
        <f>IF(11=11,IF($U11="","",SUMPRODUCT(--ISNUMBER(SEARCH(" "&amp;$CR$1790:$CR$1869&amp;" ",$BL11)))+SUMPRODUCT(--ISNUMBER(SEARCH(" "&amp;$CR$2440:$CR$2453&amp;" ",$BL11)))),"")</f>
        <v>0</v>
      </c>
      <c r="BL11" s="1368" t="str">
        <f>IF(11=11,IF($U11="","",SUBSTITUTE(SUBSTITUTE(SUBSTITUTE(SUBSTITUTE(SUBSTITUTE(SUBSTITUTE(SUBSTITUTE(SUBSTITUTE(SUBSTITUTE(SUBSTITUTE(SUBSTITUTE(SUBSTITUTE(SUBSTITUTE($BJ11," "&amp;$CR$1876&amp;" "," ")," "&amp;$CR$1874&amp;" "," ")," "&amp;$CR$2438&amp;" "," ")," "&amp;$CR$2439&amp;" "," ")," "&amp;$CR$1871&amp;" "," ")," "&amp;$CR$1875&amp;" "," ")," "&amp;$CR$1877&amp;" "," ")," "&amp;$CR$1872&amp;" "," ")," "&amp;$CR$1870&amp;" "," ")," "&amp;$CR$1367&amp;" "," ")," "&amp;$CR$1878&amp;" "," ")," "&amp;$CR$1366&amp;" "," ")," "&amp;$CR$1873&amp;" "," ")),"")</f>
        <v xml:space="preserve"> bouillon de volaille </v>
      </c>
      <c r="BM11" s="1368" t="str">
        <f>IF(11=11,IF($U11="","",IF(SUM(BG11:BI11)+SUMPRODUCT(--ISNUMBER(SEARCH(" "&amp;$CR$2423:$CR$2424&amp;" ",$BJ11)))&gt;0,"X",IF(BK11&gt;0,"?",""))),"")</f>
        <v/>
      </c>
      <c r="BN11" s="1368">
        <f>IF(11=11,IF($U11="","",SUMPRODUCT(--ISNUMBER(SEARCH(" "&amp;$CR$1879:$CR$1936&amp;" ",$BO11)))),"")</f>
        <v>0</v>
      </c>
      <c r="BO11" s="1368" t="str">
        <f>IF(11=11,IF($U11="","",SUBSTITUTE(SUBSTITUTE(SUBSTITUTE(SUBSTITUTE(SUBSTITUTE(SUBSTITUTE(SUBSTITUTE(SUBSTITUTE(SUBSTITUTE(SUBSTITUTE(SUBSTITUTE(SUBSTITUTE(SUBSTITUTE(SUBSTITUTE(SUBSTITUTE(SUBSTITUTE(SUBSTITUTE(SUBSTITUTE(SUBSTITUTE(SUBSTITUTE(SUBSTITUTE(SUBSTITUTE(SUBSTITUTE($AA11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bouillon de volaille </v>
      </c>
      <c r="BP11" s="1368">
        <f>IF(11=11,IF($U11="","",SUMPRODUCT(--ISNUMBER(SEARCH(" "&amp;$CR$1960:$CR$1976&amp;" ",$BO11)))),"")</f>
        <v>0</v>
      </c>
      <c r="BQ11" s="1368" t="str">
        <f>IF(11=11,IF($U11="","",IF(BN11&gt;0,"X",IF(BP11&gt;0,"?",""))),"")</f>
        <v/>
      </c>
      <c r="BR11" s="1368">
        <f>IF(11=11,IF($U11="","",SUMPRODUCT(--ISNUMBER(SEARCH(" "&amp;$CR$1977:$CR$1990&amp;" ",$AA11)))),"")</f>
        <v>0</v>
      </c>
      <c r="BS11" s="1368">
        <f>IF(11=11,IF($U11="","",SUMPRODUCT(--ISNUMBER(SEARCH(" "&amp;$CR$1991:$CR$2005&amp;" ",$AA11)))),"")</f>
        <v>0</v>
      </c>
      <c r="BT11" s="1368" t="str">
        <f>IF(11=11,IF($U11="","",IF((BR11)-(0)&gt;0,"X",IF((BS11)-(0)&gt;0,"?",""))),"")</f>
        <v/>
      </c>
      <c r="BU11" s="1368">
        <f>IF(11=11,IF($U11="","",SUMPRODUCT(--ISNUMBER(SEARCH(" "&amp;$CR$2006:$CR$2023&amp;" ",$AA11)))),"")</f>
        <v>0</v>
      </c>
      <c r="BV11" s="1368">
        <f>IF(11=11,IF($U11="","",SUMPRODUCT(--ISNUMBER(SEARCH(" "&amp;$CR$2024:$CR$2038&amp;" ",$AA11)))),"")</f>
        <v>0</v>
      </c>
      <c r="BW11" s="1368" t="str">
        <f>IF(11=11,IF($U11="","",IF((BU11)-(0)&gt;0,"X",IF((BV11)-(0)&gt;0,"?",""))),"")</f>
        <v/>
      </c>
      <c r="BX11" s="1368">
        <f>IF(11=11,IF($U11="","",SUMPRODUCT(--ISNUMBER(SEARCH(" "&amp;$CR$2039:$CR$2057&amp;" ",$AA11)))),"")</f>
        <v>0</v>
      </c>
      <c r="BY11" s="1368">
        <f>IF(11=11,IF($U11="","",SUMPRODUCT(--ISNUMBER(SEARCH(" "&amp;$CR$2058:$CR$2072&amp;" ",$AA11)))),"")</f>
        <v>0</v>
      </c>
      <c r="BZ11" s="1368" t="str">
        <f>IF(11=11,IF($U11="","",IF((BX11)-(0)&gt;0,"X",IF((BY11)-(0)&gt;0,"?",""))),"")</f>
        <v/>
      </c>
      <c r="CA11" s="1368">
        <f>IF(11=11,IF($U11="","",SUMPRODUCT(--ISNUMBER(SEARCH(" "&amp;$CR$2073:$CR$2093&amp;" ",$AA11)))),"")</f>
        <v>0</v>
      </c>
      <c r="CB11" s="1368">
        <f>IF(11=11,IF($U11="","",SUMPRODUCT(--ISNUMBER(SEARCH(" "&amp;$CR$2094:$CR$2133&amp;" ",SUBSTITUTE(SUBSTITUTE($AA11," "&amp;$CR$1367&amp;" "," ")," "&amp;$CR$1366&amp;" "," "))))+--ISNUMBER(SEARCH("poiré",$V11))),"")</f>
        <v>0</v>
      </c>
      <c r="CC11" s="1368" t="str">
        <f>IF(11=11,IF($U11="","",IF(OR(CA11&gt;0,ISNUMBER(SEARCH(" vinaigre de vin ",$AA11)),ISNUMBER(SEARCH(" vinaigre au vin ",$AA11))),"X",IF(CB11&gt;0,"?",""))),"")</f>
        <v/>
      </c>
      <c r="CD11" s="1368">
        <f>IF(11=11,IF($U11="","",SUMPRODUCT(--ISNUMBER(SEARCH(" "&amp;$CR$2134:$CR$2146&amp;" ",$AA11)))),"")</f>
        <v>0</v>
      </c>
      <c r="CE11" s="1368">
        <f>IF(11=11,IF($U11="","",SUMPRODUCT(--ISNUMBER(SEARCH(" "&amp;$CR$2147:$CR$2152&amp;" ",$AA11)))),"")</f>
        <v>0</v>
      </c>
      <c r="CF11" s="1368" t="str">
        <f>IF(11=11,IF($U11="","",IF((CD11)-(0)&gt;0,"X",IF((CE11)-(0)&gt;0,"?",""))),"")</f>
        <v/>
      </c>
      <c r="CG11" s="1368">
        <f>IF(11=11,IF($U11="","",SUMPRODUCT(--ISNUMBER(SEARCH(" "&amp;$CR$2153:$CR$2252&amp;" ",$CJ11)))),"")</f>
        <v>0</v>
      </c>
      <c r="CH11" s="1368">
        <f>IF(11=11,IF($U11="","",SUMPRODUCT(--ISNUMBER(SEARCH(" "&amp;$CR$2253:$CR$2352&amp;" ",$CJ11)))),"")</f>
        <v>0</v>
      </c>
      <c r="CI11" s="1368">
        <f>IF(11=11,IF($U11="","",SUMPRODUCT(--ISNUMBER(SEARCH(" "&amp;$CR$2353:$CR$2395&amp;" ",$CJ11)))),"")</f>
        <v>0</v>
      </c>
      <c r="CJ11" s="1368" t="str">
        <f>IF(11=11,IF($U11="","",SUBSTITUTE(SUBSTITUTE(SUBSTITUTE(SUBSTITUTE(SUBSTITUTE(SUBSTITUTE(SUBSTITUTE(SUBSTITUTE(SUBSTITUTE(SUBSTITUTE(SUBSTITUTE(SUBSTITUTE(SUBSTITUTE(SUBSTITUTE(SUBSTITUTE(SUBSTITUTE($AA11," "&amp;$CR$2401&amp;" "," ")," "&amp;$CR$2400&amp;" "," ")," "&amp;$CR$2399&amp;" "," ")," "&amp;$CR$2406&amp;" "," ")," "&amp;$CR$2398&amp;" "," ")," "&amp;$CR$2410&amp;" "," ")," "&amp;$CR$2397&amp;" "," ")," "&amp;$CR$2402&amp;" "," ")," "&amp;$CR$2405&amp;" "," ")," "&amp;$CR$2396&amp;" "," ")," "&amp;$CR$2404&amp;" "," ")," "&amp;$CR$2411&amp;" "," ")," "&amp;$CR$2408&amp;" "," ")," "&amp;$CR$2403&amp;" "," ")," "&amp;$CR$2407&amp;" "," ")," "&amp;$CR$2409&amp;" "," ")),"")</f>
        <v xml:space="preserve"> bouillon de volaille </v>
      </c>
      <c r="CK11" s="1368">
        <f>IF(11=11,IF($U11="","",SUMPRODUCT(--ISNUMBER(SEARCH(" "&amp;$CR$2412:$CR$2416&amp;" ",$CJ11)))),"")</f>
        <v>0</v>
      </c>
      <c r="CL11" s="1368" t="str">
        <f>IF(11=11,IF($U11="","",IF(SUM(CG11:CI11)&gt;0,"X",IF(CK11&gt;0,"?",""))),"")</f>
        <v/>
      </c>
      <c r="CM11" s="1377"/>
      <c r="CN11" s="1388" t="s">
        <v>8214</v>
      </c>
      <c r="CO11" s="1388" t="s">
        <v>8105</v>
      </c>
      <c r="CP11" s="1388" t="s">
        <v>8106</v>
      </c>
      <c r="CQ11" s="1388" t="s">
        <v>8215</v>
      </c>
      <c r="CR11" s="1388" t="s">
        <v>8215</v>
      </c>
      <c r="CS11" s="1388" t="s">
        <v>8108</v>
      </c>
      <c r="CT11" s="1388" t="s">
        <v>8109</v>
      </c>
      <c r="CU11" s="1388" t="s">
        <v>8110</v>
      </c>
      <c r="CV11" s="1389" t="s">
        <v>8111</v>
      </c>
      <c r="CX11" s="1379">
        <v>1</v>
      </c>
    </row>
    <row r="12" spans="1:102" ht="21" customHeight="1" x14ac:dyDescent="0.25">
      <c r="A12" s="1412">
        <v>6</v>
      </c>
      <c r="B12" s="1413" t="s">
        <v>8216</v>
      </c>
      <c r="C12" s="1414" t="str">
        <f t="shared" si="0"/>
        <v>Bulbes de fenouil</v>
      </c>
      <c r="D12" s="1415" t="str">
        <f>IF(12=12,IF($B12="","",IF(E12="X",""&amp;"Céréales contenant du gluten","")&amp;IF(F12="X",IF(COUNTIF($E12:$E12,"X")&gt;0,", ","")&amp;"Crustacés","")&amp;IF(G12="X",IF(COUNTIF($E12:$F12,"X")&gt;0,", ","")&amp;"Œufs","")&amp;IF(H12="X",IF(COUNTIF($E12:$G12,"X")&gt;0,", ","")&amp;"Poissons","")&amp;IF(I12="X",IF(COUNTIF($E12:$H12,"X")&gt;0,", ","")&amp;"Arachides","")&amp;IF(J12="X",IF(COUNTIF($E12:$I12,"X")&gt;0,", ","")&amp;"Soja","")&amp;IF(K12="X",IF(COUNTIF($E12:$J12,"X")&gt;0,", ","")&amp;"Lait","")&amp;IF(L12="X",IF(COUNTIF($E12:$K12,"X")&gt;0,", ","")&amp;"Fruits à coque","")&amp;IF(M12="X",IF(COUNTIF($E12:$L12,"X")&gt;0,", ","")&amp;"Céleri","")&amp;IF(N12="X",IF(COUNTIF($E12:$M12,"X")&gt;0,", ","")&amp;"Moutarde","")&amp;IF(O12="X",IF(COUNTIF($E12:$N12,"X")&gt;0,", ","")&amp;"Sésame","")&amp;IF(P12="X",IF(COUNTIF($E12:$O12,"X")&gt;0,", ","")&amp;"Sulfites","")&amp;IF(Q12="X",IF(COUNTIF($E12:$P12,"X")&gt;0,", ","")&amp;"Lupin","")&amp;IF(R12="X",IF(COUNTIF($E12:$Q12,"X")&gt;0,", ","")&amp;"Mollusques","")),"")</f>
        <v/>
      </c>
      <c r="E12" s="1416" t="str">
        <f>IF(12=12,IF($B12="","",AF12),"")</f>
        <v/>
      </c>
      <c r="F12" s="1416" t="str">
        <f>IF(12=12,IF($B12="","",AI12),"")</f>
        <v/>
      </c>
      <c r="G12" s="1416" t="str">
        <f>IF(12=12,IF($B12="","",AM12),"")</f>
        <v/>
      </c>
      <c r="H12" s="1416" t="str">
        <f>IF(12=12,IF($B12="","",IF(ISNUMBER(SEARCH(" colin ",$AA12)),"X",AZ12)),"")</f>
        <v/>
      </c>
      <c r="I12" s="1416" t="str">
        <f>IF(12=12,IF($B12="","",BB12),"")</f>
        <v/>
      </c>
      <c r="J12" s="1416" t="str">
        <f>IF(12=12,IF($B12="","",BF12),"")</f>
        <v/>
      </c>
      <c r="K12" s="1416" t="str">
        <f>IF(12=12,IF($B12="","",BM12),"")</f>
        <v/>
      </c>
      <c r="L12" s="1416" t="str">
        <f>IF(12=12,IF($B12="","",BQ12),"")</f>
        <v/>
      </c>
      <c r="M12" s="1416" t="str">
        <f>IF(12=12,IF($B12="","",BT12),"")</f>
        <v/>
      </c>
      <c r="N12" s="1416" t="str">
        <f>IF(12=12,IF($B12="","",BW12),"")</f>
        <v/>
      </c>
      <c r="O12" s="1416" t="str">
        <f>IF(12=12,IF($B12="","",BZ12),"")</f>
        <v/>
      </c>
      <c r="P12" s="1416" t="str">
        <f>IF(12=12,IF($B12="","",CC12),"")</f>
        <v/>
      </c>
      <c r="Q12" s="1416" t="str">
        <f>IF(12=12,IF($B12="","",CF12),"")</f>
        <v/>
      </c>
      <c r="R12" s="1416" t="str">
        <f>IF(12=12,IF($B12="","",CL12),"")</f>
        <v/>
      </c>
      <c r="S12" s="1417" t="str">
        <f>IF(12=12,IF($B12="","",IF(E12="?",""&amp;"Céréales contenant du gluten","")&amp;IF(F12="?",IF(COUNTIF($E12:$E12,"~?")&gt;0,", ","")&amp;"Crustacés","")&amp;IF(G12="?",IF(COUNTIF($E12:$F12,"~?")&gt;0,", ","")&amp;"Œufs","")&amp;IF(H12="?",IF(COUNTIF($E12:$G12,"~?")&gt;0,", ","")&amp;"Poissons","")&amp;IF(I12="?",IF(COUNTIF($E12:$H12,"~?")&gt;0,", ","")&amp;"Arachides","")&amp;IF(J12="?",IF(COUNTIF($E12:$I12,"~?")&gt;0,", ","")&amp;"Soja","")&amp;IF(K12="?",IF(COUNTIF($E12:$J12,"~?")&gt;0,", ","")&amp;"Lait","")&amp;IF(L12="?",IF(COUNTIF($E12:$K12,"~?")&gt;0,", ","")&amp;"Fruits à coque","")&amp;IF(M12="?",IF(COUNTIF($E12:$L12,"~?")&gt;0,", ","")&amp;"Céleri","")&amp;IF(N12="?",IF(COUNTIF($E12:$M12,"~?")&gt;0,", ","")&amp;"Moutarde","")&amp;IF(O12="?",IF(COUNTIF($E12:$N12,"~?")&gt;0,", ","")&amp;"Sésame","")&amp;IF(P12="?",IF(COUNTIF($E12:$O12,"~?")&gt;0,", ","")&amp;"Sulfites","")&amp;IF(Q12="?",IF(COUNTIF($E12:$P12,"~?")&gt;0,", ","")&amp;"Lupin","")&amp;IF(R12="?",IF(COUNTIF($E12:$Q12,"~?")&gt;0,", ","")&amp;"Mollusques","")),"")</f>
        <v/>
      </c>
      <c r="U12" s="1368" t="str">
        <f>IF(12=12,IF($B12="","",$B12),"")</f>
        <v>Bulbes de fenouil</v>
      </c>
      <c r="V12" s="1368" t="str">
        <f>IF(12=12,LOWER(CLEAN(SUBSTITUTE(SUBSTITUTE(SUBSTITUTE(SUBSTITUTE($U12,CHAR(160)," ")," "," "),CHAR(10)," "),CHAR(13)," "))),"")</f>
        <v>bulbes de fenouil</v>
      </c>
      <c r="W12" s="1368" t="str">
        <f>IF(12=12,SUBSTITUTE(SUBSTITUTE(SUBSTITUTE(SUBSTITUTE(SUBSTITUTE(SUBSTITUTE(SUBSTITUTE(SUBSTITUTE(SUBSTITUTE(SUBSTITUTE(SUBSTITUTE(SUBSTITUTE($V12,"œ","oe"),"æ","ae"),"à","a"),"á","a"),"â","a"),"ä","a"),"ã","a"),"ç","c"),"è","e"),"é","e"),"ê","e"),"ë","e"),"")</f>
        <v>bulbes de fenouil</v>
      </c>
      <c r="X12" s="1368" t="str">
        <f>IF(12=12,SUBSTITUTE(SUBSTITUTE(SUBSTITUTE(SUBSTITUTE(SUBSTITUTE(SUBSTITUTE(SUBSTITUTE(SUBSTITUTE(SUBSTITUTE(SUBSTITUTE(SUBSTITUTE(SUBSTITUTE(SUBSTITUTE(SUBSTITUTE(SUBSTITUTE(SUBSTITUTE($W12,"ì","i"),"í","i"),"î","i"),"ï","i"),"ñ","n"),"ò","o"),"ó","o"),"ô","o"),"ö","o"),"õ","o"),"ù","u"),"ú","u"),"û","u"),"ü","u"),"ý","y"),"ÿ","y"),"")</f>
        <v>bulbes de fenouil</v>
      </c>
      <c r="Y12" s="1368" t="str">
        <f>IF(12=12,SUBSTITUTE(SUBSTITUTE(SUBSTITUTE(SUBSTITUTE(SUBSTITUTE(SUBSTITUTE(SUBSTITUTE(SUBSTITUTE(SUBSTITUTE(SUBSTITUTE(SUBSTITUTE(SUBSTITUTE(SUBSTITUTE(SUBSTITUTE($X12,"’"," "),"`"," "),"–"," "),"—"," "),"-"," "),"'"," "),"/"," "),"_"," "),","," "),"."," "),"("," "),")"," "),";"," "),":"," "),"")</f>
        <v>bulbes de fenouil</v>
      </c>
      <c r="Z12" s="1368" t="str">
        <f>IF(12=12,SUBSTITUTE(SUBSTITUTE(SUBSTITUTE(SUBSTITUTE(SUBSTITUTE(SUBSTITUTE(SUBSTITUTE(SUBSTITUTE(SUBSTITUTE(SUBSTITUTE(SUBSTITUTE(SUBSTITUTE(SUBSTITUTE(SUBSTITUTE(SUBSTITUTE($Y12,"!"," "),"?"," "),"+"," "),"*"," "),"&amp;"," "),"["," "),"]"," "),"{"," "),"}"," "),"%"," "),"="," "),"\"," "),"|"," "),"&lt;"," "),"&gt;"," "),"")</f>
        <v>bulbes de fenouil</v>
      </c>
      <c r="AA12" s="1368" t="str">
        <f>IF(12=12," "&amp;TRIM(SUBSTITUTE(SUBSTITUTE(SUBSTITUTE(SUBSTITUTE(SUBSTITUTE(SUBSTITUTE($Z12,CHAR(34)," "),"  "," "),"  "," "),"  "," "),"  "," "),"  "," "))&amp;" ","")</f>
        <v xml:space="preserve"> bulbes de fenouil </v>
      </c>
      <c r="AB12" s="1368">
        <f>IF(12=12,IF($U12="","",SUMPRODUCT(--ISNUMBER(SEARCH(" "&amp;$CR$2:$CR$101&amp;" ",$AD12)))),"")</f>
        <v>0</v>
      </c>
      <c r="AC12" s="1368">
        <f>IF(12=12,IF($U12="","",SUMPRODUCT(--ISNUMBER(SEARCH(" "&amp;$CR$102:$CR$151&amp;" ",$AD12)))),"")</f>
        <v>0</v>
      </c>
      <c r="AD12" s="1368" t="str">
        <f t="shared" si="1"/>
        <v xml:space="preserve"> bulbes de fenouil </v>
      </c>
      <c r="AE12" s="1368">
        <f t="shared" si="2"/>
        <v>0</v>
      </c>
      <c r="AF12" s="1368" t="str">
        <f>IF(12=12,IF($U12="","",IF(SUM(AB12:AC12)+SUMPRODUCT(--ISNUMBER(SEARCH(" "&amp;$CR$2418:$CR$2420&amp;" ",$AD12)))&gt;0,"X",IF(AE12&gt;0,"?",""))),"")</f>
        <v/>
      </c>
      <c r="AG12" s="1368">
        <f>IF(12=12,IF($U12="","",SUMPRODUCT(--ISNUMBER(SEARCH(" "&amp;$CR$206:$CR$305&amp;" ",$AA12)))),"")</f>
        <v>0</v>
      </c>
      <c r="AH12" s="1368">
        <f>IF(12=12,IF($U12="","",SUMPRODUCT(--ISNUMBER(SEARCH(" "&amp;$CR$306:$CR$340&amp;" ",$AA12)))),"")</f>
        <v>0</v>
      </c>
      <c r="AI12" s="1368" t="str">
        <f>IF(12=12,IF($U12="","",IF((SUM(AG12:AH12))-(0)&gt;0,"X",IF((0)-(0)&gt;0,"?",""))),"")</f>
        <v/>
      </c>
      <c r="AJ12" s="1368">
        <f>IF(12=12,IF($U12="","",SUMPRODUCT(--ISNUMBER(SEARCH(" "&amp;$CR$341:$CR$398&amp;" ",$AA12)))),"")</f>
        <v>0</v>
      </c>
      <c r="AK12" s="1368">
        <f>IF(12=12,IF($U12="","",SUMPRODUCT(--ISNUMBER(SEARCH(" "&amp;$CR$399:$CR$426&amp;" ",$AL12)))+SUMPRODUCT(--ISNUMBER(SEARCH(" "&amp;$CR$2440:$CR$2453&amp;" ",$AL12)))),"")</f>
        <v>0</v>
      </c>
      <c r="AL12" s="1368" t="str">
        <f>IF(12=12,IF($U12="","",SUBSTITUTE(SUBSTITUTE(SUBSTITUTE(SUBSTITUTE(SUBSTITUTE(SUBSTITUTE(SUBSTITUTE(SUBSTITUTE(SUBSTITUTE(SUBSTITUTE(SUBSTITUTE(SUBSTITUTE(SUBSTITUTE(SUBSTITUTE($AA12," "&amp;$CR$2455&amp;" "," ")," "&amp;$CR$433&amp;" "," ")," "&amp;$CR$431&amp;" "," ")," "&amp;$CR$2438&amp;" "," ")," "&amp;$CR$2439&amp;" "," ")," "&amp;$CR$428&amp;" "," ")," "&amp;$CR$432&amp;" "," ")," "&amp;$CR$434&amp;" "," ")," "&amp;$CR$429&amp;" "," ")," "&amp;$CR$427&amp;" "," ")," "&amp;$CR$1367&amp;" "," ")," "&amp;$CR$435&amp;" "," ")," "&amp;$CR$1366&amp;" "," ")," "&amp;$CR$430&amp;" "," ")),"")</f>
        <v xml:space="preserve"> bulbes de fenouil </v>
      </c>
      <c r="AM12" s="1368" t="str">
        <f>IF(12=12,IF($U12="","",IF(AJ12&gt;0,"X",IF(AK12&gt;0,"?",""))),"")</f>
        <v/>
      </c>
      <c r="AN12" s="1368">
        <f>IF(12=12,IF($U12="","",SUMPRODUCT(--ISNUMBER(SEARCH(" "&amp;$CR$436:$CR$535&amp;" ",$AX12)))),"")</f>
        <v>0</v>
      </c>
      <c r="AO12" s="1368">
        <f>IF(12=12,IF($U12="","",SUMPRODUCT(--ISNUMBER(SEARCH(" "&amp;$CR$536:$CR$635&amp;" ",$AX12)))),"")</f>
        <v>0</v>
      </c>
      <c r="AP12" s="1368">
        <f>IF(12=12,IF($U12="","",SUMPRODUCT(--ISNUMBER(SEARCH(" "&amp;$CR$636:$CR$735&amp;" ",$AX12)))),"")</f>
        <v>0</v>
      </c>
      <c r="AQ12" s="1368">
        <f>IF(12=12,IF($U12="","",SUMPRODUCT(--ISNUMBER(SEARCH(" "&amp;$CR$736:$CR$835&amp;" ",$AX12)))),"")</f>
        <v>0</v>
      </c>
      <c r="AR12" s="1368">
        <f>IF(12=12,IF($U12="","",SUMPRODUCT(--ISNUMBER(SEARCH(" "&amp;$CR$836:$CR$935&amp;" ",$AX12)))),"")</f>
        <v>0</v>
      </c>
      <c r="AS12" s="1368">
        <f>IF(12=12,IF($U12="","",SUMPRODUCT(--ISNUMBER(SEARCH(" "&amp;$CR$936:$CR$1035&amp;" ",$AX12)))),"")</f>
        <v>0</v>
      </c>
      <c r="AT12" s="1368">
        <f>IF(12=12,IF($U12="","",SUMPRODUCT(--ISNUMBER(SEARCH(" "&amp;$CR$1036:$CR$1135&amp;" ",$AX12)))),"")</f>
        <v>0</v>
      </c>
      <c r="AU12" s="1368">
        <f>IF(12=12,IF($U12="","",SUMPRODUCT(--ISNUMBER(SEARCH(" "&amp;$CR$1136:$CR$1235&amp;" ",$AX12)))),"")</f>
        <v>0</v>
      </c>
      <c r="AV12" s="1368">
        <f>IF(12=12,IF($U12="","",SUMPRODUCT(--ISNUMBER(SEARCH(" "&amp;$CR$1236:$CR$1335&amp;" ",$AX12)))),"")</f>
        <v>0</v>
      </c>
      <c r="AW12" s="1368">
        <f>IF(12=12,IF($U12="","",SUMPRODUCT(--ISNUMBER(SEARCH(" "&amp;$CR$1336:$CR$1363&amp;" ",$AX12)))),"")</f>
        <v>0</v>
      </c>
      <c r="AX12" s="1368" t="str">
        <f>IF(12=12,IF($U12="","",SUBSTITUTE(SUBSTITUTE(SUBSTITUTE(SUBSTITUTE(SUBSTITUTE(SUBSTITUTE(SUBSTITUTE(SUBSTITUTE(SUBSTITUTE($AA12," "&amp;$CR$1365&amp;" "," ")," "&amp;$CR$1364&amp;" "," ")," "&amp;$CR$1370&amp;" "," ")," "&amp;$CR$1371&amp;" "," ")," "&amp;$CR$1367&amp;" "," ")," "&amp;$CR$1369&amp;" "," ")," "&amp;$CR$1366&amp;" "," ")," "&amp;$CR$1368&amp;" "," ")," "&amp;$CR$1372&amp;" "," ")),"")</f>
        <v xml:space="preserve"> bulbes de fenouil </v>
      </c>
      <c r="AY12" s="1368">
        <f>IF(12=12,IF($U12="","",SUMPRODUCT(--ISNUMBER(SEARCH(" "&amp;$CR$1373:$CR$1383&amp;" ",$AX12)))),"")</f>
        <v>0</v>
      </c>
      <c r="AZ12" s="1368" t="str">
        <f>IF(12=12,IF($U12="","",IF(SUM(AN12:AW12)+SUMPRODUCT(--ISNUMBER(SEARCH(" "&amp;$CR$2421:$CR$2422&amp;" ",$AX12)))&gt;0,"X",IF(AY12&gt;0,"?",""))),"")</f>
        <v/>
      </c>
      <c r="BA12" s="1368">
        <f>IF(12=12,IF($U12="","",SUMPRODUCT(--ISNUMBER(SEARCH(" "&amp;$CR$1384:$CR$1404&amp;" ",$AA12)))),"")</f>
        <v>0</v>
      </c>
      <c r="BB12" s="1368" t="str">
        <f>IF(12=12,IF($U12="","",IF((BA12)-(0)&gt;0,"X",IF((0)-(0)&gt;0,"?",""))),"")</f>
        <v/>
      </c>
      <c r="BC12" s="1368">
        <f>IF(12=12,IF($U12="","",SUMPRODUCT(--ISNUMBER(SEARCH(" "&amp;$CR$1405:$CR$1442&amp;" ",$BD12)))),"")</f>
        <v>0</v>
      </c>
      <c r="BD12" s="1368" t="str">
        <f>IF(12=12,IF($U12="","",SUBSTITUTE(SUBSTITUTE($AA12," "&amp;$CR$1443&amp;" "," ")," "&amp;$CR$1444&amp;" "," ")),"")</f>
        <v xml:space="preserve"> bulbes de fenouil </v>
      </c>
      <c r="BE12" s="1368">
        <f>IF(12=12,IF($U12="","",SUMPRODUCT(--ISNUMBER(SEARCH(" "&amp;$CR$1445:$CR$1455&amp;" ",$BD12)))),"")</f>
        <v>0</v>
      </c>
      <c r="BF12" s="1368" t="str">
        <f>IF(12=12,IF($U12="","",IF(BC12&gt;0,"X",IF(BE12&gt;0,"?",""))),"")</f>
        <v/>
      </c>
      <c r="BG12" s="1368">
        <f>IF(12=12,IF($U12="","",SUMPRODUCT(--ISNUMBER(SEARCH(" "&amp;$CR$1456:$CR$1555&amp;" ",$BJ12)))),"")</f>
        <v>0</v>
      </c>
      <c r="BH12" s="1368">
        <f>IF(12=12,IF($U12="","",SUMPRODUCT(--ISNUMBER(SEARCH(" "&amp;$CR$1556:$CR$1655&amp;" ",$BJ12)))),"")</f>
        <v>0</v>
      </c>
      <c r="BI12" s="1368">
        <f>IF(12=12,IF($U12="","",SUMPRODUCT(--ISNUMBER(SEARCH(" "&amp;$CR$1656:$CR$1739&amp;" ",$BJ12)))),"")</f>
        <v>0</v>
      </c>
      <c r="BJ12" s="1368" t="str">
        <f>IF(12=12,IF($U12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bulbes de fenouil </v>
      </c>
      <c r="BK12" s="1368">
        <f>IF(12=12,IF($U12="","",SUMPRODUCT(--ISNUMBER(SEARCH(" "&amp;$CR$1790:$CR$1869&amp;" ",$BL12)))+SUMPRODUCT(--ISNUMBER(SEARCH(" "&amp;$CR$2440:$CR$2453&amp;" ",$BL12)))),"")</f>
        <v>0</v>
      </c>
      <c r="BL12" s="1368" t="str">
        <f>IF(12=12,IF($U12="","",SUBSTITUTE(SUBSTITUTE(SUBSTITUTE(SUBSTITUTE(SUBSTITUTE(SUBSTITUTE(SUBSTITUTE(SUBSTITUTE(SUBSTITUTE(SUBSTITUTE(SUBSTITUTE(SUBSTITUTE(SUBSTITUTE($BJ12," "&amp;$CR$1876&amp;" "," ")," "&amp;$CR$1874&amp;" "," ")," "&amp;$CR$2438&amp;" "," ")," "&amp;$CR$2439&amp;" "," ")," "&amp;$CR$1871&amp;" "," ")," "&amp;$CR$1875&amp;" "," ")," "&amp;$CR$1877&amp;" "," ")," "&amp;$CR$1872&amp;" "," ")," "&amp;$CR$1870&amp;" "," ")," "&amp;$CR$1367&amp;" "," ")," "&amp;$CR$1878&amp;" "," ")," "&amp;$CR$1366&amp;" "," ")," "&amp;$CR$1873&amp;" "," ")),"")</f>
        <v xml:space="preserve"> bulbes de fenouil </v>
      </c>
      <c r="BM12" s="1368" t="str">
        <f>IF(12=12,IF($U12="","",IF(SUM(BG12:BI12)+SUMPRODUCT(--ISNUMBER(SEARCH(" "&amp;$CR$2423:$CR$2424&amp;" ",$BJ12)))&gt;0,"X",IF(BK12&gt;0,"?",""))),"")</f>
        <v/>
      </c>
      <c r="BN12" s="1368">
        <f>IF(12=12,IF($U12="","",SUMPRODUCT(--ISNUMBER(SEARCH(" "&amp;$CR$1879:$CR$1936&amp;" ",$BO12)))),"")</f>
        <v>0</v>
      </c>
      <c r="BO12" s="1368" t="str">
        <f>IF(12=12,IF($U12="","",SUBSTITUTE(SUBSTITUTE(SUBSTITUTE(SUBSTITUTE(SUBSTITUTE(SUBSTITUTE(SUBSTITUTE(SUBSTITUTE(SUBSTITUTE(SUBSTITUTE(SUBSTITUTE(SUBSTITUTE(SUBSTITUTE(SUBSTITUTE(SUBSTITUTE(SUBSTITUTE(SUBSTITUTE(SUBSTITUTE(SUBSTITUTE(SUBSTITUTE(SUBSTITUTE(SUBSTITUTE(SUBSTITUTE($AA12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bulbes de fenouil </v>
      </c>
      <c r="BP12" s="1368">
        <f>IF(12=12,IF($U12="","",SUMPRODUCT(--ISNUMBER(SEARCH(" "&amp;$CR$1960:$CR$1976&amp;" ",$BO12)))),"")</f>
        <v>0</v>
      </c>
      <c r="BQ12" s="1368" t="str">
        <f>IF(12=12,IF($U12="","",IF(BN12&gt;0,"X",IF(BP12&gt;0,"?",""))),"")</f>
        <v/>
      </c>
      <c r="BR12" s="1368">
        <f>IF(12=12,IF($U12="","",SUMPRODUCT(--ISNUMBER(SEARCH(" "&amp;$CR$1977:$CR$1990&amp;" ",$AA12)))),"")</f>
        <v>0</v>
      </c>
      <c r="BS12" s="1368">
        <f>IF(12=12,IF($U12="","",SUMPRODUCT(--ISNUMBER(SEARCH(" "&amp;$CR$1991:$CR$2005&amp;" ",$AA12)))),"")</f>
        <v>0</v>
      </c>
      <c r="BT12" s="1368" t="str">
        <f>IF(12=12,IF($U12="","",IF((BR12)-(0)&gt;0,"X",IF((BS12)-(0)&gt;0,"?",""))),"")</f>
        <v/>
      </c>
      <c r="BU12" s="1368">
        <f>IF(12=12,IF($U12="","",SUMPRODUCT(--ISNUMBER(SEARCH(" "&amp;$CR$2006:$CR$2023&amp;" ",$AA12)))),"")</f>
        <v>0</v>
      </c>
      <c r="BV12" s="1368">
        <f>IF(12=12,IF($U12="","",SUMPRODUCT(--ISNUMBER(SEARCH(" "&amp;$CR$2024:$CR$2038&amp;" ",$AA12)))),"")</f>
        <v>0</v>
      </c>
      <c r="BW12" s="1368" t="str">
        <f>IF(12=12,IF($U12="","",IF((BU12)-(0)&gt;0,"X",IF((BV12)-(0)&gt;0,"?",""))),"")</f>
        <v/>
      </c>
      <c r="BX12" s="1368">
        <f>IF(12=12,IF($U12="","",SUMPRODUCT(--ISNUMBER(SEARCH(" "&amp;$CR$2039:$CR$2057&amp;" ",$AA12)))),"")</f>
        <v>0</v>
      </c>
      <c r="BY12" s="1368">
        <f>IF(12=12,IF($U12="","",SUMPRODUCT(--ISNUMBER(SEARCH(" "&amp;$CR$2058:$CR$2072&amp;" ",$AA12)))),"")</f>
        <v>0</v>
      </c>
      <c r="BZ12" s="1368" t="str">
        <f>IF(12=12,IF($U12="","",IF((BX12)-(0)&gt;0,"X",IF((BY12)-(0)&gt;0,"?",""))),"")</f>
        <v/>
      </c>
      <c r="CA12" s="1368">
        <f>IF(12=12,IF($U12="","",SUMPRODUCT(--ISNUMBER(SEARCH(" "&amp;$CR$2073:$CR$2093&amp;" ",$AA12)))),"")</f>
        <v>0</v>
      </c>
      <c r="CB12" s="1368">
        <f>IF(12=12,IF($U12="","",SUMPRODUCT(--ISNUMBER(SEARCH(" "&amp;$CR$2094:$CR$2133&amp;" ",SUBSTITUTE(SUBSTITUTE($AA12," "&amp;$CR$1367&amp;" "," ")," "&amp;$CR$1366&amp;" "," "))))+--ISNUMBER(SEARCH("poiré",$V12))),"")</f>
        <v>0</v>
      </c>
      <c r="CC12" s="1368" t="str">
        <f>IF(12=12,IF($U12="","",IF(OR(CA12&gt;0,ISNUMBER(SEARCH(" vinaigre de vin ",$AA12)),ISNUMBER(SEARCH(" vinaigre au vin ",$AA12))),"X",IF(CB12&gt;0,"?",""))),"")</f>
        <v/>
      </c>
      <c r="CD12" s="1368">
        <f>IF(12=12,IF($U12="","",SUMPRODUCT(--ISNUMBER(SEARCH(" "&amp;$CR$2134:$CR$2146&amp;" ",$AA12)))),"")</f>
        <v>0</v>
      </c>
      <c r="CE12" s="1368">
        <f>IF(12=12,IF($U12="","",SUMPRODUCT(--ISNUMBER(SEARCH(" "&amp;$CR$2147:$CR$2152&amp;" ",$AA12)))),"")</f>
        <v>0</v>
      </c>
      <c r="CF12" s="1368" t="str">
        <f>IF(12=12,IF($U12="","",IF((CD12)-(0)&gt;0,"X",IF((CE12)-(0)&gt;0,"?",""))),"")</f>
        <v/>
      </c>
      <c r="CG12" s="1368">
        <f>IF(12=12,IF($U12="","",SUMPRODUCT(--ISNUMBER(SEARCH(" "&amp;$CR$2153:$CR$2252&amp;" ",$CJ12)))),"")</f>
        <v>0</v>
      </c>
      <c r="CH12" s="1368">
        <f>IF(12=12,IF($U12="","",SUMPRODUCT(--ISNUMBER(SEARCH(" "&amp;$CR$2253:$CR$2352&amp;" ",$CJ12)))),"")</f>
        <v>0</v>
      </c>
      <c r="CI12" s="1368">
        <f>IF(12=12,IF($U12="","",SUMPRODUCT(--ISNUMBER(SEARCH(" "&amp;$CR$2353:$CR$2395&amp;" ",$CJ12)))),"")</f>
        <v>0</v>
      </c>
      <c r="CJ12" s="1368" t="str">
        <f>IF(12=12,IF($U12="","",SUBSTITUTE(SUBSTITUTE(SUBSTITUTE(SUBSTITUTE(SUBSTITUTE(SUBSTITUTE(SUBSTITUTE(SUBSTITUTE(SUBSTITUTE(SUBSTITUTE(SUBSTITUTE(SUBSTITUTE(SUBSTITUTE(SUBSTITUTE(SUBSTITUTE(SUBSTITUTE($AA12," "&amp;$CR$2401&amp;" "," ")," "&amp;$CR$2400&amp;" "," ")," "&amp;$CR$2399&amp;" "," ")," "&amp;$CR$2406&amp;" "," ")," "&amp;$CR$2398&amp;" "," ")," "&amp;$CR$2410&amp;" "," ")," "&amp;$CR$2397&amp;" "," ")," "&amp;$CR$2402&amp;" "," ")," "&amp;$CR$2405&amp;" "," ")," "&amp;$CR$2396&amp;" "," ")," "&amp;$CR$2404&amp;" "," ")," "&amp;$CR$2411&amp;" "," ")," "&amp;$CR$2408&amp;" "," ")," "&amp;$CR$2403&amp;" "," ")," "&amp;$CR$2407&amp;" "," ")," "&amp;$CR$2409&amp;" "," ")),"")</f>
        <v xml:space="preserve"> bulbes de fenouil </v>
      </c>
      <c r="CK12" s="1368">
        <f>IF(12=12,IF($U12="","",SUMPRODUCT(--ISNUMBER(SEARCH(" "&amp;$CR$2412:$CR$2416&amp;" ",$CJ12)))),"")</f>
        <v>0</v>
      </c>
      <c r="CL12" s="1368" t="str">
        <f>IF(12=12,IF($U12="","",IF(SUM(CG12:CI12)&gt;0,"X",IF(CK12&gt;0,"?",""))),"")</f>
        <v/>
      </c>
      <c r="CM12" s="1377"/>
      <c r="CN12" s="1388" t="s">
        <v>8217</v>
      </c>
      <c r="CO12" s="1388" t="s">
        <v>8105</v>
      </c>
      <c r="CP12" s="1388" t="s">
        <v>8106</v>
      </c>
      <c r="CQ12" s="1388" t="s">
        <v>8218</v>
      </c>
      <c r="CR12" s="1388" t="s">
        <v>8218</v>
      </c>
      <c r="CS12" s="1388" t="s">
        <v>8108</v>
      </c>
      <c r="CT12" s="1388" t="s">
        <v>8109</v>
      </c>
      <c r="CU12" s="1388" t="s">
        <v>8110</v>
      </c>
      <c r="CV12" s="1389" t="s">
        <v>8111</v>
      </c>
      <c r="CX12" s="1379">
        <v>1</v>
      </c>
    </row>
    <row r="13" spans="1:102" ht="21" customHeight="1" x14ac:dyDescent="0.25">
      <c r="A13" s="1412">
        <v>7</v>
      </c>
      <c r="B13" s="1413" t="s">
        <v>8219</v>
      </c>
      <c r="C13" s="1414" t="str">
        <f t="shared" si="0"/>
        <v>Carottes</v>
      </c>
      <c r="D13" s="1415" t="str">
        <f>IF(13=13,IF($B13="","",IF(E13="X",""&amp;"Céréales contenant du gluten","")&amp;IF(F13="X",IF(COUNTIF($E13:$E13,"X")&gt;0,", ","")&amp;"Crustacés","")&amp;IF(G13="X",IF(COUNTIF($E13:$F13,"X")&gt;0,", ","")&amp;"Œufs","")&amp;IF(H13="X",IF(COUNTIF($E13:$G13,"X")&gt;0,", ","")&amp;"Poissons","")&amp;IF(I13="X",IF(COUNTIF($E13:$H13,"X")&gt;0,", ","")&amp;"Arachides","")&amp;IF(J13="X",IF(COUNTIF($E13:$I13,"X")&gt;0,", ","")&amp;"Soja","")&amp;IF(K13="X",IF(COUNTIF($E13:$J13,"X")&gt;0,", ","")&amp;"Lait","")&amp;IF(L13="X",IF(COUNTIF($E13:$K13,"X")&gt;0,", ","")&amp;"Fruits à coque","")&amp;IF(M13="X",IF(COUNTIF($E13:$L13,"X")&gt;0,", ","")&amp;"Céleri","")&amp;IF(N13="X",IF(COUNTIF($E13:$M13,"X")&gt;0,", ","")&amp;"Moutarde","")&amp;IF(O13="X",IF(COUNTIF($E13:$N13,"X")&gt;0,", ","")&amp;"Sésame","")&amp;IF(P13="X",IF(COUNTIF($E13:$O13,"X")&gt;0,", ","")&amp;"Sulfites","")&amp;IF(Q13="X",IF(COUNTIF($E13:$P13,"X")&gt;0,", ","")&amp;"Lupin","")&amp;IF(R13="X",IF(COUNTIF($E13:$Q13,"X")&gt;0,", ","")&amp;"Mollusques","")),"")</f>
        <v/>
      </c>
      <c r="E13" s="1416" t="str">
        <f>IF(13=13,IF($B13="","",AF13),"")</f>
        <v/>
      </c>
      <c r="F13" s="1416" t="str">
        <f>IF(13=13,IF($B13="","",AI13),"")</f>
        <v/>
      </c>
      <c r="G13" s="1416" t="str">
        <f>IF(13=13,IF($B13="","",AM13),"")</f>
        <v/>
      </c>
      <c r="H13" s="1416" t="str">
        <f>IF(13=13,IF($B13="","",IF(ISNUMBER(SEARCH(" colin ",$AA13)),"X",AZ13)),"")</f>
        <v/>
      </c>
      <c r="I13" s="1416" t="str">
        <f>IF(13=13,IF($B13="","",BB13),"")</f>
        <v/>
      </c>
      <c r="J13" s="1416" t="str">
        <f>IF(13=13,IF($B13="","",BF13),"")</f>
        <v/>
      </c>
      <c r="K13" s="1416" t="str">
        <f>IF(13=13,IF($B13="","",BM13),"")</f>
        <v/>
      </c>
      <c r="L13" s="1416" t="str">
        <f>IF(13=13,IF($B13="","",BQ13),"")</f>
        <v/>
      </c>
      <c r="M13" s="1416" t="str">
        <f>IF(13=13,IF($B13="","",BT13),"")</f>
        <v/>
      </c>
      <c r="N13" s="1416" t="str">
        <f>IF(13=13,IF($B13="","",BW13),"")</f>
        <v/>
      </c>
      <c r="O13" s="1416" t="str">
        <f>IF(13=13,IF($B13="","",BZ13),"")</f>
        <v/>
      </c>
      <c r="P13" s="1416" t="str">
        <f>IF(13=13,IF($B13="","",CC13),"")</f>
        <v/>
      </c>
      <c r="Q13" s="1416" t="str">
        <f>IF(13=13,IF($B13="","",CF13),"")</f>
        <v/>
      </c>
      <c r="R13" s="1416" t="str">
        <f>IF(13=13,IF($B13="","",CL13),"")</f>
        <v/>
      </c>
      <c r="S13" s="1417" t="str">
        <f>IF(13=13,IF($B13="","",IF(E13="?",""&amp;"Céréales contenant du gluten","")&amp;IF(F13="?",IF(COUNTIF($E13:$E13,"~?")&gt;0,", ","")&amp;"Crustacés","")&amp;IF(G13="?",IF(COUNTIF($E13:$F13,"~?")&gt;0,", ","")&amp;"Œufs","")&amp;IF(H13="?",IF(COUNTIF($E13:$G13,"~?")&gt;0,", ","")&amp;"Poissons","")&amp;IF(I13="?",IF(COUNTIF($E13:$H13,"~?")&gt;0,", ","")&amp;"Arachides","")&amp;IF(J13="?",IF(COUNTIF($E13:$I13,"~?")&gt;0,", ","")&amp;"Soja","")&amp;IF(K13="?",IF(COUNTIF($E13:$J13,"~?")&gt;0,", ","")&amp;"Lait","")&amp;IF(L13="?",IF(COUNTIF($E13:$K13,"~?")&gt;0,", ","")&amp;"Fruits à coque","")&amp;IF(M13="?",IF(COUNTIF($E13:$L13,"~?")&gt;0,", ","")&amp;"Céleri","")&amp;IF(N13="?",IF(COUNTIF($E13:$M13,"~?")&gt;0,", ","")&amp;"Moutarde","")&amp;IF(O13="?",IF(COUNTIF($E13:$N13,"~?")&gt;0,", ","")&amp;"Sésame","")&amp;IF(P13="?",IF(COUNTIF($E13:$O13,"~?")&gt;0,", ","")&amp;"Sulfites","")&amp;IF(Q13="?",IF(COUNTIF($E13:$P13,"~?")&gt;0,", ","")&amp;"Lupin","")&amp;IF(R13="?",IF(COUNTIF($E13:$Q13,"~?")&gt;0,", ","")&amp;"Mollusques","")),"")</f>
        <v/>
      </c>
      <c r="U13" s="1368" t="str">
        <f>IF(13=13,IF($B13="","",$B13),"")</f>
        <v>Carottes</v>
      </c>
      <c r="V13" s="1368" t="str">
        <f>IF(13=13,LOWER(CLEAN(SUBSTITUTE(SUBSTITUTE(SUBSTITUTE(SUBSTITUTE($U13,CHAR(160)," ")," "," "),CHAR(10)," "),CHAR(13)," "))),"")</f>
        <v>carottes</v>
      </c>
      <c r="W13" s="1368" t="str">
        <f>IF(13=13,SUBSTITUTE(SUBSTITUTE(SUBSTITUTE(SUBSTITUTE(SUBSTITUTE(SUBSTITUTE(SUBSTITUTE(SUBSTITUTE(SUBSTITUTE(SUBSTITUTE(SUBSTITUTE(SUBSTITUTE($V13,"œ","oe"),"æ","ae"),"à","a"),"á","a"),"â","a"),"ä","a"),"ã","a"),"ç","c"),"è","e"),"é","e"),"ê","e"),"ë","e"),"")</f>
        <v>carottes</v>
      </c>
      <c r="X13" s="1368" t="str">
        <f>IF(13=13,SUBSTITUTE(SUBSTITUTE(SUBSTITUTE(SUBSTITUTE(SUBSTITUTE(SUBSTITUTE(SUBSTITUTE(SUBSTITUTE(SUBSTITUTE(SUBSTITUTE(SUBSTITUTE(SUBSTITUTE(SUBSTITUTE(SUBSTITUTE(SUBSTITUTE(SUBSTITUTE($W13,"ì","i"),"í","i"),"î","i"),"ï","i"),"ñ","n"),"ò","o"),"ó","o"),"ô","o"),"ö","o"),"õ","o"),"ù","u"),"ú","u"),"û","u"),"ü","u"),"ý","y"),"ÿ","y"),"")</f>
        <v>carottes</v>
      </c>
      <c r="Y13" s="1368" t="str">
        <f>IF(13=13,SUBSTITUTE(SUBSTITUTE(SUBSTITUTE(SUBSTITUTE(SUBSTITUTE(SUBSTITUTE(SUBSTITUTE(SUBSTITUTE(SUBSTITUTE(SUBSTITUTE(SUBSTITUTE(SUBSTITUTE(SUBSTITUTE(SUBSTITUTE($X13,"’"," "),"`"," "),"–"," "),"—"," "),"-"," "),"'"," "),"/"," "),"_"," "),","," "),"."," "),"("," "),")"," "),";"," "),":"," "),"")</f>
        <v>carottes</v>
      </c>
      <c r="Z13" s="1368" t="str">
        <f>IF(13=13,SUBSTITUTE(SUBSTITUTE(SUBSTITUTE(SUBSTITUTE(SUBSTITUTE(SUBSTITUTE(SUBSTITUTE(SUBSTITUTE(SUBSTITUTE(SUBSTITUTE(SUBSTITUTE(SUBSTITUTE(SUBSTITUTE(SUBSTITUTE(SUBSTITUTE($Y13,"!"," "),"?"," "),"+"," "),"*"," "),"&amp;"," "),"["," "),"]"," "),"{"," "),"}"," "),"%"," "),"="," "),"\"," "),"|"," "),"&lt;"," "),"&gt;"," "),"")</f>
        <v>carottes</v>
      </c>
      <c r="AA13" s="1368" t="str">
        <f>IF(13=13," "&amp;TRIM(SUBSTITUTE(SUBSTITUTE(SUBSTITUTE(SUBSTITUTE(SUBSTITUTE(SUBSTITUTE($Z13,CHAR(34)," "),"  "," "),"  "," "),"  "," "),"  "," "),"  "," "))&amp;" ","")</f>
        <v xml:space="preserve"> carottes </v>
      </c>
      <c r="AB13" s="1368">
        <f>IF(13=13,IF($U13="","",SUMPRODUCT(--ISNUMBER(SEARCH(" "&amp;$CR$2:$CR$101&amp;" ",$AD13)))),"")</f>
        <v>0</v>
      </c>
      <c r="AC13" s="1368">
        <f>IF(13=13,IF($U13="","",SUMPRODUCT(--ISNUMBER(SEARCH(" "&amp;$CR$102:$CR$151&amp;" ",$AD13)))),"")</f>
        <v>0</v>
      </c>
      <c r="AD13" s="1368" t="str">
        <f t="shared" si="1"/>
        <v xml:space="preserve"> carottes </v>
      </c>
      <c r="AE13" s="1368">
        <f t="shared" si="2"/>
        <v>0</v>
      </c>
      <c r="AF13" s="1368" t="str">
        <f>IF(13=13,IF($U13="","",IF(SUM(AB13:AC13)+SUMPRODUCT(--ISNUMBER(SEARCH(" "&amp;$CR$2418:$CR$2420&amp;" ",$AD13)))&gt;0,"X",IF(AE13&gt;0,"?",""))),"")</f>
        <v/>
      </c>
      <c r="AG13" s="1368">
        <f>IF(13=13,IF($U13="","",SUMPRODUCT(--ISNUMBER(SEARCH(" "&amp;$CR$206:$CR$305&amp;" ",$AA13)))),"")</f>
        <v>0</v>
      </c>
      <c r="AH13" s="1368">
        <f>IF(13=13,IF($U13="","",SUMPRODUCT(--ISNUMBER(SEARCH(" "&amp;$CR$306:$CR$340&amp;" ",$AA13)))),"")</f>
        <v>0</v>
      </c>
      <c r="AI13" s="1368" t="str">
        <f>IF(13=13,IF($U13="","",IF((SUM(AG13:AH13))-(0)&gt;0,"X",IF((0)-(0)&gt;0,"?",""))),"")</f>
        <v/>
      </c>
      <c r="AJ13" s="1368">
        <f>IF(13=13,IF($U13="","",SUMPRODUCT(--ISNUMBER(SEARCH(" "&amp;$CR$341:$CR$398&amp;" ",$AA13)))),"")</f>
        <v>0</v>
      </c>
      <c r="AK13" s="1368">
        <f>IF(13=13,IF($U13="","",SUMPRODUCT(--ISNUMBER(SEARCH(" "&amp;$CR$399:$CR$426&amp;" ",$AL13)))+SUMPRODUCT(--ISNUMBER(SEARCH(" "&amp;$CR$2440:$CR$2453&amp;" ",$AL13)))),"")</f>
        <v>0</v>
      </c>
      <c r="AL13" s="1368" t="str">
        <f>IF(13=13,IF($U13="","",SUBSTITUTE(SUBSTITUTE(SUBSTITUTE(SUBSTITUTE(SUBSTITUTE(SUBSTITUTE(SUBSTITUTE(SUBSTITUTE(SUBSTITUTE(SUBSTITUTE(SUBSTITUTE(SUBSTITUTE(SUBSTITUTE(SUBSTITUTE($AA13," "&amp;$CR$2455&amp;" "," ")," "&amp;$CR$433&amp;" "," ")," "&amp;$CR$431&amp;" "," ")," "&amp;$CR$2438&amp;" "," ")," "&amp;$CR$2439&amp;" "," ")," "&amp;$CR$428&amp;" "," ")," "&amp;$CR$432&amp;" "," ")," "&amp;$CR$434&amp;" "," ")," "&amp;$CR$429&amp;" "," ")," "&amp;$CR$427&amp;" "," ")," "&amp;$CR$1367&amp;" "," ")," "&amp;$CR$435&amp;" "," ")," "&amp;$CR$1366&amp;" "," ")," "&amp;$CR$430&amp;" "," ")),"")</f>
        <v xml:space="preserve"> carottes </v>
      </c>
      <c r="AM13" s="1368" t="str">
        <f>IF(13=13,IF($U13="","",IF(AJ13&gt;0,"X",IF(AK13&gt;0,"?",""))),"")</f>
        <v/>
      </c>
      <c r="AN13" s="1368">
        <f>IF(13=13,IF($U13="","",SUMPRODUCT(--ISNUMBER(SEARCH(" "&amp;$CR$436:$CR$535&amp;" ",$AX13)))),"")</f>
        <v>0</v>
      </c>
      <c r="AO13" s="1368">
        <f>IF(13=13,IF($U13="","",SUMPRODUCT(--ISNUMBER(SEARCH(" "&amp;$CR$536:$CR$635&amp;" ",$AX13)))),"")</f>
        <v>0</v>
      </c>
      <c r="AP13" s="1368">
        <f>IF(13=13,IF($U13="","",SUMPRODUCT(--ISNUMBER(SEARCH(" "&amp;$CR$636:$CR$735&amp;" ",$AX13)))),"")</f>
        <v>0</v>
      </c>
      <c r="AQ13" s="1368">
        <f>IF(13=13,IF($U13="","",SUMPRODUCT(--ISNUMBER(SEARCH(" "&amp;$CR$736:$CR$835&amp;" ",$AX13)))),"")</f>
        <v>0</v>
      </c>
      <c r="AR13" s="1368">
        <f>IF(13=13,IF($U13="","",SUMPRODUCT(--ISNUMBER(SEARCH(" "&amp;$CR$836:$CR$935&amp;" ",$AX13)))),"")</f>
        <v>0</v>
      </c>
      <c r="AS13" s="1368">
        <f>IF(13=13,IF($U13="","",SUMPRODUCT(--ISNUMBER(SEARCH(" "&amp;$CR$936:$CR$1035&amp;" ",$AX13)))),"")</f>
        <v>0</v>
      </c>
      <c r="AT13" s="1368">
        <f>IF(13=13,IF($U13="","",SUMPRODUCT(--ISNUMBER(SEARCH(" "&amp;$CR$1036:$CR$1135&amp;" ",$AX13)))),"")</f>
        <v>0</v>
      </c>
      <c r="AU13" s="1368">
        <f>IF(13=13,IF($U13="","",SUMPRODUCT(--ISNUMBER(SEARCH(" "&amp;$CR$1136:$CR$1235&amp;" ",$AX13)))),"")</f>
        <v>0</v>
      </c>
      <c r="AV13" s="1368">
        <f>IF(13=13,IF($U13="","",SUMPRODUCT(--ISNUMBER(SEARCH(" "&amp;$CR$1236:$CR$1335&amp;" ",$AX13)))),"")</f>
        <v>0</v>
      </c>
      <c r="AW13" s="1368">
        <f>IF(13=13,IF($U13="","",SUMPRODUCT(--ISNUMBER(SEARCH(" "&amp;$CR$1336:$CR$1363&amp;" ",$AX13)))),"")</f>
        <v>0</v>
      </c>
      <c r="AX13" s="1368" t="str">
        <f>IF(13=13,IF($U13="","",SUBSTITUTE(SUBSTITUTE(SUBSTITUTE(SUBSTITUTE(SUBSTITUTE(SUBSTITUTE(SUBSTITUTE(SUBSTITUTE(SUBSTITUTE($AA13," "&amp;$CR$1365&amp;" "," ")," "&amp;$CR$1364&amp;" "," ")," "&amp;$CR$1370&amp;" "," ")," "&amp;$CR$1371&amp;" "," ")," "&amp;$CR$1367&amp;" "," ")," "&amp;$CR$1369&amp;" "," ")," "&amp;$CR$1366&amp;" "," ")," "&amp;$CR$1368&amp;" "," ")," "&amp;$CR$1372&amp;" "," ")),"")</f>
        <v xml:space="preserve"> carottes </v>
      </c>
      <c r="AY13" s="1368">
        <f>IF(13=13,IF($U13="","",SUMPRODUCT(--ISNUMBER(SEARCH(" "&amp;$CR$1373:$CR$1383&amp;" ",$AX13)))),"")</f>
        <v>0</v>
      </c>
      <c r="AZ13" s="1368" t="str">
        <f>IF(13=13,IF($U13="","",IF(SUM(AN13:AW13)+SUMPRODUCT(--ISNUMBER(SEARCH(" "&amp;$CR$2421:$CR$2422&amp;" ",$AX13)))&gt;0,"X",IF(AY13&gt;0,"?",""))),"")</f>
        <v/>
      </c>
      <c r="BA13" s="1368">
        <f>IF(13=13,IF($U13="","",SUMPRODUCT(--ISNUMBER(SEARCH(" "&amp;$CR$1384:$CR$1404&amp;" ",$AA13)))),"")</f>
        <v>0</v>
      </c>
      <c r="BB13" s="1368" t="str">
        <f>IF(13=13,IF($U13="","",IF((BA13)-(0)&gt;0,"X",IF((0)-(0)&gt;0,"?",""))),"")</f>
        <v/>
      </c>
      <c r="BC13" s="1368">
        <f>IF(13=13,IF($U13="","",SUMPRODUCT(--ISNUMBER(SEARCH(" "&amp;$CR$1405:$CR$1442&amp;" ",$BD13)))),"")</f>
        <v>0</v>
      </c>
      <c r="BD13" s="1368" t="str">
        <f>IF(13=13,IF($U13="","",SUBSTITUTE(SUBSTITUTE($AA13," "&amp;$CR$1443&amp;" "," ")," "&amp;$CR$1444&amp;" "," ")),"")</f>
        <v xml:space="preserve"> carottes </v>
      </c>
      <c r="BE13" s="1368">
        <f>IF(13=13,IF($U13="","",SUMPRODUCT(--ISNUMBER(SEARCH(" "&amp;$CR$1445:$CR$1455&amp;" ",$BD13)))),"")</f>
        <v>0</v>
      </c>
      <c r="BF13" s="1368" t="str">
        <f>IF(13=13,IF($U13="","",IF(BC13&gt;0,"X",IF(BE13&gt;0,"?",""))),"")</f>
        <v/>
      </c>
      <c r="BG13" s="1368">
        <f>IF(13=13,IF($U13="","",SUMPRODUCT(--ISNUMBER(SEARCH(" "&amp;$CR$1456:$CR$1555&amp;" ",$BJ13)))),"")</f>
        <v>0</v>
      </c>
      <c r="BH13" s="1368">
        <f>IF(13=13,IF($U13="","",SUMPRODUCT(--ISNUMBER(SEARCH(" "&amp;$CR$1556:$CR$1655&amp;" ",$BJ13)))),"")</f>
        <v>0</v>
      </c>
      <c r="BI13" s="1368">
        <f>IF(13=13,IF($U13="","",SUMPRODUCT(--ISNUMBER(SEARCH(" "&amp;$CR$1656:$CR$1739&amp;" ",$BJ13)))),"")</f>
        <v>0</v>
      </c>
      <c r="BJ13" s="1368" t="str">
        <f>IF(13=13,IF($U13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carottes </v>
      </c>
      <c r="BK13" s="1368">
        <f>IF(13=13,IF($U13="","",SUMPRODUCT(--ISNUMBER(SEARCH(" "&amp;$CR$1790:$CR$1869&amp;" ",$BL13)))+SUMPRODUCT(--ISNUMBER(SEARCH(" "&amp;$CR$2440:$CR$2453&amp;" ",$BL13)))),"")</f>
        <v>0</v>
      </c>
      <c r="BL13" s="1368" t="str">
        <f>IF(13=13,IF($U13="","",SUBSTITUTE(SUBSTITUTE(SUBSTITUTE(SUBSTITUTE(SUBSTITUTE(SUBSTITUTE(SUBSTITUTE(SUBSTITUTE(SUBSTITUTE(SUBSTITUTE(SUBSTITUTE(SUBSTITUTE(SUBSTITUTE($BJ13," "&amp;$CR$1876&amp;" "," ")," "&amp;$CR$1874&amp;" "," ")," "&amp;$CR$2438&amp;" "," ")," "&amp;$CR$2439&amp;" "," ")," "&amp;$CR$1871&amp;" "," ")," "&amp;$CR$1875&amp;" "," ")," "&amp;$CR$1877&amp;" "," ")," "&amp;$CR$1872&amp;" "," ")," "&amp;$CR$1870&amp;" "," ")," "&amp;$CR$1367&amp;" "," ")," "&amp;$CR$1878&amp;" "," ")," "&amp;$CR$1366&amp;" "," ")," "&amp;$CR$1873&amp;" "," ")),"")</f>
        <v xml:space="preserve"> carottes </v>
      </c>
      <c r="BM13" s="1368" t="str">
        <f>IF(13=13,IF($U13="","",IF(SUM(BG13:BI13)+SUMPRODUCT(--ISNUMBER(SEARCH(" "&amp;$CR$2423:$CR$2424&amp;" ",$BJ13)))&gt;0,"X",IF(BK13&gt;0,"?",""))),"")</f>
        <v/>
      </c>
      <c r="BN13" s="1368">
        <f>IF(13=13,IF($U13="","",SUMPRODUCT(--ISNUMBER(SEARCH(" "&amp;$CR$1879:$CR$1936&amp;" ",$BO13)))),"")</f>
        <v>0</v>
      </c>
      <c r="BO13" s="1368" t="str">
        <f>IF(13=13,IF($U13="","",SUBSTITUTE(SUBSTITUTE(SUBSTITUTE(SUBSTITUTE(SUBSTITUTE(SUBSTITUTE(SUBSTITUTE(SUBSTITUTE(SUBSTITUTE(SUBSTITUTE(SUBSTITUTE(SUBSTITUTE(SUBSTITUTE(SUBSTITUTE(SUBSTITUTE(SUBSTITUTE(SUBSTITUTE(SUBSTITUTE(SUBSTITUTE(SUBSTITUTE(SUBSTITUTE(SUBSTITUTE(SUBSTITUTE($AA13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carottes </v>
      </c>
      <c r="BP13" s="1368">
        <f>IF(13=13,IF($U13="","",SUMPRODUCT(--ISNUMBER(SEARCH(" "&amp;$CR$1960:$CR$1976&amp;" ",$BO13)))),"")</f>
        <v>0</v>
      </c>
      <c r="BQ13" s="1368" t="str">
        <f>IF(13=13,IF($U13="","",IF(BN13&gt;0,"X",IF(BP13&gt;0,"?",""))),"")</f>
        <v/>
      </c>
      <c r="BR13" s="1368">
        <f>IF(13=13,IF($U13="","",SUMPRODUCT(--ISNUMBER(SEARCH(" "&amp;$CR$1977:$CR$1990&amp;" ",$AA13)))),"")</f>
        <v>0</v>
      </c>
      <c r="BS13" s="1368">
        <f>IF(13=13,IF($U13="","",SUMPRODUCT(--ISNUMBER(SEARCH(" "&amp;$CR$1991:$CR$2005&amp;" ",$AA13)))),"")</f>
        <v>0</v>
      </c>
      <c r="BT13" s="1368" t="str">
        <f>IF(13=13,IF($U13="","",IF((BR13)-(0)&gt;0,"X",IF((BS13)-(0)&gt;0,"?",""))),"")</f>
        <v/>
      </c>
      <c r="BU13" s="1368">
        <f>IF(13=13,IF($U13="","",SUMPRODUCT(--ISNUMBER(SEARCH(" "&amp;$CR$2006:$CR$2023&amp;" ",$AA13)))),"")</f>
        <v>0</v>
      </c>
      <c r="BV13" s="1368">
        <f>IF(13=13,IF($U13="","",SUMPRODUCT(--ISNUMBER(SEARCH(" "&amp;$CR$2024:$CR$2038&amp;" ",$AA13)))),"")</f>
        <v>0</v>
      </c>
      <c r="BW13" s="1368" t="str">
        <f>IF(13=13,IF($U13="","",IF((BU13)-(0)&gt;0,"X",IF((BV13)-(0)&gt;0,"?",""))),"")</f>
        <v/>
      </c>
      <c r="BX13" s="1368">
        <f>IF(13=13,IF($U13="","",SUMPRODUCT(--ISNUMBER(SEARCH(" "&amp;$CR$2039:$CR$2057&amp;" ",$AA13)))),"")</f>
        <v>0</v>
      </c>
      <c r="BY13" s="1368">
        <f>IF(13=13,IF($U13="","",SUMPRODUCT(--ISNUMBER(SEARCH(" "&amp;$CR$2058:$CR$2072&amp;" ",$AA13)))),"")</f>
        <v>0</v>
      </c>
      <c r="BZ13" s="1368" t="str">
        <f>IF(13=13,IF($U13="","",IF((BX13)-(0)&gt;0,"X",IF((BY13)-(0)&gt;0,"?",""))),"")</f>
        <v/>
      </c>
      <c r="CA13" s="1368">
        <f>IF(13=13,IF($U13="","",SUMPRODUCT(--ISNUMBER(SEARCH(" "&amp;$CR$2073:$CR$2093&amp;" ",$AA13)))),"")</f>
        <v>0</v>
      </c>
      <c r="CB13" s="1368">
        <f>IF(13=13,IF($U13="","",SUMPRODUCT(--ISNUMBER(SEARCH(" "&amp;$CR$2094:$CR$2133&amp;" ",SUBSTITUTE(SUBSTITUTE($AA13," "&amp;$CR$1367&amp;" "," ")," "&amp;$CR$1366&amp;" "," "))))+--ISNUMBER(SEARCH("poiré",$V13))),"")</f>
        <v>0</v>
      </c>
      <c r="CC13" s="1368" t="str">
        <f>IF(13=13,IF($U13="","",IF(OR(CA13&gt;0,ISNUMBER(SEARCH(" vinaigre de vin ",$AA13)),ISNUMBER(SEARCH(" vinaigre au vin ",$AA13))),"X",IF(CB13&gt;0,"?",""))),"")</f>
        <v/>
      </c>
      <c r="CD13" s="1368">
        <f>IF(13=13,IF($U13="","",SUMPRODUCT(--ISNUMBER(SEARCH(" "&amp;$CR$2134:$CR$2146&amp;" ",$AA13)))),"")</f>
        <v>0</v>
      </c>
      <c r="CE13" s="1368">
        <f>IF(13=13,IF($U13="","",SUMPRODUCT(--ISNUMBER(SEARCH(" "&amp;$CR$2147:$CR$2152&amp;" ",$AA13)))),"")</f>
        <v>0</v>
      </c>
      <c r="CF13" s="1368" t="str">
        <f>IF(13=13,IF($U13="","",IF((CD13)-(0)&gt;0,"X",IF((CE13)-(0)&gt;0,"?",""))),"")</f>
        <v/>
      </c>
      <c r="CG13" s="1368">
        <f>IF(13=13,IF($U13="","",SUMPRODUCT(--ISNUMBER(SEARCH(" "&amp;$CR$2153:$CR$2252&amp;" ",$CJ13)))),"")</f>
        <v>0</v>
      </c>
      <c r="CH13" s="1368">
        <f>IF(13=13,IF($U13="","",SUMPRODUCT(--ISNUMBER(SEARCH(" "&amp;$CR$2253:$CR$2352&amp;" ",$CJ13)))),"")</f>
        <v>0</v>
      </c>
      <c r="CI13" s="1368">
        <f>IF(13=13,IF($U13="","",SUMPRODUCT(--ISNUMBER(SEARCH(" "&amp;$CR$2353:$CR$2395&amp;" ",$CJ13)))),"")</f>
        <v>0</v>
      </c>
      <c r="CJ13" s="1368" t="str">
        <f>IF(13=13,IF($U13="","",SUBSTITUTE(SUBSTITUTE(SUBSTITUTE(SUBSTITUTE(SUBSTITUTE(SUBSTITUTE(SUBSTITUTE(SUBSTITUTE(SUBSTITUTE(SUBSTITUTE(SUBSTITUTE(SUBSTITUTE(SUBSTITUTE(SUBSTITUTE(SUBSTITUTE(SUBSTITUTE($AA13," "&amp;$CR$2401&amp;" "," ")," "&amp;$CR$2400&amp;" "," ")," "&amp;$CR$2399&amp;" "," ")," "&amp;$CR$2406&amp;" "," ")," "&amp;$CR$2398&amp;" "," ")," "&amp;$CR$2410&amp;" "," ")," "&amp;$CR$2397&amp;" "," ")," "&amp;$CR$2402&amp;" "," ")," "&amp;$CR$2405&amp;" "," ")," "&amp;$CR$2396&amp;" "," ")," "&amp;$CR$2404&amp;" "," ")," "&amp;$CR$2411&amp;" "," ")," "&amp;$CR$2408&amp;" "," ")," "&amp;$CR$2403&amp;" "," ")," "&amp;$CR$2407&amp;" "," ")," "&amp;$CR$2409&amp;" "," ")),"")</f>
        <v xml:space="preserve"> carottes </v>
      </c>
      <c r="CK13" s="1368">
        <f>IF(13=13,IF($U13="","",SUMPRODUCT(--ISNUMBER(SEARCH(" "&amp;$CR$2412:$CR$2416&amp;" ",$CJ13)))),"")</f>
        <v>0</v>
      </c>
      <c r="CL13" s="1368" t="str">
        <f>IF(13=13,IF($U13="","",IF(SUM(CG13:CI13)&gt;0,"X",IF(CK13&gt;0,"?",""))),"")</f>
        <v/>
      </c>
      <c r="CM13" s="1377"/>
      <c r="CN13" s="1388" t="s">
        <v>8220</v>
      </c>
      <c r="CO13" s="1388" t="s">
        <v>8105</v>
      </c>
      <c r="CP13" s="1388" t="s">
        <v>8106</v>
      </c>
      <c r="CQ13" s="1388" t="s">
        <v>3101</v>
      </c>
      <c r="CR13" s="1388" t="s">
        <v>3101</v>
      </c>
      <c r="CS13" s="1388" t="s">
        <v>8108</v>
      </c>
      <c r="CT13" s="1388" t="s">
        <v>8109</v>
      </c>
      <c r="CU13" s="1388" t="s">
        <v>8110</v>
      </c>
      <c r="CV13" s="1389" t="s">
        <v>8111</v>
      </c>
      <c r="CX13" s="1379">
        <v>1</v>
      </c>
    </row>
    <row r="14" spans="1:102" ht="21" customHeight="1" x14ac:dyDescent="0.25">
      <c r="A14" s="1412">
        <v>8</v>
      </c>
      <c r="B14" s="1413" t="s">
        <v>8221</v>
      </c>
      <c r="C14" s="1414" t="str">
        <f t="shared" si="0"/>
        <v>Chorizo</v>
      </c>
      <c r="D14" s="1415" t="str">
        <f>IF(14=14,IF($B14="","",IF(E14="X",""&amp;"Céréales contenant du gluten","")&amp;IF(F14="X",IF(COUNTIF($E14:$E14,"X")&gt;0,", ","")&amp;"Crustacés","")&amp;IF(G14="X",IF(COUNTIF($E14:$F14,"X")&gt;0,", ","")&amp;"Œufs","")&amp;IF(H14="X",IF(COUNTIF($E14:$G14,"X")&gt;0,", ","")&amp;"Poissons","")&amp;IF(I14="X",IF(COUNTIF($E14:$H14,"X")&gt;0,", ","")&amp;"Arachides","")&amp;IF(J14="X",IF(COUNTIF($E14:$I14,"X")&gt;0,", ","")&amp;"Soja","")&amp;IF(K14="X",IF(COUNTIF($E14:$J14,"X")&gt;0,", ","")&amp;"Lait","")&amp;IF(L14="X",IF(COUNTIF($E14:$K14,"X")&gt;0,", ","")&amp;"Fruits à coque","")&amp;IF(M14="X",IF(COUNTIF($E14:$L14,"X")&gt;0,", ","")&amp;"Céleri","")&amp;IF(N14="X",IF(COUNTIF($E14:$M14,"X")&gt;0,", ","")&amp;"Moutarde","")&amp;IF(O14="X",IF(COUNTIF($E14:$N14,"X")&gt;0,", ","")&amp;"Sésame","")&amp;IF(P14="X",IF(COUNTIF($E14:$O14,"X")&gt;0,", ","")&amp;"Sulfites","")&amp;IF(Q14="X",IF(COUNTIF($E14:$P14,"X")&gt;0,", ","")&amp;"Lupin","")&amp;IF(R14="X",IF(COUNTIF($E14:$Q14,"X")&gt;0,", ","")&amp;"Mollusques","")),"")</f>
        <v/>
      </c>
      <c r="E14" s="1416" t="str">
        <f>IF(14=14,IF($B14="","",AF14),"")</f>
        <v/>
      </c>
      <c r="F14" s="1416" t="str">
        <f>IF(14=14,IF($B14="","",AI14),"")</f>
        <v/>
      </c>
      <c r="G14" s="1416" t="str">
        <f>IF(14=14,IF($B14="","",AM14),"")</f>
        <v/>
      </c>
      <c r="H14" s="1416" t="str">
        <f>IF(14=14,IF($B14="","",IF(ISNUMBER(SEARCH(" colin ",$AA14)),"X",AZ14)),"")</f>
        <v/>
      </c>
      <c r="I14" s="1416" t="str">
        <f>IF(14=14,IF($B14="","",BB14),"")</f>
        <v/>
      </c>
      <c r="J14" s="1416" t="str">
        <f>IF(14=14,IF($B14="","",BF14),"")</f>
        <v/>
      </c>
      <c r="K14" s="1416" t="str">
        <f>IF(14=14,IF($B14="","",BM14),"")</f>
        <v/>
      </c>
      <c r="L14" s="1416" t="str">
        <f>IF(14=14,IF($B14="","",BQ14),"")</f>
        <v/>
      </c>
      <c r="M14" s="1416" t="str">
        <f>IF(14=14,IF($B14="","",BT14),"")</f>
        <v/>
      </c>
      <c r="N14" s="1416" t="str">
        <f>IF(14=14,IF($B14="","",BW14),"")</f>
        <v/>
      </c>
      <c r="O14" s="1416" t="str">
        <f>IF(14=14,IF($B14="","",BZ14),"")</f>
        <v/>
      </c>
      <c r="P14" s="1416" t="str">
        <f>IF(14=14,IF($B14="","",CC14),"")</f>
        <v/>
      </c>
      <c r="Q14" s="1416" t="str">
        <f>IF(14=14,IF($B14="","",CF14),"")</f>
        <v/>
      </c>
      <c r="R14" s="1416" t="str">
        <f>IF(14=14,IF($B14="","",CL14),"")</f>
        <v/>
      </c>
      <c r="S14" s="1417" t="str">
        <f>IF(14=14,IF($B14="","",IF(E14="?",""&amp;"Céréales contenant du gluten","")&amp;IF(F14="?",IF(COUNTIF($E14:$E14,"~?")&gt;0,", ","")&amp;"Crustacés","")&amp;IF(G14="?",IF(COUNTIF($E14:$F14,"~?")&gt;0,", ","")&amp;"Œufs","")&amp;IF(H14="?",IF(COUNTIF($E14:$G14,"~?")&gt;0,", ","")&amp;"Poissons","")&amp;IF(I14="?",IF(COUNTIF($E14:$H14,"~?")&gt;0,", ","")&amp;"Arachides","")&amp;IF(J14="?",IF(COUNTIF($E14:$I14,"~?")&gt;0,", ","")&amp;"Soja","")&amp;IF(K14="?",IF(COUNTIF($E14:$J14,"~?")&gt;0,", ","")&amp;"Lait","")&amp;IF(L14="?",IF(COUNTIF($E14:$K14,"~?")&gt;0,", ","")&amp;"Fruits à coque","")&amp;IF(M14="?",IF(COUNTIF($E14:$L14,"~?")&gt;0,", ","")&amp;"Céleri","")&amp;IF(N14="?",IF(COUNTIF($E14:$M14,"~?")&gt;0,", ","")&amp;"Moutarde","")&amp;IF(O14="?",IF(COUNTIF($E14:$N14,"~?")&gt;0,", ","")&amp;"Sésame","")&amp;IF(P14="?",IF(COUNTIF($E14:$O14,"~?")&gt;0,", ","")&amp;"Sulfites","")&amp;IF(Q14="?",IF(COUNTIF($E14:$P14,"~?")&gt;0,", ","")&amp;"Lupin","")&amp;IF(R14="?",IF(COUNTIF($E14:$Q14,"~?")&gt;0,", ","")&amp;"Mollusques","")),"")</f>
        <v/>
      </c>
      <c r="U14" s="1368" t="str">
        <f>IF(14=14,IF($B14="","",$B14),"")</f>
        <v>Chorizo</v>
      </c>
      <c r="V14" s="1368" t="str">
        <f>IF(14=14,LOWER(CLEAN(SUBSTITUTE(SUBSTITUTE(SUBSTITUTE(SUBSTITUTE($U14,CHAR(160)," ")," "," "),CHAR(10)," "),CHAR(13)," "))),"")</f>
        <v>chorizo</v>
      </c>
      <c r="W14" s="1368" t="str">
        <f>IF(14=14,SUBSTITUTE(SUBSTITUTE(SUBSTITUTE(SUBSTITUTE(SUBSTITUTE(SUBSTITUTE(SUBSTITUTE(SUBSTITUTE(SUBSTITUTE(SUBSTITUTE(SUBSTITUTE(SUBSTITUTE($V14,"œ","oe"),"æ","ae"),"à","a"),"á","a"),"â","a"),"ä","a"),"ã","a"),"ç","c"),"è","e"),"é","e"),"ê","e"),"ë","e"),"")</f>
        <v>chorizo</v>
      </c>
      <c r="X14" s="1368" t="str">
        <f>IF(14=14,SUBSTITUTE(SUBSTITUTE(SUBSTITUTE(SUBSTITUTE(SUBSTITUTE(SUBSTITUTE(SUBSTITUTE(SUBSTITUTE(SUBSTITUTE(SUBSTITUTE(SUBSTITUTE(SUBSTITUTE(SUBSTITUTE(SUBSTITUTE(SUBSTITUTE(SUBSTITUTE($W14,"ì","i"),"í","i"),"î","i"),"ï","i"),"ñ","n"),"ò","o"),"ó","o"),"ô","o"),"ö","o"),"õ","o"),"ù","u"),"ú","u"),"û","u"),"ü","u"),"ý","y"),"ÿ","y"),"")</f>
        <v>chorizo</v>
      </c>
      <c r="Y14" s="1368" t="str">
        <f>IF(14=14,SUBSTITUTE(SUBSTITUTE(SUBSTITUTE(SUBSTITUTE(SUBSTITUTE(SUBSTITUTE(SUBSTITUTE(SUBSTITUTE(SUBSTITUTE(SUBSTITUTE(SUBSTITUTE(SUBSTITUTE(SUBSTITUTE(SUBSTITUTE($X14,"’"," "),"`"," "),"–"," "),"—"," "),"-"," "),"'"," "),"/"," "),"_"," "),","," "),"."," "),"("," "),")"," "),";"," "),":"," "),"")</f>
        <v>chorizo</v>
      </c>
      <c r="Z14" s="1368" t="str">
        <f>IF(14=14,SUBSTITUTE(SUBSTITUTE(SUBSTITUTE(SUBSTITUTE(SUBSTITUTE(SUBSTITUTE(SUBSTITUTE(SUBSTITUTE(SUBSTITUTE(SUBSTITUTE(SUBSTITUTE(SUBSTITUTE(SUBSTITUTE(SUBSTITUTE(SUBSTITUTE($Y14,"!"," "),"?"," "),"+"," "),"*"," "),"&amp;"," "),"["," "),"]"," "),"{"," "),"}"," "),"%"," "),"="," "),"\"," "),"|"," "),"&lt;"," "),"&gt;"," "),"")</f>
        <v>chorizo</v>
      </c>
      <c r="AA14" s="1368" t="str">
        <f>IF(14=14," "&amp;TRIM(SUBSTITUTE(SUBSTITUTE(SUBSTITUTE(SUBSTITUTE(SUBSTITUTE(SUBSTITUTE($Z14,CHAR(34)," "),"  "," "),"  "," "),"  "," "),"  "," "),"  "," "))&amp;" ","")</f>
        <v xml:space="preserve"> chorizo </v>
      </c>
      <c r="AB14" s="1368">
        <f>IF(14=14,IF($U14="","",SUMPRODUCT(--ISNUMBER(SEARCH(" "&amp;$CR$2:$CR$101&amp;" ",$AD14)))),"")</f>
        <v>0</v>
      </c>
      <c r="AC14" s="1368">
        <f>IF(14=14,IF($U14="","",SUMPRODUCT(--ISNUMBER(SEARCH(" "&amp;$CR$102:$CR$151&amp;" ",$AD14)))),"")</f>
        <v>0</v>
      </c>
      <c r="AD14" s="1368" t="str">
        <f t="shared" si="1"/>
        <v xml:space="preserve"> chorizo </v>
      </c>
      <c r="AE14" s="1368">
        <f t="shared" si="2"/>
        <v>0</v>
      </c>
      <c r="AF14" s="1368" t="str">
        <f>IF(14=14,IF($U14="","",IF(SUM(AB14:AC14)+SUMPRODUCT(--ISNUMBER(SEARCH(" "&amp;$CR$2418:$CR$2420&amp;" ",$AD14)))&gt;0,"X",IF(AE14&gt;0,"?",""))),"")</f>
        <v/>
      </c>
      <c r="AG14" s="1368">
        <f>IF(14=14,IF($U14="","",SUMPRODUCT(--ISNUMBER(SEARCH(" "&amp;$CR$206:$CR$305&amp;" ",$AA14)))),"")</f>
        <v>0</v>
      </c>
      <c r="AH14" s="1368">
        <f>IF(14=14,IF($U14="","",SUMPRODUCT(--ISNUMBER(SEARCH(" "&amp;$CR$306:$CR$340&amp;" ",$AA14)))),"")</f>
        <v>0</v>
      </c>
      <c r="AI14" s="1368" t="str">
        <f>IF(14=14,IF($U14="","",IF((SUM(AG14:AH14))-(0)&gt;0,"X",IF((0)-(0)&gt;0,"?",""))),"")</f>
        <v/>
      </c>
      <c r="AJ14" s="1368">
        <f>IF(14=14,IF($U14="","",SUMPRODUCT(--ISNUMBER(SEARCH(" "&amp;$CR$341:$CR$398&amp;" ",$AA14)))),"")</f>
        <v>0</v>
      </c>
      <c r="AK14" s="1368">
        <f>IF(14=14,IF($U14="","",SUMPRODUCT(--ISNUMBER(SEARCH(" "&amp;$CR$399:$CR$426&amp;" ",$AL14)))+SUMPRODUCT(--ISNUMBER(SEARCH(" "&amp;$CR$2440:$CR$2453&amp;" ",$AL14)))),"")</f>
        <v>0</v>
      </c>
      <c r="AL14" s="1368" t="str">
        <f>IF(14=14,IF($U14="","",SUBSTITUTE(SUBSTITUTE(SUBSTITUTE(SUBSTITUTE(SUBSTITUTE(SUBSTITUTE(SUBSTITUTE(SUBSTITUTE(SUBSTITUTE(SUBSTITUTE(SUBSTITUTE(SUBSTITUTE(SUBSTITUTE(SUBSTITUTE($AA14," "&amp;$CR$2455&amp;" "," ")," "&amp;$CR$433&amp;" "," ")," "&amp;$CR$431&amp;" "," ")," "&amp;$CR$2438&amp;" "," ")," "&amp;$CR$2439&amp;" "," ")," "&amp;$CR$428&amp;" "," ")," "&amp;$CR$432&amp;" "," ")," "&amp;$CR$434&amp;" "," ")," "&amp;$CR$429&amp;" "," ")," "&amp;$CR$427&amp;" "," ")," "&amp;$CR$1367&amp;" "," ")," "&amp;$CR$435&amp;" "," ")," "&amp;$CR$1366&amp;" "," ")," "&amp;$CR$430&amp;" "," ")),"")</f>
        <v xml:space="preserve"> chorizo </v>
      </c>
      <c r="AM14" s="1368" t="str">
        <f>IF(14=14,IF($U14="","",IF(AJ14&gt;0,"X",IF(AK14&gt;0,"?",""))),"")</f>
        <v/>
      </c>
      <c r="AN14" s="1368">
        <f>IF(14=14,IF($U14="","",SUMPRODUCT(--ISNUMBER(SEARCH(" "&amp;$CR$436:$CR$535&amp;" ",$AX14)))),"")</f>
        <v>0</v>
      </c>
      <c r="AO14" s="1368">
        <f>IF(14=14,IF($U14="","",SUMPRODUCT(--ISNUMBER(SEARCH(" "&amp;$CR$536:$CR$635&amp;" ",$AX14)))),"")</f>
        <v>0</v>
      </c>
      <c r="AP14" s="1368">
        <f>IF(14=14,IF($U14="","",SUMPRODUCT(--ISNUMBER(SEARCH(" "&amp;$CR$636:$CR$735&amp;" ",$AX14)))),"")</f>
        <v>0</v>
      </c>
      <c r="AQ14" s="1368">
        <f>IF(14=14,IF($U14="","",SUMPRODUCT(--ISNUMBER(SEARCH(" "&amp;$CR$736:$CR$835&amp;" ",$AX14)))),"")</f>
        <v>0</v>
      </c>
      <c r="AR14" s="1368">
        <f>IF(14=14,IF($U14="","",SUMPRODUCT(--ISNUMBER(SEARCH(" "&amp;$CR$836:$CR$935&amp;" ",$AX14)))),"")</f>
        <v>0</v>
      </c>
      <c r="AS14" s="1368">
        <f>IF(14=14,IF($U14="","",SUMPRODUCT(--ISNUMBER(SEARCH(" "&amp;$CR$936:$CR$1035&amp;" ",$AX14)))),"")</f>
        <v>0</v>
      </c>
      <c r="AT14" s="1368">
        <f>IF(14=14,IF($U14="","",SUMPRODUCT(--ISNUMBER(SEARCH(" "&amp;$CR$1036:$CR$1135&amp;" ",$AX14)))),"")</f>
        <v>0</v>
      </c>
      <c r="AU14" s="1368">
        <f>IF(14=14,IF($U14="","",SUMPRODUCT(--ISNUMBER(SEARCH(" "&amp;$CR$1136:$CR$1235&amp;" ",$AX14)))),"")</f>
        <v>0</v>
      </c>
      <c r="AV14" s="1368">
        <f>IF(14=14,IF($U14="","",SUMPRODUCT(--ISNUMBER(SEARCH(" "&amp;$CR$1236:$CR$1335&amp;" ",$AX14)))),"")</f>
        <v>0</v>
      </c>
      <c r="AW14" s="1368">
        <f>IF(14=14,IF($U14="","",SUMPRODUCT(--ISNUMBER(SEARCH(" "&amp;$CR$1336:$CR$1363&amp;" ",$AX14)))),"")</f>
        <v>0</v>
      </c>
      <c r="AX14" s="1368" t="str">
        <f>IF(14=14,IF($U14="","",SUBSTITUTE(SUBSTITUTE(SUBSTITUTE(SUBSTITUTE(SUBSTITUTE(SUBSTITUTE(SUBSTITUTE(SUBSTITUTE(SUBSTITUTE($AA14," "&amp;$CR$1365&amp;" "," ")," "&amp;$CR$1364&amp;" "," ")," "&amp;$CR$1370&amp;" "," ")," "&amp;$CR$1371&amp;" "," ")," "&amp;$CR$1367&amp;" "," ")," "&amp;$CR$1369&amp;" "," ")," "&amp;$CR$1366&amp;" "," ")," "&amp;$CR$1368&amp;" "," ")," "&amp;$CR$1372&amp;" "," ")),"")</f>
        <v xml:space="preserve"> chorizo </v>
      </c>
      <c r="AY14" s="1368">
        <f>IF(14=14,IF($U14="","",SUMPRODUCT(--ISNUMBER(SEARCH(" "&amp;$CR$1373:$CR$1383&amp;" ",$AX14)))),"")</f>
        <v>0</v>
      </c>
      <c r="AZ14" s="1368" t="str">
        <f>IF(14=14,IF($U14="","",IF(SUM(AN14:AW14)+SUMPRODUCT(--ISNUMBER(SEARCH(" "&amp;$CR$2421:$CR$2422&amp;" ",$AX14)))&gt;0,"X",IF(AY14&gt;0,"?",""))),"")</f>
        <v/>
      </c>
      <c r="BA14" s="1368">
        <f>IF(14=14,IF($U14="","",SUMPRODUCT(--ISNUMBER(SEARCH(" "&amp;$CR$1384:$CR$1404&amp;" ",$AA14)))),"")</f>
        <v>0</v>
      </c>
      <c r="BB14" s="1368" t="str">
        <f>IF(14=14,IF($U14="","",IF((BA14)-(0)&gt;0,"X",IF((0)-(0)&gt;0,"?",""))),"")</f>
        <v/>
      </c>
      <c r="BC14" s="1368">
        <f>IF(14=14,IF($U14="","",SUMPRODUCT(--ISNUMBER(SEARCH(" "&amp;$CR$1405:$CR$1442&amp;" ",$BD14)))),"")</f>
        <v>0</v>
      </c>
      <c r="BD14" s="1368" t="str">
        <f>IF(14=14,IF($U14="","",SUBSTITUTE(SUBSTITUTE($AA14," "&amp;$CR$1443&amp;" "," ")," "&amp;$CR$1444&amp;" "," ")),"")</f>
        <v xml:space="preserve"> chorizo </v>
      </c>
      <c r="BE14" s="1368">
        <f>IF(14=14,IF($U14="","",SUMPRODUCT(--ISNUMBER(SEARCH(" "&amp;$CR$1445:$CR$1455&amp;" ",$BD14)))),"")</f>
        <v>0</v>
      </c>
      <c r="BF14" s="1368" t="str">
        <f>IF(14=14,IF($U14="","",IF(BC14&gt;0,"X",IF(BE14&gt;0,"?",""))),"")</f>
        <v/>
      </c>
      <c r="BG14" s="1368">
        <f>IF(14=14,IF($U14="","",SUMPRODUCT(--ISNUMBER(SEARCH(" "&amp;$CR$1456:$CR$1555&amp;" ",$BJ14)))),"")</f>
        <v>0</v>
      </c>
      <c r="BH14" s="1368">
        <f>IF(14=14,IF($U14="","",SUMPRODUCT(--ISNUMBER(SEARCH(" "&amp;$CR$1556:$CR$1655&amp;" ",$BJ14)))),"")</f>
        <v>0</v>
      </c>
      <c r="BI14" s="1368">
        <f>IF(14=14,IF($U14="","",SUMPRODUCT(--ISNUMBER(SEARCH(" "&amp;$CR$1656:$CR$1739&amp;" ",$BJ14)))),"")</f>
        <v>0</v>
      </c>
      <c r="BJ14" s="1368" t="str">
        <f>IF(14=14,IF($U14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chorizo </v>
      </c>
      <c r="BK14" s="1368">
        <f>IF(14=14,IF($U14="","",SUMPRODUCT(--ISNUMBER(SEARCH(" "&amp;$CR$1790:$CR$1869&amp;" ",$BL14)))+SUMPRODUCT(--ISNUMBER(SEARCH(" "&amp;$CR$2440:$CR$2453&amp;" ",$BL14)))),"")</f>
        <v>0</v>
      </c>
      <c r="BL14" s="1368" t="str">
        <f>IF(14=14,IF($U14="","",SUBSTITUTE(SUBSTITUTE(SUBSTITUTE(SUBSTITUTE(SUBSTITUTE(SUBSTITUTE(SUBSTITUTE(SUBSTITUTE(SUBSTITUTE(SUBSTITUTE(SUBSTITUTE(SUBSTITUTE(SUBSTITUTE($BJ14," "&amp;$CR$1876&amp;" "," ")," "&amp;$CR$1874&amp;" "," ")," "&amp;$CR$2438&amp;" "," ")," "&amp;$CR$2439&amp;" "," ")," "&amp;$CR$1871&amp;" "," ")," "&amp;$CR$1875&amp;" "," ")," "&amp;$CR$1877&amp;" "," ")," "&amp;$CR$1872&amp;" "," ")," "&amp;$CR$1870&amp;" "," ")," "&amp;$CR$1367&amp;" "," ")," "&amp;$CR$1878&amp;" "," ")," "&amp;$CR$1366&amp;" "," ")," "&amp;$CR$1873&amp;" "," ")),"")</f>
        <v xml:space="preserve"> chorizo </v>
      </c>
      <c r="BM14" s="1368" t="str">
        <f>IF(14=14,IF($U14="","",IF(SUM(BG14:BI14)+SUMPRODUCT(--ISNUMBER(SEARCH(" "&amp;$CR$2423:$CR$2424&amp;" ",$BJ14)))&gt;0,"X",IF(BK14&gt;0,"?",""))),"")</f>
        <v/>
      </c>
      <c r="BN14" s="1368">
        <f>IF(14=14,IF($U14="","",SUMPRODUCT(--ISNUMBER(SEARCH(" "&amp;$CR$1879:$CR$1936&amp;" ",$BO14)))),"")</f>
        <v>0</v>
      </c>
      <c r="BO14" s="1368" t="str">
        <f>IF(14=14,IF($U14="","",SUBSTITUTE(SUBSTITUTE(SUBSTITUTE(SUBSTITUTE(SUBSTITUTE(SUBSTITUTE(SUBSTITUTE(SUBSTITUTE(SUBSTITUTE(SUBSTITUTE(SUBSTITUTE(SUBSTITUTE(SUBSTITUTE(SUBSTITUTE(SUBSTITUTE(SUBSTITUTE(SUBSTITUTE(SUBSTITUTE(SUBSTITUTE(SUBSTITUTE(SUBSTITUTE(SUBSTITUTE(SUBSTITUTE($AA14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chorizo </v>
      </c>
      <c r="BP14" s="1368">
        <f>IF(14=14,IF($U14="","",SUMPRODUCT(--ISNUMBER(SEARCH(" "&amp;$CR$1960:$CR$1976&amp;" ",$BO14)))),"")</f>
        <v>0</v>
      </c>
      <c r="BQ14" s="1368" t="str">
        <f>IF(14=14,IF($U14="","",IF(BN14&gt;0,"X",IF(BP14&gt;0,"?",""))),"")</f>
        <v/>
      </c>
      <c r="BR14" s="1368">
        <f>IF(14=14,IF($U14="","",SUMPRODUCT(--ISNUMBER(SEARCH(" "&amp;$CR$1977:$CR$1990&amp;" ",$AA14)))),"")</f>
        <v>0</v>
      </c>
      <c r="BS14" s="1368">
        <f>IF(14=14,IF($U14="","",SUMPRODUCT(--ISNUMBER(SEARCH(" "&amp;$CR$1991:$CR$2005&amp;" ",$AA14)))),"")</f>
        <v>0</v>
      </c>
      <c r="BT14" s="1368" t="str">
        <f>IF(14=14,IF($U14="","",IF((BR14)-(0)&gt;0,"X",IF((BS14)-(0)&gt;0,"?",""))),"")</f>
        <v/>
      </c>
      <c r="BU14" s="1368">
        <f>IF(14=14,IF($U14="","",SUMPRODUCT(--ISNUMBER(SEARCH(" "&amp;$CR$2006:$CR$2023&amp;" ",$AA14)))),"")</f>
        <v>0</v>
      </c>
      <c r="BV14" s="1368">
        <f>IF(14=14,IF($U14="","",SUMPRODUCT(--ISNUMBER(SEARCH(" "&amp;$CR$2024:$CR$2038&amp;" ",$AA14)))),"")</f>
        <v>0</v>
      </c>
      <c r="BW14" s="1368" t="str">
        <f>IF(14=14,IF($U14="","",IF((BU14)-(0)&gt;0,"X",IF((BV14)-(0)&gt;0,"?",""))),"")</f>
        <v/>
      </c>
      <c r="BX14" s="1368">
        <f>IF(14=14,IF($U14="","",SUMPRODUCT(--ISNUMBER(SEARCH(" "&amp;$CR$2039:$CR$2057&amp;" ",$AA14)))),"")</f>
        <v>0</v>
      </c>
      <c r="BY14" s="1368">
        <f>IF(14=14,IF($U14="","",SUMPRODUCT(--ISNUMBER(SEARCH(" "&amp;$CR$2058:$CR$2072&amp;" ",$AA14)))),"")</f>
        <v>0</v>
      </c>
      <c r="BZ14" s="1368" t="str">
        <f>IF(14=14,IF($U14="","",IF((BX14)-(0)&gt;0,"X",IF((BY14)-(0)&gt;0,"?",""))),"")</f>
        <v/>
      </c>
      <c r="CA14" s="1368">
        <f>IF(14=14,IF($U14="","",SUMPRODUCT(--ISNUMBER(SEARCH(" "&amp;$CR$2073:$CR$2093&amp;" ",$AA14)))),"")</f>
        <v>0</v>
      </c>
      <c r="CB14" s="1368">
        <f>IF(14=14,IF($U14="","",SUMPRODUCT(--ISNUMBER(SEARCH(" "&amp;$CR$2094:$CR$2133&amp;" ",SUBSTITUTE(SUBSTITUTE($AA14," "&amp;$CR$1367&amp;" "," ")," "&amp;$CR$1366&amp;" "," "))))+--ISNUMBER(SEARCH("poiré",$V14))),"")</f>
        <v>0</v>
      </c>
      <c r="CC14" s="1368" t="str">
        <f>IF(14=14,IF($U14="","",IF(OR(CA14&gt;0,ISNUMBER(SEARCH(" vinaigre de vin ",$AA14)),ISNUMBER(SEARCH(" vinaigre au vin ",$AA14))),"X",IF(CB14&gt;0,"?",""))),"")</f>
        <v/>
      </c>
      <c r="CD14" s="1368">
        <f>IF(14=14,IF($U14="","",SUMPRODUCT(--ISNUMBER(SEARCH(" "&amp;$CR$2134:$CR$2146&amp;" ",$AA14)))),"")</f>
        <v>0</v>
      </c>
      <c r="CE14" s="1368">
        <f>IF(14=14,IF($U14="","",SUMPRODUCT(--ISNUMBER(SEARCH(" "&amp;$CR$2147:$CR$2152&amp;" ",$AA14)))),"")</f>
        <v>0</v>
      </c>
      <c r="CF14" s="1368" t="str">
        <f>IF(14=14,IF($U14="","",IF((CD14)-(0)&gt;0,"X",IF((CE14)-(0)&gt;0,"?",""))),"")</f>
        <v/>
      </c>
      <c r="CG14" s="1368">
        <f>IF(14=14,IF($U14="","",SUMPRODUCT(--ISNUMBER(SEARCH(" "&amp;$CR$2153:$CR$2252&amp;" ",$CJ14)))),"")</f>
        <v>0</v>
      </c>
      <c r="CH14" s="1368">
        <f>IF(14=14,IF($U14="","",SUMPRODUCT(--ISNUMBER(SEARCH(" "&amp;$CR$2253:$CR$2352&amp;" ",$CJ14)))),"")</f>
        <v>0</v>
      </c>
      <c r="CI14" s="1368">
        <f>IF(14=14,IF($U14="","",SUMPRODUCT(--ISNUMBER(SEARCH(" "&amp;$CR$2353:$CR$2395&amp;" ",$CJ14)))),"")</f>
        <v>0</v>
      </c>
      <c r="CJ14" s="1368" t="str">
        <f>IF(14=14,IF($U14="","",SUBSTITUTE(SUBSTITUTE(SUBSTITUTE(SUBSTITUTE(SUBSTITUTE(SUBSTITUTE(SUBSTITUTE(SUBSTITUTE(SUBSTITUTE(SUBSTITUTE(SUBSTITUTE(SUBSTITUTE(SUBSTITUTE(SUBSTITUTE(SUBSTITUTE(SUBSTITUTE($AA14," "&amp;$CR$2401&amp;" "," ")," "&amp;$CR$2400&amp;" "," ")," "&amp;$CR$2399&amp;" "," ")," "&amp;$CR$2406&amp;" "," ")," "&amp;$CR$2398&amp;" "," ")," "&amp;$CR$2410&amp;" "," ")," "&amp;$CR$2397&amp;" "," ")," "&amp;$CR$2402&amp;" "," ")," "&amp;$CR$2405&amp;" "," ")," "&amp;$CR$2396&amp;" "," ")," "&amp;$CR$2404&amp;" "," ")," "&amp;$CR$2411&amp;" "," ")," "&amp;$CR$2408&amp;" "," ")," "&amp;$CR$2403&amp;" "," ")," "&amp;$CR$2407&amp;" "," ")," "&amp;$CR$2409&amp;" "," ")),"")</f>
        <v xml:space="preserve"> chorizo </v>
      </c>
      <c r="CK14" s="1368">
        <f>IF(14=14,IF($U14="","",SUMPRODUCT(--ISNUMBER(SEARCH(" "&amp;$CR$2412:$CR$2416&amp;" ",$CJ14)))),"")</f>
        <v>0</v>
      </c>
      <c r="CL14" s="1368" t="str">
        <f>IF(14=14,IF($U14="","",IF(SUM(CG14:CI14)&gt;0,"X",IF(CK14&gt;0,"?",""))),"")</f>
        <v/>
      </c>
      <c r="CM14" s="1377"/>
      <c r="CN14" s="1388" t="s">
        <v>8222</v>
      </c>
      <c r="CO14" s="1388" t="s">
        <v>8105</v>
      </c>
      <c r="CP14" s="1388" t="s">
        <v>8106</v>
      </c>
      <c r="CQ14" s="1388" t="s">
        <v>8223</v>
      </c>
      <c r="CR14" s="1388" t="s">
        <v>8223</v>
      </c>
      <c r="CS14" s="1388" t="s">
        <v>8108</v>
      </c>
      <c r="CT14" s="1388" t="s">
        <v>8109</v>
      </c>
      <c r="CU14" s="1388" t="s">
        <v>8110</v>
      </c>
      <c r="CV14" s="1389" t="s">
        <v>8111</v>
      </c>
      <c r="CX14" s="1379">
        <v>1</v>
      </c>
    </row>
    <row r="15" spans="1:102" ht="21" customHeight="1" x14ac:dyDescent="0.25">
      <c r="A15" s="1412">
        <v>9</v>
      </c>
      <c r="B15" s="1413" t="s">
        <v>8224</v>
      </c>
      <c r="C15" s="1414" t="str">
        <f t="shared" si="0"/>
        <v>Choux-fleurs</v>
      </c>
      <c r="D15" s="1415" t="str">
        <f>IF(15=15,IF($B15="","",IF(E15="X",""&amp;"Céréales contenant du gluten","")&amp;IF(F15="X",IF(COUNTIF($E15:$E15,"X")&gt;0,", ","")&amp;"Crustacés","")&amp;IF(G15="X",IF(COUNTIF($E15:$F15,"X")&gt;0,", ","")&amp;"Œufs","")&amp;IF(H15="X",IF(COUNTIF($E15:$G15,"X")&gt;0,", ","")&amp;"Poissons","")&amp;IF(I15="X",IF(COUNTIF($E15:$H15,"X")&gt;0,", ","")&amp;"Arachides","")&amp;IF(J15="X",IF(COUNTIF($E15:$I15,"X")&gt;0,", ","")&amp;"Soja","")&amp;IF(K15="X",IF(COUNTIF($E15:$J15,"X")&gt;0,", ","")&amp;"Lait","")&amp;IF(L15="X",IF(COUNTIF($E15:$K15,"X")&gt;0,", ","")&amp;"Fruits à coque","")&amp;IF(M15="X",IF(COUNTIF($E15:$L15,"X")&gt;0,", ","")&amp;"Céleri","")&amp;IF(N15="X",IF(COUNTIF($E15:$M15,"X")&gt;0,", ","")&amp;"Moutarde","")&amp;IF(O15="X",IF(COUNTIF($E15:$N15,"X")&gt;0,", ","")&amp;"Sésame","")&amp;IF(P15="X",IF(COUNTIF($E15:$O15,"X")&gt;0,", ","")&amp;"Sulfites","")&amp;IF(Q15="X",IF(COUNTIF($E15:$P15,"X")&gt;0,", ","")&amp;"Lupin","")&amp;IF(R15="X",IF(COUNTIF($E15:$Q15,"X")&gt;0,", ","")&amp;"Mollusques","")),"")</f>
        <v/>
      </c>
      <c r="E15" s="1416" t="str">
        <f>IF(15=15,IF($B15="","",AF15),"")</f>
        <v/>
      </c>
      <c r="F15" s="1416" t="str">
        <f>IF(15=15,IF($B15="","",AI15),"")</f>
        <v/>
      </c>
      <c r="G15" s="1416" t="str">
        <f>IF(15=15,IF($B15="","",AM15),"")</f>
        <v/>
      </c>
      <c r="H15" s="1416" t="str">
        <f>IF(15=15,IF($B15="","",IF(ISNUMBER(SEARCH(" colin ",$AA15)),"X",AZ15)),"")</f>
        <v/>
      </c>
      <c r="I15" s="1416" t="str">
        <f>IF(15=15,IF($B15="","",BB15),"")</f>
        <v/>
      </c>
      <c r="J15" s="1416" t="str">
        <f>IF(15=15,IF($B15="","",BF15),"")</f>
        <v/>
      </c>
      <c r="K15" s="1416" t="str">
        <f>IF(15=15,IF($B15="","",BM15),"")</f>
        <v/>
      </c>
      <c r="L15" s="1416" t="str">
        <f>IF(15=15,IF($B15="","",BQ15),"")</f>
        <v/>
      </c>
      <c r="M15" s="1416" t="str">
        <f>IF(15=15,IF($B15="","",BT15),"")</f>
        <v/>
      </c>
      <c r="N15" s="1416" t="str">
        <f>IF(15=15,IF($B15="","",BW15),"")</f>
        <v/>
      </c>
      <c r="O15" s="1416" t="str">
        <f>IF(15=15,IF($B15="","",BZ15),"")</f>
        <v/>
      </c>
      <c r="P15" s="1416" t="str">
        <f>IF(15=15,IF($B15="","",CC15),"")</f>
        <v/>
      </c>
      <c r="Q15" s="1416" t="str">
        <f>IF(15=15,IF($B15="","",CF15),"")</f>
        <v/>
      </c>
      <c r="R15" s="1416" t="str">
        <f>IF(15=15,IF($B15="","",CL15),"")</f>
        <v/>
      </c>
      <c r="S15" s="1417" t="str">
        <f>IF(15=15,IF($B15="","",IF(E15="?",""&amp;"Céréales contenant du gluten","")&amp;IF(F15="?",IF(COUNTIF($E15:$E15,"~?")&gt;0,", ","")&amp;"Crustacés","")&amp;IF(G15="?",IF(COUNTIF($E15:$F15,"~?")&gt;0,", ","")&amp;"Œufs","")&amp;IF(H15="?",IF(COUNTIF($E15:$G15,"~?")&gt;0,", ","")&amp;"Poissons","")&amp;IF(I15="?",IF(COUNTIF($E15:$H15,"~?")&gt;0,", ","")&amp;"Arachides","")&amp;IF(J15="?",IF(COUNTIF($E15:$I15,"~?")&gt;0,", ","")&amp;"Soja","")&amp;IF(K15="?",IF(COUNTIF($E15:$J15,"~?")&gt;0,", ","")&amp;"Lait","")&amp;IF(L15="?",IF(COUNTIF($E15:$K15,"~?")&gt;0,", ","")&amp;"Fruits à coque","")&amp;IF(M15="?",IF(COUNTIF($E15:$L15,"~?")&gt;0,", ","")&amp;"Céleri","")&amp;IF(N15="?",IF(COUNTIF($E15:$M15,"~?")&gt;0,", ","")&amp;"Moutarde","")&amp;IF(O15="?",IF(COUNTIF($E15:$N15,"~?")&gt;0,", ","")&amp;"Sésame","")&amp;IF(P15="?",IF(COUNTIF($E15:$O15,"~?")&gt;0,", ","")&amp;"Sulfites","")&amp;IF(Q15="?",IF(COUNTIF($E15:$P15,"~?")&gt;0,", ","")&amp;"Lupin","")&amp;IF(R15="?",IF(COUNTIF($E15:$Q15,"~?")&gt;0,", ","")&amp;"Mollusques","")),"")</f>
        <v/>
      </c>
      <c r="U15" s="1368" t="str">
        <f>IF(15=15,IF($B15="","",$B15),"")</f>
        <v>Choux-fleurs</v>
      </c>
      <c r="V15" s="1368" t="str">
        <f>IF(15=15,LOWER(CLEAN(SUBSTITUTE(SUBSTITUTE(SUBSTITUTE(SUBSTITUTE($U15,CHAR(160)," ")," "," "),CHAR(10)," "),CHAR(13)," "))),"")</f>
        <v>choux-fleurs</v>
      </c>
      <c r="W15" s="1368" t="str">
        <f>IF(15=15,SUBSTITUTE(SUBSTITUTE(SUBSTITUTE(SUBSTITUTE(SUBSTITUTE(SUBSTITUTE(SUBSTITUTE(SUBSTITUTE(SUBSTITUTE(SUBSTITUTE(SUBSTITUTE(SUBSTITUTE($V15,"œ","oe"),"æ","ae"),"à","a"),"á","a"),"â","a"),"ä","a"),"ã","a"),"ç","c"),"è","e"),"é","e"),"ê","e"),"ë","e"),"")</f>
        <v>choux-fleurs</v>
      </c>
      <c r="X15" s="1368" t="str">
        <f>IF(15=15,SUBSTITUTE(SUBSTITUTE(SUBSTITUTE(SUBSTITUTE(SUBSTITUTE(SUBSTITUTE(SUBSTITUTE(SUBSTITUTE(SUBSTITUTE(SUBSTITUTE(SUBSTITUTE(SUBSTITUTE(SUBSTITUTE(SUBSTITUTE(SUBSTITUTE(SUBSTITUTE($W15,"ì","i"),"í","i"),"î","i"),"ï","i"),"ñ","n"),"ò","o"),"ó","o"),"ô","o"),"ö","o"),"õ","o"),"ù","u"),"ú","u"),"û","u"),"ü","u"),"ý","y"),"ÿ","y"),"")</f>
        <v>choux-fleurs</v>
      </c>
      <c r="Y15" s="1368" t="str">
        <f>IF(15=15,SUBSTITUTE(SUBSTITUTE(SUBSTITUTE(SUBSTITUTE(SUBSTITUTE(SUBSTITUTE(SUBSTITUTE(SUBSTITUTE(SUBSTITUTE(SUBSTITUTE(SUBSTITUTE(SUBSTITUTE(SUBSTITUTE(SUBSTITUTE($X15,"’"," "),"`"," "),"–"," "),"—"," "),"-"," "),"'"," "),"/"," "),"_"," "),","," "),"."," "),"("," "),")"," "),";"," "),":"," "),"")</f>
        <v>choux fleurs</v>
      </c>
      <c r="Z15" s="1368" t="str">
        <f>IF(15=15,SUBSTITUTE(SUBSTITUTE(SUBSTITUTE(SUBSTITUTE(SUBSTITUTE(SUBSTITUTE(SUBSTITUTE(SUBSTITUTE(SUBSTITUTE(SUBSTITUTE(SUBSTITUTE(SUBSTITUTE(SUBSTITUTE(SUBSTITUTE(SUBSTITUTE($Y15,"!"," "),"?"," "),"+"," "),"*"," "),"&amp;"," "),"["," "),"]"," "),"{"," "),"}"," "),"%"," "),"="," "),"\"," "),"|"," "),"&lt;"," "),"&gt;"," "),"")</f>
        <v>choux fleurs</v>
      </c>
      <c r="AA15" s="1368" t="str">
        <f>IF(15=15," "&amp;TRIM(SUBSTITUTE(SUBSTITUTE(SUBSTITUTE(SUBSTITUTE(SUBSTITUTE(SUBSTITUTE($Z15,CHAR(34)," "),"  "," "),"  "," "),"  "," "),"  "," "),"  "," "))&amp;" ","")</f>
        <v xml:space="preserve"> choux fleurs </v>
      </c>
      <c r="AB15" s="1368">
        <f>IF(15=15,IF($U15="","",SUMPRODUCT(--ISNUMBER(SEARCH(" "&amp;$CR$2:$CR$101&amp;" ",$AD15)))),"")</f>
        <v>0</v>
      </c>
      <c r="AC15" s="1368">
        <f>IF(15=15,IF($U15="","",SUMPRODUCT(--ISNUMBER(SEARCH(" "&amp;$CR$102:$CR$151&amp;" ",$AD15)))),"")</f>
        <v>0</v>
      </c>
      <c r="AD15" s="1368" t="str">
        <f t="shared" si="1"/>
        <v xml:space="preserve"> choux fleurs </v>
      </c>
      <c r="AE15" s="1368">
        <f t="shared" si="2"/>
        <v>0</v>
      </c>
      <c r="AF15" s="1368" t="str">
        <f>IF(15=15,IF($U15="","",IF(SUM(AB15:AC15)+SUMPRODUCT(--ISNUMBER(SEARCH(" "&amp;$CR$2418:$CR$2420&amp;" ",$AD15)))&gt;0,"X",IF(AE15&gt;0,"?",""))),"")</f>
        <v/>
      </c>
      <c r="AG15" s="1368">
        <f>IF(15=15,IF($U15="","",SUMPRODUCT(--ISNUMBER(SEARCH(" "&amp;$CR$206:$CR$305&amp;" ",$AA15)))),"")</f>
        <v>0</v>
      </c>
      <c r="AH15" s="1368">
        <f>IF(15=15,IF($U15="","",SUMPRODUCT(--ISNUMBER(SEARCH(" "&amp;$CR$306:$CR$340&amp;" ",$AA15)))),"")</f>
        <v>0</v>
      </c>
      <c r="AI15" s="1368" t="str">
        <f>IF(15=15,IF($U15="","",IF((SUM(AG15:AH15))-(0)&gt;0,"X",IF((0)-(0)&gt;0,"?",""))),"")</f>
        <v/>
      </c>
      <c r="AJ15" s="1368">
        <f>IF(15=15,IF($U15="","",SUMPRODUCT(--ISNUMBER(SEARCH(" "&amp;$CR$341:$CR$398&amp;" ",$AA15)))),"")</f>
        <v>0</v>
      </c>
      <c r="AK15" s="1368">
        <f>IF(15=15,IF($U15="","",SUMPRODUCT(--ISNUMBER(SEARCH(" "&amp;$CR$399:$CR$426&amp;" ",$AL15)))+SUMPRODUCT(--ISNUMBER(SEARCH(" "&amp;$CR$2440:$CR$2453&amp;" ",$AL15)))),"")</f>
        <v>0</v>
      </c>
      <c r="AL15" s="1368" t="str">
        <f>IF(15=15,IF($U15="","",SUBSTITUTE(SUBSTITUTE(SUBSTITUTE(SUBSTITUTE(SUBSTITUTE(SUBSTITUTE(SUBSTITUTE(SUBSTITUTE(SUBSTITUTE(SUBSTITUTE(SUBSTITUTE(SUBSTITUTE(SUBSTITUTE(SUBSTITUTE($AA15," "&amp;$CR$2455&amp;" "," ")," "&amp;$CR$433&amp;" "," ")," "&amp;$CR$431&amp;" "," ")," "&amp;$CR$2438&amp;" "," ")," "&amp;$CR$2439&amp;" "," ")," "&amp;$CR$428&amp;" "," ")," "&amp;$CR$432&amp;" "," ")," "&amp;$CR$434&amp;" "," ")," "&amp;$CR$429&amp;" "," ")," "&amp;$CR$427&amp;" "," ")," "&amp;$CR$1367&amp;" "," ")," "&amp;$CR$435&amp;" "," ")," "&amp;$CR$1366&amp;" "," ")," "&amp;$CR$430&amp;" "," ")),"")</f>
        <v xml:space="preserve"> choux fleurs </v>
      </c>
      <c r="AM15" s="1368" t="str">
        <f>IF(15=15,IF($U15="","",IF(AJ15&gt;0,"X",IF(AK15&gt;0,"?",""))),"")</f>
        <v/>
      </c>
      <c r="AN15" s="1368">
        <f>IF(15=15,IF($U15="","",SUMPRODUCT(--ISNUMBER(SEARCH(" "&amp;$CR$436:$CR$535&amp;" ",$AX15)))),"")</f>
        <v>0</v>
      </c>
      <c r="AO15" s="1368">
        <f>IF(15=15,IF($U15="","",SUMPRODUCT(--ISNUMBER(SEARCH(" "&amp;$CR$536:$CR$635&amp;" ",$AX15)))),"")</f>
        <v>0</v>
      </c>
      <c r="AP15" s="1368">
        <f>IF(15=15,IF($U15="","",SUMPRODUCT(--ISNUMBER(SEARCH(" "&amp;$CR$636:$CR$735&amp;" ",$AX15)))),"")</f>
        <v>0</v>
      </c>
      <c r="AQ15" s="1368">
        <f>IF(15=15,IF($U15="","",SUMPRODUCT(--ISNUMBER(SEARCH(" "&amp;$CR$736:$CR$835&amp;" ",$AX15)))),"")</f>
        <v>0</v>
      </c>
      <c r="AR15" s="1368">
        <f>IF(15=15,IF($U15="","",SUMPRODUCT(--ISNUMBER(SEARCH(" "&amp;$CR$836:$CR$935&amp;" ",$AX15)))),"")</f>
        <v>0</v>
      </c>
      <c r="AS15" s="1368">
        <f>IF(15=15,IF($U15="","",SUMPRODUCT(--ISNUMBER(SEARCH(" "&amp;$CR$936:$CR$1035&amp;" ",$AX15)))),"")</f>
        <v>0</v>
      </c>
      <c r="AT15" s="1368">
        <f>IF(15=15,IF($U15="","",SUMPRODUCT(--ISNUMBER(SEARCH(" "&amp;$CR$1036:$CR$1135&amp;" ",$AX15)))),"")</f>
        <v>0</v>
      </c>
      <c r="AU15" s="1368">
        <f>IF(15=15,IF($U15="","",SUMPRODUCT(--ISNUMBER(SEARCH(" "&amp;$CR$1136:$CR$1235&amp;" ",$AX15)))),"")</f>
        <v>0</v>
      </c>
      <c r="AV15" s="1368">
        <f>IF(15=15,IF($U15="","",SUMPRODUCT(--ISNUMBER(SEARCH(" "&amp;$CR$1236:$CR$1335&amp;" ",$AX15)))),"")</f>
        <v>0</v>
      </c>
      <c r="AW15" s="1368">
        <f>IF(15=15,IF($U15="","",SUMPRODUCT(--ISNUMBER(SEARCH(" "&amp;$CR$1336:$CR$1363&amp;" ",$AX15)))),"")</f>
        <v>0</v>
      </c>
      <c r="AX15" s="1368" t="str">
        <f>IF(15=15,IF($U15="","",SUBSTITUTE(SUBSTITUTE(SUBSTITUTE(SUBSTITUTE(SUBSTITUTE(SUBSTITUTE(SUBSTITUTE(SUBSTITUTE(SUBSTITUTE($AA15," "&amp;$CR$1365&amp;" "," ")," "&amp;$CR$1364&amp;" "," ")," "&amp;$CR$1370&amp;" "," ")," "&amp;$CR$1371&amp;" "," ")," "&amp;$CR$1367&amp;" "," ")," "&amp;$CR$1369&amp;" "," ")," "&amp;$CR$1366&amp;" "," ")," "&amp;$CR$1368&amp;" "," ")," "&amp;$CR$1372&amp;" "," ")),"")</f>
        <v xml:space="preserve"> choux fleurs </v>
      </c>
      <c r="AY15" s="1368">
        <f>IF(15=15,IF($U15="","",SUMPRODUCT(--ISNUMBER(SEARCH(" "&amp;$CR$1373:$CR$1383&amp;" ",$AX15)))),"")</f>
        <v>0</v>
      </c>
      <c r="AZ15" s="1368" t="str">
        <f>IF(15=15,IF($U15="","",IF(SUM(AN15:AW15)+SUMPRODUCT(--ISNUMBER(SEARCH(" "&amp;$CR$2421:$CR$2422&amp;" ",$AX15)))&gt;0,"X",IF(AY15&gt;0,"?",""))),"")</f>
        <v/>
      </c>
      <c r="BA15" s="1368">
        <f>IF(15=15,IF($U15="","",SUMPRODUCT(--ISNUMBER(SEARCH(" "&amp;$CR$1384:$CR$1404&amp;" ",$AA15)))),"")</f>
        <v>0</v>
      </c>
      <c r="BB15" s="1368" t="str">
        <f>IF(15=15,IF($U15="","",IF((BA15)-(0)&gt;0,"X",IF((0)-(0)&gt;0,"?",""))),"")</f>
        <v/>
      </c>
      <c r="BC15" s="1368">
        <f>IF(15=15,IF($U15="","",SUMPRODUCT(--ISNUMBER(SEARCH(" "&amp;$CR$1405:$CR$1442&amp;" ",$BD15)))),"")</f>
        <v>0</v>
      </c>
      <c r="BD15" s="1368" t="str">
        <f>IF(15=15,IF($U15="","",SUBSTITUTE(SUBSTITUTE($AA15," "&amp;$CR$1443&amp;" "," ")," "&amp;$CR$1444&amp;" "," ")),"")</f>
        <v xml:space="preserve"> choux fleurs </v>
      </c>
      <c r="BE15" s="1368">
        <f>IF(15=15,IF($U15="","",SUMPRODUCT(--ISNUMBER(SEARCH(" "&amp;$CR$1445:$CR$1455&amp;" ",$BD15)))),"")</f>
        <v>0</v>
      </c>
      <c r="BF15" s="1368" t="str">
        <f>IF(15=15,IF($U15="","",IF(BC15&gt;0,"X",IF(BE15&gt;0,"?",""))),"")</f>
        <v/>
      </c>
      <c r="BG15" s="1368">
        <f>IF(15=15,IF($U15="","",SUMPRODUCT(--ISNUMBER(SEARCH(" "&amp;$CR$1456:$CR$1555&amp;" ",$BJ15)))),"")</f>
        <v>0</v>
      </c>
      <c r="BH15" s="1368">
        <f>IF(15=15,IF($U15="","",SUMPRODUCT(--ISNUMBER(SEARCH(" "&amp;$CR$1556:$CR$1655&amp;" ",$BJ15)))),"")</f>
        <v>0</v>
      </c>
      <c r="BI15" s="1368">
        <f>IF(15=15,IF($U15="","",SUMPRODUCT(--ISNUMBER(SEARCH(" "&amp;$CR$1656:$CR$1739&amp;" ",$BJ15)))),"")</f>
        <v>0</v>
      </c>
      <c r="BJ15" s="1368" t="str">
        <f>IF(15=15,IF($U15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choux fleurs </v>
      </c>
      <c r="BK15" s="1368">
        <f>IF(15=15,IF($U15="","",SUMPRODUCT(--ISNUMBER(SEARCH(" "&amp;$CR$1790:$CR$1869&amp;" ",$BL15)))+SUMPRODUCT(--ISNUMBER(SEARCH(" "&amp;$CR$2440:$CR$2453&amp;" ",$BL15)))),"")</f>
        <v>0</v>
      </c>
      <c r="BL15" s="1368" t="str">
        <f>IF(15=15,IF($U15="","",SUBSTITUTE(SUBSTITUTE(SUBSTITUTE(SUBSTITUTE(SUBSTITUTE(SUBSTITUTE(SUBSTITUTE(SUBSTITUTE(SUBSTITUTE(SUBSTITUTE(SUBSTITUTE(SUBSTITUTE(SUBSTITUTE($BJ15," "&amp;$CR$1876&amp;" "," ")," "&amp;$CR$1874&amp;" "," ")," "&amp;$CR$2438&amp;" "," ")," "&amp;$CR$2439&amp;" "," ")," "&amp;$CR$1871&amp;" "," ")," "&amp;$CR$1875&amp;" "," ")," "&amp;$CR$1877&amp;" "," ")," "&amp;$CR$1872&amp;" "," ")," "&amp;$CR$1870&amp;" "," ")," "&amp;$CR$1367&amp;" "," ")," "&amp;$CR$1878&amp;" "," ")," "&amp;$CR$1366&amp;" "," ")," "&amp;$CR$1873&amp;" "," ")),"")</f>
        <v xml:space="preserve"> choux fleurs </v>
      </c>
      <c r="BM15" s="1368" t="str">
        <f>IF(15=15,IF($U15="","",IF(SUM(BG15:BI15)+SUMPRODUCT(--ISNUMBER(SEARCH(" "&amp;$CR$2423:$CR$2424&amp;" ",$BJ15)))&gt;0,"X",IF(BK15&gt;0,"?",""))),"")</f>
        <v/>
      </c>
      <c r="BN15" s="1368">
        <f>IF(15=15,IF($U15="","",SUMPRODUCT(--ISNUMBER(SEARCH(" "&amp;$CR$1879:$CR$1936&amp;" ",$BO15)))),"")</f>
        <v>0</v>
      </c>
      <c r="BO15" s="1368" t="str">
        <f>IF(15=15,IF($U15="","",SUBSTITUTE(SUBSTITUTE(SUBSTITUTE(SUBSTITUTE(SUBSTITUTE(SUBSTITUTE(SUBSTITUTE(SUBSTITUTE(SUBSTITUTE(SUBSTITUTE(SUBSTITUTE(SUBSTITUTE(SUBSTITUTE(SUBSTITUTE(SUBSTITUTE(SUBSTITUTE(SUBSTITUTE(SUBSTITUTE(SUBSTITUTE(SUBSTITUTE(SUBSTITUTE(SUBSTITUTE(SUBSTITUTE($AA15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choux fleurs </v>
      </c>
      <c r="BP15" s="1368">
        <f>IF(15=15,IF($U15="","",SUMPRODUCT(--ISNUMBER(SEARCH(" "&amp;$CR$1960:$CR$1976&amp;" ",$BO15)))),"")</f>
        <v>0</v>
      </c>
      <c r="BQ15" s="1368" t="str">
        <f>IF(15=15,IF($U15="","",IF(BN15&gt;0,"X",IF(BP15&gt;0,"?",""))),"")</f>
        <v/>
      </c>
      <c r="BR15" s="1368">
        <f>IF(15=15,IF($U15="","",SUMPRODUCT(--ISNUMBER(SEARCH(" "&amp;$CR$1977:$CR$1990&amp;" ",$AA15)))),"")</f>
        <v>0</v>
      </c>
      <c r="BS15" s="1368">
        <f>IF(15=15,IF($U15="","",SUMPRODUCT(--ISNUMBER(SEARCH(" "&amp;$CR$1991:$CR$2005&amp;" ",$AA15)))),"")</f>
        <v>0</v>
      </c>
      <c r="BT15" s="1368" t="str">
        <f>IF(15=15,IF($U15="","",IF((BR15)-(0)&gt;0,"X",IF((BS15)-(0)&gt;0,"?",""))),"")</f>
        <v/>
      </c>
      <c r="BU15" s="1368">
        <f>IF(15=15,IF($U15="","",SUMPRODUCT(--ISNUMBER(SEARCH(" "&amp;$CR$2006:$CR$2023&amp;" ",$AA15)))),"")</f>
        <v>0</v>
      </c>
      <c r="BV15" s="1368">
        <f>IF(15=15,IF($U15="","",SUMPRODUCT(--ISNUMBER(SEARCH(" "&amp;$CR$2024:$CR$2038&amp;" ",$AA15)))),"")</f>
        <v>0</v>
      </c>
      <c r="BW15" s="1368" t="str">
        <f>IF(15=15,IF($U15="","",IF((BU15)-(0)&gt;0,"X",IF((BV15)-(0)&gt;0,"?",""))),"")</f>
        <v/>
      </c>
      <c r="BX15" s="1368">
        <f>IF(15=15,IF($U15="","",SUMPRODUCT(--ISNUMBER(SEARCH(" "&amp;$CR$2039:$CR$2057&amp;" ",$AA15)))),"")</f>
        <v>0</v>
      </c>
      <c r="BY15" s="1368">
        <f>IF(15=15,IF($U15="","",SUMPRODUCT(--ISNUMBER(SEARCH(" "&amp;$CR$2058:$CR$2072&amp;" ",$AA15)))),"")</f>
        <v>0</v>
      </c>
      <c r="BZ15" s="1368" t="str">
        <f>IF(15=15,IF($U15="","",IF((BX15)-(0)&gt;0,"X",IF((BY15)-(0)&gt;0,"?",""))),"")</f>
        <v/>
      </c>
      <c r="CA15" s="1368">
        <f>IF(15=15,IF($U15="","",SUMPRODUCT(--ISNUMBER(SEARCH(" "&amp;$CR$2073:$CR$2093&amp;" ",$AA15)))),"")</f>
        <v>0</v>
      </c>
      <c r="CB15" s="1368">
        <f>IF(15=15,IF($U15="","",SUMPRODUCT(--ISNUMBER(SEARCH(" "&amp;$CR$2094:$CR$2133&amp;" ",SUBSTITUTE(SUBSTITUTE($AA15," "&amp;$CR$1367&amp;" "," ")," "&amp;$CR$1366&amp;" "," "))))+--ISNUMBER(SEARCH("poiré",$V15))),"")</f>
        <v>0</v>
      </c>
      <c r="CC15" s="1368" t="str">
        <f>IF(15=15,IF($U15="","",IF(OR(CA15&gt;0,ISNUMBER(SEARCH(" vinaigre de vin ",$AA15)),ISNUMBER(SEARCH(" vinaigre au vin ",$AA15))),"X",IF(CB15&gt;0,"?",""))),"")</f>
        <v/>
      </c>
      <c r="CD15" s="1368">
        <f>IF(15=15,IF($U15="","",SUMPRODUCT(--ISNUMBER(SEARCH(" "&amp;$CR$2134:$CR$2146&amp;" ",$AA15)))),"")</f>
        <v>0</v>
      </c>
      <c r="CE15" s="1368">
        <f>IF(15=15,IF($U15="","",SUMPRODUCT(--ISNUMBER(SEARCH(" "&amp;$CR$2147:$CR$2152&amp;" ",$AA15)))),"")</f>
        <v>0</v>
      </c>
      <c r="CF15" s="1368" t="str">
        <f>IF(15=15,IF($U15="","",IF((CD15)-(0)&gt;0,"X",IF((CE15)-(0)&gt;0,"?",""))),"")</f>
        <v/>
      </c>
      <c r="CG15" s="1368">
        <f>IF(15=15,IF($U15="","",SUMPRODUCT(--ISNUMBER(SEARCH(" "&amp;$CR$2153:$CR$2252&amp;" ",$CJ15)))),"")</f>
        <v>0</v>
      </c>
      <c r="CH15" s="1368">
        <f>IF(15=15,IF($U15="","",SUMPRODUCT(--ISNUMBER(SEARCH(" "&amp;$CR$2253:$CR$2352&amp;" ",$CJ15)))),"")</f>
        <v>0</v>
      </c>
      <c r="CI15" s="1368">
        <f>IF(15=15,IF($U15="","",SUMPRODUCT(--ISNUMBER(SEARCH(" "&amp;$CR$2353:$CR$2395&amp;" ",$CJ15)))),"")</f>
        <v>0</v>
      </c>
      <c r="CJ15" s="1368" t="str">
        <f>IF(15=15,IF($U15="","",SUBSTITUTE(SUBSTITUTE(SUBSTITUTE(SUBSTITUTE(SUBSTITUTE(SUBSTITUTE(SUBSTITUTE(SUBSTITUTE(SUBSTITUTE(SUBSTITUTE(SUBSTITUTE(SUBSTITUTE(SUBSTITUTE(SUBSTITUTE(SUBSTITUTE(SUBSTITUTE($AA15," "&amp;$CR$2401&amp;" "," ")," "&amp;$CR$2400&amp;" "," ")," "&amp;$CR$2399&amp;" "," ")," "&amp;$CR$2406&amp;" "," ")," "&amp;$CR$2398&amp;" "," ")," "&amp;$CR$2410&amp;" "," ")," "&amp;$CR$2397&amp;" "," ")," "&amp;$CR$2402&amp;" "," ")," "&amp;$CR$2405&amp;" "," ")," "&amp;$CR$2396&amp;" "," ")," "&amp;$CR$2404&amp;" "," ")," "&amp;$CR$2411&amp;" "," ")," "&amp;$CR$2408&amp;" "," ")," "&amp;$CR$2403&amp;" "," ")," "&amp;$CR$2407&amp;" "," ")," "&amp;$CR$2409&amp;" "," ")),"")</f>
        <v xml:space="preserve"> choux fleurs </v>
      </c>
      <c r="CK15" s="1368">
        <f>IF(15=15,IF($U15="","",SUMPRODUCT(--ISNUMBER(SEARCH(" "&amp;$CR$2412:$CR$2416&amp;" ",$CJ15)))),"")</f>
        <v>0</v>
      </c>
      <c r="CL15" s="1368" t="str">
        <f>IF(15=15,IF($U15="","",IF(SUM(CG15:CI15)&gt;0,"X",IF(CK15&gt;0,"?",""))),"")</f>
        <v/>
      </c>
      <c r="CM15" s="1377"/>
      <c r="CN15" s="1388" t="s">
        <v>8225</v>
      </c>
      <c r="CO15" s="1388" t="s">
        <v>8105</v>
      </c>
      <c r="CP15" s="1388" t="s">
        <v>8106</v>
      </c>
      <c r="CQ15" s="1388" t="s">
        <v>8226</v>
      </c>
      <c r="CR15" s="1388" t="s">
        <v>8227</v>
      </c>
      <c r="CS15" s="1388" t="s">
        <v>8108</v>
      </c>
      <c r="CT15" s="1388" t="s">
        <v>8109</v>
      </c>
      <c r="CU15" s="1388" t="s">
        <v>8110</v>
      </c>
      <c r="CV15" s="1389" t="s">
        <v>8111</v>
      </c>
      <c r="CX15" s="1379">
        <v>1</v>
      </c>
    </row>
    <row r="16" spans="1:102" ht="21" customHeight="1" x14ac:dyDescent="0.25">
      <c r="A16" s="1412">
        <v>10</v>
      </c>
      <c r="B16" s="1413" t="s">
        <v>8228</v>
      </c>
      <c r="C16" s="1414" t="str">
        <f t="shared" si="0"/>
        <v>Citrons</v>
      </c>
      <c r="D16" s="1415" t="str">
        <f>IF(16=16,IF($B16="","",IF(E16="X",""&amp;"Céréales contenant du gluten","")&amp;IF(F16="X",IF(COUNTIF($E16:$E16,"X")&gt;0,", ","")&amp;"Crustacés","")&amp;IF(G16="X",IF(COUNTIF($E16:$F16,"X")&gt;0,", ","")&amp;"Œufs","")&amp;IF(H16="X",IF(COUNTIF($E16:$G16,"X")&gt;0,", ","")&amp;"Poissons","")&amp;IF(I16="X",IF(COUNTIF($E16:$H16,"X")&gt;0,", ","")&amp;"Arachides","")&amp;IF(J16="X",IF(COUNTIF($E16:$I16,"X")&gt;0,", ","")&amp;"Soja","")&amp;IF(K16="X",IF(COUNTIF($E16:$J16,"X")&gt;0,", ","")&amp;"Lait","")&amp;IF(L16="X",IF(COUNTIF($E16:$K16,"X")&gt;0,", ","")&amp;"Fruits à coque","")&amp;IF(M16="X",IF(COUNTIF($E16:$L16,"X")&gt;0,", ","")&amp;"Céleri","")&amp;IF(N16="X",IF(COUNTIF($E16:$M16,"X")&gt;0,", ","")&amp;"Moutarde","")&amp;IF(O16="X",IF(COUNTIF($E16:$N16,"X")&gt;0,", ","")&amp;"Sésame","")&amp;IF(P16="X",IF(COUNTIF($E16:$O16,"X")&gt;0,", ","")&amp;"Sulfites","")&amp;IF(Q16="X",IF(COUNTIF($E16:$P16,"X")&gt;0,", ","")&amp;"Lupin","")&amp;IF(R16="X",IF(COUNTIF($E16:$Q16,"X")&gt;0,", ","")&amp;"Mollusques","")),"")</f>
        <v/>
      </c>
      <c r="E16" s="1416" t="str">
        <f>IF(16=16,IF($B16="","",AF16),"")</f>
        <v/>
      </c>
      <c r="F16" s="1416" t="str">
        <f>IF(16=16,IF($B16="","",AI16),"")</f>
        <v/>
      </c>
      <c r="G16" s="1416" t="str">
        <f>IF(16=16,IF($B16="","",AM16),"")</f>
        <v/>
      </c>
      <c r="H16" s="1416" t="str">
        <f>IF(16=16,IF($B16="","",IF(ISNUMBER(SEARCH(" colin ",$AA16)),"X",AZ16)),"")</f>
        <v/>
      </c>
      <c r="I16" s="1416" t="str">
        <f>IF(16=16,IF($B16="","",BB16),"")</f>
        <v/>
      </c>
      <c r="J16" s="1416" t="str">
        <f>IF(16=16,IF($B16="","",BF16),"")</f>
        <v/>
      </c>
      <c r="K16" s="1416" t="str">
        <f>IF(16=16,IF($B16="","",BM16),"")</f>
        <v/>
      </c>
      <c r="L16" s="1416" t="str">
        <f>IF(16=16,IF($B16="","",BQ16),"")</f>
        <v/>
      </c>
      <c r="M16" s="1416" t="str">
        <f>IF(16=16,IF($B16="","",BT16),"")</f>
        <v/>
      </c>
      <c r="N16" s="1416" t="str">
        <f>IF(16=16,IF($B16="","",BW16),"")</f>
        <v/>
      </c>
      <c r="O16" s="1416" t="str">
        <f>IF(16=16,IF($B16="","",BZ16),"")</f>
        <v/>
      </c>
      <c r="P16" s="1416" t="str">
        <f>IF(16=16,IF($B16="","",CC16),"")</f>
        <v/>
      </c>
      <c r="Q16" s="1416" t="str">
        <f>IF(16=16,IF($B16="","",CF16),"")</f>
        <v/>
      </c>
      <c r="R16" s="1416" t="str">
        <f>IF(16=16,IF($B16="","",CL16),"")</f>
        <v/>
      </c>
      <c r="S16" s="1417" t="str">
        <f>IF(16=16,IF($B16="","",IF(E16="?",""&amp;"Céréales contenant du gluten","")&amp;IF(F16="?",IF(COUNTIF($E16:$E16,"~?")&gt;0,", ","")&amp;"Crustacés","")&amp;IF(G16="?",IF(COUNTIF($E16:$F16,"~?")&gt;0,", ","")&amp;"Œufs","")&amp;IF(H16="?",IF(COUNTIF($E16:$G16,"~?")&gt;0,", ","")&amp;"Poissons","")&amp;IF(I16="?",IF(COUNTIF($E16:$H16,"~?")&gt;0,", ","")&amp;"Arachides","")&amp;IF(J16="?",IF(COUNTIF($E16:$I16,"~?")&gt;0,", ","")&amp;"Soja","")&amp;IF(K16="?",IF(COUNTIF($E16:$J16,"~?")&gt;0,", ","")&amp;"Lait","")&amp;IF(L16="?",IF(COUNTIF($E16:$K16,"~?")&gt;0,", ","")&amp;"Fruits à coque","")&amp;IF(M16="?",IF(COUNTIF($E16:$L16,"~?")&gt;0,", ","")&amp;"Céleri","")&amp;IF(N16="?",IF(COUNTIF($E16:$M16,"~?")&gt;0,", ","")&amp;"Moutarde","")&amp;IF(O16="?",IF(COUNTIF($E16:$N16,"~?")&gt;0,", ","")&amp;"Sésame","")&amp;IF(P16="?",IF(COUNTIF($E16:$O16,"~?")&gt;0,", ","")&amp;"Sulfites","")&amp;IF(Q16="?",IF(COUNTIF($E16:$P16,"~?")&gt;0,", ","")&amp;"Lupin","")&amp;IF(R16="?",IF(COUNTIF($E16:$Q16,"~?")&gt;0,", ","")&amp;"Mollusques","")),"")</f>
        <v/>
      </c>
      <c r="U16" s="1368" t="str">
        <f>IF(16=16,IF($B16="","",$B16),"")</f>
        <v>Citrons</v>
      </c>
      <c r="V16" s="1368" t="str">
        <f>IF(16=16,LOWER(CLEAN(SUBSTITUTE(SUBSTITUTE(SUBSTITUTE(SUBSTITUTE($U16,CHAR(160)," ")," "," "),CHAR(10)," "),CHAR(13)," "))),"")</f>
        <v>citrons</v>
      </c>
      <c r="W16" s="1368" t="str">
        <f>IF(16=16,SUBSTITUTE(SUBSTITUTE(SUBSTITUTE(SUBSTITUTE(SUBSTITUTE(SUBSTITUTE(SUBSTITUTE(SUBSTITUTE(SUBSTITUTE(SUBSTITUTE(SUBSTITUTE(SUBSTITUTE($V16,"œ","oe"),"æ","ae"),"à","a"),"á","a"),"â","a"),"ä","a"),"ã","a"),"ç","c"),"è","e"),"é","e"),"ê","e"),"ë","e"),"")</f>
        <v>citrons</v>
      </c>
      <c r="X16" s="1368" t="str">
        <f>IF(16=16,SUBSTITUTE(SUBSTITUTE(SUBSTITUTE(SUBSTITUTE(SUBSTITUTE(SUBSTITUTE(SUBSTITUTE(SUBSTITUTE(SUBSTITUTE(SUBSTITUTE(SUBSTITUTE(SUBSTITUTE(SUBSTITUTE(SUBSTITUTE(SUBSTITUTE(SUBSTITUTE($W16,"ì","i"),"í","i"),"î","i"),"ï","i"),"ñ","n"),"ò","o"),"ó","o"),"ô","o"),"ö","o"),"õ","o"),"ù","u"),"ú","u"),"û","u"),"ü","u"),"ý","y"),"ÿ","y"),"")</f>
        <v>citrons</v>
      </c>
      <c r="Y16" s="1368" t="str">
        <f>IF(16=16,SUBSTITUTE(SUBSTITUTE(SUBSTITUTE(SUBSTITUTE(SUBSTITUTE(SUBSTITUTE(SUBSTITUTE(SUBSTITUTE(SUBSTITUTE(SUBSTITUTE(SUBSTITUTE(SUBSTITUTE(SUBSTITUTE(SUBSTITUTE($X16,"’"," "),"`"," "),"–"," "),"—"," "),"-"," "),"'"," "),"/"," "),"_"," "),","," "),"."," "),"("," "),")"," "),";"," "),":"," "),"")</f>
        <v>citrons</v>
      </c>
      <c r="Z16" s="1368" t="str">
        <f>IF(16=16,SUBSTITUTE(SUBSTITUTE(SUBSTITUTE(SUBSTITUTE(SUBSTITUTE(SUBSTITUTE(SUBSTITUTE(SUBSTITUTE(SUBSTITUTE(SUBSTITUTE(SUBSTITUTE(SUBSTITUTE(SUBSTITUTE(SUBSTITUTE(SUBSTITUTE($Y16,"!"," "),"?"," "),"+"," "),"*"," "),"&amp;"," "),"["," "),"]"," "),"{"," "),"}"," "),"%"," "),"="," "),"\"," "),"|"," "),"&lt;"," "),"&gt;"," "),"")</f>
        <v>citrons</v>
      </c>
      <c r="AA16" s="1368" t="str">
        <f>IF(16=16," "&amp;TRIM(SUBSTITUTE(SUBSTITUTE(SUBSTITUTE(SUBSTITUTE(SUBSTITUTE(SUBSTITUTE($Z16,CHAR(34)," "),"  "," "),"  "," "),"  "," "),"  "," "),"  "," "))&amp;" ","")</f>
        <v xml:space="preserve"> citrons </v>
      </c>
      <c r="AB16" s="1368">
        <f>IF(16=16,IF($U16="","",SUMPRODUCT(--ISNUMBER(SEARCH(" "&amp;$CR$2:$CR$101&amp;" ",$AD16)))),"")</f>
        <v>0</v>
      </c>
      <c r="AC16" s="1368">
        <f>IF(16=16,IF($U16="","",SUMPRODUCT(--ISNUMBER(SEARCH(" "&amp;$CR$102:$CR$151&amp;" ",$AD16)))),"")</f>
        <v>0</v>
      </c>
      <c r="AD16" s="1368" t="str">
        <f t="shared" si="1"/>
        <v xml:space="preserve"> citrons </v>
      </c>
      <c r="AE16" s="1368">
        <f t="shared" si="2"/>
        <v>0</v>
      </c>
      <c r="AF16" s="1368" t="str">
        <f>IF(16=16,IF($U16="","",IF(SUM(AB16:AC16)+SUMPRODUCT(--ISNUMBER(SEARCH(" "&amp;$CR$2418:$CR$2420&amp;" ",$AD16)))&gt;0,"X",IF(AE16&gt;0,"?",""))),"")</f>
        <v/>
      </c>
      <c r="AG16" s="1368">
        <f>IF(16=16,IF($U16="","",SUMPRODUCT(--ISNUMBER(SEARCH(" "&amp;$CR$206:$CR$305&amp;" ",$AA16)))),"")</f>
        <v>0</v>
      </c>
      <c r="AH16" s="1368">
        <f>IF(16=16,IF($U16="","",SUMPRODUCT(--ISNUMBER(SEARCH(" "&amp;$CR$306:$CR$340&amp;" ",$AA16)))),"")</f>
        <v>0</v>
      </c>
      <c r="AI16" s="1368" t="str">
        <f>IF(16=16,IF($U16="","",IF((SUM(AG16:AH16))-(0)&gt;0,"X",IF((0)-(0)&gt;0,"?",""))),"")</f>
        <v/>
      </c>
      <c r="AJ16" s="1368">
        <f>IF(16=16,IF($U16="","",SUMPRODUCT(--ISNUMBER(SEARCH(" "&amp;$CR$341:$CR$398&amp;" ",$AA16)))),"")</f>
        <v>0</v>
      </c>
      <c r="AK16" s="1368">
        <f>IF(16=16,IF($U16="","",SUMPRODUCT(--ISNUMBER(SEARCH(" "&amp;$CR$399:$CR$426&amp;" ",$AL16)))+SUMPRODUCT(--ISNUMBER(SEARCH(" "&amp;$CR$2440:$CR$2453&amp;" ",$AL16)))),"")</f>
        <v>0</v>
      </c>
      <c r="AL16" s="1368" t="str">
        <f>IF(16=16,IF($U16="","",SUBSTITUTE(SUBSTITUTE(SUBSTITUTE(SUBSTITUTE(SUBSTITUTE(SUBSTITUTE(SUBSTITUTE(SUBSTITUTE(SUBSTITUTE(SUBSTITUTE(SUBSTITUTE(SUBSTITUTE(SUBSTITUTE(SUBSTITUTE($AA16," "&amp;$CR$2455&amp;" "," ")," "&amp;$CR$433&amp;" "," ")," "&amp;$CR$431&amp;" "," ")," "&amp;$CR$2438&amp;" "," ")," "&amp;$CR$2439&amp;" "," ")," "&amp;$CR$428&amp;" "," ")," "&amp;$CR$432&amp;" "," ")," "&amp;$CR$434&amp;" "," ")," "&amp;$CR$429&amp;" "," ")," "&amp;$CR$427&amp;" "," ")," "&amp;$CR$1367&amp;" "," ")," "&amp;$CR$435&amp;" "," ")," "&amp;$CR$1366&amp;" "," ")," "&amp;$CR$430&amp;" "," ")),"")</f>
        <v xml:space="preserve"> citrons </v>
      </c>
      <c r="AM16" s="1368" t="str">
        <f>IF(16=16,IF($U16="","",IF(AJ16&gt;0,"X",IF(AK16&gt;0,"?",""))),"")</f>
        <v/>
      </c>
      <c r="AN16" s="1368">
        <f>IF(16=16,IF($U16="","",SUMPRODUCT(--ISNUMBER(SEARCH(" "&amp;$CR$436:$CR$535&amp;" ",$AX16)))),"")</f>
        <v>0</v>
      </c>
      <c r="AO16" s="1368">
        <f>IF(16=16,IF($U16="","",SUMPRODUCT(--ISNUMBER(SEARCH(" "&amp;$CR$536:$CR$635&amp;" ",$AX16)))),"")</f>
        <v>0</v>
      </c>
      <c r="AP16" s="1368">
        <f>IF(16=16,IF($U16="","",SUMPRODUCT(--ISNUMBER(SEARCH(" "&amp;$CR$636:$CR$735&amp;" ",$AX16)))),"")</f>
        <v>0</v>
      </c>
      <c r="AQ16" s="1368">
        <f>IF(16=16,IF($U16="","",SUMPRODUCT(--ISNUMBER(SEARCH(" "&amp;$CR$736:$CR$835&amp;" ",$AX16)))),"")</f>
        <v>0</v>
      </c>
      <c r="AR16" s="1368">
        <f>IF(16=16,IF($U16="","",SUMPRODUCT(--ISNUMBER(SEARCH(" "&amp;$CR$836:$CR$935&amp;" ",$AX16)))),"")</f>
        <v>0</v>
      </c>
      <c r="AS16" s="1368">
        <f>IF(16=16,IF($U16="","",SUMPRODUCT(--ISNUMBER(SEARCH(" "&amp;$CR$936:$CR$1035&amp;" ",$AX16)))),"")</f>
        <v>0</v>
      </c>
      <c r="AT16" s="1368">
        <f>IF(16=16,IF($U16="","",SUMPRODUCT(--ISNUMBER(SEARCH(" "&amp;$CR$1036:$CR$1135&amp;" ",$AX16)))),"")</f>
        <v>0</v>
      </c>
      <c r="AU16" s="1368">
        <f>IF(16=16,IF($U16="","",SUMPRODUCT(--ISNUMBER(SEARCH(" "&amp;$CR$1136:$CR$1235&amp;" ",$AX16)))),"")</f>
        <v>0</v>
      </c>
      <c r="AV16" s="1368">
        <f>IF(16=16,IF($U16="","",SUMPRODUCT(--ISNUMBER(SEARCH(" "&amp;$CR$1236:$CR$1335&amp;" ",$AX16)))),"")</f>
        <v>0</v>
      </c>
      <c r="AW16" s="1368">
        <f>IF(16=16,IF($U16="","",SUMPRODUCT(--ISNUMBER(SEARCH(" "&amp;$CR$1336:$CR$1363&amp;" ",$AX16)))),"")</f>
        <v>0</v>
      </c>
      <c r="AX16" s="1368" t="str">
        <f>IF(16=16,IF($U16="","",SUBSTITUTE(SUBSTITUTE(SUBSTITUTE(SUBSTITUTE(SUBSTITUTE(SUBSTITUTE(SUBSTITUTE(SUBSTITUTE(SUBSTITUTE($AA16," "&amp;$CR$1365&amp;" "," ")," "&amp;$CR$1364&amp;" "," ")," "&amp;$CR$1370&amp;" "," ")," "&amp;$CR$1371&amp;" "," ")," "&amp;$CR$1367&amp;" "," ")," "&amp;$CR$1369&amp;" "," ")," "&amp;$CR$1366&amp;" "," ")," "&amp;$CR$1368&amp;" "," ")," "&amp;$CR$1372&amp;" "," ")),"")</f>
        <v xml:space="preserve"> citrons </v>
      </c>
      <c r="AY16" s="1368">
        <f>IF(16=16,IF($U16="","",SUMPRODUCT(--ISNUMBER(SEARCH(" "&amp;$CR$1373:$CR$1383&amp;" ",$AX16)))),"")</f>
        <v>0</v>
      </c>
      <c r="AZ16" s="1368" t="str">
        <f>IF(16=16,IF($U16="","",IF(SUM(AN16:AW16)+SUMPRODUCT(--ISNUMBER(SEARCH(" "&amp;$CR$2421:$CR$2422&amp;" ",$AX16)))&gt;0,"X",IF(AY16&gt;0,"?",""))),"")</f>
        <v/>
      </c>
      <c r="BA16" s="1368">
        <f>IF(16=16,IF($U16="","",SUMPRODUCT(--ISNUMBER(SEARCH(" "&amp;$CR$1384:$CR$1404&amp;" ",$AA16)))),"")</f>
        <v>0</v>
      </c>
      <c r="BB16" s="1368" t="str">
        <f>IF(16=16,IF($U16="","",IF((BA16)-(0)&gt;0,"X",IF((0)-(0)&gt;0,"?",""))),"")</f>
        <v/>
      </c>
      <c r="BC16" s="1368">
        <f>IF(16=16,IF($U16="","",SUMPRODUCT(--ISNUMBER(SEARCH(" "&amp;$CR$1405:$CR$1442&amp;" ",$BD16)))),"")</f>
        <v>0</v>
      </c>
      <c r="BD16" s="1368" t="str">
        <f>IF(16=16,IF($U16="","",SUBSTITUTE(SUBSTITUTE($AA16," "&amp;$CR$1443&amp;" "," ")," "&amp;$CR$1444&amp;" "," ")),"")</f>
        <v xml:space="preserve"> citrons </v>
      </c>
      <c r="BE16" s="1368">
        <f>IF(16=16,IF($U16="","",SUMPRODUCT(--ISNUMBER(SEARCH(" "&amp;$CR$1445:$CR$1455&amp;" ",$BD16)))),"")</f>
        <v>0</v>
      </c>
      <c r="BF16" s="1368" t="str">
        <f>IF(16=16,IF($U16="","",IF(BC16&gt;0,"X",IF(BE16&gt;0,"?",""))),"")</f>
        <v/>
      </c>
      <c r="BG16" s="1368">
        <f>IF(16=16,IF($U16="","",SUMPRODUCT(--ISNUMBER(SEARCH(" "&amp;$CR$1456:$CR$1555&amp;" ",$BJ16)))),"")</f>
        <v>0</v>
      </c>
      <c r="BH16" s="1368">
        <f>IF(16=16,IF($U16="","",SUMPRODUCT(--ISNUMBER(SEARCH(" "&amp;$CR$1556:$CR$1655&amp;" ",$BJ16)))),"")</f>
        <v>0</v>
      </c>
      <c r="BI16" s="1368">
        <f>IF(16=16,IF($U16="","",SUMPRODUCT(--ISNUMBER(SEARCH(" "&amp;$CR$1656:$CR$1739&amp;" ",$BJ16)))),"")</f>
        <v>0</v>
      </c>
      <c r="BJ16" s="1368" t="str">
        <f>IF(16=16,IF($U16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citrons </v>
      </c>
      <c r="BK16" s="1368">
        <f>IF(16=16,IF($U16="","",SUMPRODUCT(--ISNUMBER(SEARCH(" "&amp;$CR$1790:$CR$1869&amp;" ",$BL16)))+SUMPRODUCT(--ISNUMBER(SEARCH(" "&amp;$CR$2440:$CR$2453&amp;" ",$BL16)))),"")</f>
        <v>0</v>
      </c>
      <c r="BL16" s="1368" t="str">
        <f>IF(16=16,IF($U16="","",SUBSTITUTE(SUBSTITUTE(SUBSTITUTE(SUBSTITUTE(SUBSTITUTE(SUBSTITUTE(SUBSTITUTE(SUBSTITUTE(SUBSTITUTE(SUBSTITUTE(SUBSTITUTE(SUBSTITUTE(SUBSTITUTE($BJ16," "&amp;$CR$1876&amp;" "," ")," "&amp;$CR$1874&amp;" "," ")," "&amp;$CR$2438&amp;" "," ")," "&amp;$CR$2439&amp;" "," ")," "&amp;$CR$1871&amp;" "," ")," "&amp;$CR$1875&amp;" "," ")," "&amp;$CR$1877&amp;" "," ")," "&amp;$CR$1872&amp;" "," ")," "&amp;$CR$1870&amp;" "," ")," "&amp;$CR$1367&amp;" "," ")," "&amp;$CR$1878&amp;" "," ")," "&amp;$CR$1366&amp;" "," ")," "&amp;$CR$1873&amp;" "," ")),"")</f>
        <v xml:space="preserve"> citrons </v>
      </c>
      <c r="BM16" s="1368" t="str">
        <f>IF(16=16,IF($U16="","",IF(SUM(BG16:BI16)+SUMPRODUCT(--ISNUMBER(SEARCH(" "&amp;$CR$2423:$CR$2424&amp;" ",$BJ16)))&gt;0,"X",IF(BK16&gt;0,"?",""))),"")</f>
        <v/>
      </c>
      <c r="BN16" s="1368">
        <f>IF(16=16,IF($U16="","",SUMPRODUCT(--ISNUMBER(SEARCH(" "&amp;$CR$1879:$CR$1936&amp;" ",$BO16)))),"")</f>
        <v>0</v>
      </c>
      <c r="BO16" s="1368" t="str">
        <f>IF(16=16,IF($U16="","",SUBSTITUTE(SUBSTITUTE(SUBSTITUTE(SUBSTITUTE(SUBSTITUTE(SUBSTITUTE(SUBSTITUTE(SUBSTITUTE(SUBSTITUTE(SUBSTITUTE(SUBSTITUTE(SUBSTITUTE(SUBSTITUTE(SUBSTITUTE(SUBSTITUTE(SUBSTITUTE(SUBSTITUTE(SUBSTITUTE(SUBSTITUTE(SUBSTITUTE(SUBSTITUTE(SUBSTITUTE(SUBSTITUTE($AA16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citrons </v>
      </c>
      <c r="BP16" s="1368">
        <f>IF(16=16,IF($U16="","",SUMPRODUCT(--ISNUMBER(SEARCH(" "&amp;$CR$1960:$CR$1976&amp;" ",$BO16)))),"")</f>
        <v>0</v>
      </c>
      <c r="BQ16" s="1368" t="str">
        <f>IF(16=16,IF($U16="","",IF(BN16&gt;0,"X",IF(BP16&gt;0,"?",""))),"")</f>
        <v/>
      </c>
      <c r="BR16" s="1368">
        <f>IF(16=16,IF($U16="","",SUMPRODUCT(--ISNUMBER(SEARCH(" "&amp;$CR$1977:$CR$1990&amp;" ",$AA16)))),"")</f>
        <v>0</v>
      </c>
      <c r="BS16" s="1368">
        <f>IF(16=16,IF($U16="","",SUMPRODUCT(--ISNUMBER(SEARCH(" "&amp;$CR$1991:$CR$2005&amp;" ",$AA16)))),"")</f>
        <v>0</v>
      </c>
      <c r="BT16" s="1368" t="str">
        <f>IF(16=16,IF($U16="","",IF((BR16)-(0)&gt;0,"X",IF((BS16)-(0)&gt;0,"?",""))),"")</f>
        <v/>
      </c>
      <c r="BU16" s="1368">
        <f>IF(16=16,IF($U16="","",SUMPRODUCT(--ISNUMBER(SEARCH(" "&amp;$CR$2006:$CR$2023&amp;" ",$AA16)))),"")</f>
        <v>0</v>
      </c>
      <c r="BV16" s="1368">
        <f>IF(16=16,IF($U16="","",SUMPRODUCT(--ISNUMBER(SEARCH(" "&amp;$CR$2024:$CR$2038&amp;" ",$AA16)))),"")</f>
        <v>0</v>
      </c>
      <c r="BW16" s="1368" t="str">
        <f>IF(16=16,IF($U16="","",IF((BU16)-(0)&gt;0,"X",IF((BV16)-(0)&gt;0,"?",""))),"")</f>
        <v/>
      </c>
      <c r="BX16" s="1368">
        <f>IF(16=16,IF($U16="","",SUMPRODUCT(--ISNUMBER(SEARCH(" "&amp;$CR$2039:$CR$2057&amp;" ",$AA16)))),"")</f>
        <v>0</v>
      </c>
      <c r="BY16" s="1368">
        <f>IF(16=16,IF($U16="","",SUMPRODUCT(--ISNUMBER(SEARCH(" "&amp;$CR$2058:$CR$2072&amp;" ",$AA16)))),"")</f>
        <v>0</v>
      </c>
      <c r="BZ16" s="1368" t="str">
        <f>IF(16=16,IF($U16="","",IF((BX16)-(0)&gt;0,"X",IF((BY16)-(0)&gt;0,"?",""))),"")</f>
        <v/>
      </c>
      <c r="CA16" s="1368">
        <f>IF(16=16,IF($U16="","",SUMPRODUCT(--ISNUMBER(SEARCH(" "&amp;$CR$2073:$CR$2093&amp;" ",$AA16)))),"")</f>
        <v>0</v>
      </c>
      <c r="CB16" s="1368">
        <f>IF(16=16,IF($U16="","",SUMPRODUCT(--ISNUMBER(SEARCH(" "&amp;$CR$2094:$CR$2133&amp;" ",SUBSTITUTE(SUBSTITUTE($AA16," "&amp;$CR$1367&amp;" "," ")," "&amp;$CR$1366&amp;" "," "))))+--ISNUMBER(SEARCH("poiré",$V16))),"")</f>
        <v>0</v>
      </c>
      <c r="CC16" s="1368" t="str">
        <f>IF(16=16,IF($U16="","",IF(OR(CA16&gt;0,ISNUMBER(SEARCH(" vinaigre de vin ",$AA16)),ISNUMBER(SEARCH(" vinaigre au vin ",$AA16))),"X",IF(CB16&gt;0,"?",""))),"")</f>
        <v/>
      </c>
      <c r="CD16" s="1368">
        <f>IF(16=16,IF($U16="","",SUMPRODUCT(--ISNUMBER(SEARCH(" "&amp;$CR$2134:$CR$2146&amp;" ",$AA16)))),"")</f>
        <v>0</v>
      </c>
      <c r="CE16" s="1368">
        <f>IF(16=16,IF($U16="","",SUMPRODUCT(--ISNUMBER(SEARCH(" "&amp;$CR$2147:$CR$2152&amp;" ",$AA16)))),"")</f>
        <v>0</v>
      </c>
      <c r="CF16" s="1368" t="str">
        <f>IF(16=16,IF($U16="","",IF((CD16)-(0)&gt;0,"X",IF((CE16)-(0)&gt;0,"?",""))),"")</f>
        <v/>
      </c>
      <c r="CG16" s="1368">
        <f>IF(16=16,IF($U16="","",SUMPRODUCT(--ISNUMBER(SEARCH(" "&amp;$CR$2153:$CR$2252&amp;" ",$CJ16)))),"")</f>
        <v>0</v>
      </c>
      <c r="CH16" s="1368">
        <f>IF(16=16,IF($U16="","",SUMPRODUCT(--ISNUMBER(SEARCH(" "&amp;$CR$2253:$CR$2352&amp;" ",$CJ16)))),"")</f>
        <v>0</v>
      </c>
      <c r="CI16" s="1368">
        <f>IF(16=16,IF($U16="","",SUMPRODUCT(--ISNUMBER(SEARCH(" "&amp;$CR$2353:$CR$2395&amp;" ",$CJ16)))),"")</f>
        <v>0</v>
      </c>
      <c r="CJ16" s="1368" t="str">
        <f>IF(16=16,IF($U16="","",SUBSTITUTE(SUBSTITUTE(SUBSTITUTE(SUBSTITUTE(SUBSTITUTE(SUBSTITUTE(SUBSTITUTE(SUBSTITUTE(SUBSTITUTE(SUBSTITUTE(SUBSTITUTE(SUBSTITUTE(SUBSTITUTE(SUBSTITUTE(SUBSTITUTE(SUBSTITUTE($AA16," "&amp;$CR$2401&amp;" "," ")," "&amp;$CR$2400&amp;" "," ")," "&amp;$CR$2399&amp;" "," ")," "&amp;$CR$2406&amp;" "," ")," "&amp;$CR$2398&amp;" "," ")," "&amp;$CR$2410&amp;" "," ")," "&amp;$CR$2397&amp;" "," ")," "&amp;$CR$2402&amp;" "," ")," "&amp;$CR$2405&amp;" "," ")," "&amp;$CR$2396&amp;" "," ")," "&amp;$CR$2404&amp;" "," ")," "&amp;$CR$2411&amp;" "," ")," "&amp;$CR$2408&amp;" "," ")," "&amp;$CR$2403&amp;" "," ")," "&amp;$CR$2407&amp;" "," ")," "&amp;$CR$2409&amp;" "," ")),"")</f>
        <v xml:space="preserve"> citrons </v>
      </c>
      <c r="CK16" s="1368">
        <f>IF(16=16,IF($U16="","",SUMPRODUCT(--ISNUMBER(SEARCH(" "&amp;$CR$2412:$CR$2416&amp;" ",$CJ16)))),"")</f>
        <v>0</v>
      </c>
      <c r="CL16" s="1368" t="str">
        <f>IF(16=16,IF($U16="","",IF(SUM(CG16:CI16)&gt;0,"X",IF(CK16&gt;0,"?",""))),"")</f>
        <v/>
      </c>
      <c r="CM16" s="1377"/>
      <c r="CN16" s="1388" t="s">
        <v>8229</v>
      </c>
      <c r="CO16" s="1388" t="s">
        <v>8105</v>
      </c>
      <c r="CP16" s="1388" t="s">
        <v>8106</v>
      </c>
      <c r="CQ16" s="1388" t="s">
        <v>1688</v>
      </c>
      <c r="CR16" s="1388" t="s">
        <v>1688</v>
      </c>
      <c r="CS16" s="1388" t="s">
        <v>8108</v>
      </c>
      <c r="CT16" s="1388" t="s">
        <v>8109</v>
      </c>
      <c r="CU16" s="1388" t="s">
        <v>8110</v>
      </c>
      <c r="CV16" s="1389" t="s">
        <v>8111</v>
      </c>
      <c r="CX16" s="1379">
        <v>1</v>
      </c>
    </row>
    <row r="17" spans="1:102" ht="21" customHeight="1" x14ac:dyDescent="0.25">
      <c r="A17" s="1412">
        <v>11</v>
      </c>
      <c r="B17" s="1413" t="s">
        <v>8230</v>
      </c>
      <c r="C17" s="1414" t="str">
        <f t="shared" si="0"/>
        <v>Cive (botte)</v>
      </c>
      <c r="D17" s="1415" t="str">
        <f>IF(17=17,IF($B17="","",IF(E17="X",""&amp;"Céréales contenant du gluten","")&amp;IF(F17="X",IF(COUNTIF($E17:$E17,"X")&gt;0,", ","")&amp;"Crustacés","")&amp;IF(G17="X",IF(COUNTIF($E17:$F17,"X")&gt;0,", ","")&amp;"Œufs","")&amp;IF(H17="X",IF(COUNTIF($E17:$G17,"X")&gt;0,", ","")&amp;"Poissons","")&amp;IF(I17="X",IF(COUNTIF($E17:$H17,"X")&gt;0,", ","")&amp;"Arachides","")&amp;IF(J17="X",IF(COUNTIF($E17:$I17,"X")&gt;0,", ","")&amp;"Soja","")&amp;IF(K17="X",IF(COUNTIF($E17:$J17,"X")&gt;0,", ","")&amp;"Lait","")&amp;IF(L17="X",IF(COUNTIF($E17:$K17,"X")&gt;0,", ","")&amp;"Fruits à coque","")&amp;IF(M17="X",IF(COUNTIF($E17:$L17,"X")&gt;0,", ","")&amp;"Céleri","")&amp;IF(N17="X",IF(COUNTIF($E17:$M17,"X")&gt;0,", ","")&amp;"Moutarde","")&amp;IF(O17="X",IF(COUNTIF($E17:$N17,"X")&gt;0,", ","")&amp;"Sésame","")&amp;IF(P17="X",IF(COUNTIF($E17:$O17,"X")&gt;0,", ","")&amp;"Sulfites","")&amp;IF(Q17="X",IF(COUNTIF($E17:$P17,"X")&gt;0,", ","")&amp;"Lupin","")&amp;IF(R17="X",IF(COUNTIF($E17:$Q17,"X")&gt;0,", ","")&amp;"Mollusques","")),"")</f>
        <v/>
      </c>
      <c r="E17" s="1416" t="str">
        <f>IF(17=17,IF($B17="","",AF17),"")</f>
        <v/>
      </c>
      <c r="F17" s="1416" t="str">
        <f>IF(17=17,IF($B17="","",AI17),"")</f>
        <v/>
      </c>
      <c r="G17" s="1416" t="str">
        <f>IF(17=17,IF($B17="","",AM17),"")</f>
        <v/>
      </c>
      <c r="H17" s="1416" t="str">
        <f>IF(17=17,IF($B17="","",IF(ISNUMBER(SEARCH(" colin ",$AA17)),"X",AZ17)),"")</f>
        <v/>
      </c>
      <c r="I17" s="1416" t="str">
        <f>IF(17=17,IF($B17="","",BB17),"")</f>
        <v/>
      </c>
      <c r="J17" s="1416" t="str">
        <f>IF(17=17,IF($B17="","",BF17),"")</f>
        <v/>
      </c>
      <c r="K17" s="1416" t="str">
        <f>IF(17=17,IF($B17="","",BM17),"")</f>
        <v/>
      </c>
      <c r="L17" s="1416" t="str">
        <f>IF(17=17,IF($B17="","",BQ17),"")</f>
        <v/>
      </c>
      <c r="M17" s="1416" t="str">
        <f>IF(17=17,IF($B17="","",BT17),"")</f>
        <v/>
      </c>
      <c r="N17" s="1416" t="str">
        <f>IF(17=17,IF($B17="","",BW17),"")</f>
        <v/>
      </c>
      <c r="O17" s="1416" t="str">
        <f>IF(17=17,IF($B17="","",BZ17),"")</f>
        <v/>
      </c>
      <c r="P17" s="1416" t="str">
        <f>IF(17=17,IF($B17="","",CC17),"")</f>
        <v/>
      </c>
      <c r="Q17" s="1416" t="str">
        <f>IF(17=17,IF($B17="","",CF17),"")</f>
        <v/>
      </c>
      <c r="R17" s="1416" t="str">
        <f>IF(17=17,IF($B17="","",CL17),"")</f>
        <v/>
      </c>
      <c r="S17" s="1417" t="str">
        <f>IF(17=17,IF($B17="","",IF(E17="?",""&amp;"Céréales contenant du gluten","")&amp;IF(F17="?",IF(COUNTIF($E17:$E17,"~?")&gt;0,", ","")&amp;"Crustacés","")&amp;IF(G17="?",IF(COUNTIF($E17:$F17,"~?")&gt;0,", ","")&amp;"Œufs","")&amp;IF(H17="?",IF(COUNTIF($E17:$G17,"~?")&gt;0,", ","")&amp;"Poissons","")&amp;IF(I17="?",IF(COUNTIF($E17:$H17,"~?")&gt;0,", ","")&amp;"Arachides","")&amp;IF(J17="?",IF(COUNTIF($E17:$I17,"~?")&gt;0,", ","")&amp;"Soja","")&amp;IF(K17="?",IF(COUNTIF($E17:$J17,"~?")&gt;0,", ","")&amp;"Lait","")&amp;IF(L17="?",IF(COUNTIF($E17:$K17,"~?")&gt;0,", ","")&amp;"Fruits à coque","")&amp;IF(M17="?",IF(COUNTIF($E17:$L17,"~?")&gt;0,", ","")&amp;"Céleri","")&amp;IF(N17="?",IF(COUNTIF($E17:$M17,"~?")&gt;0,", ","")&amp;"Moutarde","")&amp;IF(O17="?",IF(COUNTIF($E17:$N17,"~?")&gt;0,", ","")&amp;"Sésame","")&amp;IF(P17="?",IF(COUNTIF($E17:$O17,"~?")&gt;0,", ","")&amp;"Sulfites","")&amp;IF(Q17="?",IF(COUNTIF($E17:$P17,"~?")&gt;0,", ","")&amp;"Lupin","")&amp;IF(R17="?",IF(COUNTIF($E17:$Q17,"~?")&gt;0,", ","")&amp;"Mollusques","")),"")</f>
        <v/>
      </c>
      <c r="U17" s="1368" t="str">
        <f>IF(17=17,IF($B17="","",$B17),"")</f>
        <v>Cive (botte)</v>
      </c>
      <c r="V17" s="1368" t="str">
        <f>IF(17=17,LOWER(CLEAN(SUBSTITUTE(SUBSTITUTE(SUBSTITUTE(SUBSTITUTE($U17,CHAR(160)," ")," "," "),CHAR(10)," "),CHAR(13)," "))),"")</f>
        <v>cive (botte)</v>
      </c>
      <c r="W17" s="1368" t="str">
        <f>IF(17=17,SUBSTITUTE(SUBSTITUTE(SUBSTITUTE(SUBSTITUTE(SUBSTITUTE(SUBSTITUTE(SUBSTITUTE(SUBSTITUTE(SUBSTITUTE(SUBSTITUTE(SUBSTITUTE(SUBSTITUTE($V17,"œ","oe"),"æ","ae"),"à","a"),"á","a"),"â","a"),"ä","a"),"ã","a"),"ç","c"),"è","e"),"é","e"),"ê","e"),"ë","e"),"")</f>
        <v>cive (botte)</v>
      </c>
      <c r="X17" s="1368" t="str">
        <f>IF(17=17,SUBSTITUTE(SUBSTITUTE(SUBSTITUTE(SUBSTITUTE(SUBSTITUTE(SUBSTITUTE(SUBSTITUTE(SUBSTITUTE(SUBSTITUTE(SUBSTITUTE(SUBSTITUTE(SUBSTITUTE(SUBSTITUTE(SUBSTITUTE(SUBSTITUTE(SUBSTITUTE($W17,"ì","i"),"í","i"),"î","i"),"ï","i"),"ñ","n"),"ò","o"),"ó","o"),"ô","o"),"ö","o"),"õ","o"),"ù","u"),"ú","u"),"û","u"),"ü","u"),"ý","y"),"ÿ","y"),"")</f>
        <v>cive (botte)</v>
      </c>
      <c r="Y17" s="1368" t="str">
        <f>IF(17=17,SUBSTITUTE(SUBSTITUTE(SUBSTITUTE(SUBSTITUTE(SUBSTITUTE(SUBSTITUTE(SUBSTITUTE(SUBSTITUTE(SUBSTITUTE(SUBSTITUTE(SUBSTITUTE(SUBSTITUTE(SUBSTITUTE(SUBSTITUTE($X17,"’"," "),"`"," "),"–"," "),"—"," "),"-"," "),"'"," "),"/"," "),"_"," "),","," "),"."," "),"("," "),")"," "),";"," "),":"," "),"")</f>
        <v xml:space="preserve">cive  botte </v>
      </c>
      <c r="Z17" s="1368" t="str">
        <f>IF(17=17,SUBSTITUTE(SUBSTITUTE(SUBSTITUTE(SUBSTITUTE(SUBSTITUTE(SUBSTITUTE(SUBSTITUTE(SUBSTITUTE(SUBSTITUTE(SUBSTITUTE(SUBSTITUTE(SUBSTITUTE(SUBSTITUTE(SUBSTITUTE(SUBSTITUTE($Y17,"!"," "),"?"," "),"+"," "),"*"," "),"&amp;"," "),"["," "),"]"," "),"{"," "),"}"," "),"%"," "),"="," "),"\"," "),"|"," "),"&lt;"," "),"&gt;"," "),"")</f>
        <v xml:space="preserve">cive  botte </v>
      </c>
      <c r="AA17" s="1368" t="str">
        <f>IF(17=17," "&amp;TRIM(SUBSTITUTE(SUBSTITUTE(SUBSTITUTE(SUBSTITUTE(SUBSTITUTE(SUBSTITUTE($Z17,CHAR(34)," "),"  "," "),"  "," "),"  "," "),"  "," "),"  "," "))&amp;" ","")</f>
        <v xml:space="preserve"> cive botte </v>
      </c>
      <c r="AB17" s="1368">
        <f>IF(17=17,IF($U17="","",SUMPRODUCT(--ISNUMBER(SEARCH(" "&amp;$CR$2:$CR$101&amp;" ",$AD17)))),"")</f>
        <v>0</v>
      </c>
      <c r="AC17" s="1368">
        <f>IF(17=17,IF($U17="","",SUMPRODUCT(--ISNUMBER(SEARCH(" "&amp;$CR$102:$CR$151&amp;" ",$AD17)))),"")</f>
        <v>0</v>
      </c>
      <c r="AD17" s="1368" t="str">
        <f t="shared" si="1"/>
        <v xml:space="preserve"> cive botte </v>
      </c>
      <c r="AE17" s="1368">
        <f t="shared" si="2"/>
        <v>0</v>
      </c>
      <c r="AF17" s="1368" t="str">
        <f>IF(17=17,IF($U17="","",IF(SUM(AB17:AC17)+SUMPRODUCT(--ISNUMBER(SEARCH(" "&amp;$CR$2418:$CR$2420&amp;" ",$AD17)))&gt;0,"X",IF(AE17&gt;0,"?",""))),"")</f>
        <v/>
      </c>
      <c r="AG17" s="1368">
        <f>IF(17=17,IF($U17="","",SUMPRODUCT(--ISNUMBER(SEARCH(" "&amp;$CR$206:$CR$305&amp;" ",$AA17)))),"")</f>
        <v>0</v>
      </c>
      <c r="AH17" s="1368">
        <f>IF(17=17,IF($U17="","",SUMPRODUCT(--ISNUMBER(SEARCH(" "&amp;$CR$306:$CR$340&amp;" ",$AA17)))),"")</f>
        <v>0</v>
      </c>
      <c r="AI17" s="1368" t="str">
        <f>IF(17=17,IF($U17="","",IF((SUM(AG17:AH17))-(0)&gt;0,"X",IF((0)-(0)&gt;0,"?",""))),"")</f>
        <v/>
      </c>
      <c r="AJ17" s="1368">
        <f>IF(17=17,IF($U17="","",SUMPRODUCT(--ISNUMBER(SEARCH(" "&amp;$CR$341:$CR$398&amp;" ",$AA17)))),"")</f>
        <v>0</v>
      </c>
      <c r="AK17" s="1368">
        <f>IF(17=17,IF($U17="","",SUMPRODUCT(--ISNUMBER(SEARCH(" "&amp;$CR$399:$CR$426&amp;" ",$AL17)))+SUMPRODUCT(--ISNUMBER(SEARCH(" "&amp;$CR$2440:$CR$2453&amp;" ",$AL17)))),"")</f>
        <v>0</v>
      </c>
      <c r="AL17" s="1368" t="str">
        <f>IF(17=17,IF($U17="","",SUBSTITUTE(SUBSTITUTE(SUBSTITUTE(SUBSTITUTE(SUBSTITUTE(SUBSTITUTE(SUBSTITUTE(SUBSTITUTE(SUBSTITUTE(SUBSTITUTE(SUBSTITUTE(SUBSTITUTE(SUBSTITUTE(SUBSTITUTE($AA17," "&amp;$CR$2455&amp;" "," ")," "&amp;$CR$433&amp;" "," ")," "&amp;$CR$431&amp;" "," ")," "&amp;$CR$2438&amp;" "," ")," "&amp;$CR$2439&amp;" "," ")," "&amp;$CR$428&amp;" "," ")," "&amp;$CR$432&amp;" "," ")," "&amp;$CR$434&amp;" "," ")," "&amp;$CR$429&amp;" "," ")," "&amp;$CR$427&amp;" "," ")," "&amp;$CR$1367&amp;" "," ")," "&amp;$CR$435&amp;" "," ")," "&amp;$CR$1366&amp;" "," ")," "&amp;$CR$430&amp;" "," ")),"")</f>
        <v xml:space="preserve"> cive botte </v>
      </c>
      <c r="AM17" s="1368" t="str">
        <f>IF(17=17,IF($U17="","",IF(AJ17&gt;0,"X",IF(AK17&gt;0,"?",""))),"")</f>
        <v/>
      </c>
      <c r="AN17" s="1368">
        <f>IF(17=17,IF($U17="","",SUMPRODUCT(--ISNUMBER(SEARCH(" "&amp;$CR$436:$CR$535&amp;" ",$AX17)))),"")</f>
        <v>0</v>
      </c>
      <c r="AO17" s="1368">
        <f>IF(17=17,IF($U17="","",SUMPRODUCT(--ISNUMBER(SEARCH(" "&amp;$CR$536:$CR$635&amp;" ",$AX17)))),"")</f>
        <v>0</v>
      </c>
      <c r="AP17" s="1368">
        <f>IF(17=17,IF($U17="","",SUMPRODUCT(--ISNUMBER(SEARCH(" "&amp;$CR$636:$CR$735&amp;" ",$AX17)))),"")</f>
        <v>0</v>
      </c>
      <c r="AQ17" s="1368">
        <f>IF(17=17,IF($U17="","",SUMPRODUCT(--ISNUMBER(SEARCH(" "&amp;$CR$736:$CR$835&amp;" ",$AX17)))),"")</f>
        <v>0</v>
      </c>
      <c r="AR17" s="1368">
        <f>IF(17=17,IF($U17="","",SUMPRODUCT(--ISNUMBER(SEARCH(" "&amp;$CR$836:$CR$935&amp;" ",$AX17)))),"")</f>
        <v>0</v>
      </c>
      <c r="AS17" s="1368">
        <f>IF(17=17,IF($U17="","",SUMPRODUCT(--ISNUMBER(SEARCH(" "&amp;$CR$936:$CR$1035&amp;" ",$AX17)))),"")</f>
        <v>0</v>
      </c>
      <c r="AT17" s="1368">
        <f>IF(17=17,IF($U17="","",SUMPRODUCT(--ISNUMBER(SEARCH(" "&amp;$CR$1036:$CR$1135&amp;" ",$AX17)))),"")</f>
        <v>0</v>
      </c>
      <c r="AU17" s="1368">
        <f>IF(17=17,IF($U17="","",SUMPRODUCT(--ISNUMBER(SEARCH(" "&amp;$CR$1136:$CR$1235&amp;" ",$AX17)))),"")</f>
        <v>0</v>
      </c>
      <c r="AV17" s="1368">
        <f>IF(17=17,IF($U17="","",SUMPRODUCT(--ISNUMBER(SEARCH(" "&amp;$CR$1236:$CR$1335&amp;" ",$AX17)))),"")</f>
        <v>0</v>
      </c>
      <c r="AW17" s="1368">
        <f>IF(17=17,IF($U17="","",SUMPRODUCT(--ISNUMBER(SEARCH(" "&amp;$CR$1336:$CR$1363&amp;" ",$AX17)))),"")</f>
        <v>0</v>
      </c>
      <c r="AX17" s="1368" t="str">
        <f>IF(17=17,IF($U17="","",SUBSTITUTE(SUBSTITUTE(SUBSTITUTE(SUBSTITUTE(SUBSTITUTE(SUBSTITUTE(SUBSTITUTE(SUBSTITUTE(SUBSTITUTE($AA17," "&amp;$CR$1365&amp;" "," ")," "&amp;$CR$1364&amp;" "," ")," "&amp;$CR$1370&amp;" "," ")," "&amp;$CR$1371&amp;" "," ")," "&amp;$CR$1367&amp;" "," ")," "&amp;$CR$1369&amp;" "," ")," "&amp;$CR$1366&amp;" "," ")," "&amp;$CR$1368&amp;" "," ")," "&amp;$CR$1372&amp;" "," ")),"")</f>
        <v xml:space="preserve"> cive botte </v>
      </c>
      <c r="AY17" s="1368">
        <f>IF(17=17,IF($U17="","",SUMPRODUCT(--ISNUMBER(SEARCH(" "&amp;$CR$1373:$CR$1383&amp;" ",$AX17)))),"")</f>
        <v>0</v>
      </c>
      <c r="AZ17" s="1368" t="str">
        <f>IF(17=17,IF($U17="","",IF(SUM(AN17:AW17)+SUMPRODUCT(--ISNUMBER(SEARCH(" "&amp;$CR$2421:$CR$2422&amp;" ",$AX17)))&gt;0,"X",IF(AY17&gt;0,"?",""))),"")</f>
        <v/>
      </c>
      <c r="BA17" s="1368">
        <f>IF(17=17,IF($U17="","",SUMPRODUCT(--ISNUMBER(SEARCH(" "&amp;$CR$1384:$CR$1404&amp;" ",$AA17)))),"")</f>
        <v>0</v>
      </c>
      <c r="BB17" s="1368" t="str">
        <f>IF(17=17,IF($U17="","",IF((BA17)-(0)&gt;0,"X",IF((0)-(0)&gt;0,"?",""))),"")</f>
        <v/>
      </c>
      <c r="BC17" s="1368">
        <f>IF(17=17,IF($U17="","",SUMPRODUCT(--ISNUMBER(SEARCH(" "&amp;$CR$1405:$CR$1442&amp;" ",$BD17)))),"")</f>
        <v>0</v>
      </c>
      <c r="BD17" s="1368" t="str">
        <f>IF(17=17,IF($U17="","",SUBSTITUTE(SUBSTITUTE($AA17," "&amp;$CR$1443&amp;" "," ")," "&amp;$CR$1444&amp;" "," ")),"")</f>
        <v xml:space="preserve"> cive botte </v>
      </c>
      <c r="BE17" s="1368">
        <f>IF(17=17,IF($U17="","",SUMPRODUCT(--ISNUMBER(SEARCH(" "&amp;$CR$1445:$CR$1455&amp;" ",$BD17)))),"")</f>
        <v>0</v>
      </c>
      <c r="BF17" s="1368" t="str">
        <f>IF(17=17,IF($U17="","",IF(BC17&gt;0,"X",IF(BE17&gt;0,"?",""))),"")</f>
        <v/>
      </c>
      <c r="BG17" s="1368">
        <f>IF(17=17,IF($U17="","",SUMPRODUCT(--ISNUMBER(SEARCH(" "&amp;$CR$1456:$CR$1555&amp;" ",$BJ17)))),"")</f>
        <v>0</v>
      </c>
      <c r="BH17" s="1368">
        <f>IF(17=17,IF($U17="","",SUMPRODUCT(--ISNUMBER(SEARCH(" "&amp;$CR$1556:$CR$1655&amp;" ",$BJ17)))),"")</f>
        <v>0</v>
      </c>
      <c r="BI17" s="1368">
        <f>IF(17=17,IF($U17="","",SUMPRODUCT(--ISNUMBER(SEARCH(" "&amp;$CR$1656:$CR$1739&amp;" ",$BJ17)))),"")</f>
        <v>0</v>
      </c>
      <c r="BJ17" s="1368" t="str">
        <f>IF(17=17,IF($U17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cive botte </v>
      </c>
      <c r="BK17" s="1368">
        <f>IF(17=17,IF($U17="","",SUMPRODUCT(--ISNUMBER(SEARCH(" "&amp;$CR$1790:$CR$1869&amp;" ",$BL17)))+SUMPRODUCT(--ISNUMBER(SEARCH(" "&amp;$CR$2440:$CR$2453&amp;" ",$BL17)))),"")</f>
        <v>0</v>
      </c>
      <c r="BL17" s="1368" t="str">
        <f>IF(17=17,IF($U17="","",SUBSTITUTE(SUBSTITUTE(SUBSTITUTE(SUBSTITUTE(SUBSTITUTE(SUBSTITUTE(SUBSTITUTE(SUBSTITUTE(SUBSTITUTE(SUBSTITUTE(SUBSTITUTE(SUBSTITUTE(SUBSTITUTE($BJ17," "&amp;$CR$1876&amp;" "," ")," "&amp;$CR$1874&amp;" "," ")," "&amp;$CR$2438&amp;" "," ")," "&amp;$CR$2439&amp;" "," ")," "&amp;$CR$1871&amp;" "," ")," "&amp;$CR$1875&amp;" "," ")," "&amp;$CR$1877&amp;" "," ")," "&amp;$CR$1872&amp;" "," ")," "&amp;$CR$1870&amp;" "," ")," "&amp;$CR$1367&amp;" "," ")," "&amp;$CR$1878&amp;" "," ")," "&amp;$CR$1366&amp;" "," ")," "&amp;$CR$1873&amp;" "," ")),"")</f>
        <v xml:space="preserve"> cive botte </v>
      </c>
      <c r="BM17" s="1368" t="str">
        <f>IF(17=17,IF($U17="","",IF(SUM(BG17:BI17)+SUMPRODUCT(--ISNUMBER(SEARCH(" "&amp;$CR$2423:$CR$2424&amp;" ",$BJ17)))&gt;0,"X",IF(BK17&gt;0,"?",""))),"")</f>
        <v/>
      </c>
      <c r="BN17" s="1368">
        <f>IF(17=17,IF($U17="","",SUMPRODUCT(--ISNUMBER(SEARCH(" "&amp;$CR$1879:$CR$1936&amp;" ",$BO17)))),"")</f>
        <v>0</v>
      </c>
      <c r="BO17" s="1368" t="str">
        <f>IF(17=17,IF($U17="","",SUBSTITUTE(SUBSTITUTE(SUBSTITUTE(SUBSTITUTE(SUBSTITUTE(SUBSTITUTE(SUBSTITUTE(SUBSTITUTE(SUBSTITUTE(SUBSTITUTE(SUBSTITUTE(SUBSTITUTE(SUBSTITUTE(SUBSTITUTE(SUBSTITUTE(SUBSTITUTE(SUBSTITUTE(SUBSTITUTE(SUBSTITUTE(SUBSTITUTE(SUBSTITUTE(SUBSTITUTE(SUBSTITUTE($AA17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cive botte </v>
      </c>
      <c r="BP17" s="1368">
        <f>IF(17=17,IF($U17="","",SUMPRODUCT(--ISNUMBER(SEARCH(" "&amp;$CR$1960:$CR$1976&amp;" ",$BO17)))),"")</f>
        <v>0</v>
      </c>
      <c r="BQ17" s="1368" t="str">
        <f>IF(17=17,IF($U17="","",IF(BN17&gt;0,"X",IF(BP17&gt;0,"?",""))),"")</f>
        <v/>
      </c>
      <c r="BR17" s="1368">
        <f>IF(17=17,IF($U17="","",SUMPRODUCT(--ISNUMBER(SEARCH(" "&amp;$CR$1977:$CR$1990&amp;" ",$AA17)))),"")</f>
        <v>0</v>
      </c>
      <c r="BS17" s="1368">
        <f>IF(17=17,IF($U17="","",SUMPRODUCT(--ISNUMBER(SEARCH(" "&amp;$CR$1991:$CR$2005&amp;" ",$AA17)))),"")</f>
        <v>0</v>
      </c>
      <c r="BT17" s="1368" t="str">
        <f>IF(17=17,IF($U17="","",IF((BR17)-(0)&gt;0,"X",IF((BS17)-(0)&gt;0,"?",""))),"")</f>
        <v/>
      </c>
      <c r="BU17" s="1368">
        <f>IF(17=17,IF($U17="","",SUMPRODUCT(--ISNUMBER(SEARCH(" "&amp;$CR$2006:$CR$2023&amp;" ",$AA17)))),"")</f>
        <v>0</v>
      </c>
      <c r="BV17" s="1368">
        <f>IF(17=17,IF($U17="","",SUMPRODUCT(--ISNUMBER(SEARCH(" "&amp;$CR$2024:$CR$2038&amp;" ",$AA17)))),"")</f>
        <v>0</v>
      </c>
      <c r="BW17" s="1368" t="str">
        <f>IF(17=17,IF($U17="","",IF((BU17)-(0)&gt;0,"X",IF((BV17)-(0)&gt;0,"?",""))),"")</f>
        <v/>
      </c>
      <c r="BX17" s="1368">
        <f>IF(17=17,IF($U17="","",SUMPRODUCT(--ISNUMBER(SEARCH(" "&amp;$CR$2039:$CR$2057&amp;" ",$AA17)))),"")</f>
        <v>0</v>
      </c>
      <c r="BY17" s="1368">
        <f>IF(17=17,IF($U17="","",SUMPRODUCT(--ISNUMBER(SEARCH(" "&amp;$CR$2058:$CR$2072&amp;" ",$AA17)))),"")</f>
        <v>0</v>
      </c>
      <c r="BZ17" s="1368" t="str">
        <f>IF(17=17,IF($U17="","",IF((BX17)-(0)&gt;0,"X",IF((BY17)-(0)&gt;0,"?",""))),"")</f>
        <v/>
      </c>
      <c r="CA17" s="1368">
        <f>IF(17=17,IF($U17="","",SUMPRODUCT(--ISNUMBER(SEARCH(" "&amp;$CR$2073:$CR$2093&amp;" ",$AA17)))),"")</f>
        <v>0</v>
      </c>
      <c r="CB17" s="1368">
        <f>IF(17=17,IF($U17="","",SUMPRODUCT(--ISNUMBER(SEARCH(" "&amp;$CR$2094:$CR$2133&amp;" ",SUBSTITUTE(SUBSTITUTE($AA17," "&amp;$CR$1367&amp;" "," ")," "&amp;$CR$1366&amp;" "," "))))+--ISNUMBER(SEARCH("poiré",$V17))),"")</f>
        <v>0</v>
      </c>
      <c r="CC17" s="1368" t="str">
        <f>IF(17=17,IF($U17="","",IF(OR(CA17&gt;0,ISNUMBER(SEARCH(" vinaigre de vin ",$AA17)),ISNUMBER(SEARCH(" vinaigre au vin ",$AA17))),"X",IF(CB17&gt;0,"?",""))),"")</f>
        <v/>
      </c>
      <c r="CD17" s="1368">
        <f>IF(17=17,IF($U17="","",SUMPRODUCT(--ISNUMBER(SEARCH(" "&amp;$CR$2134:$CR$2146&amp;" ",$AA17)))),"")</f>
        <v>0</v>
      </c>
      <c r="CE17" s="1368">
        <f>IF(17=17,IF($U17="","",SUMPRODUCT(--ISNUMBER(SEARCH(" "&amp;$CR$2147:$CR$2152&amp;" ",$AA17)))),"")</f>
        <v>0</v>
      </c>
      <c r="CF17" s="1368" t="str">
        <f>IF(17=17,IF($U17="","",IF((CD17)-(0)&gt;0,"X",IF((CE17)-(0)&gt;0,"?",""))),"")</f>
        <v/>
      </c>
      <c r="CG17" s="1368">
        <f>IF(17=17,IF($U17="","",SUMPRODUCT(--ISNUMBER(SEARCH(" "&amp;$CR$2153:$CR$2252&amp;" ",$CJ17)))),"")</f>
        <v>0</v>
      </c>
      <c r="CH17" s="1368">
        <f>IF(17=17,IF($U17="","",SUMPRODUCT(--ISNUMBER(SEARCH(" "&amp;$CR$2253:$CR$2352&amp;" ",$CJ17)))),"")</f>
        <v>0</v>
      </c>
      <c r="CI17" s="1368">
        <f>IF(17=17,IF($U17="","",SUMPRODUCT(--ISNUMBER(SEARCH(" "&amp;$CR$2353:$CR$2395&amp;" ",$CJ17)))),"")</f>
        <v>0</v>
      </c>
      <c r="CJ17" s="1368" t="str">
        <f>IF(17=17,IF($U17="","",SUBSTITUTE(SUBSTITUTE(SUBSTITUTE(SUBSTITUTE(SUBSTITUTE(SUBSTITUTE(SUBSTITUTE(SUBSTITUTE(SUBSTITUTE(SUBSTITUTE(SUBSTITUTE(SUBSTITUTE(SUBSTITUTE(SUBSTITUTE(SUBSTITUTE(SUBSTITUTE($AA17," "&amp;$CR$2401&amp;" "," ")," "&amp;$CR$2400&amp;" "," ")," "&amp;$CR$2399&amp;" "," ")," "&amp;$CR$2406&amp;" "," ")," "&amp;$CR$2398&amp;" "," ")," "&amp;$CR$2410&amp;" "," ")," "&amp;$CR$2397&amp;" "," ")," "&amp;$CR$2402&amp;" "," ")," "&amp;$CR$2405&amp;" "," ")," "&amp;$CR$2396&amp;" "," ")," "&amp;$CR$2404&amp;" "," ")," "&amp;$CR$2411&amp;" "," ")," "&amp;$CR$2408&amp;" "," ")," "&amp;$CR$2403&amp;" "," ")," "&amp;$CR$2407&amp;" "," ")," "&amp;$CR$2409&amp;" "," ")),"")</f>
        <v xml:space="preserve"> cive botte </v>
      </c>
      <c r="CK17" s="1368">
        <f>IF(17=17,IF($U17="","",SUMPRODUCT(--ISNUMBER(SEARCH(" "&amp;$CR$2412:$CR$2416&amp;" ",$CJ17)))),"")</f>
        <v>0</v>
      </c>
      <c r="CL17" s="1368" t="str">
        <f>IF(17=17,IF($U17="","",IF(SUM(CG17:CI17)&gt;0,"X",IF(CK17&gt;0,"?",""))),"")</f>
        <v/>
      </c>
      <c r="CM17" s="1377"/>
      <c r="CN17" s="1388" t="s">
        <v>8231</v>
      </c>
      <c r="CO17" s="1388" t="s">
        <v>8105</v>
      </c>
      <c r="CP17" s="1388" t="s">
        <v>8106</v>
      </c>
      <c r="CQ17" s="1388" t="s">
        <v>8232</v>
      </c>
      <c r="CR17" s="1388" t="s">
        <v>8232</v>
      </c>
      <c r="CS17" s="1388" t="s">
        <v>8194</v>
      </c>
      <c r="CT17" s="1388" t="s">
        <v>8195</v>
      </c>
      <c r="CU17" s="1388" t="s">
        <v>8110</v>
      </c>
      <c r="CV17" s="1389" t="s">
        <v>8196</v>
      </c>
      <c r="CX17" s="1379">
        <v>1</v>
      </c>
    </row>
    <row r="18" spans="1:102" ht="21" customHeight="1" x14ac:dyDescent="0.25">
      <c r="A18" s="1412">
        <v>12</v>
      </c>
      <c r="B18" s="1413" t="s">
        <v>8233</v>
      </c>
      <c r="C18" s="1414" t="str">
        <f t="shared" si="0"/>
        <v>Clous de girofle</v>
      </c>
      <c r="D18" s="1415" t="str">
        <f>IF(18=18,IF($B18="","",IF(E18="X",""&amp;"Céréales contenant du gluten","")&amp;IF(F18="X",IF(COUNTIF($E18:$E18,"X")&gt;0,", ","")&amp;"Crustacés","")&amp;IF(G18="X",IF(COUNTIF($E18:$F18,"X")&gt;0,", ","")&amp;"Œufs","")&amp;IF(H18="X",IF(COUNTIF($E18:$G18,"X")&gt;0,", ","")&amp;"Poissons","")&amp;IF(I18="X",IF(COUNTIF($E18:$H18,"X")&gt;0,", ","")&amp;"Arachides","")&amp;IF(J18="X",IF(COUNTIF($E18:$I18,"X")&gt;0,", ","")&amp;"Soja","")&amp;IF(K18="X",IF(COUNTIF($E18:$J18,"X")&gt;0,", ","")&amp;"Lait","")&amp;IF(L18="X",IF(COUNTIF($E18:$K18,"X")&gt;0,", ","")&amp;"Fruits à coque","")&amp;IF(M18="X",IF(COUNTIF($E18:$L18,"X")&gt;0,", ","")&amp;"Céleri","")&amp;IF(N18="X",IF(COUNTIF($E18:$M18,"X")&gt;0,", ","")&amp;"Moutarde","")&amp;IF(O18="X",IF(COUNTIF($E18:$N18,"X")&gt;0,", ","")&amp;"Sésame","")&amp;IF(P18="X",IF(COUNTIF($E18:$O18,"X")&gt;0,", ","")&amp;"Sulfites","")&amp;IF(Q18="X",IF(COUNTIF($E18:$P18,"X")&gt;0,", ","")&amp;"Lupin","")&amp;IF(R18="X",IF(COUNTIF($E18:$Q18,"X")&gt;0,", ","")&amp;"Mollusques","")),"")</f>
        <v/>
      </c>
      <c r="E18" s="1416" t="str">
        <f>IF(18=18,IF($B18="","",AF18),"")</f>
        <v/>
      </c>
      <c r="F18" s="1416" t="str">
        <f>IF(18=18,IF($B18="","",AI18),"")</f>
        <v/>
      </c>
      <c r="G18" s="1416" t="str">
        <f>IF(18=18,IF($B18="","",AM18),"")</f>
        <v/>
      </c>
      <c r="H18" s="1416" t="str">
        <f>IF(18=18,IF($B18="","",IF(ISNUMBER(SEARCH(" colin ",$AA18)),"X",AZ18)),"")</f>
        <v/>
      </c>
      <c r="I18" s="1416" t="str">
        <f>IF(18=18,IF($B18="","",BB18),"")</f>
        <v/>
      </c>
      <c r="J18" s="1416" t="str">
        <f>IF(18=18,IF($B18="","",BF18),"")</f>
        <v/>
      </c>
      <c r="K18" s="1416" t="str">
        <f>IF(18=18,IF($B18="","",BM18),"")</f>
        <v/>
      </c>
      <c r="L18" s="1416" t="str">
        <f>IF(18=18,IF($B18="","",BQ18),"")</f>
        <v/>
      </c>
      <c r="M18" s="1416" t="str">
        <f>IF(18=18,IF($B18="","",BT18),"")</f>
        <v/>
      </c>
      <c r="N18" s="1416" t="str">
        <f>IF(18=18,IF($B18="","",BW18),"")</f>
        <v/>
      </c>
      <c r="O18" s="1416" t="str">
        <f>IF(18=18,IF($B18="","",BZ18),"")</f>
        <v/>
      </c>
      <c r="P18" s="1416" t="str">
        <f>IF(18=18,IF($B18="","",CC18),"")</f>
        <v/>
      </c>
      <c r="Q18" s="1416" t="str">
        <f>IF(18=18,IF($B18="","",CF18),"")</f>
        <v/>
      </c>
      <c r="R18" s="1416" t="str">
        <f>IF(18=18,IF($B18="","",CL18),"")</f>
        <v/>
      </c>
      <c r="S18" s="1417" t="str">
        <f>IF(18=18,IF($B18="","",IF(E18="?",""&amp;"Céréales contenant du gluten","")&amp;IF(F18="?",IF(COUNTIF($E18:$E18,"~?")&gt;0,", ","")&amp;"Crustacés","")&amp;IF(G18="?",IF(COUNTIF($E18:$F18,"~?")&gt;0,", ","")&amp;"Œufs","")&amp;IF(H18="?",IF(COUNTIF($E18:$G18,"~?")&gt;0,", ","")&amp;"Poissons","")&amp;IF(I18="?",IF(COUNTIF($E18:$H18,"~?")&gt;0,", ","")&amp;"Arachides","")&amp;IF(J18="?",IF(COUNTIF($E18:$I18,"~?")&gt;0,", ","")&amp;"Soja","")&amp;IF(K18="?",IF(COUNTIF($E18:$J18,"~?")&gt;0,", ","")&amp;"Lait","")&amp;IF(L18="?",IF(COUNTIF($E18:$K18,"~?")&gt;0,", ","")&amp;"Fruits à coque","")&amp;IF(M18="?",IF(COUNTIF($E18:$L18,"~?")&gt;0,", ","")&amp;"Céleri","")&amp;IF(N18="?",IF(COUNTIF($E18:$M18,"~?")&gt;0,", ","")&amp;"Moutarde","")&amp;IF(O18="?",IF(COUNTIF($E18:$N18,"~?")&gt;0,", ","")&amp;"Sésame","")&amp;IF(P18="?",IF(COUNTIF($E18:$O18,"~?")&gt;0,", ","")&amp;"Sulfites","")&amp;IF(Q18="?",IF(COUNTIF($E18:$P18,"~?")&gt;0,", ","")&amp;"Lupin","")&amp;IF(R18="?",IF(COUNTIF($E18:$Q18,"~?")&gt;0,", ","")&amp;"Mollusques","")),"")</f>
        <v/>
      </c>
      <c r="U18" s="1368" t="str">
        <f>IF(18=18,IF($B18="","",$B18),"")</f>
        <v>Clous de girofle</v>
      </c>
      <c r="V18" s="1368" t="str">
        <f>IF(18=18,LOWER(CLEAN(SUBSTITUTE(SUBSTITUTE(SUBSTITUTE(SUBSTITUTE($U18,CHAR(160)," ")," "," "),CHAR(10)," "),CHAR(13)," "))),"")</f>
        <v>clous de girofle</v>
      </c>
      <c r="W18" s="1368" t="str">
        <f>IF(18=18,SUBSTITUTE(SUBSTITUTE(SUBSTITUTE(SUBSTITUTE(SUBSTITUTE(SUBSTITUTE(SUBSTITUTE(SUBSTITUTE(SUBSTITUTE(SUBSTITUTE(SUBSTITUTE(SUBSTITUTE($V18,"œ","oe"),"æ","ae"),"à","a"),"á","a"),"â","a"),"ä","a"),"ã","a"),"ç","c"),"è","e"),"é","e"),"ê","e"),"ë","e"),"")</f>
        <v>clous de girofle</v>
      </c>
      <c r="X18" s="1368" t="str">
        <f>IF(18=18,SUBSTITUTE(SUBSTITUTE(SUBSTITUTE(SUBSTITUTE(SUBSTITUTE(SUBSTITUTE(SUBSTITUTE(SUBSTITUTE(SUBSTITUTE(SUBSTITUTE(SUBSTITUTE(SUBSTITUTE(SUBSTITUTE(SUBSTITUTE(SUBSTITUTE(SUBSTITUTE($W18,"ì","i"),"í","i"),"î","i"),"ï","i"),"ñ","n"),"ò","o"),"ó","o"),"ô","o"),"ö","o"),"õ","o"),"ù","u"),"ú","u"),"û","u"),"ü","u"),"ý","y"),"ÿ","y"),"")</f>
        <v>clous de girofle</v>
      </c>
      <c r="Y18" s="1368" t="str">
        <f>IF(18=18,SUBSTITUTE(SUBSTITUTE(SUBSTITUTE(SUBSTITUTE(SUBSTITUTE(SUBSTITUTE(SUBSTITUTE(SUBSTITUTE(SUBSTITUTE(SUBSTITUTE(SUBSTITUTE(SUBSTITUTE(SUBSTITUTE(SUBSTITUTE($X18,"’"," "),"`"," "),"–"," "),"—"," "),"-"," "),"'"," "),"/"," "),"_"," "),","," "),"."," "),"("," "),")"," "),";"," "),":"," "),"")</f>
        <v>clous de girofle</v>
      </c>
      <c r="Z18" s="1368" t="str">
        <f>IF(18=18,SUBSTITUTE(SUBSTITUTE(SUBSTITUTE(SUBSTITUTE(SUBSTITUTE(SUBSTITUTE(SUBSTITUTE(SUBSTITUTE(SUBSTITUTE(SUBSTITUTE(SUBSTITUTE(SUBSTITUTE(SUBSTITUTE(SUBSTITUTE(SUBSTITUTE($Y18,"!"," "),"?"," "),"+"," "),"*"," "),"&amp;"," "),"["," "),"]"," "),"{"," "),"}"," "),"%"," "),"="," "),"\"," "),"|"," "),"&lt;"," "),"&gt;"," "),"")</f>
        <v>clous de girofle</v>
      </c>
      <c r="AA18" s="1368" t="str">
        <f>IF(18=18," "&amp;TRIM(SUBSTITUTE(SUBSTITUTE(SUBSTITUTE(SUBSTITUTE(SUBSTITUTE(SUBSTITUTE($Z18,CHAR(34)," "),"  "," "),"  "," "),"  "," "),"  "," "),"  "," "))&amp;" ","")</f>
        <v xml:space="preserve"> clous de girofle </v>
      </c>
      <c r="AB18" s="1368">
        <f>IF(18=18,IF($U18="","",SUMPRODUCT(--ISNUMBER(SEARCH(" "&amp;$CR$2:$CR$101&amp;" ",$AD18)))),"")</f>
        <v>0</v>
      </c>
      <c r="AC18" s="1368">
        <f>IF(18=18,IF($U18="","",SUMPRODUCT(--ISNUMBER(SEARCH(" "&amp;$CR$102:$CR$151&amp;" ",$AD18)))),"")</f>
        <v>0</v>
      </c>
      <c r="AD18" s="1368" t="str">
        <f t="shared" si="1"/>
        <v xml:space="preserve"> clous de girofle </v>
      </c>
      <c r="AE18" s="1368">
        <f t="shared" si="2"/>
        <v>0</v>
      </c>
      <c r="AF18" s="1368" t="str">
        <f>IF(18=18,IF($U18="","",IF(SUM(AB18:AC18)+SUMPRODUCT(--ISNUMBER(SEARCH(" "&amp;$CR$2418:$CR$2420&amp;" ",$AD18)))&gt;0,"X",IF(AE18&gt;0,"?",""))),"")</f>
        <v/>
      </c>
      <c r="AG18" s="1368">
        <f>IF(18=18,IF($U18="","",SUMPRODUCT(--ISNUMBER(SEARCH(" "&amp;$CR$206:$CR$305&amp;" ",$AA18)))),"")</f>
        <v>0</v>
      </c>
      <c r="AH18" s="1368">
        <f>IF(18=18,IF($U18="","",SUMPRODUCT(--ISNUMBER(SEARCH(" "&amp;$CR$306:$CR$340&amp;" ",$AA18)))),"")</f>
        <v>0</v>
      </c>
      <c r="AI18" s="1368" t="str">
        <f>IF(18=18,IF($U18="","",IF((SUM(AG18:AH18))-(0)&gt;0,"X",IF((0)-(0)&gt;0,"?",""))),"")</f>
        <v/>
      </c>
      <c r="AJ18" s="1368">
        <f>IF(18=18,IF($U18="","",SUMPRODUCT(--ISNUMBER(SEARCH(" "&amp;$CR$341:$CR$398&amp;" ",$AA18)))),"")</f>
        <v>0</v>
      </c>
      <c r="AK18" s="1368">
        <f>IF(18=18,IF($U18="","",SUMPRODUCT(--ISNUMBER(SEARCH(" "&amp;$CR$399:$CR$426&amp;" ",$AL18)))+SUMPRODUCT(--ISNUMBER(SEARCH(" "&amp;$CR$2440:$CR$2453&amp;" ",$AL18)))),"")</f>
        <v>0</v>
      </c>
      <c r="AL18" s="1368" t="str">
        <f>IF(18=18,IF($U18="","",SUBSTITUTE(SUBSTITUTE(SUBSTITUTE(SUBSTITUTE(SUBSTITUTE(SUBSTITUTE(SUBSTITUTE(SUBSTITUTE(SUBSTITUTE(SUBSTITUTE(SUBSTITUTE(SUBSTITUTE(SUBSTITUTE(SUBSTITUTE($AA18," "&amp;$CR$2455&amp;" "," ")," "&amp;$CR$433&amp;" "," ")," "&amp;$CR$431&amp;" "," ")," "&amp;$CR$2438&amp;" "," ")," "&amp;$CR$2439&amp;" "," ")," "&amp;$CR$428&amp;" "," ")," "&amp;$CR$432&amp;" "," ")," "&amp;$CR$434&amp;" "," ")," "&amp;$CR$429&amp;" "," ")," "&amp;$CR$427&amp;" "," ")," "&amp;$CR$1367&amp;" "," ")," "&amp;$CR$435&amp;" "," ")," "&amp;$CR$1366&amp;" "," ")," "&amp;$CR$430&amp;" "," ")),"")</f>
        <v xml:space="preserve"> clous de girofle </v>
      </c>
      <c r="AM18" s="1368" t="str">
        <f>IF(18=18,IF($U18="","",IF(AJ18&gt;0,"X",IF(AK18&gt;0,"?",""))),"")</f>
        <v/>
      </c>
      <c r="AN18" s="1368">
        <f>IF(18=18,IF($U18="","",SUMPRODUCT(--ISNUMBER(SEARCH(" "&amp;$CR$436:$CR$535&amp;" ",$AX18)))),"")</f>
        <v>0</v>
      </c>
      <c r="AO18" s="1368">
        <f>IF(18=18,IF($U18="","",SUMPRODUCT(--ISNUMBER(SEARCH(" "&amp;$CR$536:$CR$635&amp;" ",$AX18)))),"")</f>
        <v>0</v>
      </c>
      <c r="AP18" s="1368">
        <f>IF(18=18,IF($U18="","",SUMPRODUCT(--ISNUMBER(SEARCH(" "&amp;$CR$636:$CR$735&amp;" ",$AX18)))),"")</f>
        <v>0</v>
      </c>
      <c r="AQ18" s="1368">
        <f>IF(18=18,IF($U18="","",SUMPRODUCT(--ISNUMBER(SEARCH(" "&amp;$CR$736:$CR$835&amp;" ",$AX18)))),"")</f>
        <v>0</v>
      </c>
      <c r="AR18" s="1368">
        <f>IF(18=18,IF($U18="","",SUMPRODUCT(--ISNUMBER(SEARCH(" "&amp;$CR$836:$CR$935&amp;" ",$AX18)))),"")</f>
        <v>0</v>
      </c>
      <c r="AS18" s="1368">
        <f>IF(18=18,IF($U18="","",SUMPRODUCT(--ISNUMBER(SEARCH(" "&amp;$CR$936:$CR$1035&amp;" ",$AX18)))),"")</f>
        <v>0</v>
      </c>
      <c r="AT18" s="1368">
        <f>IF(18=18,IF($U18="","",SUMPRODUCT(--ISNUMBER(SEARCH(" "&amp;$CR$1036:$CR$1135&amp;" ",$AX18)))),"")</f>
        <v>0</v>
      </c>
      <c r="AU18" s="1368">
        <f>IF(18=18,IF($U18="","",SUMPRODUCT(--ISNUMBER(SEARCH(" "&amp;$CR$1136:$CR$1235&amp;" ",$AX18)))),"")</f>
        <v>0</v>
      </c>
      <c r="AV18" s="1368">
        <f>IF(18=18,IF($U18="","",SUMPRODUCT(--ISNUMBER(SEARCH(" "&amp;$CR$1236:$CR$1335&amp;" ",$AX18)))),"")</f>
        <v>0</v>
      </c>
      <c r="AW18" s="1368">
        <f>IF(18=18,IF($U18="","",SUMPRODUCT(--ISNUMBER(SEARCH(" "&amp;$CR$1336:$CR$1363&amp;" ",$AX18)))),"")</f>
        <v>0</v>
      </c>
      <c r="AX18" s="1368" t="str">
        <f>IF(18=18,IF($U18="","",SUBSTITUTE(SUBSTITUTE(SUBSTITUTE(SUBSTITUTE(SUBSTITUTE(SUBSTITUTE(SUBSTITUTE(SUBSTITUTE(SUBSTITUTE($AA18," "&amp;$CR$1365&amp;" "," ")," "&amp;$CR$1364&amp;" "," ")," "&amp;$CR$1370&amp;" "," ")," "&amp;$CR$1371&amp;" "," ")," "&amp;$CR$1367&amp;" "," ")," "&amp;$CR$1369&amp;" "," ")," "&amp;$CR$1366&amp;" "," ")," "&amp;$CR$1368&amp;" "," ")," "&amp;$CR$1372&amp;" "," ")),"")</f>
        <v xml:space="preserve"> clous de girofle </v>
      </c>
      <c r="AY18" s="1368">
        <f>IF(18=18,IF($U18="","",SUMPRODUCT(--ISNUMBER(SEARCH(" "&amp;$CR$1373:$CR$1383&amp;" ",$AX18)))),"")</f>
        <v>0</v>
      </c>
      <c r="AZ18" s="1368" t="str">
        <f>IF(18=18,IF($U18="","",IF(SUM(AN18:AW18)+SUMPRODUCT(--ISNUMBER(SEARCH(" "&amp;$CR$2421:$CR$2422&amp;" ",$AX18)))&gt;0,"X",IF(AY18&gt;0,"?",""))),"")</f>
        <v/>
      </c>
      <c r="BA18" s="1368">
        <f>IF(18=18,IF($U18="","",SUMPRODUCT(--ISNUMBER(SEARCH(" "&amp;$CR$1384:$CR$1404&amp;" ",$AA18)))),"")</f>
        <v>0</v>
      </c>
      <c r="BB18" s="1368" t="str">
        <f>IF(18=18,IF($U18="","",IF((BA18)-(0)&gt;0,"X",IF((0)-(0)&gt;0,"?",""))),"")</f>
        <v/>
      </c>
      <c r="BC18" s="1368">
        <f>IF(18=18,IF($U18="","",SUMPRODUCT(--ISNUMBER(SEARCH(" "&amp;$CR$1405:$CR$1442&amp;" ",$BD18)))),"")</f>
        <v>0</v>
      </c>
      <c r="BD18" s="1368" t="str">
        <f>IF(18=18,IF($U18="","",SUBSTITUTE(SUBSTITUTE($AA18," "&amp;$CR$1443&amp;" "," ")," "&amp;$CR$1444&amp;" "," ")),"")</f>
        <v xml:space="preserve"> clous de girofle </v>
      </c>
      <c r="BE18" s="1368">
        <f>IF(18=18,IF($U18="","",SUMPRODUCT(--ISNUMBER(SEARCH(" "&amp;$CR$1445:$CR$1455&amp;" ",$BD18)))),"")</f>
        <v>0</v>
      </c>
      <c r="BF18" s="1368" t="str">
        <f>IF(18=18,IF($U18="","",IF(BC18&gt;0,"X",IF(BE18&gt;0,"?",""))),"")</f>
        <v/>
      </c>
      <c r="BG18" s="1368">
        <f>IF(18=18,IF($U18="","",SUMPRODUCT(--ISNUMBER(SEARCH(" "&amp;$CR$1456:$CR$1555&amp;" ",$BJ18)))),"")</f>
        <v>0</v>
      </c>
      <c r="BH18" s="1368">
        <f>IF(18=18,IF($U18="","",SUMPRODUCT(--ISNUMBER(SEARCH(" "&amp;$CR$1556:$CR$1655&amp;" ",$BJ18)))),"")</f>
        <v>0</v>
      </c>
      <c r="BI18" s="1368">
        <f>IF(18=18,IF($U18="","",SUMPRODUCT(--ISNUMBER(SEARCH(" "&amp;$CR$1656:$CR$1739&amp;" ",$BJ18)))),"")</f>
        <v>0</v>
      </c>
      <c r="BJ18" s="1368" t="str">
        <f>IF(18=18,IF($U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clous de girofle </v>
      </c>
      <c r="BK18" s="1368">
        <f>IF(18=18,IF($U18="","",SUMPRODUCT(--ISNUMBER(SEARCH(" "&amp;$CR$1790:$CR$1869&amp;" ",$BL18)))+SUMPRODUCT(--ISNUMBER(SEARCH(" "&amp;$CR$2440:$CR$2453&amp;" ",$BL18)))),"")</f>
        <v>0</v>
      </c>
      <c r="BL18" s="1368" t="str">
        <f>IF(18=18,IF($U18="","",SUBSTITUTE(SUBSTITUTE(SUBSTITUTE(SUBSTITUTE(SUBSTITUTE(SUBSTITUTE(SUBSTITUTE(SUBSTITUTE(SUBSTITUTE(SUBSTITUTE(SUBSTITUTE(SUBSTITUTE(SUBSTITUTE($BJ18," "&amp;$CR$1876&amp;" "," ")," "&amp;$CR$1874&amp;" "," ")," "&amp;$CR$2438&amp;" "," ")," "&amp;$CR$2439&amp;" "," ")," "&amp;$CR$1871&amp;" "," ")," "&amp;$CR$1875&amp;" "," ")," "&amp;$CR$1877&amp;" "," ")," "&amp;$CR$1872&amp;" "," ")," "&amp;$CR$1870&amp;" "," ")," "&amp;$CR$1367&amp;" "," ")," "&amp;$CR$1878&amp;" "," ")," "&amp;$CR$1366&amp;" "," ")," "&amp;$CR$1873&amp;" "," ")),"")</f>
        <v xml:space="preserve"> clous de girofle </v>
      </c>
      <c r="BM18" s="1368" t="str">
        <f>IF(18=18,IF($U18="","",IF(SUM(BG18:BI18)+SUMPRODUCT(--ISNUMBER(SEARCH(" "&amp;$CR$2423:$CR$2424&amp;" ",$BJ18)))&gt;0,"X",IF(BK18&gt;0,"?",""))),"")</f>
        <v/>
      </c>
      <c r="BN18" s="1368">
        <f>IF(18=18,IF($U18="","",SUMPRODUCT(--ISNUMBER(SEARCH(" "&amp;$CR$1879:$CR$1936&amp;" ",$BO18)))),"")</f>
        <v>0</v>
      </c>
      <c r="BO18" s="1368" t="str">
        <f>IF(18=18,IF($U18="","",SUBSTITUTE(SUBSTITUTE(SUBSTITUTE(SUBSTITUTE(SUBSTITUTE(SUBSTITUTE(SUBSTITUTE(SUBSTITUTE(SUBSTITUTE(SUBSTITUTE(SUBSTITUTE(SUBSTITUTE(SUBSTITUTE(SUBSTITUTE(SUBSTITUTE(SUBSTITUTE(SUBSTITUTE(SUBSTITUTE(SUBSTITUTE(SUBSTITUTE(SUBSTITUTE(SUBSTITUTE(SUBSTITUTE($AA18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clous de girofle </v>
      </c>
      <c r="BP18" s="1368">
        <f>IF(18=18,IF($U18="","",SUMPRODUCT(--ISNUMBER(SEARCH(" "&amp;$CR$1960:$CR$1976&amp;" ",$BO18)))),"")</f>
        <v>0</v>
      </c>
      <c r="BQ18" s="1368" t="str">
        <f>IF(18=18,IF($U18="","",IF(BN18&gt;0,"X",IF(BP18&gt;0,"?",""))),"")</f>
        <v/>
      </c>
      <c r="BR18" s="1368">
        <f>IF(18=18,IF($U18="","",SUMPRODUCT(--ISNUMBER(SEARCH(" "&amp;$CR$1977:$CR$1990&amp;" ",$AA18)))),"")</f>
        <v>0</v>
      </c>
      <c r="BS18" s="1368">
        <f>IF(18=18,IF($U18="","",SUMPRODUCT(--ISNUMBER(SEARCH(" "&amp;$CR$1991:$CR$2005&amp;" ",$AA18)))),"")</f>
        <v>0</v>
      </c>
      <c r="BT18" s="1368" t="str">
        <f>IF(18=18,IF($U18="","",IF((BR18)-(0)&gt;0,"X",IF((BS18)-(0)&gt;0,"?",""))),"")</f>
        <v/>
      </c>
      <c r="BU18" s="1368">
        <f>IF(18=18,IF($U18="","",SUMPRODUCT(--ISNUMBER(SEARCH(" "&amp;$CR$2006:$CR$2023&amp;" ",$AA18)))),"")</f>
        <v>0</v>
      </c>
      <c r="BV18" s="1368">
        <f>IF(18=18,IF($U18="","",SUMPRODUCT(--ISNUMBER(SEARCH(" "&amp;$CR$2024:$CR$2038&amp;" ",$AA18)))),"")</f>
        <v>0</v>
      </c>
      <c r="BW18" s="1368" t="str">
        <f>IF(18=18,IF($U18="","",IF((BU18)-(0)&gt;0,"X",IF((BV18)-(0)&gt;0,"?",""))),"")</f>
        <v/>
      </c>
      <c r="BX18" s="1368">
        <f>IF(18=18,IF($U18="","",SUMPRODUCT(--ISNUMBER(SEARCH(" "&amp;$CR$2039:$CR$2057&amp;" ",$AA18)))),"")</f>
        <v>0</v>
      </c>
      <c r="BY18" s="1368">
        <f>IF(18=18,IF($U18="","",SUMPRODUCT(--ISNUMBER(SEARCH(" "&amp;$CR$2058:$CR$2072&amp;" ",$AA18)))),"")</f>
        <v>0</v>
      </c>
      <c r="BZ18" s="1368" t="str">
        <f>IF(18=18,IF($U18="","",IF((BX18)-(0)&gt;0,"X",IF((BY18)-(0)&gt;0,"?",""))),"")</f>
        <v/>
      </c>
      <c r="CA18" s="1368">
        <f>IF(18=18,IF($U18="","",SUMPRODUCT(--ISNUMBER(SEARCH(" "&amp;$CR$2073:$CR$2093&amp;" ",$AA18)))),"")</f>
        <v>0</v>
      </c>
      <c r="CB18" s="1368">
        <f>IF(18=18,IF($U18="","",SUMPRODUCT(--ISNUMBER(SEARCH(" "&amp;$CR$2094:$CR$2133&amp;" ",SUBSTITUTE(SUBSTITUTE($AA18," "&amp;$CR$1367&amp;" "," ")," "&amp;$CR$1366&amp;" "," "))))+--ISNUMBER(SEARCH("poiré",$V18))),"")</f>
        <v>0</v>
      </c>
      <c r="CC18" s="1368" t="str">
        <f>IF(18=18,IF($U18="","",IF(OR(CA18&gt;0,ISNUMBER(SEARCH(" vinaigre de vin ",$AA18)),ISNUMBER(SEARCH(" vinaigre au vin ",$AA18))),"X",IF(CB18&gt;0,"?",""))),"")</f>
        <v/>
      </c>
      <c r="CD18" s="1368">
        <f>IF(18=18,IF($U18="","",SUMPRODUCT(--ISNUMBER(SEARCH(" "&amp;$CR$2134:$CR$2146&amp;" ",$AA18)))),"")</f>
        <v>0</v>
      </c>
      <c r="CE18" s="1368">
        <f>IF(18=18,IF($U18="","",SUMPRODUCT(--ISNUMBER(SEARCH(" "&amp;$CR$2147:$CR$2152&amp;" ",$AA18)))),"")</f>
        <v>0</v>
      </c>
      <c r="CF18" s="1368" t="str">
        <f>IF(18=18,IF($U18="","",IF((CD18)-(0)&gt;0,"X",IF((CE18)-(0)&gt;0,"?",""))),"")</f>
        <v/>
      </c>
      <c r="CG18" s="1368">
        <f>IF(18=18,IF($U18="","",SUMPRODUCT(--ISNUMBER(SEARCH(" "&amp;$CR$2153:$CR$2252&amp;" ",$CJ18)))),"")</f>
        <v>0</v>
      </c>
      <c r="CH18" s="1368">
        <f>IF(18=18,IF($U18="","",SUMPRODUCT(--ISNUMBER(SEARCH(" "&amp;$CR$2253:$CR$2352&amp;" ",$CJ18)))),"")</f>
        <v>0</v>
      </c>
      <c r="CI18" s="1368">
        <f>IF(18=18,IF($U18="","",SUMPRODUCT(--ISNUMBER(SEARCH(" "&amp;$CR$2353:$CR$2395&amp;" ",$CJ18)))),"")</f>
        <v>0</v>
      </c>
      <c r="CJ18" s="1368" t="str">
        <f>IF(18=18,IF($U18="","",SUBSTITUTE(SUBSTITUTE(SUBSTITUTE(SUBSTITUTE(SUBSTITUTE(SUBSTITUTE(SUBSTITUTE(SUBSTITUTE(SUBSTITUTE(SUBSTITUTE(SUBSTITUTE(SUBSTITUTE(SUBSTITUTE(SUBSTITUTE(SUBSTITUTE(SUBSTITUTE($AA18," "&amp;$CR$2401&amp;" "," ")," "&amp;$CR$2400&amp;" "," ")," "&amp;$CR$2399&amp;" "," ")," "&amp;$CR$2406&amp;" "," ")," "&amp;$CR$2398&amp;" "," ")," "&amp;$CR$2410&amp;" "," ")," "&amp;$CR$2397&amp;" "," ")," "&amp;$CR$2402&amp;" "," ")," "&amp;$CR$2405&amp;" "," ")," "&amp;$CR$2396&amp;" "," ")," "&amp;$CR$2404&amp;" "," ")," "&amp;$CR$2411&amp;" "," ")," "&amp;$CR$2408&amp;" "," ")," "&amp;$CR$2403&amp;" "," ")," "&amp;$CR$2407&amp;" "," ")," "&amp;$CR$2409&amp;" "," ")),"")</f>
        <v xml:space="preserve"> clous de girofle </v>
      </c>
      <c r="CK18" s="1368">
        <f>IF(18=18,IF($U18="","",SUMPRODUCT(--ISNUMBER(SEARCH(" "&amp;$CR$2412:$CR$2416&amp;" ",$CJ18)))),"")</f>
        <v>0</v>
      </c>
      <c r="CL18" s="1368" t="str">
        <f>IF(18=18,IF($U18="","",IF(SUM(CG18:CI18)&gt;0,"X",IF(CK18&gt;0,"?",""))),"")</f>
        <v/>
      </c>
      <c r="CM18" s="1377"/>
      <c r="CN18" s="1388" t="s">
        <v>8234</v>
      </c>
      <c r="CO18" s="1388" t="s">
        <v>8105</v>
      </c>
      <c r="CP18" s="1388" t="s">
        <v>8106</v>
      </c>
      <c r="CQ18" s="1388" t="s">
        <v>8235</v>
      </c>
      <c r="CR18" s="1388" t="s">
        <v>8235</v>
      </c>
      <c r="CS18" s="1388" t="s">
        <v>8194</v>
      </c>
      <c r="CT18" s="1388" t="s">
        <v>8195</v>
      </c>
      <c r="CU18" s="1388" t="s">
        <v>8110</v>
      </c>
      <c r="CV18" s="1389" t="s">
        <v>8196</v>
      </c>
      <c r="CX18" s="1379">
        <v>1</v>
      </c>
    </row>
    <row r="19" spans="1:102" ht="21" customHeight="1" x14ac:dyDescent="0.25">
      <c r="A19" s="1412">
        <v>13</v>
      </c>
      <c r="B19" s="1413" t="s">
        <v>8236</v>
      </c>
      <c r="C19" s="1414" t="str">
        <f t="shared" si="0"/>
        <v>Cocktail de fruits de mer surgelés crus *</v>
      </c>
      <c r="D19" s="1415" t="str">
        <f>IF(19=19,IF($B19="","",IF(E19="X",""&amp;"Céréales contenant du gluten","")&amp;IF(F19="X",IF(COUNTIF($E19:$E19,"X")&gt;0,", ","")&amp;"Crustacés","")&amp;IF(G19="X",IF(COUNTIF($E19:$F19,"X")&gt;0,", ","")&amp;"Œufs","")&amp;IF(H19="X",IF(COUNTIF($E19:$G19,"X")&gt;0,", ","")&amp;"Poissons","")&amp;IF(I19="X",IF(COUNTIF($E19:$H19,"X")&gt;0,", ","")&amp;"Arachides","")&amp;IF(J19="X",IF(COUNTIF($E19:$I19,"X")&gt;0,", ","")&amp;"Soja","")&amp;IF(K19="X",IF(COUNTIF($E19:$J19,"X")&gt;0,", ","")&amp;"Lait","")&amp;IF(L19="X",IF(COUNTIF($E19:$K19,"X")&gt;0,", ","")&amp;"Fruits à coque","")&amp;IF(M19="X",IF(COUNTIF($E19:$L19,"X")&gt;0,", ","")&amp;"Céleri","")&amp;IF(N19="X",IF(COUNTIF($E19:$M19,"X")&gt;0,", ","")&amp;"Moutarde","")&amp;IF(O19="X",IF(COUNTIF($E19:$N19,"X")&gt;0,", ","")&amp;"Sésame","")&amp;IF(P19="X",IF(COUNTIF($E19:$O19,"X")&gt;0,", ","")&amp;"Sulfites","")&amp;IF(Q19="X",IF(COUNTIF($E19:$P19,"X")&gt;0,", ","")&amp;"Lupin","")&amp;IF(R19="X",IF(COUNTIF($E19:$Q19,"X")&gt;0,", ","")&amp;"Mollusques","")),"")</f>
        <v>Mollusques</v>
      </c>
      <c r="E19" s="1416" t="str">
        <f>IF(19=19,IF($B19="","",AF19),"")</f>
        <v/>
      </c>
      <c r="F19" s="1416" t="str">
        <f>IF(19=19,IF($B19="","",AI19),"")</f>
        <v/>
      </c>
      <c r="G19" s="1416" t="str">
        <f>IF(19=19,IF($B19="","",AM19),"")</f>
        <v/>
      </c>
      <c r="H19" s="1416" t="str">
        <f>IF(19=19,IF($B19="","",IF(ISNUMBER(SEARCH(" colin ",$AA19)),"X",AZ19)),"")</f>
        <v/>
      </c>
      <c r="I19" s="1416" t="str">
        <f>IF(19=19,IF($B19="","",BB19),"")</f>
        <v/>
      </c>
      <c r="J19" s="1416" t="str">
        <f>IF(19=19,IF($B19="","",BF19),"")</f>
        <v/>
      </c>
      <c r="K19" s="1416" t="str">
        <f>IF(19=19,IF($B19="","",BM19),"")</f>
        <v/>
      </c>
      <c r="L19" s="1416" t="str">
        <f>IF(19=19,IF($B19="","",BQ19),"")</f>
        <v/>
      </c>
      <c r="M19" s="1416" t="str">
        <f>IF(19=19,IF($B19="","",BT19),"")</f>
        <v/>
      </c>
      <c r="N19" s="1416" t="str">
        <f>IF(19=19,IF($B19="","",BW19),"")</f>
        <v/>
      </c>
      <c r="O19" s="1416" t="str">
        <f>IF(19=19,IF($B19="","",BZ19),"")</f>
        <v/>
      </c>
      <c r="P19" s="1416" t="str">
        <f>IF(19=19,IF($B19="","",CC19),"")</f>
        <v/>
      </c>
      <c r="Q19" s="1416" t="str">
        <f>IF(19=19,IF($B19="","",CF19),"")</f>
        <v/>
      </c>
      <c r="R19" s="1416" t="str">
        <f>IF(19=19,IF($B19="","",CL19),"")</f>
        <v>X</v>
      </c>
      <c r="S19" s="1417" t="str">
        <f>IF(19=19,IF($B19="","",IF(E19="?",""&amp;"Céréales contenant du gluten","")&amp;IF(F19="?",IF(COUNTIF($E19:$E19,"~?")&gt;0,", ","")&amp;"Crustacés","")&amp;IF(G19="?",IF(COUNTIF($E19:$F19,"~?")&gt;0,", ","")&amp;"Œufs","")&amp;IF(H19="?",IF(COUNTIF($E19:$G19,"~?")&gt;0,", ","")&amp;"Poissons","")&amp;IF(I19="?",IF(COUNTIF($E19:$H19,"~?")&gt;0,", ","")&amp;"Arachides","")&amp;IF(J19="?",IF(COUNTIF($E19:$I19,"~?")&gt;0,", ","")&amp;"Soja","")&amp;IF(K19="?",IF(COUNTIF($E19:$J19,"~?")&gt;0,", ","")&amp;"Lait","")&amp;IF(L19="?",IF(COUNTIF($E19:$K19,"~?")&gt;0,", ","")&amp;"Fruits à coque","")&amp;IF(M19="?",IF(COUNTIF($E19:$L19,"~?")&gt;0,", ","")&amp;"Céleri","")&amp;IF(N19="?",IF(COUNTIF($E19:$M19,"~?")&gt;0,", ","")&amp;"Moutarde","")&amp;IF(O19="?",IF(COUNTIF($E19:$N19,"~?")&gt;0,", ","")&amp;"Sésame","")&amp;IF(P19="?",IF(COUNTIF($E19:$O19,"~?")&gt;0,", ","")&amp;"Sulfites","")&amp;IF(Q19="?",IF(COUNTIF($E19:$P19,"~?")&gt;0,", ","")&amp;"Lupin","")&amp;IF(R19="?",IF(COUNTIF($E19:$Q19,"~?")&gt;0,", ","")&amp;"Mollusques","")),"")</f>
        <v/>
      </c>
      <c r="U19" s="1368" t="str">
        <f>IF(19=19,IF($B19="","",$B19),"")</f>
        <v xml:space="preserve">Cocktail de fruits de mer surgelés crus </v>
      </c>
      <c r="V19" s="1368" t="str">
        <f>IF(19=19,LOWER(CLEAN(SUBSTITUTE(SUBSTITUTE(SUBSTITUTE(SUBSTITUTE($U19,CHAR(160)," ")," "," "),CHAR(10)," "),CHAR(13)," "))),"")</f>
        <v xml:space="preserve">cocktail de fruits de mer surgelés crus </v>
      </c>
      <c r="W19" s="1368" t="str">
        <f>IF(19=19,SUBSTITUTE(SUBSTITUTE(SUBSTITUTE(SUBSTITUTE(SUBSTITUTE(SUBSTITUTE(SUBSTITUTE(SUBSTITUTE(SUBSTITUTE(SUBSTITUTE(SUBSTITUTE(SUBSTITUTE($V19,"œ","oe"),"æ","ae"),"à","a"),"á","a"),"â","a"),"ä","a"),"ã","a"),"ç","c"),"è","e"),"é","e"),"ê","e"),"ë","e"),"")</f>
        <v xml:space="preserve">cocktail de fruits de mer surgeles crus </v>
      </c>
      <c r="X19" s="1368" t="str">
        <f>IF(19=19,SUBSTITUTE(SUBSTITUTE(SUBSTITUTE(SUBSTITUTE(SUBSTITUTE(SUBSTITUTE(SUBSTITUTE(SUBSTITUTE(SUBSTITUTE(SUBSTITUTE(SUBSTITUTE(SUBSTITUTE(SUBSTITUTE(SUBSTITUTE(SUBSTITUTE(SUBSTITUTE($W19,"ì","i"),"í","i"),"î","i"),"ï","i"),"ñ","n"),"ò","o"),"ó","o"),"ô","o"),"ö","o"),"õ","o"),"ù","u"),"ú","u"),"û","u"),"ü","u"),"ý","y"),"ÿ","y"),"")</f>
        <v xml:space="preserve">cocktail de fruits de mer surgeles crus </v>
      </c>
      <c r="Y19" s="1368" t="str">
        <f>IF(19=19,SUBSTITUTE(SUBSTITUTE(SUBSTITUTE(SUBSTITUTE(SUBSTITUTE(SUBSTITUTE(SUBSTITUTE(SUBSTITUTE(SUBSTITUTE(SUBSTITUTE(SUBSTITUTE(SUBSTITUTE(SUBSTITUTE(SUBSTITUTE($X19,"’"," "),"`"," "),"–"," "),"—"," "),"-"," "),"'"," "),"/"," "),"_"," "),","," "),"."," "),"("," "),")"," "),";"," "),":"," "),"")</f>
        <v xml:space="preserve">cocktail de fruits de mer surgeles crus </v>
      </c>
      <c r="Z19" s="1368" t="str">
        <f>IF(19=19,SUBSTITUTE(SUBSTITUTE(SUBSTITUTE(SUBSTITUTE(SUBSTITUTE(SUBSTITUTE(SUBSTITUTE(SUBSTITUTE(SUBSTITUTE(SUBSTITUTE(SUBSTITUTE(SUBSTITUTE(SUBSTITUTE(SUBSTITUTE(SUBSTITUTE($Y19,"!"," "),"?"," "),"+"," "),"*"," "),"&amp;"," "),"["," "),"]"," "),"{"," "),"}"," "),"%"," "),"="," "),"\"," "),"|"," "),"&lt;"," "),"&gt;"," "),"")</f>
        <v xml:space="preserve">cocktail de fruits de mer surgeles crus </v>
      </c>
      <c r="AA19" s="1368" t="str">
        <f>IF(19=19," "&amp;TRIM(SUBSTITUTE(SUBSTITUTE(SUBSTITUTE(SUBSTITUTE(SUBSTITUTE(SUBSTITUTE($Z19,CHAR(34)," "),"  "," "),"  "," "),"  "," "),"  "," "),"  "," "))&amp;" ","")</f>
        <v xml:space="preserve"> cocktail de fruits de mer surgeles crus </v>
      </c>
      <c r="AB19" s="1368">
        <f>IF(19=19,IF($U19="","",SUMPRODUCT(--ISNUMBER(SEARCH(" "&amp;$CR$2:$CR$101&amp;" ",$AD19)))),"")</f>
        <v>0</v>
      </c>
      <c r="AC19" s="1368">
        <f>IF(19=19,IF($U19="","",SUMPRODUCT(--ISNUMBER(SEARCH(" "&amp;$CR$102:$CR$151&amp;" ",$AD19)))),"")</f>
        <v>0</v>
      </c>
      <c r="AD19" s="1368" t="str">
        <f t="shared" si="1"/>
        <v xml:space="preserve"> cocktail de fruits de mer surgeles crus </v>
      </c>
      <c r="AE19" s="1368">
        <f t="shared" si="2"/>
        <v>0</v>
      </c>
      <c r="AF19" s="1368" t="str">
        <f>IF(19=19,IF($U19="","",IF(SUM(AB19:AC19)+SUMPRODUCT(--ISNUMBER(SEARCH(" "&amp;$CR$2418:$CR$2420&amp;" ",$AD19)))&gt;0,"X",IF(AE19&gt;0,"?",""))),"")</f>
        <v/>
      </c>
      <c r="AG19" s="1368">
        <f>IF(19=19,IF($U19="","",SUMPRODUCT(--ISNUMBER(SEARCH(" "&amp;$CR$206:$CR$305&amp;" ",$AA19)))),"")</f>
        <v>0</v>
      </c>
      <c r="AH19" s="1368">
        <f>IF(19=19,IF($U19="","",SUMPRODUCT(--ISNUMBER(SEARCH(" "&amp;$CR$306:$CR$340&amp;" ",$AA19)))),"")</f>
        <v>0</v>
      </c>
      <c r="AI19" s="1368" t="str">
        <f>IF(19=19,IF($U19="","",IF((SUM(AG19:AH19))-(0)&gt;0,"X",IF((0)-(0)&gt;0,"?",""))),"")</f>
        <v/>
      </c>
      <c r="AJ19" s="1368">
        <f>IF(19=19,IF($U19="","",SUMPRODUCT(--ISNUMBER(SEARCH(" "&amp;$CR$341:$CR$398&amp;" ",$AA19)))),"")</f>
        <v>0</v>
      </c>
      <c r="AK19" s="1368">
        <f>IF(19=19,IF($U19="","",SUMPRODUCT(--ISNUMBER(SEARCH(" "&amp;$CR$399:$CR$426&amp;" ",$AL19)))+SUMPRODUCT(--ISNUMBER(SEARCH(" "&amp;$CR$2440:$CR$2453&amp;" ",$AL19)))),"")</f>
        <v>0</v>
      </c>
      <c r="AL19" s="1368" t="str">
        <f>IF(19=19,IF($U19="","",SUBSTITUTE(SUBSTITUTE(SUBSTITUTE(SUBSTITUTE(SUBSTITUTE(SUBSTITUTE(SUBSTITUTE(SUBSTITUTE(SUBSTITUTE(SUBSTITUTE(SUBSTITUTE(SUBSTITUTE(SUBSTITUTE(SUBSTITUTE($AA19," "&amp;$CR$2455&amp;" "," ")," "&amp;$CR$433&amp;" "," ")," "&amp;$CR$431&amp;" "," ")," "&amp;$CR$2438&amp;" "," ")," "&amp;$CR$2439&amp;" "," ")," "&amp;$CR$428&amp;" "," ")," "&amp;$CR$432&amp;" "," ")," "&amp;$CR$434&amp;" "," ")," "&amp;$CR$429&amp;" "," ")," "&amp;$CR$427&amp;" "," ")," "&amp;$CR$1367&amp;" "," ")," "&amp;$CR$435&amp;" "," ")," "&amp;$CR$1366&amp;" "," ")," "&amp;$CR$430&amp;" "," ")),"")</f>
        <v xml:space="preserve"> cocktail de fruits de mer surgeles crus </v>
      </c>
      <c r="AM19" s="1368" t="str">
        <f>IF(19=19,IF($U19="","",IF(AJ19&gt;0,"X",IF(AK19&gt;0,"?",""))),"")</f>
        <v/>
      </c>
      <c r="AN19" s="1368">
        <f>IF(19=19,IF($U19="","",SUMPRODUCT(--ISNUMBER(SEARCH(" "&amp;$CR$436:$CR$535&amp;" ",$AX19)))),"")</f>
        <v>0</v>
      </c>
      <c r="AO19" s="1368">
        <f>IF(19=19,IF($U19="","",SUMPRODUCT(--ISNUMBER(SEARCH(" "&amp;$CR$536:$CR$635&amp;" ",$AX19)))),"")</f>
        <v>0</v>
      </c>
      <c r="AP19" s="1368">
        <f>IF(19=19,IF($U19="","",SUMPRODUCT(--ISNUMBER(SEARCH(" "&amp;$CR$636:$CR$735&amp;" ",$AX19)))),"")</f>
        <v>0</v>
      </c>
      <c r="AQ19" s="1368">
        <f>IF(19=19,IF($U19="","",SUMPRODUCT(--ISNUMBER(SEARCH(" "&amp;$CR$736:$CR$835&amp;" ",$AX19)))),"")</f>
        <v>0</v>
      </c>
      <c r="AR19" s="1368">
        <f>IF(19=19,IF($U19="","",SUMPRODUCT(--ISNUMBER(SEARCH(" "&amp;$CR$836:$CR$935&amp;" ",$AX19)))),"")</f>
        <v>0</v>
      </c>
      <c r="AS19" s="1368">
        <f>IF(19=19,IF($U19="","",SUMPRODUCT(--ISNUMBER(SEARCH(" "&amp;$CR$936:$CR$1035&amp;" ",$AX19)))),"")</f>
        <v>0</v>
      </c>
      <c r="AT19" s="1368">
        <f>IF(19=19,IF($U19="","",SUMPRODUCT(--ISNUMBER(SEARCH(" "&amp;$CR$1036:$CR$1135&amp;" ",$AX19)))),"")</f>
        <v>0</v>
      </c>
      <c r="AU19" s="1368">
        <f>IF(19=19,IF($U19="","",SUMPRODUCT(--ISNUMBER(SEARCH(" "&amp;$CR$1136:$CR$1235&amp;" ",$AX19)))),"")</f>
        <v>0</v>
      </c>
      <c r="AV19" s="1368">
        <f>IF(19=19,IF($U19="","",SUMPRODUCT(--ISNUMBER(SEARCH(" "&amp;$CR$1236:$CR$1335&amp;" ",$AX19)))),"")</f>
        <v>0</v>
      </c>
      <c r="AW19" s="1368">
        <f>IF(19=19,IF($U19="","",SUMPRODUCT(--ISNUMBER(SEARCH(" "&amp;$CR$1336:$CR$1363&amp;" ",$AX19)))),"")</f>
        <v>0</v>
      </c>
      <c r="AX19" s="1368" t="str">
        <f>IF(19=19,IF($U19="","",SUBSTITUTE(SUBSTITUTE(SUBSTITUTE(SUBSTITUTE(SUBSTITUTE(SUBSTITUTE(SUBSTITUTE(SUBSTITUTE(SUBSTITUTE($AA19," "&amp;$CR$1365&amp;" "," ")," "&amp;$CR$1364&amp;" "," ")," "&amp;$CR$1370&amp;" "," ")," "&amp;$CR$1371&amp;" "," ")," "&amp;$CR$1367&amp;" "," ")," "&amp;$CR$1369&amp;" "," ")," "&amp;$CR$1366&amp;" "," ")," "&amp;$CR$1368&amp;" "," ")," "&amp;$CR$1372&amp;" "," ")),"")</f>
        <v xml:space="preserve"> cocktail de fruits de mer surgeles crus </v>
      </c>
      <c r="AY19" s="1368">
        <f>IF(19=19,IF($U19="","",SUMPRODUCT(--ISNUMBER(SEARCH(" "&amp;$CR$1373:$CR$1383&amp;" ",$AX19)))),"")</f>
        <v>0</v>
      </c>
      <c r="AZ19" s="1368" t="str">
        <f>IF(19=19,IF($U19="","",IF(SUM(AN19:AW19)+SUMPRODUCT(--ISNUMBER(SEARCH(" "&amp;$CR$2421:$CR$2422&amp;" ",$AX19)))&gt;0,"X",IF(AY19&gt;0,"?",""))),"")</f>
        <v/>
      </c>
      <c r="BA19" s="1368">
        <f>IF(19=19,IF($U19="","",SUMPRODUCT(--ISNUMBER(SEARCH(" "&amp;$CR$1384:$CR$1404&amp;" ",$AA19)))),"")</f>
        <v>0</v>
      </c>
      <c r="BB19" s="1368" t="str">
        <f>IF(19=19,IF($U19="","",IF((BA19)-(0)&gt;0,"X",IF((0)-(0)&gt;0,"?",""))),"")</f>
        <v/>
      </c>
      <c r="BC19" s="1368">
        <f>IF(19=19,IF($U19="","",SUMPRODUCT(--ISNUMBER(SEARCH(" "&amp;$CR$1405:$CR$1442&amp;" ",$BD19)))),"")</f>
        <v>0</v>
      </c>
      <c r="BD19" s="1368" t="str">
        <f>IF(19=19,IF($U19="","",SUBSTITUTE(SUBSTITUTE($AA19," "&amp;$CR$1443&amp;" "," ")," "&amp;$CR$1444&amp;" "," ")),"")</f>
        <v xml:space="preserve"> cocktail de fruits de mer surgeles crus </v>
      </c>
      <c r="BE19" s="1368">
        <f>IF(19=19,IF($U19="","",SUMPRODUCT(--ISNUMBER(SEARCH(" "&amp;$CR$1445:$CR$1455&amp;" ",$BD19)))),"")</f>
        <v>0</v>
      </c>
      <c r="BF19" s="1368" t="str">
        <f>IF(19=19,IF($U19="","",IF(BC19&gt;0,"X",IF(BE19&gt;0,"?",""))),"")</f>
        <v/>
      </c>
      <c r="BG19" s="1368">
        <f>IF(19=19,IF($U19="","",SUMPRODUCT(--ISNUMBER(SEARCH(" "&amp;$CR$1456:$CR$1555&amp;" ",$BJ19)))),"")</f>
        <v>0</v>
      </c>
      <c r="BH19" s="1368">
        <f>IF(19=19,IF($U19="","",SUMPRODUCT(--ISNUMBER(SEARCH(" "&amp;$CR$1556:$CR$1655&amp;" ",$BJ19)))),"")</f>
        <v>0</v>
      </c>
      <c r="BI19" s="1368">
        <f>IF(19=19,IF($U19="","",SUMPRODUCT(--ISNUMBER(SEARCH(" "&amp;$CR$1656:$CR$1739&amp;" ",$BJ19)))),"")</f>
        <v>0</v>
      </c>
      <c r="BJ19" s="1368" t="str">
        <f>IF(19=19,IF($U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cocktail de fruits de mer surgeles crus </v>
      </c>
      <c r="BK19" s="1368">
        <f>IF(19=19,IF($U19="","",SUMPRODUCT(--ISNUMBER(SEARCH(" "&amp;$CR$1790:$CR$1869&amp;" ",$BL19)))+SUMPRODUCT(--ISNUMBER(SEARCH(" "&amp;$CR$2440:$CR$2453&amp;" ",$BL19)))),"")</f>
        <v>0</v>
      </c>
      <c r="BL19" s="1368" t="str">
        <f>IF(19=19,IF($U19="","",SUBSTITUTE(SUBSTITUTE(SUBSTITUTE(SUBSTITUTE(SUBSTITUTE(SUBSTITUTE(SUBSTITUTE(SUBSTITUTE(SUBSTITUTE(SUBSTITUTE(SUBSTITUTE(SUBSTITUTE(SUBSTITUTE($BJ19," "&amp;$CR$1876&amp;" "," ")," "&amp;$CR$1874&amp;" "," ")," "&amp;$CR$2438&amp;" "," ")," "&amp;$CR$2439&amp;" "," ")," "&amp;$CR$1871&amp;" "," ")," "&amp;$CR$1875&amp;" "," ")," "&amp;$CR$1877&amp;" "," ")," "&amp;$CR$1872&amp;" "," ")," "&amp;$CR$1870&amp;" "," ")," "&amp;$CR$1367&amp;" "," ")," "&amp;$CR$1878&amp;" "," ")," "&amp;$CR$1366&amp;" "," ")," "&amp;$CR$1873&amp;" "," ")),"")</f>
        <v xml:space="preserve"> cocktail de fruits de mer surgeles crus </v>
      </c>
      <c r="BM19" s="1368" t="str">
        <f>IF(19=19,IF($U19="","",IF(SUM(BG19:BI19)+SUMPRODUCT(--ISNUMBER(SEARCH(" "&amp;$CR$2423:$CR$2424&amp;" ",$BJ19)))&gt;0,"X",IF(BK19&gt;0,"?",""))),"")</f>
        <v/>
      </c>
      <c r="BN19" s="1368">
        <f>IF(19=19,IF($U19="","",SUMPRODUCT(--ISNUMBER(SEARCH(" "&amp;$CR$1879:$CR$1936&amp;" ",$BO19)))),"")</f>
        <v>0</v>
      </c>
      <c r="BO19" s="1368" t="str">
        <f>IF(19=19,IF($U19="","",SUBSTITUTE(SUBSTITUTE(SUBSTITUTE(SUBSTITUTE(SUBSTITUTE(SUBSTITUTE(SUBSTITUTE(SUBSTITUTE(SUBSTITUTE(SUBSTITUTE(SUBSTITUTE(SUBSTITUTE(SUBSTITUTE(SUBSTITUTE(SUBSTITUTE(SUBSTITUTE(SUBSTITUTE(SUBSTITUTE(SUBSTITUTE(SUBSTITUTE(SUBSTITUTE(SUBSTITUTE(SUBSTITUTE($AA19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cocktail de fruits de mer surgeles crus </v>
      </c>
      <c r="BP19" s="1368">
        <f>IF(19=19,IF($U19="","",SUMPRODUCT(--ISNUMBER(SEARCH(" "&amp;$CR$1960:$CR$1976&amp;" ",$BO19)))),"")</f>
        <v>0</v>
      </c>
      <c r="BQ19" s="1368" t="str">
        <f>IF(19=19,IF($U19="","",IF(BN19&gt;0,"X",IF(BP19&gt;0,"?",""))),"")</f>
        <v/>
      </c>
      <c r="BR19" s="1368">
        <f>IF(19=19,IF($U19="","",SUMPRODUCT(--ISNUMBER(SEARCH(" "&amp;$CR$1977:$CR$1990&amp;" ",$AA19)))),"")</f>
        <v>0</v>
      </c>
      <c r="BS19" s="1368">
        <f>IF(19=19,IF($U19="","",SUMPRODUCT(--ISNUMBER(SEARCH(" "&amp;$CR$1991:$CR$2005&amp;" ",$AA19)))),"")</f>
        <v>0</v>
      </c>
      <c r="BT19" s="1368" t="str">
        <f>IF(19=19,IF($U19="","",IF((BR19)-(0)&gt;0,"X",IF((BS19)-(0)&gt;0,"?",""))),"")</f>
        <v/>
      </c>
      <c r="BU19" s="1368">
        <f>IF(19=19,IF($U19="","",SUMPRODUCT(--ISNUMBER(SEARCH(" "&amp;$CR$2006:$CR$2023&amp;" ",$AA19)))),"")</f>
        <v>0</v>
      </c>
      <c r="BV19" s="1368">
        <f>IF(19=19,IF($U19="","",SUMPRODUCT(--ISNUMBER(SEARCH(" "&amp;$CR$2024:$CR$2038&amp;" ",$AA19)))),"")</f>
        <v>0</v>
      </c>
      <c r="BW19" s="1368" t="str">
        <f>IF(19=19,IF($U19="","",IF((BU19)-(0)&gt;0,"X",IF((BV19)-(0)&gt;0,"?",""))),"")</f>
        <v/>
      </c>
      <c r="BX19" s="1368">
        <f>IF(19=19,IF($U19="","",SUMPRODUCT(--ISNUMBER(SEARCH(" "&amp;$CR$2039:$CR$2057&amp;" ",$AA19)))),"")</f>
        <v>0</v>
      </c>
      <c r="BY19" s="1368">
        <f>IF(19=19,IF($U19="","",SUMPRODUCT(--ISNUMBER(SEARCH(" "&amp;$CR$2058:$CR$2072&amp;" ",$AA19)))),"")</f>
        <v>0</v>
      </c>
      <c r="BZ19" s="1368" t="str">
        <f>IF(19=19,IF($U19="","",IF((BX19)-(0)&gt;0,"X",IF((BY19)-(0)&gt;0,"?",""))),"")</f>
        <v/>
      </c>
      <c r="CA19" s="1368">
        <f>IF(19=19,IF($U19="","",SUMPRODUCT(--ISNUMBER(SEARCH(" "&amp;$CR$2073:$CR$2093&amp;" ",$AA19)))),"")</f>
        <v>0</v>
      </c>
      <c r="CB19" s="1368">
        <f>IF(19=19,IF($U19="","",SUMPRODUCT(--ISNUMBER(SEARCH(" "&amp;$CR$2094:$CR$2133&amp;" ",SUBSTITUTE(SUBSTITUTE($AA19," "&amp;$CR$1367&amp;" "," ")," "&amp;$CR$1366&amp;" "," "))))+--ISNUMBER(SEARCH("poiré",$V19))),"")</f>
        <v>0</v>
      </c>
      <c r="CC19" s="1368" t="str">
        <f>IF(19=19,IF($U19="","",IF(OR(CA19&gt;0,ISNUMBER(SEARCH(" vinaigre de vin ",$AA19)),ISNUMBER(SEARCH(" vinaigre au vin ",$AA19))),"X",IF(CB19&gt;0,"?",""))),"")</f>
        <v/>
      </c>
      <c r="CD19" s="1368">
        <f>IF(19=19,IF($U19="","",SUMPRODUCT(--ISNUMBER(SEARCH(" "&amp;$CR$2134:$CR$2146&amp;" ",$AA19)))),"")</f>
        <v>0</v>
      </c>
      <c r="CE19" s="1368">
        <f>IF(19=19,IF($U19="","",SUMPRODUCT(--ISNUMBER(SEARCH(" "&amp;$CR$2147:$CR$2152&amp;" ",$AA19)))),"")</f>
        <v>0</v>
      </c>
      <c r="CF19" s="1368" t="str">
        <f>IF(19=19,IF($U19="","",IF((CD19)-(0)&gt;0,"X",IF((CE19)-(0)&gt;0,"?",""))),"")</f>
        <v/>
      </c>
      <c r="CG19" s="1368">
        <f>IF(19=19,IF($U19="","",SUMPRODUCT(--ISNUMBER(SEARCH(" "&amp;$CR$2153:$CR$2252&amp;" ",$CJ19)))),"")</f>
        <v>1</v>
      </c>
      <c r="CH19" s="1368">
        <f>IF(19=19,IF($U19="","",SUMPRODUCT(--ISNUMBER(SEARCH(" "&amp;$CR$2253:$CR$2352&amp;" ",$CJ19)))),"")</f>
        <v>0</v>
      </c>
      <c r="CI19" s="1368">
        <f>IF(19=19,IF($U19="","",SUMPRODUCT(--ISNUMBER(SEARCH(" "&amp;$CR$2353:$CR$2395&amp;" ",$CJ19)))),"")</f>
        <v>0</v>
      </c>
      <c r="CJ19" s="1368" t="str">
        <f>IF(19=19,IF($U19="","",SUBSTITUTE(SUBSTITUTE(SUBSTITUTE(SUBSTITUTE(SUBSTITUTE(SUBSTITUTE(SUBSTITUTE(SUBSTITUTE(SUBSTITUTE(SUBSTITUTE(SUBSTITUTE(SUBSTITUTE(SUBSTITUTE(SUBSTITUTE(SUBSTITUTE(SUBSTITUTE($AA19," "&amp;$CR$2401&amp;" "," ")," "&amp;$CR$2400&amp;" "," ")," "&amp;$CR$2399&amp;" "," ")," "&amp;$CR$2406&amp;" "," ")," "&amp;$CR$2398&amp;" "," ")," "&amp;$CR$2410&amp;" "," ")," "&amp;$CR$2397&amp;" "," ")," "&amp;$CR$2402&amp;" "," ")," "&amp;$CR$2405&amp;" "," ")," "&amp;$CR$2396&amp;" "," ")," "&amp;$CR$2404&amp;" "," ")," "&amp;$CR$2411&amp;" "," ")," "&amp;$CR$2408&amp;" "," ")," "&amp;$CR$2403&amp;" "," ")," "&amp;$CR$2407&amp;" "," ")," "&amp;$CR$2409&amp;" "," ")),"")</f>
        <v xml:space="preserve"> cocktail de fruits de mer surgeles crus </v>
      </c>
      <c r="CK19" s="1368">
        <f>IF(19=19,IF($U19="","",SUMPRODUCT(--ISNUMBER(SEARCH(" "&amp;$CR$2412:$CR$2416&amp;" ",$CJ19)))),"")</f>
        <v>1</v>
      </c>
      <c r="CL19" s="1368" t="str">
        <f>IF(19=19,IF($U19="","",IF(SUM(CG19:CI19)&gt;0,"X",IF(CK19&gt;0,"?",""))),"")</f>
        <v>X</v>
      </c>
      <c r="CM19" s="1377"/>
      <c r="CN19" s="1388" t="s">
        <v>8237</v>
      </c>
      <c r="CO19" s="1388" t="s">
        <v>8105</v>
      </c>
      <c r="CP19" s="1388" t="s">
        <v>8106</v>
      </c>
      <c r="CQ19" s="1388" t="s">
        <v>8238</v>
      </c>
      <c r="CR19" s="1388" t="s">
        <v>8238</v>
      </c>
      <c r="CS19" s="1388" t="s">
        <v>8108</v>
      </c>
      <c r="CT19" s="1388" t="s">
        <v>8109</v>
      </c>
      <c r="CU19" s="1388" t="s">
        <v>8110</v>
      </c>
      <c r="CV19" s="1389" t="s">
        <v>8111</v>
      </c>
      <c r="CX19" s="1379">
        <v>1</v>
      </c>
    </row>
    <row r="20" spans="1:102" ht="21" customHeight="1" x14ac:dyDescent="0.25">
      <c r="A20" s="1412">
        <v>14</v>
      </c>
      <c r="B20" s="1413" t="s">
        <v>8239</v>
      </c>
      <c r="C20" s="1414" t="str">
        <f t="shared" si="0"/>
        <v>Courgettes</v>
      </c>
      <c r="D20" s="1415" t="str">
        <f>IF(20=20,IF($B20="","",IF(E20="X",""&amp;"Céréales contenant du gluten","")&amp;IF(F20="X",IF(COUNTIF($E20:$E20,"X")&gt;0,", ","")&amp;"Crustacés","")&amp;IF(G20="X",IF(COUNTIF($E20:$F20,"X")&gt;0,", ","")&amp;"Œufs","")&amp;IF(H20="X",IF(COUNTIF($E20:$G20,"X")&gt;0,", ","")&amp;"Poissons","")&amp;IF(I20="X",IF(COUNTIF($E20:$H20,"X")&gt;0,", ","")&amp;"Arachides","")&amp;IF(J20="X",IF(COUNTIF($E20:$I20,"X")&gt;0,", ","")&amp;"Soja","")&amp;IF(K20="X",IF(COUNTIF($E20:$J20,"X")&gt;0,", ","")&amp;"Lait","")&amp;IF(L20="X",IF(COUNTIF($E20:$K20,"X")&gt;0,", ","")&amp;"Fruits à coque","")&amp;IF(M20="X",IF(COUNTIF($E20:$L20,"X")&gt;0,", ","")&amp;"Céleri","")&amp;IF(N20="X",IF(COUNTIF($E20:$M20,"X")&gt;0,", ","")&amp;"Moutarde","")&amp;IF(O20="X",IF(COUNTIF($E20:$N20,"X")&gt;0,", ","")&amp;"Sésame","")&amp;IF(P20="X",IF(COUNTIF($E20:$O20,"X")&gt;0,", ","")&amp;"Sulfites","")&amp;IF(Q20="X",IF(COUNTIF($E20:$P20,"X")&gt;0,", ","")&amp;"Lupin","")&amp;IF(R20="X",IF(COUNTIF($E20:$Q20,"X")&gt;0,", ","")&amp;"Mollusques","")),"")</f>
        <v/>
      </c>
      <c r="E20" s="1416" t="str">
        <f>IF(20=20,IF($B20="","",AF20),"")</f>
        <v/>
      </c>
      <c r="F20" s="1416" t="str">
        <f>IF(20=20,IF($B20="","",AI20),"")</f>
        <v/>
      </c>
      <c r="G20" s="1416" t="str">
        <f>IF(20=20,IF($B20="","",AM20),"")</f>
        <v/>
      </c>
      <c r="H20" s="1416" t="str">
        <f>IF(20=20,IF($B20="","",IF(ISNUMBER(SEARCH(" colin ",$AA20)),"X",AZ20)),"")</f>
        <v/>
      </c>
      <c r="I20" s="1416" t="str">
        <f>IF(20=20,IF($B20="","",BB20),"")</f>
        <v/>
      </c>
      <c r="J20" s="1416" t="str">
        <f>IF(20=20,IF($B20="","",BF20),"")</f>
        <v/>
      </c>
      <c r="K20" s="1416" t="str">
        <f>IF(20=20,IF($B20="","",BM20),"")</f>
        <v/>
      </c>
      <c r="L20" s="1416" t="str">
        <f>IF(20=20,IF($B20="","",BQ20),"")</f>
        <v/>
      </c>
      <c r="M20" s="1416" t="str">
        <f>IF(20=20,IF($B20="","",BT20),"")</f>
        <v/>
      </c>
      <c r="N20" s="1416" t="str">
        <f>IF(20=20,IF($B20="","",BW20),"")</f>
        <v/>
      </c>
      <c r="O20" s="1416" t="str">
        <f>IF(20=20,IF($B20="","",BZ20),"")</f>
        <v/>
      </c>
      <c r="P20" s="1416" t="str">
        <f>IF(20=20,IF($B20="","",CC20),"")</f>
        <v/>
      </c>
      <c r="Q20" s="1416" t="str">
        <f>IF(20=20,IF($B20="","",CF20),"")</f>
        <v/>
      </c>
      <c r="R20" s="1416" t="str">
        <f>IF(20=20,IF($B20="","",CL20),"")</f>
        <v/>
      </c>
      <c r="S20" s="1417" t="str">
        <f>IF(20=20,IF($B20="","",IF(E20="?",""&amp;"Céréales contenant du gluten","")&amp;IF(F20="?",IF(COUNTIF($E20:$E20,"~?")&gt;0,", ","")&amp;"Crustacés","")&amp;IF(G20="?",IF(COUNTIF($E20:$F20,"~?")&gt;0,", ","")&amp;"Œufs","")&amp;IF(H20="?",IF(COUNTIF($E20:$G20,"~?")&gt;0,", ","")&amp;"Poissons","")&amp;IF(I20="?",IF(COUNTIF($E20:$H20,"~?")&gt;0,", ","")&amp;"Arachides","")&amp;IF(J20="?",IF(COUNTIF($E20:$I20,"~?")&gt;0,", ","")&amp;"Soja","")&amp;IF(K20="?",IF(COUNTIF($E20:$J20,"~?")&gt;0,", ","")&amp;"Lait","")&amp;IF(L20="?",IF(COUNTIF($E20:$K20,"~?")&gt;0,", ","")&amp;"Fruits à coque","")&amp;IF(M20="?",IF(COUNTIF($E20:$L20,"~?")&gt;0,", ","")&amp;"Céleri","")&amp;IF(N20="?",IF(COUNTIF($E20:$M20,"~?")&gt;0,", ","")&amp;"Moutarde","")&amp;IF(O20="?",IF(COUNTIF($E20:$N20,"~?")&gt;0,", ","")&amp;"Sésame","")&amp;IF(P20="?",IF(COUNTIF($E20:$O20,"~?")&gt;0,", ","")&amp;"Sulfites","")&amp;IF(Q20="?",IF(COUNTIF($E20:$P20,"~?")&gt;0,", ","")&amp;"Lupin","")&amp;IF(R20="?",IF(COUNTIF($E20:$Q20,"~?")&gt;0,", ","")&amp;"Mollusques","")),"")</f>
        <v/>
      </c>
      <c r="U20" s="1368" t="str">
        <f>IF(20=20,IF($B20="","",$B20),"")</f>
        <v>Courgettes</v>
      </c>
      <c r="V20" s="1368" t="str">
        <f>IF(20=20,LOWER(CLEAN(SUBSTITUTE(SUBSTITUTE(SUBSTITUTE(SUBSTITUTE($U20,CHAR(160)," ")," "," "),CHAR(10)," "),CHAR(13)," "))),"")</f>
        <v>courgettes</v>
      </c>
      <c r="W20" s="1368" t="str">
        <f>IF(20=20,SUBSTITUTE(SUBSTITUTE(SUBSTITUTE(SUBSTITUTE(SUBSTITUTE(SUBSTITUTE(SUBSTITUTE(SUBSTITUTE(SUBSTITUTE(SUBSTITUTE(SUBSTITUTE(SUBSTITUTE($V20,"œ","oe"),"æ","ae"),"à","a"),"á","a"),"â","a"),"ä","a"),"ã","a"),"ç","c"),"è","e"),"é","e"),"ê","e"),"ë","e"),"")</f>
        <v>courgettes</v>
      </c>
      <c r="X20" s="1368" t="str">
        <f>IF(20=20,SUBSTITUTE(SUBSTITUTE(SUBSTITUTE(SUBSTITUTE(SUBSTITUTE(SUBSTITUTE(SUBSTITUTE(SUBSTITUTE(SUBSTITUTE(SUBSTITUTE(SUBSTITUTE(SUBSTITUTE(SUBSTITUTE(SUBSTITUTE(SUBSTITUTE(SUBSTITUTE($W20,"ì","i"),"í","i"),"î","i"),"ï","i"),"ñ","n"),"ò","o"),"ó","o"),"ô","o"),"ö","o"),"õ","o"),"ù","u"),"ú","u"),"û","u"),"ü","u"),"ý","y"),"ÿ","y"),"")</f>
        <v>courgettes</v>
      </c>
      <c r="Y20" s="1368" t="str">
        <f>IF(20=20,SUBSTITUTE(SUBSTITUTE(SUBSTITUTE(SUBSTITUTE(SUBSTITUTE(SUBSTITUTE(SUBSTITUTE(SUBSTITUTE(SUBSTITUTE(SUBSTITUTE(SUBSTITUTE(SUBSTITUTE(SUBSTITUTE(SUBSTITUTE($X20,"’"," "),"`"," "),"–"," "),"—"," "),"-"," "),"'"," "),"/"," "),"_"," "),","," "),"."," "),"("," "),")"," "),";"," "),":"," "),"")</f>
        <v>courgettes</v>
      </c>
      <c r="Z20" s="1368" t="str">
        <f>IF(20=20,SUBSTITUTE(SUBSTITUTE(SUBSTITUTE(SUBSTITUTE(SUBSTITUTE(SUBSTITUTE(SUBSTITUTE(SUBSTITUTE(SUBSTITUTE(SUBSTITUTE(SUBSTITUTE(SUBSTITUTE(SUBSTITUTE(SUBSTITUTE(SUBSTITUTE($Y20,"!"," "),"?"," "),"+"," "),"*"," "),"&amp;"," "),"["," "),"]"," "),"{"," "),"}"," "),"%"," "),"="," "),"\"," "),"|"," "),"&lt;"," "),"&gt;"," "),"")</f>
        <v>courgettes</v>
      </c>
      <c r="AA20" s="1368" t="str">
        <f>IF(20=20," "&amp;TRIM(SUBSTITUTE(SUBSTITUTE(SUBSTITUTE(SUBSTITUTE(SUBSTITUTE(SUBSTITUTE($Z20,CHAR(34)," "),"  "," "),"  "," "),"  "," "),"  "," "),"  "," "))&amp;" ","")</f>
        <v xml:space="preserve"> courgettes </v>
      </c>
      <c r="AB20" s="1368">
        <f>IF(20=20,IF($U20="","",SUMPRODUCT(--ISNUMBER(SEARCH(" "&amp;$CR$2:$CR$101&amp;" ",$AD20)))),"")</f>
        <v>0</v>
      </c>
      <c r="AC20" s="1368">
        <f>IF(20=20,IF($U20="","",SUMPRODUCT(--ISNUMBER(SEARCH(" "&amp;$CR$102:$CR$151&amp;" ",$AD20)))),"")</f>
        <v>0</v>
      </c>
      <c r="AD20" s="1368" t="str">
        <f t="shared" si="1"/>
        <v xml:space="preserve"> courgettes </v>
      </c>
      <c r="AE20" s="1368">
        <f t="shared" si="2"/>
        <v>0</v>
      </c>
      <c r="AF20" s="1368" t="str">
        <f>IF(20=20,IF($U20="","",IF(SUM(AB20:AC20)+SUMPRODUCT(--ISNUMBER(SEARCH(" "&amp;$CR$2418:$CR$2420&amp;" ",$AD20)))&gt;0,"X",IF(AE20&gt;0,"?",""))),"")</f>
        <v/>
      </c>
      <c r="AG20" s="1368">
        <f>IF(20=20,IF($U20="","",SUMPRODUCT(--ISNUMBER(SEARCH(" "&amp;$CR$206:$CR$305&amp;" ",$AA20)))),"")</f>
        <v>0</v>
      </c>
      <c r="AH20" s="1368">
        <f>IF(20=20,IF($U20="","",SUMPRODUCT(--ISNUMBER(SEARCH(" "&amp;$CR$306:$CR$340&amp;" ",$AA20)))),"")</f>
        <v>0</v>
      </c>
      <c r="AI20" s="1368" t="str">
        <f>IF(20=20,IF($U20="","",IF((SUM(AG20:AH20))-(0)&gt;0,"X",IF((0)-(0)&gt;0,"?",""))),"")</f>
        <v/>
      </c>
      <c r="AJ20" s="1368">
        <f>IF(20=20,IF($U20="","",SUMPRODUCT(--ISNUMBER(SEARCH(" "&amp;$CR$341:$CR$398&amp;" ",$AA20)))),"")</f>
        <v>0</v>
      </c>
      <c r="AK20" s="1368">
        <f>IF(20=20,IF($U20="","",SUMPRODUCT(--ISNUMBER(SEARCH(" "&amp;$CR$399:$CR$426&amp;" ",$AL20)))+SUMPRODUCT(--ISNUMBER(SEARCH(" "&amp;$CR$2440:$CR$2453&amp;" ",$AL20)))),"")</f>
        <v>0</v>
      </c>
      <c r="AL20" s="1368" t="str">
        <f>IF(20=20,IF($U20="","",SUBSTITUTE(SUBSTITUTE(SUBSTITUTE(SUBSTITUTE(SUBSTITUTE(SUBSTITUTE(SUBSTITUTE(SUBSTITUTE(SUBSTITUTE(SUBSTITUTE(SUBSTITUTE(SUBSTITUTE(SUBSTITUTE(SUBSTITUTE($AA20," "&amp;$CR$2455&amp;" "," ")," "&amp;$CR$433&amp;" "," ")," "&amp;$CR$431&amp;" "," ")," "&amp;$CR$2438&amp;" "," ")," "&amp;$CR$2439&amp;" "," ")," "&amp;$CR$428&amp;" "," ")," "&amp;$CR$432&amp;" "," ")," "&amp;$CR$434&amp;" "," ")," "&amp;$CR$429&amp;" "," ")," "&amp;$CR$427&amp;" "," ")," "&amp;$CR$1367&amp;" "," ")," "&amp;$CR$435&amp;" "," ")," "&amp;$CR$1366&amp;" "," ")," "&amp;$CR$430&amp;" "," ")),"")</f>
        <v xml:space="preserve"> courgettes </v>
      </c>
      <c r="AM20" s="1368" t="str">
        <f>IF(20=20,IF($U20="","",IF(AJ20&gt;0,"X",IF(AK20&gt;0,"?",""))),"")</f>
        <v/>
      </c>
      <c r="AN20" s="1368">
        <f>IF(20=20,IF($U20="","",SUMPRODUCT(--ISNUMBER(SEARCH(" "&amp;$CR$436:$CR$535&amp;" ",$AX20)))),"")</f>
        <v>0</v>
      </c>
      <c r="AO20" s="1368">
        <f>IF(20=20,IF($U20="","",SUMPRODUCT(--ISNUMBER(SEARCH(" "&amp;$CR$536:$CR$635&amp;" ",$AX20)))),"")</f>
        <v>0</v>
      </c>
      <c r="AP20" s="1368">
        <f>IF(20=20,IF($U20="","",SUMPRODUCT(--ISNUMBER(SEARCH(" "&amp;$CR$636:$CR$735&amp;" ",$AX20)))),"")</f>
        <v>0</v>
      </c>
      <c r="AQ20" s="1368">
        <f>IF(20=20,IF($U20="","",SUMPRODUCT(--ISNUMBER(SEARCH(" "&amp;$CR$736:$CR$835&amp;" ",$AX20)))),"")</f>
        <v>0</v>
      </c>
      <c r="AR20" s="1368">
        <f>IF(20=20,IF($U20="","",SUMPRODUCT(--ISNUMBER(SEARCH(" "&amp;$CR$836:$CR$935&amp;" ",$AX20)))),"")</f>
        <v>0</v>
      </c>
      <c r="AS20" s="1368">
        <f>IF(20=20,IF($U20="","",SUMPRODUCT(--ISNUMBER(SEARCH(" "&amp;$CR$936:$CR$1035&amp;" ",$AX20)))),"")</f>
        <v>0</v>
      </c>
      <c r="AT20" s="1368">
        <f>IF(20=20,IF($U20="","",SUMPRODUCT(--ISNUMBER(SEARCH(" "&amp;$CR$1036:$CR$1135&amp;" ",$AX20)))),"")</f>
        <v>0</v>
      </c>
      <c r="AU20" s="1368">
        <f>IF(20=20,IF($U20="","",SUMPRODUCT(--ISNUMBER(SEARCH(" "&amp;$CR$1136:$CR$1235&amp;" ",$AX20)))),"")</f>
        <v>0</v>
      </c>
      <c r="AV20" s="1368">
        <f>IF(20=20,IF($U20="","",SUMPRODUCT(--ISNUMBER(SEARCH(" "&amp;$CR$1236:$CR$1335&amp;" ",$AX20)))),"")</f>
        <v>0</v>
      </c>
      <c r="AW20" s="1368">
        <f>IF(20=20,IF($U20="","",SUMPRODUCT(--ISNUMBER(SEARCH(" "&amp;$CR$1336:$CR$1363&amp;" ",$AX20)))),"")</f>
        <v>0</v>
      </c>
      <c r="AX20" s="1368" t="str">
        <f>IF(20=20,IF($U20="","",SUBSTITUTE(SUBSTITUTE(SUBSTITUTE(SUBSTITUTE(SUBSTITUTE(SUBSTITUTE(SUBSTITUTE(SUBSTITUTE(SUBSTITUTE($AA20," "&amp;$CR$1365&amp;" "," ")," "&amp;$CR$1364&amp;" "," ")," "&amp;$CR$1370&amp;" "," ")," "&amp;$CR$1371&amp;" "," ")," "&amp;$CR$1367&amp;" "," ")," "&amp;$CR$1369&amp;" "," ")," "&amp;$CR$1366&amp;" "," ")," "&amp;$CR$1368&amp;" "," ")," "&amp;$CR$1372&amp;" "," ")),"")</f>
        <v xml:space="preserve"> courgettes </v>
      </c>
      <c r="AY20" s="1368">
        <f>IF(20=20,IF($U20="","",SUMPRODUCT(--ISNUMBER(SEARCH(" "&amp;$CR$1373:$CR$1383&amp;" ",$AX20)))),"")</f>
        <v>0</v>
      </c>
      <c r="AZ20" s="1368" t="str">
        <f>IF(20=20,IF($U20="","",IF(SUM(AN20:AW20)+SUMPRODUCT(--ISNUMBER(SEARCH(" "&amp;$CR$2421:$CR$2422&amp;" ",$AX20)))&gt;0,"X",IF(AY20&gt;0,"?",""))),"")</f>
        <v/>
      </c>
      <c r="BA20" s="1368">
        <f>IF(20=20,IF($U20="","",SUMPRODUCT(--ISNUMBER(SEARCH(" "&amp;$CR$1384:$CR$1404&amp;" ",$AA20)))),"")</f>
        <v>0</v>
      </c>
      <c r="BB20" s="1368" t="str">
        <f>IF(20=20,IF($U20="","",IF((BA20)-(0)&gt;0,"X",IF((0)-(0)&gt;0,"?",""))),"")</f>
        <v/>
      </c>
      <c r="BC20" s="1368">
        <f>IF(20=20,IF($U20="","",SUMPRODUCT(--ISNUMBER(SEARCH(" "&amp;$CR$1405:$CR$1442&amp;" ",$BD20)))),"")</f>
        <v>0</v>
      </c>
      <c r="BD20" s="1368" t="str">
        <f>IF(20=20,IF($U20="","",SUBSTITUTE(SUBSTITUTE($AA20," "&amp;$CR$1443&amp;" "," ")," "&amp;$CR$1444&amp;" "," ")),"")</f>
        <v xml:space="preserve"> courgettes </v>
      </c>
      <c r="BE20" s="1368">
        <f>IF(20=20,IF($U20="","",SUMPRODUCT(--ISNUMBER(SEARCH(" "&amp;$CR$1445:$CR$1455&amp;" ",$BD20)))),"")</f>
        <v>0</v>
      </c>
      <c r="BF20" s="1368" t="str">
        <f>IF(20=20,IF($U20="","",IF(BC20&gt;0,"X",IF(BE20&gt;0,"?",""))),"")</f>
        <v/>
      </c>
      <c r="BG20" s="1368">
        <f>IF(20=20,IF($U20="","",SUMPRODUCT(--ISNUMBER(SEARCH(" "&amp;$CR$1456:$CR$1555&amp;" ",$BJ20)))),"")</f>
        <v>0</v>
      </c>
      <c r="BH20" s="1368">
        <f>IF(20=20,IF($U20="","",SUMPRODUCT(--ISNUMBER(SEARCH(" "&amp;$CR$1556:$CR$1655&amp;" ",$BJ20)))),"")</f>
        <v>0</v>
      </c>
      <c r="BI20" s="1368">
        <f>IF(20=20,IF($U20="","",SUMPRODUCT(--ISNUMBER(SEARCH(" "&amp;$CR$1656:$CR$1739&amp;" ",$BJ20)))),"")</f>
        <v>0</v>
      </c>
      <c r="BJ20" s="1368" t="str">
        <f>IF(20=20,IF($U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courgettes </v>
      </c>
      <c r="BK20" s="1368">
        <f>IF(20=20,IF($U20="","",SUMPRODUCT(--ISNUMBER(SEARCH(" "&amp;$CR$1790:$CR$1869&amp;" ",$BL20)))+SUMPRODUCT(--ISNUMBER(SEARCH(" "&amp;$CR$2440:$CR$2453&amp;" ",$BL20)))),"")</f>
        <v>0</v>
      </c>
      <c r="BL20" s="1368" t="str">
        <f>IF(20=20,IF($U20="","",SUBSTITUTE(SUBSTITUTE(SUBSTITUTE(SUBSTITUTE(SUBSTITUTE(SUBSTITUTE(SUBSTITUTE(SUBSTITUTE(SUBSTITUTE(SUBSTITUTE(SUBSTITUTE(SUBSTITUTE(SUBSTITUTE($BJ20," "&amp;$CR$1876&amp;" "," ")," "&amp;$CR$1874&amp;" "," ")," "&amp;$CR$2438&amp;" "," ")," "&amp;$CR$2439&amp;" "," ")," "&amp;$CR$1871&amp;" "," ")," "&amp;$CR$1875&amp;" "," ")," "&amp;$CR$1877&amp;" "," ")," "&amp;$CR$1872&amp;" "," ")," "&amp;$CR$1870&amp;" "," ")," "&amp;$CR$1367&amp;" "," ")," "&amp;$CR$1878&amp;" "," ")," "&amp;$CR$1366&amp;" "," ")," "&amp;$CR$1873&amp;" "," ")),"")</f>
        <v xml:space="preserve"> courgettes </v>
      </c>
      <c r="BM20" s="1368" t="str">
        <f>IF(20=20,IF($U20="","",IF(SUM(BG20:BI20)+SUMPRODUCT(--ISNUMBER(SEARCH(" "&amp;$CR$2423:$CR$2424&amp;" ",$BJ20)))&gt;0,"X",IF(BK20&gt;0,"?",""))),"")</f>
        <v/>
      </c>
      <c r="BN20" s="1368">
        <f>IF(20=20,IF($U20="","",SUMPRODUCT(--ISNUMBER(SEARCH(" "&amp;$CR$1879:$CR$1936&amp;" ",$BO20)))),"")</f>
        <v>0</v>
      </c>
      <c r="BO20" s="1368" t="str">
        <f>IF(20=20,IF($U20="","",SUBSTITUTE(SUBSTITUTE(SUBSTITUTE(SUBSTITUTE(SUBSTITUTE(SUBSTITUTE(SUBSTITUTE(SUBSTITUTE(SUBSTITUTE(SUBSTITUTE(SUBSTITUTE(SUBSTITUTE(SUBSTITUTE(SUBSTITUTE(SUBSTITUTE(SUBSTITUTE(SUBSTITUTE(SUBSTITUTE(SUBSTITUTE(SUBSTITUTE(SUBSTITUTE(SUBSTITUTE(SUBSTITUTE($AA20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courgettes </v>
      </c>
      <c r="BP20" s="1368">
        <f>IF(20=20,IF($U20="","",SUMPRODUCT(--ISNUMBER(SEARCH(" "&amp;$CR$1960:$CR$1976&amp;" ",$BO20)))),"")</f>
        <v>0</v>
      </c>
      <c r="BQ20" s="1368" t="str">
        <f>IF(20=20,IF($U20="","",IF(BN20&gt;0,"X",IF(BP20&gt;0,"?",""))),"")</f>
        <v/>
      </c>
      <c r="BR20" s="1368">
        <f>IF(20=20,IF($U20="","",SUMPRODUCT(--ISNUMBER(SEARCH(" "&amp;$CR$1977:$CR$1990&amp;" ",$AA20)))),"")</f>
        <v>0</v>
      </c>
      <c r="BS20" s="1368">
        <f>IF(20=20,IF($U20="","",SUMPRODUCT(--ISNUMBER(SEARCH(" "&amp;$CR$1991:$CR$2005&amp;" ",$AA20)))),"")</f>
        <v>0</v>
      </c>
      <c r="BT20" s="1368" t="str">
        <f>IF(20=20,IF($U20="","",IF((BR20)-(0)&gt;0,"X",IF((BS20)-(0)&gt;0,"?",""))),"")</f>
        <v/>
      </c>
      <c r="BU20" s="1368">
        <f>IF(20=20,IF($U20="","",SUMPRODUCT(--ISNUMBER(SEARCH(" "&amp;$CR$2006:$CR$2023&amp;" ",$AA20)))),"")</f>
        <v>0</v>
      </c>
      <c r="BV20" s="1368">
        <f>IF(20=20,IF($U20="","",SUMPRODUCT(--ISNUMBER(SEARCH(" "&amp;$CR$2024:$CR$2038&amp;" ",$AA20)))),"")</f>
        <v>0</v>
      </c>
      <c r="BW20" s="1368" t="str">
        <f>IF(20=20,IF($U20="","",IF((BU20)-(0)&gt;0,"X",IF((BV20)-(0)&gt;0,"?",""))),"")</f>
        <v/>
      </c>
      <c r="BX20" s="1368">
        <f>IF(20=20,IF($U20="","",SUMPRODUCT(--ISNUMBER(SEARCH(" "&amp;$CR$2039:$CR$2057&amp;" ",$AA20)))),"")</f>
        <v>0</v>
      </c>
      <c r="BY20" s="1368">
        <f>IF(20=20,IF($U20="","",SUMPRODUCT(--ISNUMBER(SEARCH(" "&amp;$CR$2058:$CR$2072&amp;" ",$AA20)))),"")</f>
        <v>0</v>
      </c>
      <c r="BZ20" s="1368" t="str">
        <f>IF(20=20,IF($U20="","",IF((BX20)-(0)&gt;0,"X",IF((BY20)-(0)&gt;0,"?",""))),"")</f>
        <v/>
      </c>
      <c r="CA20" s="1368">
        <f>IF(20=20,IF($U20="","",SUMPRODUCT(--ISNUMBER(SEARCH(" "&amp;$CR$2073:$CR$2093&amp;" ",$AA20)))),"")</f>
        <v>0</v>
      </c>
      <c r="CB20" s="1368">
        <f>IF(20=20,IF($U20="","",SUMPRODUCT(--ISNUMBER(SEARCH(" "&amp;$CR$2094:$CR$2133&amp;" ",SUBSTITUTE(SUBSTITUTE($AA20," "&amp;$CR$1367&amp;" "," ")," "&amp;$CR$1366&amp;" "," "))))+--ISNUMBER(SEARCH("poiré",$V20))),"")</f>
        <v>0</v>
      </c>
      <c r="CC20" s="1368" t="str">
        <f>IF(20=20,IF($U20="","",IF(OR(CA20&gt;0,ISNUMBER(SEARCH(" vinaigre de vin ",$AA20)),ISNUMBER(SEARCH(" vinaigre au vin ",$AA20))),"X",IF(CB20&gt;0,"?",""))),"")</f>
        <v/>
      </c>
      <c r="CD20" s="1368">
        <f>IF(20=20,IF($U20="","",SUMPRODUCT(--ISNUMBER(SEARCH(" "&amp;$CR$2134:$CR$2146&amp;" ",$AA20)))),"")</f>
        <v>0</v>
      </c>
      <c r="CE20" s="1368">
        <f>IF(20=20,IF($U20="","",SUMPRODUCT(--ISNUMBER(SEARCH(" "&amp;$CR$2147:$CR$2152&amp;" ",$AA20)))),"")</f>
        <v>0</v>
      </c>
      <c r="CF20" s="1368" t="str">
        <f>IF(20=20,IF($U20="","",IF((CD20)-(0)&gt;0,"X",IF((CE20)-(0)&gt;0,"?",""))),"")</f>
        <v/>
      </c>
      <c r="CG20" s="1368">
        <f>IF(20=20,IF($U20="","",SUMPRODUCT(--ISNUMBER(SEARCH(" "&amp;$CR$2153:$CR$2252&amp;" ",$CJ20)))),"")</f>
        <v>0</v>
      </c>
      <c r="CH20" s="1368">
        <f>IF(20=20,IF($U20="","",SUMPRODUCT(--ISNUMBER(SEARCH(" "&amp;$CR$2253:$CR$2352&amp;" ",$CJ20)))),"")</f>
        <v>0</v>
      </c>
      <c r="CI20" s="1368">
        <f>IF(20=20,IF($U20="","",SUMPRODUCT(--ISNUMBER(SEARCH(" "&amp;$CR$2353:$CR$2395&amp;" ",$CJ20)))),"")</f>
        <v>0</v>
      </c>
      <c r="CJ20" s="1368" t="str">
        <f>IF(20=20,IF($U20="","",SUBSTITUTE(SUBSTITUTE(SUBSTITUTE(SUBSTITUTE(SUBSTITUTE(SUBSTITUTE(SUBSTITUTE(SUBSTITUTE(SUBSTITUTE(SUBSTITUTE(SUBSTITUTE(SUBSTITUTE(SUBSTITUTE(SUBSTITUTE(SUBSTITUTE(SUBSTITUTE($AA20," "&amp;$CR$2401&amp;" "," ")," "&amp;$CR$2400&amp;" "," ")," "&amp;$CR$2399&amp;" "," ")," "&amp;$CR$2406&amp;" "," ")," "&amp;$CR$2398&amp;" "," ")," "&amp;$CR$2410&amp;" "," ")," "&amp;$CR$2397&amp;" "," ")," "&amp;$CR$2402&amp;" "," ")," "&amp;$CR$2405&amp;" "," ")," "&amp;$CR$2396&amp;" "," ")," "&amp;$CR$2404&amp;" "," ")," "&amp;$CR$2411&amp;" "," ")," "&amp;$CR$2408&amp;" "," ")," "&amp;$CR$2403&amp;" "," ")," "&amp;$CR$2407&amp;" "," ")," "&amp;$CR$2409&amp;" "," ")),"")</f>
        <v xml:space="preserve"> courgettes </v>
      </c>
      <c r="CK20" s="1368">
        <f>IF(20=20,IF($U20="","",SUMPRODUCT(--ISNUMBER(SEARCH(" "&amp;$CR$2412:$CR$2416&amp;" ",$CJ20)))),"")</f>
        <v>0</v>
      </c>
      <c r="CL20" s="1368" t="str">
        <f>IF(20=20,IF($U20="","",IF(SUM(CG20:CI20)&gt;0,"X",IF(CK20&gt;0,"?",""))),"")</f>
        <v/>
      </c>
      <c r="CM20" s="1377"/>
      <c r="CN20" s="1388" t="s">
        <v>8240</v>
      </c>
      <c r="CO20" s="1388" t="s">
        <v>8105</v>
      </c>
      <c r="CP20" s="1388" t="s">
        <v>8106</v>
      </c>
      <c r="CQ20" s="1388" t="s">
        <v>8241</v>
      </c>
      <c r="CR20" s="1388" t="s">
        <v>8241</v>
      </c>
      <c r="CS20" s="1388" t="s">
        <v>8108</v>
      </c>
      <c r="CT20" s="1388" t="s">
        <v>8109</v>
      </c>
      <c r="CU20" s="1388" t="s">
        <v>8110</v>
      </c>
      <c r="CV20" s="1389" t="s">
        <v>8111</v>
      </c>
      <c r="CX20" s="1379">
        <v>1</v>
      </c>
    </row>
    <row r="21" spans="1:102" ht="21" customHeight="1" x14ac:dyDescent="0.25">
      <c r="A21" s="1412">
        <v>15</v>
      </c>
      <c r="B21" s="1413" t="s">
        <v>8242</v>
      </c>
      <c r="C21" s="1414" t="str">
        <f t="shared" si="0"/>
        <v>Crème fraîche *</v>
      </c>
      <c r="D21" s="1415" t="str">
        <f>IF(21=21,IF($B21="","",IF(E21="X",""&amp;"Céréales contenant du gluten","")&amp;IF(F21="X",IF(COUNTIF($E21:$E21,"X")&gt;0,", ","")&amp;"Crustacés","")&amp;IF(G21="X",IF(COUNTIF($E21:$F21,"X")&gt;0,", ","")&amp;"Œufs","")&amp;IF(H21="X",IF(COUNTIF($E21:$G21,"X")&gt;0,", ","")&amp;"Poissons","")&amp;IF(I21="X",IF(COUNTIF($E21:$H21,"X")&gt;0,", ","")&amp;"Arachides","")&amp;IF(J21="X",IF(COUNTIF($E21:$I21,"X")&gt;0,", ","")&amp;"Soja","")&amp;IF(K21="X",IF(COUNTIF($E21:$J21,"X")&gt;0,", ","")&amp;"Lait","")&amp;IF(L21="X",IF(COUNTIF($E21:$K21,"X")&gt;0,", ","")&amp;"Fruits à coque","")&amp;IF(M21="X",IF(COUNTIF($E21:$L21,"X")&gt;0,", ","")&amp;"Céleri","")&amp;IF(N21="X",IF(COUNTIF($E21:$M21,"X")&gt;0,", ","")&amp;"Moutarde","")&amp;IF(O21="X",IF(COUNTIF($E21:$N21,"X")&gt;0,", ","")&amp;"Sésame","")&amp;IF(P21="X",IF(COUNTIF($E21:$O21,"X")&gt;0,", ","")&amp;"Sulfites","")&amp;IF(Q21="X",IF(COUNTIF($E21:$P21,"X")&gt;0,", ","")&amp;"Lupin","")&amp;IF(R21="X",IF(COUNTIF($E21:$Q21,"X")&gt;0,", ","")&amp;"Mollusques","")),"")</f>
        <v>Lait</v>
      </c>
      <c r="E21" s="1416" t="str">
        <f>IF(21=21,IF($B21="","",AF21),"")</f>
        <v/>
      </c>
      <c r="F21" s="1416" t="str">
        <f>IF(21=21,IF($B21="","",AI21),"")</f>
        <v/>
      </c>
      <c r="G21" s="1416" t="str">
        <f>IF(21=21,IF($B21="","",AM21),"")</f>
        <v/>
      </c>
      <c r="H21" s="1416" t="str">
        <f>IF(21=21,IF($B21="","",IF(ISNUMBER(SEARCH(" colin ",$AA21)),"X",AZ21)),"")</f>
        <v/>
      </c>
      <c r="I21" s="1416" t="str">
        <f>IF(21=21,IF($B21="","",BB21),"")</f>
        <v/>
      </c>
      <c r="J21" s="1416" t="str">
        <f>IF(21=21,IF($B21="","",BF21),"")</f>
        <v/>
      </c>
      <c r="K21" s="1416" t="str">
        <f>IF(21=21,IF($B21="","",BM21),"")</f>
        <v>X</v>
      </c>
      <c r="L21" s="1416" t="str">
        <f>IF(21=21,IF($B21="","",BQ21),"")</f>
        <v/>
      </c>
      <c r="M21" s="1416" t="str">
        <f>IF(21=21,IF($B21="","",BT21),"")</f>
        <v/>
      </c>
      <c r="N21" s="1416" t="str">
        <f>IF(21=21,IF($B21="","",BW21),"")</f>
        <v/>
      </c>
      <c r="O21" s="1416" t="str">
        <f>IF(21=21,IF($B21="","",BZ21),"")</f>
        <v/>
      </c>
      <c r="P21" s="1416" t="str">
        <f>IF(21=21,IF($B21="","",CC21),"")</f>
        <v/>
      </c>
      <c r="Q21" s="1416" t="str">
        <f>IF(21=21,IF($B21="","",CF21),"")</f>
        <v/>
      </c>
      <c r="R21" s="1416" t="str">
        <f>IF(21=21,IF($B21="","",CL21),"")</f>
        <v/>
      </c>
      <c r="S21" s="1417" t="str">
        <f>IF(21=21,IF($B21="","",IF(E21="?",""&amp;"Céréales contenant du gluten","")&amp;IF(F21="?",IF(COUNTIF($E21:$E21,"~?")&gt;0,", ","")&amp;"Crustacés","")&amp;IF(G21="?",IF(COUNTIF($E21:$F21,"~?")&gt;0,", ","")&amp;"Œufs","")&amp;IF(H21="?",IF(COUNTIF($E21:$G21,"~?")&gt;0,", ","")&amp;"Poissons","")&amp;IF(I21="?",IF(COUNTIF($E21:$H21,"~?")&gt;0,", ","")&amp;"Arachides","")&amp;IF(J21="?",IF(COUNTIF($E21:$I21,"~?")&gt;0,", ","")&amp;"Soja","")&amp;IF(K21="?",IF(COUNTIF($E21:$J21,"~?")&gt;0,", ","")&amp;"Lait","")&amp;IF(L21="?",IF(COUNTIF($E21:$K21,"~?")&gt;0,", ","")&amp;"Fruits à coque","")&amp;IF(M21="?",IF(COUNTIF($E21:$L21,"~?")&gt;0,", ","")&amp;"Céleri","")&amp;IF(N21="?",IF(COUNTIF($E21:$M21,"~?")&gt;0,", ","")&amp;"Moutarde","")&amp;IF(O21="?",IF(COUNTIF($E21:$N21,"~?")&gt;0,", ","")&amp;"Sésame","")&amp;IF(P21="?",IF(COUNTIF($E21:$O21,"~?")&gt;0,", ","")&amp;"Sulfites","")&amp;IF(Q21="?",IF(COUNTIF($E21:$P21,"~?")&gt;0,", ","")&amp;"Lupin","")&amp;IF(R21="?",IF(COUNTIF($E21:$Q21,"~?")&gt;0,", ","")&amp;"Mollusques","")),"")</f>
        <v/>
      </c>
      <c r="U21" s="1368" t="str">
        <f>IF(21=21,IF($B21="","",$B21),"")</f>
        <v xml:space="preserve">Crème fraîche </v>
      </c>
      <c r="V21" s="1368" t="str">
        <f>IF(21=21,LOWER(CLEAN(SUBSTITUTE(SUBSTITUTE(SUBSTITUTE(SUBSTITUTE($U21,CHAR(160)," ")," "," "),CHAR(10)," "),CHAR(13)," "))),"")</f>
        <v xml:space="preserve">crème fraîche </v>
      </c>
      <c r="W21" s="1368" t="str">
        <f>IF(21=21,SUBSTITUTE(SUBSTITUTE(SUBSTITUTE(SUBSTITUTE(SUBSTITUTE(SUBSTITUTE(SUBSTITUTE(SUBSTITUTE(SUBSTITUTE(SUBSTITUTE(SUBSTITUTE(SUBSTITUTE($V21,"œ","oe"),"æ","ae"),"à","a"),"á","a"),"â","a"),"ä","a"),"ã","a"),"ç","c"),"è","e"),"é","e"),"ê","e"),"ë","e"),"")</f>
        <v xml:space="preserve">creme fraîche </v>
      </c>
      <c r="X21" s="1368" t="str">
        <f>IF(21=21,SUBSTITUTE(SUBSTITUTE(SUBSTITUTE(SUBSTITUTE(SUBSTITUTE(SUBSTITUTE(SUBSTITUTE(SUBSTITUTE(SUBSTITUTE(SUBSTITUTE(SUBSTITUTE(SUBSTITUTE(SUBSTITUTE(SUBSTITUTE(SUBSTITUTE(SUBSTITUTE($W21,"ì","i"),"í","i"),"î","i"),"ï","i"),"ñ","n"),"ò","o"),"ó","o"),"ô","o"),"ö","o"),"õ","o"),"ù","u"),"ú","u"),"û","u"),"ü","u"),"ý","y"),"ÿ","y"),"")</f>
        <v xml:space="preserve">creme fraiche </v>
      </c>
      <c r="Y21" s="1368" t="str">
        <f>IF(21=21,SUBSTITUTE(SUBSTITUTE(SUBSTITUTE(SUBSTITUTE(SUBSTITUTE(SUBSTITUTE(SUBSTITUTE(SUBSTITUTE(SUBSTITUTE(SUBSTITUTE(SUBSTITUTE(SUBSTITUTE(SUBSTITUTE(SUBSTITUTE($X21,"’"," "),"`"," "),"–"," "),"—"," "),"-"," "),"'"," "),"/"," "),"_"," "),","," "),"."," "),"("," "),")"," "),";"," "),":"," "),"")</f>
        <v xml:space="preserve">creme fraiche </v>
      </c>
      <c r="Z21" s="1368" t="str">
        <f>IF(21=21,SUBSTITUTE(SUBSTITUTE(SUBSTITUTE(SUBSTITUTE(SUBSTITUTE(SUBSTITUTE(SUBSTITUTE(SUBSTITUTE(SUBSTITUTE(SUBSTITUTE(SUBSTITUTE(SUBSTITUTE(SUBSTITUTE(SUBSTITUTE(SUBSTITUTE($Y21,"!"," "),"?"," "),"+"," "),"*"," "),"&amp;"," "),"["," "),"]"," "),"{"," "),"}"," "),"%"," "),"="," "),"\"," "),"|"," "),"&lt;"," "),"&gt;"," "),"")</f>
        <v xml:space="preserve">creme fraiche </v>
      </c>
      <c r="AA21" s="1368" t="str">
        <f>IF(21=21," "&amp;TRIM(SUBSTITUTE(SUBSTITUTE(SUBSTITUTE(SUBSTITUTE(SUBSTITUTE(SUBSTITUTE($Z21,CHAR(34)," "),"  "," "),"  "," "),"  "," "),"  "," "),"  "," "))&amp;" ","")</f>
        <v xml:space="preserve"> creme fraiche </v>
      </c>
      <c r="AB21" s="1368">
        <f>IF(21=21,IF($U21="","",SUMPRODUCT(--ISNUMBER(SEARCH(" "&amp;$CR$2:$CR$101&amp;" ",$AD21)))),"")</f>
        <v>0</v>
      </c>
      <c r="AC21" s="1368">
        <f>IF(21=21,IF($U21="","",SUMPRODUCT(--ISNUMBER(SEARCH(" "&amp;$CR$102:$CR$151&amp;" ",$AD21)))),"")</f>
        <v>0</v>
      </c>
      <c r="AD21" s="1368" t="str">
        <f t="shared" si="1"/>
        <v xml:space="preserve"> creme fraiche </v>
      </c>
      <c r="AE21" s="1368">
        <f t="shared" si="2"/>
        <v>0</v>
      </c>
      <c r="AF21" s="1368" t="str">
        <f>IF(21=21,IF($U21="","",IF(SUM(AB21:AC21)+SUMPRODUCT(--ISNUMBER(SEARCH(" "&amp;$CR$2418:$CR$2420&amp;" ",$AD21)))&gt;0,"X",IF(AE21&gt;0,"?",""))),"")</f>
        <v/>
      </c>
      <c r="AG21" s="1368">
        <f>IF(21=21,IF($U21="","",SUMPRODUCT(--ISNUMBER(SEARCH(" "&amp;$CR$206:$CR$305&amp;" ",$AA21)))),"")</f>
        <v>0</v>
      </c>
      <c r="AH21" s="1368">
        <f>IF(21=21,IF($U21="","",SUMPRODUCT(--ISNUMBER(SEARCH(" "&amp;$CR$306:$CR$340&amp;" ",$AA21)))),"")</f>
        <v>0</v>
      </c>
      <c r="AI21" s="1368" t="str">
        <f>IF(21=21,IF($U21="","",IF((SUM(AG21:AH21))-(0)&gt;0,"X",IF((0)-(0)&gt;0,"?",""))),"")</f>
        <v/>
      </c>
      <c r="AJ21" s="1368">
        <f>IF(21=21,IF($U21="","",SUMPRODUCT(--ISNUMBER(SEARCH(" "&amp;$CR$341:$CR$398&amp;" ",$AA21)))),"")</f>
        <v>0</v>
      </c>
      <c r="AK21" s="1368">
        <f>IF(21=21,IF($U21="","",SUMPRODUCT(--ISNUMBER(SEARCH(" "&amp;$CR$399:$CR$426&amp;" ",$AL21)))+SUMPRODUCT(--ISNUMBER(SEARCH(" "&amp;$CR$2440:$CR$2453&amp;" ",$AL21)))),"")</f>
        <v>0</v>
      </c>
      <c r="AL21" s="1368" t="str">
        <f>IF(21=21,IF($U21="","",SUBSTITUTE(SUBSTITUTE(SUBSTITUTE(SUBSTITUTE(SUBSTITUTE(SUBSTITUTE(SUBSTITUTE(SUBSTITUTE(SUBSTITUTE(SUBSTITUTE(SUBSTITUTE(SUBSTITUTE(SUBSTITUTE(SUBSTITUTE($AA21," "&amp;$CR$2455&amp;" "," ")," "&amp;$CR$433&amp;" "," ")," "&amp;$CR$431&amp;" "," ")," "&amp;$CR$2438&amp;" "," ")," "&amp;$CR$2439&amp;" "," ")," "&amp;$CR$428&amp;" "," ")," "&amp;$CR$432&amp;" "," ")," "&amp;$CR$434&amp;" "," ")," "&amp;$CR$429&amp;" "," ")," "&amp;$CR$427&amp;" "," ")," "&amp;$CR$1367&amp;" "," ")," "&amp;$CR$435&amp;" "," ")," "&amp;$CR$1366&amp;" "," ")," "&amp;$CR$430&amp;" "," ")),"")</f>
        <v xml:space="preserve"> creme fraiche </v>
      </c>
      <c r="AM21" s="1368" t="str">
        <f>IF(21=21,IF($U21="","",IF(AJ21&gt;0,"X",IF(AK21&gt;0,"?",""))),"")</f>
        <v/>
      </c>
      <c r="AN21" s="1368">
        <f>IF(21=21,IF($U21="","",SUMPRODUCT(--ISNUMBER(SEARCH(" "&amp;$CR$436:$CR$535&amp;" ",$AX21)))),"")</f>
        <v>0</v>
      </c>
      <c r="AO21" s="1368">
        <f>IF(21=21,IF($U21="","",SUMPRODUCT(--ISNUMBER(SEARCH(" "&amp;$CR$536:$CR$635&amp;" ",$AX21)))),"")</f>
        <v>0</v>
      </c>
      <c r="AP21" s="1368">
        <f>IF(21=21,IF($U21="","",SUMPRODUCT(--ISNUMBER(SEARCH(" "&amp;$CR$636:$CR$735&amp;" ",$AX21)))),"")</f>
        <v>0</v>
      </c>
      <c r="AQ21" s="1368">
        <f>IF(21=21,IF($U21="","",SUMPRODUCT(--ISNUMBER(SEARCH(" "&amp;$CR$736:$CR$835&amp;" ",$AX21)))),"")</f>
        <v>0</v>
      </c>
      <c r="AR21" s="1368">
        <f>IF(21=21,IF($U21="","",SUMPRODUCT(--ISNUMBER(SEARCH(" "&amp;$CR$836:$CR$935&amp;" ",$AX21)))),"")</f>
        <v>0</v>
      </c>
      <c r="AS21" s="1368">
        <f>IF(21=21,IF($U21="","",SUMPRODUCT(--ISNUMBER(SEARCH(" "&amp;$CR$936:$CR$1035&amp;" ",$AX21)))),"")</f>
        <v>0</v>
      </c>
      <c r="AT21" s="1368">
        <f>IF(21=21,IF($U21="","",SUMPRODUCT(--ISNUMBER(SEARCH(" "&amp;$CR$1036:$CR$1135&amp;" ",$AX21)))),"")</f>
        <v>0</v>
      </c>
      <c r="AU21" s="1368">
        <f>IF(21=21,IF($U21="","",SUMPRODUCT(--ISNUMBER(SEARCH(" "&amp;$CR$1136:$CR$1235&amp;" ",$AX21)))),"")</f>
        <v>0</v>
      </c>
      <c r="AV21" s="1368">
        <f>IF(21=21,IF($U21="","",SUMPRODUCT(--ISNUMBER(SEARCH(" "&amp;$CR$1236:$CR$1335&amp;" ",$AX21)))),"")</f>
        <v>0</v>
      </c>
      <c r="AW21" s="1368">
        <f>IF(21=21,IF($U21="","",SUMPRODUCT(--ISNUMBER(SEARCH(" "&amp;$CR$1336:$CR$1363&amp;" ",$AX21)))),"")</f>
        <v>0</v>
      </c>
      <c r="AX21" s="1368" t="str">
        <f>IF(21=21,IF($U21="","",SUBSTITUTE(SUBSTITUTE(SUBSTITUTE(SUBSTITUTE(SUBSTITUTE(SUBSTITUTE(SUBSTITUTE(SUBSTITUTE(SUBSTITUTE($AA21," "&amp;$CR$1365&amp;" "," ")," "&amp;$CR$1364&amp;" "," ")," "&amp;$CR$1370&amp;" "," ")," "&amp;$CR$1371&amp;" "," ")," "&amp;$CR$1367&amp;" "," ")," "&amp;$CR$1369&amp;" "," ")," "&amp;$CR$1366&amp;" "," ")," "&amp;$CR$1368&amp;" "," ")," "&amp;$CR$1372&amp;" "," ")),"")</f>
        <v xml:space="preserve"> creme fraiche </v>
      </c>
      <c r="AY21" s="1368">
        <f>IF(21=21,IF($U21="","",SUMPRODUCT(--ISNUMBER(SEARCH(" "&amp;$CR$1373:$CR$1383&amp;" ",$AX21)))),"")</f>
        <v>0</v>
      </c>
      <c r="AZ21" s="1368" t="str">
        <f>IF(21=21,IF($U21="","",IF(SUM(AN21:AW21)+SUMPRODUCT(--ISNUMBER(SEARCH(" "&amp;$CR$2421:$CR$2422&amp;" ",$AX21)))&gt;0,"X",IF(AY21&gt;0,"?",""))),"")</f>
        <v/>
      </c>
      <c r="BA21" s="1368">
        <f>IF(21=21,IF($U21="","",SUMPRODUCT(--ISNUMBER(SEARCH(" "&amp;$CR$1384:$CR$1404&amp;" ",$AA21)))),"")</f>
        <v>0</v>
      </c>
      <c r="BB21" s="1368" t="str">
        <f>IF(21=21,IF($U21="","",IF((BA21)-(0)&gt;0,"X",IF((0)-(0)&gt;0,"?",""))),"")</f>
        <v/>
      </c>
      <c r="BC21" s="1368">
        <f>IF(21=21,IF($U21="","",SUMPRODUCT(--ISNUMBER(SEARCH(" "&amp;$CR$1405:$CR$1442&amp;" ",$BD21)))),"")</f>
        <v>0</v>
      </c>
      <c r="BD21" s="1368" t="str">
        <f>IF(21=21,IF($U21="","",SUBSTITUTE(SUBSTITUTE($AA21," "&amp;$CR$1443&amp;" "," ")," "&amp;$CR$1444&amp;" "," ")),"")</f>
        <v xml:space="preserve"> creme fraiche </v>
      </c>
      <c r="BE21" s="1368">
        <f>IF(21=21,IF($U21="","",SUMPRODUCT(--ISNUMBER(SEARCH(" "&amp;$CR$1445:$CR$1455&amp;" ",$BD21)))),"")</f>
        <v>0</v>
      </c>
      <c r="BF21" s="1368" t="str">
        <f>IF(21=21,IF($U21="","",IF(BC21&gt;0,"X",IF(BE21&gt;0,"?",""))),"")</f>
        <v/>
      </c>
      <c r="BG21" s="1368">
        <f>IF(21=21,IF($U21="","",SUMPRODUCT(--ISNUMBER(SEARCH(" "&amp;$CR$1456:$CR$1555&amp;" ",$BJ21)))),"")</f>
        <v>2</v>
      </c>
      <c r="BH21" s="1368">
        <f>IF(21=21,IF($U21="","",SUMPRODUCT(--ISNUMBER(SEARCH(" "&amp;$CR$1556:$CR$1655&amp;" ",$BJ21)))),"")</f>
        <v>0</v>
      </c>
      <c r="BI21" s="1368">
        <f>IF(21=21,IF($U21="","",SUMPRODUCT(--ISNUMBER(SEARCH(" "&amp;$CR$1656:$CR$1739&amp;" ",$BJ21)))),"")</f>
        <v>0</v>
      </c>
      <c r="BJ21" s="1368" t="str">
        <f>IF(21=21,IF($U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creme fraiche </v>
      </c>
      <c r="BK21" s="1368">
        <f>IF(21=21,IF($U21="","",SUMPRODUCT(--ISNUMBER(SEARCH(" "&amp;$CR$1790:$CR$1869&amp;" ",$BL21)))+SUMPRODUCT(--ISNUMBER(SEARCH(" "&amp;$CR$2440:$CR$2453&amp;" ",$BL21)))),"")</f>
        <v>0</v>
      </c>
      <c r="BL21" s="1368" t="str">
        <f>IF(21=21,IF($U21="","",SUBSTITUTE(SUBSTITUTE(SUBSTITUTE(SUBSTITUTE(SUBSTITUTE(SUBSTITUTE(SUBSTITUTE(SUBSTITUTE(SUBSTITUTE(SUBSTITUTE(SUBSTITUTE(SUBSTITUTE(SUBSTITUTE($BJ21," "&amp;$CR$1876&amp;" "," ")," "&amp;$CR$1874&amp;" "," ")," "&amp;$CR$2438&amp;" "," ")," "&amp;$CR$2439&amp;" "," ")," "&amp;$CR$1871&amp;" "," ")," "&amp;$CR$1875&amp;" "," ")," "&amp;$CR$1877&amp;" "," ")," "&amp;$CR$1872&amp;" "," ")," "&amp;$CR$1870&amp;" "," ")," "&amp;$CR$1367&amp;" "," ")," "&amp;$CR$1878&amp;" "," ")," "&amp;$CR$1366&amp;" "," ")," "&amp;$CR$1873&amp;" "," ")),"")</f>
        <v xml:space="preserve"> creme fraiche </v>
      </c>
      <c r="BM21" s="1368" t="str">
        <f>IF(21=21,IF($U21="","",IF(SUM(BG21:BI21)+SUMPRODUCT(--ISNUMBER(SEARCH(" "&amp;$CR$2423:$CR$2424&amp;" ",$BJ21)))&gt;0,"X",IF(BK21&gt;0,"?",""))),"")</f>
        <v>X</v>
      </c>
      <c r="BN21" s="1368">
        <f>IF(21=21,IF($U21="","",SUMPRODUCT(--ISNUMBER(SEARCH(" "&amp;$CR$1879:$CR$1936&amp;" ",$BO21)))),"")</f>
        <v>0</v>
      </c>
      <c r="BO21" s="1368" t="str">
        <f>IF(21=21,IF($U21="","",SUBSTITUTE(SUBSTITUTE(SUBSTITUTE(SUBSTITUTE(SUBSTITUTE(SUBSTITUTE(SUBSTITUTE(SUBSTITUTE(SUBSTITUTE(SUBSTITUTE(SUBSTITUTE(SUBSTITUTE(SUBSTITUTE(SUBSTITUTE(SUBSTITUTE(SUBSTITUTE(SUBSTITUTE(SUBSTITUTE(SUBSTITUTE(SUBSTITUTE(SUBSTITUTE(SUBSTITUTE(SUBSTITUTE($AA21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creme fraiche </v>
      </c>
      <c r="BP21" s="1368">
        <f>IF(21=21,IF($U21="","",SUMPRODUCT(--ISNUMBER(SEARCH(" "&amp;$CR$1960:$CR$1976&amp;" ",$BO21)))),"")</f>
        <v>0</v>
      </c>
      <c r="BQ21" s="1368" t="str">
        <f>IF(21=21,IF($U21="","",IF(BN21&gt;0,"X",IF(BP21&gt;0,"?",""))),"")</f>
        <v/>
      </c>
      <c r="BR21" s="1368">
        <f>IF(21=21,IF($U21="","",SUMPRODUCT(--ISNUMBER(SEARCH(" "&amp;$CR$1977:$CR$1990&amp;" ",$AA21)))),"")</f>
        <v>0</v>
      </c>
      <c r="BS21" s="1368">
        <f>IF(21=21,IF($U21="","",SUMPRODUCT(--ISNUMBER(SEARCH(" "&amp;$CR$1991:$CR$2005&amp;" ",$AA21)))),"")</f>
        <v>0</v>
      </c>
      <c r="BT21" s="1368" t="str">
        <f>IF(21=21,IF($U21="","",IF((BR21)-(0)&gt;0,"X",IF((BS21)-(0)&gt;0,"?",""))),"")</f>
        <v/>
      </c>
      <c r="BU21" s="1368">
        <f>IF(21=21,IF($U21="","",SUMPRODUCT(--ISNUMBER(SEARCH(" "&amp;$CR$2006:$CR$2023&amp;" ",$AA21)))),"")</f>
        <v>0</v>
      </c>
      <c r="BV21" s="1368">
        <f>IF(21=21,IF($U21="","",SUMPRODUCT(--ISNUMBER(SEARCH(" "&amp;$CR$2024:$CR$2038&amp;" ",$AA21)))),"")</f>
        <v>0</v>
      </c>
      <c r="BW21" s="1368" t="str">
        <f>IF(21=21,IF($U21="","",IF((BU21)-(0)&gt;0,"X",IF((BV21)-(0)&gt;0,"?",""))),"")</f>
        <v/>
      </c>
      <c r="BX21" s="1368">
        <f>IF(21=21,IF($U21="","",SUMPRODUCT(--ISNUMBER(SEARCH(" "&amp;$CR$2039:$CR$2057&amp;" ",$AA21)))),"")</f>
        <v>0</v>
      </c>
      <c r="BY21" s="1368">
        <f>IF(21=21,IF($U21="","",SUMPRODUCT(--ISNUMBER(SEARCH(" "&amp;$CR$2058:$CR$2072&amp;" ",$AA21)))),"")</f>
        <v>0</v>
      </c>
      <c r="BZ21" s="1368" t="str">
        <f>IF(21=21,IF($U21="","",IF((BX21)-(0)&gt;0,"X",IF((BY21)-(0)&gt;0,"?",""))),"")</f>
        <v/>
      </c>
      <c r="CA21" s="1368">
        <f>IF(21=21,IF($U21="","",SUMPRODUCT(--ISNUMBER(SEARCH(" "&amp;$CR$2073:$CR$2093&amp;" ",$AA21)))),"")</f>
        <v>0</v>
      </c>
      <c r="CB21" s="1368">
        <f>IF(21=21,IF($U21="","",SUMPRODUCT(--ISNUMBER(SEARCH(" "&amp;$CR$2094:$CR$2133&amp;" ",SUBSTITUTE(SUBSTITUTE($AA21," "&amp;$CR$1367&amp;" "," ")," "&amp;$CR$1366&amp;" "," "))))+--ISNUMBER(SEARCH("poiré",$V21))),"")</f>
        <v>0</v>
      </c>
      <c r="CC21" s="1368" t="str">
        <f>IF(21=21,IF($U21="","",IF(OR(CA21&gt;0,ISNUMBER(SEARCH(" vinaigre de vin ",$AA21)),ISNUMBER(SEARCH(" vinaigre au vin ",$AA21))),"X",IF(CB21&gt;0,"?",""))),"")</f>
        <v/>
      </c>
      <c r="CD21" s="1368">
        <f>IF(21=21,IF($U21="","",SUMPRODUCT(--ISNUMBER(SEARCH(" "&amp;$CR$2134:$CR$2146&amp;" ",$AA21)))),"")</f>
        <v>0</v>
      </c>
      <c r="CE21" s="1368">
        <f>IF(21=21,IF($U21="","",SUMPRODUCT(--ISNUMBER(SEARCH(" "&amp;$CR$2147:$CR$2152&amp;" ",$AA21)))),"")</f>
        <v>0</v>
      </c>
      <c r="CF21" s="1368" t="str">
        <f>IF(21=21,IF($U21="","",IF((CD21)-(0)&gt;0,"X",IF((CE21)-(0)&gt;0,"?",""))),"")</f>
        <v/>
      </c>
      <c r="CG21" s="1368">
        <f>IF(21=21,IF($U21="","",SUMPRODUCT(--ISNUMBER(SEARCH(" "&amp;$CR$2153:$CR$2252&amp;" ",$CJ21)))),"")</f>
        <v>0</v>
      </c>
      <c r="CH21" s="1368">
        <f>IF(21=21,IF($U21="","",SUMPRODUCT(--ISNUMBER(SEARCH(" "&amp;$CR$2253:$CR$2352&amp;" ",$CJ21)))),"")</f>
        <v>0</v>
      </c>
      <c r="CI21" s="1368">
        <f>IF(21=21,IF($U21="","",SUMPRODUCT(--ISNUMBER(SEARCH(" "&amp;$CR$2353:$CR$2395&amp;" ",$CJ21)))),"")</f>
        <v>0</v>
      </c>
      <c r="CJ21" s="1368" t="str">
        <f>IF(21=21,IF($U21="","",SUBSTITUTE(SUBSTITUTE(SUBSTITUTE(SUBSTITUTE(SUBSTITUTE(SUBSTITUTE(SUBSTITUTE(SUBSTITUTE(SUBSTITUTE(SUBSTITUTE(SUBSTITUTE(SUBSTITUTE(SUBSTITUTE(SUBSTITUTE(SUBSTITUTE(SUBSTITUTE($AA21," "&amp;$CR$2401&amp;" "," ")," "&amp;$CR$2400&amp;" "," ")," "&amp;$CR$2399&amp;" "," ")," "&amp;$CR$2406&amp;" "," ")," "&amp;$CR$2398&amp;" "," ")," "&amp;$CR$2410&amp;" "," ")," "&amp;$CR$2397&amp;" "," ")," "&amp;$CR$2402&amp;" "," ")," "&amp;$CR$2405&amp;" "," ")," "&amp;$CR$2396&amp;" "," ")," "&amp;$CR$2404&amp;" "," ")," "&amp;$CR$2411&amp;" "," ")," "&amp;$CR$2408&amp;" "," ")," "&amp;$CR$2403&amp;" "," ")," "&amp;$CR$2407&amp;" "," ")," "&amp;$CR$2409&amp;" "," ")),"")</f>
        <v xml:space="preserve"> creme fraiche </v>
      </c>
      <c r="CK21" s="1368">
        <f>IF(21=21,IF($U21="","",SUMPRODUCT(--ISNUMBER(SEARCH(" "&amp;$CR$2412:$CR$2416&amp;" ",$CJ21)))),"")</f>
        <v>0</v>
      </c>
      <c r="CL21" s="1368" t="str">
        <f>IF(21=21,IF($U21="","",IF(SUM(CG21:CI21)&gt;0,"X",IF(CK21&gt;0,"?",""))),"")</f>
        <v/>
      </c>
      <c r="CM21" s="1377"/>
      <c r="CN21" s="1388" t="s">
        <v>8243</v>
      </c>
      <c r="CO21" s="1388" t="s">
        <v>8105</v>
      </c>
      <c r="CP21" s="1388" t="s">
        <v>8106</v>
      </c>
      <c r="CQ21" s="1388" t="s">
        <v>8244</v>
      </c>
      <c r="CR21" s="1388" t="s">
        <v>8244</v>
      </c>
      <c r="CS21" s="1388" t="s">
        <v>8108</v>
      </c>
      <c r="CT21" s="1388" t="s">
        <v>8109</v>
      </c>
      <c r="CU21" s="1388" t="s">
        <v>8110</v>
      </c>
      <c r="CV21" s="1389" t="s">
        <v>8111</v>
      </c>
      <c r="CX21" s="1379">
        <v>1</v>
      </c>
    </row>
    <row r="22" spans="1:102" ht="21" customHeight="1" x14ac:dyDescent="0.25">
      <c r="A22" s="1412">
        <v>16</v>
      </c>
      <c r="B22" s="1413" t="s">
        <v>8245</v>
      </c>
      <c r="C22" s="1414" t="str">
        <f t="shared" si="0"/>
        <v>Crème fraîche double *</v>
      </c>
      <c r="D22" s="1415" t="str">
        <f>IF(22=22,IF($B22="","",IF(E22="X",""&amp;"Céréales contenant du gluten","")&amp;IF(F22="X",IF(COUNTIF($E22:$E22,"X")&gt;0,", ","")&amp;"Crustacés","")&amp;IF(G22="X",IF(COUNTIF($E22:$F22,"X")&gt;0,", ","")&amp;"Œufs","")&amp;IF(H22="X",IF(COUNTIF($E22:$G22,"X")&gt;0,", ","")&amp;"Poissons","")&amp;IF(I22="X",IF(COUNTIF($E22:$H22,"X")&gt;0,", ","")&amp;"Arachides","")&amp;IF(J22="X",IF(COUNTIF($E22:$I22,"X")&gt;0,", ","")&amp;"Soja","")&amp;IF(K22="X",IF(COUNTIF($E22:$J22,"X")&gt;0,", ","")&amp;"Lait","")&amp;IF(L22="X",IF(COUNTIF($E22:$K22,"X")&gt;0,", ","")&amp;"Fruits à coque","")&amp;IF(M22="X",IF(COUNTIF($E22:$L22,"X")&gt;0,", ","")&amp;"Céleri","")&amp;IF(N22="X",IF(COUNTIF($E22:$M22,"X")&gt;0,", ","")&amp;"Moutarde","")&amp;IF(O22="X",IF(COUNTIF($E22:$N22,"X")&gt;0,", ","")&amp;"Sésame","")&amp;IF(P22="X",IF(COUNTIF($E22:$O22,"X")&gt;0,", ","")&amp;"Sulfites","")&amp;IF(Q22="X",IF(COUNTIF($E22:$P22,"X")&gt;0,", ","")&amp;"Lupin","")&amp;IF(R22="X",IF(COUNTIF($E22:$Q22,"X")&gt;0,", ","")&amp;"Mollusques","")),"")</f>
        <v>Lait</v>
      </c>
      <c r="E22" s="1416" t="str">
        <f>IF(22=22,IF($B22="","",AF22),"")</f>
        <v/>
      </c>
      <c r="F22" s="1416" t="str">
        <f>IF(22=22,IF($B22="","",AI22),"")</f>
        <v/>
      </c>
      <c r="G22" s="1416" t="str">
        <f>IF(22=22,IF($B22="","",AM22),"")</f>
        <v/>
      </c>
      <c r="H22" s="1416" t="str">
        <f>IF(22=22,IF($B22="","",IF(ISNUMBER(SEARCH(" colin ",$AA22)),"X",AZ22)),"")</f>
        <v/>
      </c>
      <c r="I22" s="1416" t="str">
        <f>IF(22=22,IF($B22="","",BB22),"")</f>
        <v/>
      </c>
      <c r="J22" s="1416" t="str">
        <f>IF(22=22,IF($B22="","",BF22),"")</f>
        <v/>
      </c>
      <c r="K22" s="1416" t="str">
        <f>IF(22=22,IF($B22="","",BM22),"")</f>
        <v>X</v>
      </c>
      <c r="L22" s="1416" t="str">
        <f>IF(22=22,IF($B22="","",BQ22),"")</f>
        <v/>
      </c>
      <c r="M22" s="1416" t="str">
        <f>IF(22=22,IF($B22="","",BT22),"")</f>
        <v/>
      </c>
      <c r="N22" s="1416" t="str">
        <f>IF(22=22,IF($B22="","",BW22),"")</f>
        <v/>
      </c>
      <c r="O22" s="1416" t="str">
        <f>IF(22=22,IF($B22="","",BZ22),"")</f>
        <v/>
      </c>
      <c r="P22" s="1416" t="str">
        <f>IF(22=22,IF($B22="","",CC22),"")</f>
        <v/>
      </c>
      <c r="Q22" s="1416" t="str">
        <f>IF(22=22,IF($B22="","",CF22),"")</f>
        <v/>
      </c>
      <c r="R22" s="1416" t="str">
        <f>IF(22=22,IF($B22="","",CL22),"")</f>
        <v/>
      </c>
      <c r="S22" s="1417" t="str">
        <f>IF(22=22,IF($B22="","",IF(E22="?",""&amp;"Céréales contenant du gluten","")&amp;IF(F22="?",IF(COUNTIF($E22:$E22,"~?")&gt;0,", ","")&amp;"Crustacés","")&amp;IF(G22="?",IF(COUNTIF($E22:$F22,"~?")&gt;0,", ","")&amp;"Œufs","")&amp;IF(H22="?",IF(COUNTIF($E22:$G22,"~?")&gt;0,", ","")&amp;"Poissons","")&amp;IF(I22="?",IF(COUNTIF($E22:$H22,"~?")&gt;0,", ","")&amp;"Arachides","")&amp;IF(J22="?",IF(COUNTIF($E22:$I22,"~?")&gt;0,", ","")&amp;"Soja","")&amp;IF(K22="?",IF(COUNTIF($E22:$J22,"~?")&gt;0,", ","")&amp;"Lait","")&amp;IF(L22="?",IF(COUNTIF($E22:$K22,"~?")&gt;0,", ","")&amp;"Fruits à coque","")&amp;IF(M22="?",IF(COUNTIF($E22:$L22,"~?")&gt;0,", ","")&amp;"Céleri","")&amp;IF(N22="?",IF(COUNTIF($E22:$M22,"~?")&gt;0,", ","")&amp;"Moutarde","")&amp;IF(O22="?",IF(COUNTIF($E22:$N22,"~?")&gt;0,", ","")&amp;"Sésame","")&amp;IF(P22="?",IF(COUNTIF($E22:$O22,"~?")&gt;0,", ","")&amp;"Sulfites","")&amp;IF(Q22="?",IF(COUNTIF($E22:$P22,"~?")&gt;0,", ","")&amp;"Lupin","")&amp;IF(R22="?",IF(COUNTIF($E22:$Q22,"~?")&gt;0,", ","")&amp;"Mollusques","")),"")</f>
        <v/>
      </c>
      <c r="U22" s="1368" t="str">
        <f>IF(22=22,IF($B22="","",$B22),"")</f>
        <v>Crème fraîche double</v>
      </c>
      <c r="V22" s="1368" t="str">
        <f>IF(22=22,LOWER(CLEAN(SUBSTITUTE(SUBSTITUTE(SUBSTITUTE(SUBSTITUTE($U22,CHAR(160)," ")," "," "),CHAR(10)," "),CHAR(13)," "))),"")</f>
        <v>crème fraîche double</v>
      </c>
      <c r="W22" s="1368" t="str">
        <f>IF(22=22,SUBSTITUTE(SUBSTITUTE(SUBSTITUTE(SUBSTITUTE(SUBSTITUTE(SUBSTITUTE(SUBSTITUTE(SUBSTITUTE(SUBSTITUTE(SUBSTITUTE(SUBSTITUTE(SUBSTITUTE($V22,"œ","oe"),"æ","ae"),"à","a"),"á","a"),"â","a"),"ä","a"),"ã","a"),"ç","c"),"è","e"),"é","e"),"ê","e"),"ë","e"),"")</f>
        <v>creme fraîche double</v>
      </c>
      <c r="X22" s="1368" t="str">
        <f>IF(22=22,SUBSTITUTE(SUBSTITUTE(SUBSTITUTE(SUBSTITUTE(SUBSTITUTE(SUBSTITUTE(SUBSTITUTE(SUBSTITUTE(SUBSTITUTE(SUBSTITUTE(SUBSTITUTE(SUBSTITUTE(SUBSTITUTE(SUBSTITUTE(SUBSTITUTE(SUBSTITUTE($W22,"ì","i"),"í","i"),"î","i"),"ï","i"),"ñ","n"),"ò","o"),"ó","o"),"ô","o"),"ö","o"),"õ","o"),"ù","u"),"ú","u"),"û","u"),"ü","u"),"ý","y"),"ÿ","y"),"")</f>
        <v>creme fraiche double</v>
      </c>
      <c r="Y22" s="1368" t="str">
        <f>IF(22=22,SUBSTITUTE(SUBSTITUTE(SUBSTITUTE(SUBSTITUTE(SUBSTITUTE(SUBSTITUTE(SUBSTITUTE(SUBSTITUTE(SUBSTITUTE(SUBSTITUTE(SUBSTITUTE(SUBSTITUTE(SUBSTITUTE(SUBSTITUTE($X22,"’"," "),"`"," "),"–"," "),"—"," "),"-"," "),"'"," "),"/"," "),"_"," "),","," "),"."," "),"("," "),")"," "),";"," "),":"," "),"")</f>
        <v>creme fraiche double</v>
      </c>
      <c r="Z22" s="1368" t="str">
        <f>IF(22=22,SUBSTITUTE(SUBSTITUTE(SUBSTITUTE(SUBSTITUTE(SUBSTITUTE(SUBSTITUTE(SUBSTITUTE(SUBSTITUTE(SUBSTITUTE(SUBSTITUTE(SUBSTITUTE(SUBSTITUTE(SUBSTITUTE(SUBSTITUTE(SUBSTITUTE($Y22,"!"," "),"?"," "),"+"," "),"*"," "),"&amp;"," "),"["," "),"]"," "),"{"," "),"}"," "),"%"," "),"="," "),"\"," "),"|"," "),"&lt;"," "),"&gt;"," "),"")</f>
        <v>creme fraiche double</v>
      </c>
      <c r="AA22" s="1368" t="str">
        <f>IF(22=22," "&amp;TRIM(SUBSTITUTE(SUBSTITUTE(SUBSTITUTE(SUBSTITUTE(SUBSTITUTE(SUBSTITUTE($Z22,CHAR(34)," "),"  "," "),"  "," "),"  "," "),"  "," "),"  "," "))&amp;" ","")</f>
        <v xml:space="preserve"> creme fraiche double </v>
      </c>
      <c r="AB22" s="1368">
        <f>IF(22=22,IF($U22="","",SUMPRODUCT(--ISNUMBER(SEARCH(" "&amp;$CR$2:$CR$101&amp;" ",$AD22)))),"")</f>
        <v>0</v>
      </c>
      <c r="AC22" s="1368">
        <f>IF(22=22,IF($U22="","",SUMPRODUCT(--ISNUMBER(SEARCH(" "&amp;$CR$102:$CR$151&amp;" ",$AD22)))),"")</f>
        <v>0</v>
      </c>
      <c r="AD22" s="1368" t="str">
        <f t="shared" si="1"/>
        <v xml:space="preserve"> creme fraiche double </v>
      </c>
      <c r="AE22" s="1368">
        <f t="shared" si="2"/>
        <v>0</v>
      </c>
      <c r="AF22" s="1368" t="str">
        <f>IF(22=22,IF($U22="","",IF(SUM(AB22:AC22)+SUMPRODUCT(--ISNUMBER(SEARCH(" "&amp;$CR$2418:$CR$2420&amp;" ",$AD22)))&gt;0,"X",IF(AE22&gt;0,"?",""))),"")</f>
        <v/>
      </c>
      <c r="AG22" s="1368">
        <f>IF(22=22,IF($U22="","",SUMPRODUCT(--ISNUMBER(SEARCH(" "&amp;$CR$206:$CR$305&amp;" ",$AA22)))),"")</f>
        <v>0</v>
      </c>
      <c r="AH22" s="1368">
        <f>IF(22=22,IF($U22="","",SUMPRODUCT(--ISNUMBER(SEARCH(" "&amp;$CR$306:$CR$340&amp;" ",$AA22)))),"")</f>
        <v>0</v>
      </c>
      <c r="AI22" s="1368" t="str">
        <f>IF(22=22,IF($U22="","",IF((SUM(AG22:AH22))-(0)&gt;0,"X",IF((0)-(0)&gt;0,"?",""))),"")</f>
        <v/>
      </c>
      <c r="AJ22" s="1368">
        <f>IF(22=22,IF($U22="","",SUMPRODUCT(--ISNUMBER(SEARCH(" "&amp;$CR$341:$CR$398&amp;" ",$AA22)))),"")</f>
        <v>0</v>
      </c>
      <c r="AK22" s="1368">
        <f>IF(22=22,IF($U22="","",SUMPRODUCT(--ISNUMBER(SEARCH(" "&amp;$CR$399:$CR$426&amp;" ",$AL22)))+SUMPRODUCT(--ISNUMBER(SEARCH(" "&amp;$CR$2440:$CR$2453&amp;" ",$AL22)))),"")</f>
        <v>0</v>
      </c>
      <c r="AL22" s="1368" t="str">
        <f>IF(22=22,IF($U22="","",SUBSTITUTE(SUBSTITUTE(SUBSTITUTE(SUBSTITUTE(SUBSTITUTE(SUBSTITUTE(SUBSTITUTE(SUBSTITUTE(SUBSTITUTE(SUBSTITUTE(SUBSTITUTE(SUBSTITUTE(SUBSTITUTE(SUBSTITUTE($AA22," "&amp;$CR$2455&amp;" "," ")," "&amp;$CR$433&amp;" "," ")," "&amp;$CR$431&amp;" "," ")," "&amp;$CR$2438&amp;" "," ")," "&amp;$CR$2439&amp;" "," ")," "&amp;$CR$428&amp;" "," ")," "&amp;$CR$432&amp;" "," ")," "&amp;$CR$434&amp;" "," ")," "&amp;$CR$429&amp;" "," ")," "&amp;$CR$427&amp;" "," ")," "&amp;$CR$1367&amp;" "," ")," "&amp;$CR$435&amp;" "," ")," "&amp;$CR$1366&amp;" "," ")," "&amp;$CR$430&amp;" "," ")),"")</f>
        <v xml:space="preserve"> creme fraiche double </v>
      </c>
      <c r="AM22" s="1368" t="str">
        <f>IF(22=22,IF($U22="","",IF(AJ22&gt;0,"X",IF(AK22&gt;0,"?",""))),"")</f>
        <v/>
      </c>
      <c r="AN22" s="1368">
        <f>IF(22=22,IF($U22="","",SUMPRODUCT(--ISNUMBER(SEARCH(" "&amp;$CR$436:$CR$535&amp;" ",$AX22)))),"")</f>
        <v>0</v>
      </c>
      <c r="AO22" s="1368">
        <f>IF(22=22,IF($U22="","",SUMPRODUCT(--ISNUMBER(SEARCH(" "&amp;$CR$536:$CR$635&amp;" ",$AX22)))),"")</f>
        <v>0</v>
      </c>
      <c r="AP22" s="1368">
        <f>IF(22=22,IF($U22="","",SUMPRODUCT(--ISNUMBER(SEARCH(" "&amp;$CR$636:$CR$735&amp;" ",$AX22)))),"")</f>
        <v>0</v>
      </c>
      <c r="AQ22" s="1368">
        <f>IF(22=22,IF($U22="","",SUMPRODUCT(--ISNUMBER(SEARCH(" "&amp;$CR$736:$CR$835&amp;" ",$AX22)))),"")</f>
        <v>0</v>
      </c>
      <c r="AR22" s="1368">
        <f>IF(22=22,IF($U22="","",SUMPRODUCT(--ISNUMBER(SEARCH(" "&amp;$CR$836:$CR$935&amp;" ",$AX22)))),"")</f>
        <v>0</v>
      </c>
      <c r="AS22" s="1368">
        <f>IF(22=22,IF($U22="","",SUMPRODUCT(--ISNUMBER(SEARCH(" "&amp;$CR$936:$CR$1035&amp;" ",$AX22)))),"")</f>
        <v>0</v>
      </c>
      <c r="AT22" s="1368">
        <f>IF(22=22,IF($U22="","",SUMPRODUCT(--ISNUMBER(SEARCH(" "&amp;$CR$1036:$CR$1135&amp;" ",$AX22)))),"")</f>
        <v>0</v>
      </c>
      <c r="AU22" s="1368">
        <f>IF(22=22,IF($U22="","",SUMPRODUCT(--ISNUMBER(SEARCH(" "&amp;$CR$1136:$CR$1235&amp;" ",$AX22)))),"")</f>
        <v>0</v>
      </c>
      <c r="AV22" s="1368">
        <f>IF(22=22,IF($U22="","",SUMPRODUCT(--ISNUMBER(SEARCH(" "&amp;$CR$1236:$CR$1335&amp;" ",$AX22)))),"")</f>
        <v>0</v>
      </c>
      <c r="AW22" s="1368">
        <f>IF(22=22,IF($U22="","",SUMPRODUCT(--ISNUMBER(SEARCH(" "&amp;$CR$1336:$CR$1363&amp;" ",$AX22)))),"")</f>
        <v>0</v>
      </c>
      <c r="AX22" s="1368" t="str">
        <f>IF(22=22,IF($U22="","",SUBSTITUTE(SUBSTITUTE(SUBSTITUTE(SUBSTITUTE(SUBSTITUTE(SUBSTITUTE(SUBSTITUTE(SUBSTITUTE(SUBSTITUTE($AA22," "&amp;$CR$1365&amp;" "," ")," "&amp;$CR$1364&amp;" "," ")," "&amp;$CR$1370&amp;" "," ")," "&amp;$CR$1371&amp;" "," ")," "&amp;$CR$1367&amp;" "," ")," "&amp;$CR$1369&amp;" "," ")," "&amp;$CR$1366&amp;" "," ")," "&amp;$CR$1368&amp;" "," ")," "&amp;$CR$1372&amp;" "," ")),"")</f>
        <v xml:space="preserve"> creme fraiche double </v>
      </c>
      <c r="AY22" s="1368">
        <f>IF(22=22,IF($U22="","",SUMPRODUCT(--ISNUMBER(SEARCH(" "&amp;$CR$1373:$CR$1383&amp;" ",$AX22)))),"")</f>
        <v>0</v>
      </c>
      <c r="AZ22" s="1368" t="str">
        <f>IF(22=22,IF($U22="","",IF(SUM(AN22:AW22)+SUMPRODUCT(--ISNUMBER(SEARCH(" "&amp;$CR$2421:$CR$2422&amp;" ",$AX22)))&gt;0,"X",IF(AY22&gt;0,"?",""))),"")</f>
        <v/>
      </c>
      <c r="BA22" s="1368">
        <f>IF(22=22,IF($U22="","",SUMPRODUCT(--ISNUMBER(SEARCH(" "&amp;$CR$1384:$CR$1404&amp;" ",$AA22)))),"")</f>
        <v>0</v>
      </c>
      <c r="BB22" s="1368" t="str">
        <f>IF(22=22,IF($U22="","",IF((BA22)-(0)&gt;0,"X",IF((0)-(0)&gt;0,"?",""))),"")</f>
        <v/>
      </c>
      <c r="BC22" s="1368">
        <f>IF(22=22,IF($U22="","",SUMPRODUCT(--ISNUMBER(SEARCH(" "&amp;$CR$1405:$CR$1442&amp;" ",$BD22)))),"")</f>
        <v>0</v>
      </c>
      <c r="BD22" s="1368" t="str">
        <f>IF(22=22,IF($U22="","",SUBSTITUTE(SUBSTITUTE($AA22," "&amp;$CR$1443&amp;" "," ")," "&amp;$CR$1444&amp;" "," ")),"")</f>
        <v xml:space="preserve"> creme fraiche double </v>
      </c>
      <c r="BE22" s="1368">
        <f>IF(22=22,IF($U22="","",SUMPRODUCT(--ISNUMBER(SEARCH(" "&amp;$CR$1445:$CR$1455&amp;" ",$BD22)))),"")</f>
        <v>0</v>
      </c>
      <c r="BF22" s="1368" t="str">
        <f>IF(22=22,IF($U22="","",IF(BC22&gt;0,"X",IF(BE22&gt;0,"?",""))),"")</f>
        <v/>
      </c>
      <c r="BG22" s="1368">
        <f>IF(22=22,IF($U22="","",SUMPRODUCT(--ISNUMBER(SEARCH(" "&amp;$CR$1456:$CR$1555&amp;" ",$BJ22)))),"")</f>
        <v>2</v>
      </c>
      <c r="BH22" s="1368">
        <f>IF(22=22,IF($U22="","",SUMPRODUCT(--ISNUMBER(SEARCH(" "&amp;$CR$1556:$CR$1655&amp;" ",$BJ22)))),"")</f>
        <v>0</v>
      </c>
      <c r="BI22" s="1368">
        <f>IF(22=22,IF($U22="","",SUMPRODUCT(--ISNUMBER(SEARCH(" "&amp;$CR$1656:$CR$1739&amp;" ",$BJ22)))),"")</f>
        <v>0</v>
      </c>
      <c r="BJ22" s="1368" t="str">
        <f>IF(22=22,IF($U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creme fraiche double </v>
      </c>
      <c r="BK22" s="1368">
        <f>IF(22=22,IF($U22="","",SUMPRODUCT(--ISNUMBER(SEARCH(" "&amp;$CR$1790:$CR$1869&amp;" ",$BL22)))+SUMPRODUCT(--ISNUMBER(SEARCH(" "&amp;$CR$2440:$CR$2453&amp;" ",$BL22)))),"")</f>
        <v>0</v>
      </c>
      <c r="BL22" s="1368" t="str">
        <f>IF(22=22,IF($U22="","",SUBSTITUTE(SUBSTITUTE(SUBSTITUTE(SUBSTITUTE(SUBSTITUTE(SUBSTITUTE(SUBSTITUTE(SUBSTITUTE(SUBSTITUTE(SUBSTITUTE(SUBSTITUTE(SUBSTITUTE(SUBSTITUTE($BJ22," "&amp;$CR$1876&amp;" "," ")," "&amp;$CR$1874&amp;" "," ")," "&amp;$CR$2438&amp;" "," ")," "&amp;$CR$2439&amp;" "," ")," "&amp;$CR$1871&amp;" "," ")," "&amp;$CR$1875&amp;" "," ")," "&amp;$CR$1877&amp;" "," ")," "&amp;$CR$1872&amp;" "," ")," "&amp;$CR$1870&amp;" "," ")," "&amp;$CR$1367&amp;" "," ")," "&amp;$CR$1878&amp;" "," ")," "&amp;$CR$1366&amp;" "," ")," "&amp;$CR$1873&amp;" "," ")),"")</f>
        <v xml:space="preserve"> creme fraiche double </v>
      </c>
      <c r="BM22" s="1368" t="str">
        <f>IF(22=22,IF($U22="","",IF(SUM(BG22:BI22)+SUMPRODUCT(--ISNUMBER(SEARCH(" "&amp;$CR$2423:$CR$2424&amp;" ",$BJ22)))&gt;0,"X",IF(BK22&gt;0,"?",""))),"")</f>
        <v>X</v>
      </c>
      <c r="BN22" s="1368">
        <f>IF(22=22,IF($U22="","",SUMPRODUCT(--ISNUMBER(SEARCH(" "&amp;$CR$1879:$CR$1936&amp;" ",$BO22)))),"")</f>
        <v>0</v>
      </c>
      <c r="BO22" s="1368" t="str">
        <f>IF(22=22,IF($U22="","",SUBSTITUTE(SUBSTITUTE(SUBSTITUTE(SUBSTITUTE(SUBSTITUTE(SUBSTITUTE(SUBSTITUTE(SUBSTITUTE(SUBSTITUTE(SUBSTITUTE(SUBSTITUTE(SUBSTITUTE(SUBSTITUTE(SUBSTITUTE(SUBSTITUTE(SUBSTITUTE(SUBSTITUTE(SUBSTITUTE(SUBSTITUTE(SUBSTITUTE(SUBSTITUTE(SUBSTITUTE(SUBSTITUTE($AA22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creme fraiche double </v>
      </c>
      <c r="BP22" s="1368">
        <f>IF(22=22,IF($U22="","",SUMPRODUCT(--ISNUMBER(SEARCH(" "&amp;$CR$1960:$CR$1976&amp;" ",$BO22)))),"")</f>
        <v>0</v>
      </c>
      <c r="BQ22" s="1368" t="str">
        <f>IF(22=22,IF($U22="","",IF(BN22&gt;0,"X",IF(BP22&gt;0,"?",""))),"")</f>
        <v/>
      </c>
      <c r="BR22" s="1368">
        <f>IF(22=22,IF($U22="","",SUMPRODUCT(--ISNUMBER(SEARCH(" "&amp;$CR$1977:$CR$1990&amp;" ",$AA22)))),"")</f>
        <v>0</v>
      </c>
      <c r="BS22" s="1368">
        <f>IF(22=22,IF($U22="","",SUMPRODUCT(--ISNUMBER(SEARCH(" "&amp;$CR$1991:$CR$2005&amp;" ",$AA22)))),"")</f>
        <v>0</v>
      </c>
      <c r="BT22" s="1368" t="str">
        <f>IF(22=22,IF($U22="","",IF((BR22)-(0)&gt;0,"X",IF((BS22)-(0)&gt;0,"?",""))),"")</f>
        <v/>
      </c>
      <c r="BU22" s="1368">
        <f>IF(22=22,IF($U22="","",SUMPRODUCT(--ISNUMBER(SEARCH(" "&amp;$CR$2006:$CR$2023&amp;" ",$AA22)))),"")</f>
        <v>0</v>
      </c>
      <c r="BV22" s="1368">
        <f>IF(22=22,IF($U22="","",SUMPRODUCT(--ISNUMBER(SEARCH(" "&amp;$CR$2024:$CR$2038&amp;" ",$AA22)))),"")</f>
        <v>0</v>
      </c>
      <c r="BW22" s="1368" t="str">
        <f>IF(22=22,IF($U22="","",IF((BU22)-(0)&gt;0,"X",IF((BV22)-(0)&gt;0,"?",""))),"")</f>
        <v/>
      </c>
      <c r="BX22" s="1368">
        <f>IF(22=22,IF($U22="","",SUMPRODUCT(--ISNUMBER(SEARCH(" "&amp;$CR$2039:$CR$2057&amp;" ",$AA22)))),"")</f>
        <v>0</v>
      </c>
      <c r="BY22" s="1368">
        <f>IF(22=22,IF($U22="","",SUMPRODUCT(--ISNUMBER(SEARCH(" "&amp;$CR$2058:$CR$2072&amp;" ",$AA22)))),"")</f>
        <v>0</v>
      </c>
      <c r="BZ22" s="1368" t="str">
        <f>IF(22=22,IF($U22="","",IF((BX22)-(0)&gt;0,"X",IF((BY22)-(0)&gt;0,"?",""))),"")</f>
        <v/>
      </c>
      <c r="CA22" s="1368">
        <f>IF(22=22,IF($U22="","",SUMPRODUCT(--ISNUMBER(SEARCH(" "&amp;$CR$2073:$CR$2093&amp;" ",$AA22)))),"")</f>
        <v>0</v>
      </c>
      <c r="CB22" s="1368">
        <f>IF(22=22,IF($U22="","",SUMPRODUCT(--ISNUMBER(SEARCH(" "&amp;$CR$2094:$CR$2133&amp;" ",SUBSTITUTE(SUBSTITUTE($AA22," "&amp;$CR$1367&amp;" "," ")," "&amp;$CR$1366&amp;" "," "))))+--ISNUMBER(SEARCH("poiré",$V22))),"")</f>
        <v>0</v>
      </c>
      <c r="CC22" s="1368" t="str">
        <f>IF(22=22,IF($U22="","",IF(OR(CA22&gt;0,ISNUMBER(SEARCH(" vinaigre de vin ",$AA22)),ISNUMBER(SEARCH(" vinaigre au vin ",$AA22))),"X",IF(CB22&gt;0,"?",""))),"")</f>
        <v/>
      </c>
      <c r="CD22" s="1368">
        <f>IF(22=22,IF($U22="","",SUMPRODUCT(--ISNUMBER(SEARCH(" "&amp;$CR$2134:$CR$2146&amp;" ",$AA22)))),"")</f>
        <v>0</v>
      </c>
      <c r="CE22" s="1368">
        <f>IF(22=22,IF($U22="","",SUMPRODUCT(--ISNUMBER(SEARCH(" "&amp;$CR$2147:$CR$2152&amp;" ",$AA22)))),"")</f>
        <v>0</v>
      </c>
      <c r="CF22" s="1368" t="str">
        <f>IF(22=22,IF($U22="","",IF((CD22)-(0)&gt;0,"X",IF((CE22)-(0)&gt;0,"?",""))),"")</f>
        <v/>
      </c>
      <c r="CG22" s="1368">
        <f>IF(22=22,IF($U22="","",SUMPRODUCT(--ISNUMBER(SEARCH(" "&amp;$CR$2153:$CR$2252&amp;" ",$CJ22)))),"")</f>
        <v>0</v>
      </c>
      <c r="CH22" s="1368">
        <f>IF(22=22,IF($U22="","",SUMPRODUCT(--ISNUMBER(SEARCH(" "&amp;$CR$2253:$CR$2352&amp;" ",$CJ22)))),"")</f>
        <v>0</v>
      </c>
      <c r="CI22" s="1368">
        <f>IF(22=22,IF($U22="","",SUMPRODUCT(--ISNUMBER(SEARCH(" "&amp;$CR$2353:$CR$2395&amp;" ",$CJ22)))),"")</f>
        <v>0</v>
      </c>
      <c r="CJ22" s="1368" t="str">
        <f>IF(22=22,IF($U22="","",SUBSTITUTE(SUBSTITUTE(SUBSTITUTE(SUBSTITUTE(SUBSTITUTE(SUBSTITUTE(SUBSTITUTE(SUBSTITUTE(SUBSTITUTE(SUBSTITUTE(SUBSTITUTE(SUBSTITUTE(SUBSTITUTE(SUBSTITUTE(SUBSTITUTE(SUBSTITUTE($AA22," "&amp;$CR$2401&amp;" "," ")," "&amp;$CR$2400&amp;" "," ")," "&amp;$CR$2399&amp;" "," ")," "&amp;$CR$2406&amp;" "," ")," "&amp;$CR$2398&amp;" "," ")," "&amp;$CR$2410&amp;" "," ")," "&amp;$CR$2397&amp;" "," ")," "&amp;$CR$2402&amp;" "," ")," "&amp;$CR$2405&amp;" "," ")," "&amp;$CR$2396&amp;" "," ")," "&amp;$CR$2404&amp;" "," ")," "&amp;$CR$2411&amp;" "," ")," "&amp;$CR$2408&amp;" "," ")," "&amp;$CR$2403&amp;" "," ")," "&amp;$CR$2407&amp;" "," ")," "&amp;$CR$2409&amp;" "," ")),"")</f>
        <v xml:space="preserve"> creme fraiche double </v>
      </c>
      <c r="CK22" s="1368">
        <f>IF(22=22,IF($U22="","",SUMPRODUCT(--ISNUMBER(SEARCH(" "&amp;$CR$2412:$CR$2416&amp;" ",$CJ22)))),"")</f>
        <v>0</v>
      </c>
      <c r="CL22" s="1368" t="str">
        <f>IF(22=22,IF($U22="","",IF(SUM(CG22:CI22)&gt;0,"X",IF(CK22&gt;0,"?",""))),"")</f>
        <v/>
      </c>
      <c r="CM22" s="1377"/>
      <c r="CN22" s="1388" t="s">
        <v>8246</v>
      </c>
      <c r="CO22" s="1388" t="s">
        <v>8105</v>
      </c>
      <c r="CP22" s="1388" t="s">
        <v>8106</v>
      </c>
      <c r="CQ22" s="1388" t="s">
        <v>8247</v>
      </c>
      <c r="CR22" s="1388" t="s">
        <v>8247</v>
      </c>
      <c r="CS22" s="1388" t="s">
        <v>8108</v>
      </c>
      <c r="CT22" s="1388" t="s">
        <v>8109</v>
      </c>
      <c r="CU22" s="1388" t="s">
        <v>8110</v>
      </c>
      <c r="CV22" s="1389" t="s">
        <v>8111</v>
      </c>
      <c r="CX22" s="1379">
        <v>1</v>
      </c>
    </row>
    <row r="23" spans="1:102" ht="21" customHeight="1" x14ac:dyDescent="0.25">
      <c r="A23" s="1412">
        <v>17</v>
      </c>
      <c r="B23" s="1413" t="s">
        <v>8248</v>
      </c>
      <c r="C23" s="1414" t="str">
        <f t="shared" si="0"/>
        <v>Crevettes décortiquées *</v>
      </c>
      <c r="D23" s="1415" t="str">
        <f>IF(23=23,IF($B23="","",IF(E23="X",""&amp;"Céréales contenant du gluten","")&amp;IF(F23="X",IF(COUNTIF($E23:$E23,"X")&gt;0,", ","")&amp;"Crustacés","")&amp;IF(G23="X",IF(COUNTIF($E23:$F23,"X")&gt;0,", ","")&amp;"Œufs","")&amp;IF(H23="X",IF(COUNTIF($E23:$G23,"X")&gt;0,", ","")&amp;"Poissons","")&amp;IF(I23="X",IF(COUNTIF($E23:$H23,"X")&gt;0,", ","")&amp;"Arachides","")&amp;IF(J23="X",IF(COUNTIF($E23:$I23,"X")&gt;0,", ","")&amp;"Soja","")&amp;IF(K23="X",IF(COUNTIF($E23:$J23,"X")&gt;0,", ","")&amp;"Lait","")&amp;IF(L23="X",IF(COUNTIF($E23:$K23,"X")&gt;0,", ","")&amp;"Fruits à coque","")&amp;IF(M23="X",IF(COUNTIF($E23:$L23,"X")&gt;0,", ","")&amp;"Céleri","")&amp;IF(N23="X",IF(COUNTIF($E23:$M23,"X")&gt;0,", ","")&amp;"Moutarde","")&amp;IF(O23="X",IF(COUNTIF($E23:$N23,"X")&gt;0,", ","")&amp;"Sésame","")&amp;IF(P23="X",IF(COUNTIF($E23:$O23,"X")&gt;0,", ","")&amp;"Sulfites","")&amp;IF(Q23="X",IF(COUNTIF($E23:$P23,"X")&gt;0,", ","")&amp;"Lupin","")&amp;IF(R23="X",IF(COUNTIF($E23:$Q23,"X")&gt;0,", ","")&amp;"Mollusques","")),"")</f>
        <v>Crustacés</v>
      </c>
      <c r="E23" s="1416" t="str">
        <f>IF(23=23,IF($B23="","",AF23),"")</f>
        <v/>
      </c>
      <c r="F23" s="1416" t="str">
        <f>IF(23=23,IF($B23="","",AI23),"")</f>
        <v>X</v>
      </c>
      <c r="G23" s="1416" t="str">
        <f>IF(23=23,IF($B23="","",AM23),"")</f>
        <v/>
      </c>
      <c r="H23" s="1416" t="str">
        <f>IF(23=23,IF($B23="","",IF(ISNUMBER(SEARCH(" colin ",$AA23)),"X",AZ23)),"")</f>
        <v/>
      </c>
      <c r="I23" s="1416" t="str">
        <f>IF(23=23,IF($B23="","",BB23),"")</f>
        <v/>
      </c>
      <c r="J23" s="1416" t="str">
        <f>IF(23=23,IF($B23="","",BF23),"")</f>
        <v/>
      </c>
      <c r="K23" s="1416" t="str">
        <f>IF(23=23,IF($B23="","",BM23),"")</f>
        <v/>
      </c>
      <c r="L23" s="1416" t="str">
        <f>IF(23=23,IF($B23="","",BQ23),"")</f>
        <v/>
      </c>
      <c r="M23" s="1416" t="str">
        <f>IF(23=23,IF($B23="","",BT23),"")</f>
        <v/>
      </c>
      <c r="N23" s="1416" t="str">
        <f>IF(23=23,IF($B23="","",BW23),"")</f>
        <v/>
      </c>
      <c r="O23" s="1416" t="str">
        <f>IF(23=23,IF($B23="","",BZ23),"")</f>
        <v/>
      </c>
      <c r="P23" s="1416" t="str">
        <f>IF(23=23,IF($B23="","",CC23),"")</f>
        <v/>
      </c>
      <c r="Q23" s="1416" t="str">
        <f>IF(23=23,IF($B23="","",CF23),"")</f>
        <v/>
      </c>
      <c r="R23" s="1416" t="str">
        <f>IF(23=23,IF($B23="","",CL23),"")</f>
        <v/>
      </c>
      <c r="S23" s="1417" t="str">
        <f>IF(23=23,IF($B23="","",IF(E23="?",""&amp;"Céréales contenant du gluten","")&amp;IF(F23="?",IF(COUNTIF($E23:$E23,"~?")&gt;0,", ","")&amp;"Crustacés","")&amp;IF(G23="?",IF(COUNTIF($E23:$F23,"~?")&gt;0,", ","")&amp;"Œufs","")&amp;IF(H23="?",IF(COUNTIF($E23:$G23,"~?")&gt;0,", ","")&amp;"Poissons","")&amp;IF(I23="?",IF(COUNTIF($E23:$H23,"~?")&gt;0,", ","")&amp;"Arachides","")&amp;IF(J23="?",IF(COUNTIF($E23:$I23,"~?")&gt;0,", ","")&amp;"Soja","")&amp;IF(K23="?",IF(COUNTIF($E23:$J23,"~?")&gt;0,", ","")&amp;"Lait","")&amp;IF(L23="?",IF(COUNTIF($E23:$K23,"~?")&gt;0,", ","")&amp;"Fruits à coque","")&amp;IF(M23="?",IF(COUNTIF($E23:$L23,"~?")&gt;0,", ","")&amp;"Céleri","")&amp;IF(N23="?",IF(COUNTIF($E23:$M23,"~?")&gt;0,", ","")&amp;"Moutarde","")&amp;IF(O23="?",IF(COUNTIF($E23:$N23,"~?")&gt;0,", ","")&amp;"Sésame","")&amp;IF(P23="?",IF(COUNTIF($E23:$O23,"~?")&gt;0,", ","")&amp;"Sulfites","")&amp;IF(Q23="?",IF(COUNTIF($E23:$P23,"~?")&gt;0,", ","")&amp;"Lupin","")&amp;IF(R23="?",IF(COUNTIF($E23:$Q23,"~?")&gt;0,", ","")&amp;"Mollusques","")),"")</f>
        <v/>
      </c>
      <c r="U23" s="1368" t="str">
        <f>IF(23=23,IF($B23="","",$B23),"")</f>
        <v xml:space="preserve">Crevettes décortiquées </v>
      </c>
      <c r="V23" s="1368" t="str">
        <f>IF(23=23,LOWER(CLEAN(SUBSTITUTE(SUBSTITUTE(SUBSTITUTE(SUBSTITUTE($U23,CHAR(160)," ")," "," "),CHAR(10)," "),CHAR(13)," "))),"")</f>
        <v xml:space="preserve">crevettes décortiquées </v>
      </c>
      <c r="W23" s="1368" t="str">
        <f>IF(23=23,SUBSTITUTE(SUBSTITUTE(SUBSTITUTE(SUBSTITUTE(SUBSTITUTE(SUBSTITUTE(SUBSTITUTE(SUBSTITUTE(SUBSTITUTE(SUBSTITUTE(SUBSTITUTE(SUBSTITUTE($V23,"œ","oe"),"æ","ae"),"à","a"),"á","a"),"â","a"),"ä","a"),"ã","a"),"ç","c"),"è","e"),"é","e"),"ê","e"),"ë","e"),"")</f>
        <v xml:space="preserve">crevettes decortiquees </v>
      </c>
      <c r="X23" s="1368" t="str">
        <f>IF(23=23,SUBSTITUTE(SUBSTITUTE(SUBSTITUTE(SUBSTITUTE(SUBSTITUTE(SUBSTITUTE(SUBSTITUTE(SUBSTITUTE(SUBSTITUTE(SUBSTITUTE(SUBSTITUTE(SUBSTITUTE(SUBSTITUTE(SUBSTITUTE(SUBSTITUTE(SUBSTITUTE($W23,"ì","i"),"í","i"),"î","i"),"ï","i"),"ñ","n"),"ò","o"),"ó","o"),"ô","o"),"ö","o"),"õ","o"),"ù","u"),"ú","u"),"û","u"),"ü","u"),"ý","y"),"ÿ","y"),"")</f>
        <v xml:space="preserve">crevettes decortiquees </v>
      </c>
      <c r="Y23" s="1368" t="str">
        <f>IF(23=23,SUBSTITUTE(SUBSTITUTE(SUBSTITUTE(SUBSTITUTE(SUBSTITUTE(SUBSTITUTE(SUBSTITUTE(SUBSTITUTE(SUBSTITUTE(SUBSTITUTE(SUBSTITUTE(SUBSTITUTE(SUBSTITUTE(SUBSTITUTE($X23,"’"," "),"`"," "),"–"," "),"—"," "),"-"," "),"'"," "),"/"," "),"_"," "),","," "),"."," "),"("," "),")"," "),";"," "),":"," "),"")</f>
        <v xml:space="preserve">crevettes decortiquees </v>
      </c>
      <c r="Z23" s="1368" t="str">
        <f>IF(23=23,SUBSTITUTE(SUBSTITUTE(SUBSTITUTE(SUBSTITUTE(SUBSTITUTE(SUBSTITUTE(SUBSTITUTE(SUBSTITUTE(SUBSTITUTE(SUBSTITUTE(SUBSTITUTE(SUBSTITUTE(SUBSTITUTE(SUBSTITUTE(SUBSTITUTE($Y23,"!"," "),"?"," "),"+"," "),"*"," "),"&amp;"," "),"["," "),"]"," "),"{"," "),"}"," "),"%"," "),"="," "),"\"," "),"|"," "),"&lt;"," "),"&gt;"," "),"")</f>
        <v xml:space="preserve">crevettes decortiquees </v>
      </c>
      <c r="AA23" s="1368" t="str">
        <f>IF(23=23," "&amp;TRIM(SUBSTITUTE(SUBSTITUTE(SUBSTITUTE(SUBSTITUTE(SUBSTITUTE(SUBSTITUTE($Z23,CHAR(34)," "),"  "," "),"  "," "),"  "," "),"  "," "),"  "," "))&amp;" ","")</f>
        <v xml:space="preserve"> crevettes decortiquees </v>
      </c>
      <c r="AB23" s="1368">
        <f>IF(23=23,IF($U23="","",SUMPRODUCT(--ISNUMBER(SEARCH(" "&amp;$CR$2:$CR$101&amp;" ",$AD23)))),"")</f>
        <v>0</v>
      </c>
      <c r="AC23" s="1368">
        <f>IF(23=23,IF($U23="","",SUMPRODUCT(--ISNUMBER(SEARCH(" "&amp;$CR$102:$CR$151&amp;" ",$AD23)))),"")</f>
        <v>0</v>
      </c>
      <c r="AD23" s="1368" t="str">
        <f t="shared" si="1"/>
        <v xml:space="preserve"> crevettes decortiquees </v>
      </c>
      <c r="AE23" s="1368">
        <f t="shared" si="2"/>
        <v>0</v>
      </c>
      <c r="AF23" s="1368" t="str">
        <f>IF(23=23,IF($U23="","",IF(SUM(AB23:AC23)+SUMPRODUCT(--ISNUMBER(SEARCH(" "&amp;$CR$2418:$CR$2420&amp;" ",$AD23)))&gt;0,"X",IF(AE23&gt;0,"?",""))),"")</f>
        <v/>
      </c>
      <c r="AG23" s="1368">
        <f>IF(23=23,IF($U23="","",SUMPRODUCT(--ISNUMBER(SEARCH(" "&amp;$CR$206:$CR$305&amp;" ",$AA23)))),"")</f>
        <v>1</v>
      </c>
      <c r="AH23" s="1368">
        <f>IF(23=23,IF($U23="","",SUMPRODUCT(--ISNUMBER(SEARCH(" "&amp;$CR$306:$CR$340&amp;" ",$AA23)))),"")</f>
        <v>0</v>
      </c>
      <c r="AI23" s="1368" t="str">
        <f>IF(23=23,IF($U23="","",IF((SUM(AG23:AH23))-(0)&gt;0,"X",IF((0)-(0)&gt;0,"?",""))),"")</f>
        <v>X</v>
      </c>
      <c r="AJ23" s="1368">
        <f>IF(23=23,IF($U23="","",SUMPRODUCT(--ISNUMBER(SEARCH(" "&amp;$CR$341:$CR$398&amp;" ",$AA23)))),"")</f>
        <v>0</v>
      </c>
      <c r="AK23" s="1368">
        <f>IF(23=23,IF($U23="","",SUMPRODUCT(--ISNUMBER(SEARCH(" "&amp;$CR$399:$CR$426&amp;" ",$AL23)))+SUMPRODUCT(--ISNUMBER(SEARCH(" "&amp;$CR$2440:$CR$2453&amp;" ",$AL23)))),"")</f>
        <v>0</v>
      </c>
      <c r="AL23" s="1368" t="str">
        <f>IF(23=23,IF($U23="","",SUBSTITUTE(SUBSTITUTE(SUBSTITUTE(SUBSTITUTE(SUBSTITUTE(SUBSTITUTE(SUBSTITUTE(SUBSTITUTE(SUBSTITUTE(SUBSTITUTE(SUBSTITUTE(SUBSTITUTE(SUBSTITUTE(SUBSTITUTE($AA23," "&amp;$CR$2455&amp;" "," ")," "&amp;$CR$433&amp;" "," ")," "&amp;$CR$431&amp;" "," ")," "&amp;$CR$2438&amp;" "," ")," "&amp;$CR$2439&amp;" "," ")," "&amp;$CR$428&amp;" "," ")," "&amp;$CR$432&amp;" "," ")," "&amp;$CR$434&amp;" "," ")," "&amp;$CR$429&amp;" "," ")," "&amp;$CR$427&amp;" "," ")," "&amp;$CR$1367&amp;" "," ")," "&amp;$CR$435&amp;" "," ")," "&amp;$CR$1366&amp;" "," ")," "&amp;$CR$430&amp;" "," ")),"")</f>
        <v xml:space="preserve"> crevettes decortiquees </v>
      </c>
      <c r="AM23" s="1368" t="str">
        <f>IF(23=23,IF($U23="","",IF(AJ23&gt;0,"X",IF(AK23&gt;0,"?",""))),"")</f>
        <v/>
      </c>
      <c r="AN23" s="1368">
        <f>IF(23=23,IF($U23="","",SUMPRODUCT(--ISNUMBER(SEARCH(" "&amp;$CR$436:$CR$535&amp;" ",$AX23)))),"")</f>
        <v>0</v>
      </c>
      <c r="AO23" s="1368">
        <f>IF(23=23,IF($U23="","",SUMPRODUCT(--ISNUMBER(SEARCH(" "&amp;$CR$536:$CR$635&amp;" ",$AX23)))),"")</f>
        <v>0</v>
      </c>
      <c r="AP23" s="1368">
        <f>IF(23=23,IF($U23="","",SUMPRODUCT(--ISNUMBER(SEARCH(" "&amp;$CR$636:$CR$735&amp;" ",$AX23)))),"")</f>
        <v>0</v>
      </c>
      <c r="AQ23" s="1368">
        <f>IF(23=23,IF($U23="","",SUMPRODUCT(--ISNUMBER(SEARCH(" "&amp;$CR$736:$CR$835&amp;" ",$AX23)))),"")</f>
        <v>0</v>
      </c>
      <c r="AR23" s="1368">
        <f>IF(23=23,IF($U23="","",SUMPRODUCT(--ISNUMBER(SEARCH(" "&amp;$CR$836:$CR$935&amp;" ",$AX23)))),"")</f>
        <v>0</v>
      </c>
      <c r="AS23" s="1368">
        <f>IF(23=23,IF($U23="","",SUMPRODUCT(--ISNUMBER(SEARCH(" "&amp;$CR$936:$CR$1035&amp;" ",$AX23)))),"")</f>
        <v>0</v>
      </c>
      <c r="AT23" s="1368">
        <f>IF(23=23,IF($U23="","",SUMPRODUCT(--ISNUMBER(SEARCH(" "&amp;$CR$1036:$CR$1135&amp;" ",$AX23)))),"")</f>
        <v>0</v>
      </c>
      <c r="AU23" s="1368">
        <f>IF(23=23,IF($U23="","",SUMPRODUCT(--ISNUMBER(SEARCH(" "&amp;$CR$1136:$CR$1235&amp;" ",$AX23)))),"")</f>
        <v>0</v>
      </c>
      <c r="AV23" s="1368">
        <f>IF(23=23,IF($U23="","",SUMPRODUCT(--ISNUMBER(SEARCH(" "&amp;$CR$1236:$CR$1335&amp;" ",$AX23)))),"")</f>
        <v>0</v>
      </c>
      <c r="AW23" s="1368">
        <f>IF(23=23,IF($U23="","",SUMPRODUCT(--ISNUMBER(SEARCH(" "&amp;$CR$1336:$CR$1363&amp;" ",$AX23)))),"")</f>
        <v>0</v>
      </c>
      <c r="AX23" s="1368" t="str">
        <f>IF(23=23,IF($U23="","",SUBSTITUTE(SUBSTITUTE(SUBSTITUTE(SUBSTITUTE(SUBSTITUTE(SUBSTITUTE(SUBSTITUTE(SUBSTITUTE(SUBSTITUTE($AA23," "&amp;$CR$1365&amp;" "," ")," "&amp;$CR$1364&amp;" "," ")," "&amp;$CR$1370&amp;" "," ")," "&amp;$CR$1371&amp;" "," ")," "&amp;$CR$1367&amp;" "," ")," "&amp;$CR$1369&amp;" "," ")," "&amp;$CR$1366&amp;" "," ")," "&amp;$CR$1368&amp;" "," ")," "&amp;$CR$1372&amp;" "," ")),"")</f>
        <v xml:space="preserve"> crevettes decortiquees </v>
      </c>
      <c r="AY23" s="1368">
        <f>IF(23=23,IF($U23="","",SUMPRODUCT(--ISNUMBER(SEARCH(" "&amp;$CR$1373:$CR$1383&amp;" ",$AX23)))),"")</f>
        <v>0</v>
      </c>
      <c r="AZ23" s="1368" t="str">
        <f>IF(23=23,IF($U23="","",IF(SUM(AN23:AW23)+SUMPRODUCT(--ISNUMBER(SEARCH(" "&amp;$CR$2421:$CR$2422&amp;" ",$AX23)))&gt;0,"X",IF(AY23&gt;0,"?",""))),"")</f>
        <v/>
      </c>
      <c r="BA23" s="1368">
        <f>IF(23=23,IF($U23="","",SUMPRODUCT(--ISNUMBER(SEARCH(" "&amp;$CR$1384:$CR$1404&amp;" ",$AA23)))),"")</f>
        <v>0</v>
      </c>
      <c r="BB23" s="1368" t="str">
        <f>IF(23=23,IF($U23="","",IF((BA23)-(0)&gt;0,"X",IF((0)-(0)&gt;0,"?",""))),"")</f>
        <v/>
      </c>
      <c r="BC23" s="1368">
        <f>IF(23=23,IF($U23="","",SUMPRODUCT(--ISNUMBER(SEARCH(" "&amp;$CR$1405:$CR$1442&amp;" ",$BD23)))),"")</f>
        <v>0</v>
      </c>
      <c r="BD23" s="1368" t="str">
        <f>IF(23=23,IF($U23="","",SUBSTITUTE(SUBSTITUTE($AA23," "&amp;$CR$1443&amp;" "," ")," "&amp;$CR$1444&amp;" "," ")),"")</f>
        <v xml:space="preserve"> crevettes decortiquees </v>
      </c>
      <c r="BE23" s="1368">
        <f>IF(23=23,IF($U23="","",SUMPRODUCT(--ISNUMBER(SEARCH(" "&amp;$CR$1445:$CR$1455&amp;" ",$BD23)))),"")</f>
        <v>0</v>
      </c>
      <c r="BF23" s="1368" t="str">
        <f>IF(23=23,IF($U23="","",IF(BC23&gt;0,"X",IF(BE23&gt;0,"?",""))),"")</f>
        <v/>
      </c>
      <c r="BG23" s="1368">
        <f>IF(23=23,IF($U23="","",SUMPRODUCT(--ISNUMBER(SEARCH(" "&amp;$CR$1456:$CR$1555&amp;" ",$BJ23)))),"")</f>
        <v>0</v>
      </c>
      <c r="BH23" s="1368">
        <f>IF(23=23,IF($U23="","",SUMPRODUCT(--ISNUMBER(SEARCH(" "&amp;$CR$1556:$CR$1655&amp;" ",$BJ23)))),"")</f>
        <v>0</v>
      </c>
      <c r="BI23" s="1368">
        <f>IF(23=23,IF($U23="","",SUMPRODUCT(--ISNUMBER(SEARCH(" "&amp;$CR$1656:$CR$1739&amp;" ",$BJ23)))),"")</f>
        <v>0</v>
      </c>
      <c r="BJ23" s="1368" t="str">
        <f>IF(23=23,IF($U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crevettes decortiquees </v>
      </c>
      <c r="BK23" s="1368">
        <f>IF(23=23,IF($U23="","",SUMPRODUCT(--ISNUMBER(SEARCH(" "&amp;$CR$1790:$CR$1869&amp;" ",$BL23)))+SUMPRODUCT(--ISNUMBER(SEARCH(" "&amp;$CR$2440:$CR$2453&amp;" ",$BL23)))),"")</f>
        <v>0</v>
      </c>
      <c r="BL23" s="1368" t="str">
        <f>IF(23=23,IF($U23="","",SUBSTITUTE(SUBSTITUTE(SUBSTITUTE(SUBSTITUTE(SUBSTITUTE(SUBSTITUTE(SUBSTITUTE(SUBSTITUTE(SUBSTITUTE(SUBSTITUTE(SUBSTITUTE(SUBSTITUTE(SUBSTITUTE($BJ23," "&amp;$CR$1876&amp;" "," ")," "&amp;$CR$1874&amp;" "," ")," "&amp;$CR$2438&amp;" "," ")," "&amp;$CR$2439&amp;" "," ")," "&amp;$CR$1871&amp;" "," ")," "&amp;$CR$1875&amp;" "," ")," "&amp;$CR$1877&amp;" "," ")," "&amp;$CR$1872&amp;" "," ")," "&amp;$CR$1870&amp;" "," ")," "&amp;$CR$1367&amp;" "," ")," "&amp;$CR$1878&amp;" "," ")," "&amp;$CR$1366&amp;" "," ")," "&amp;$CR$1873&amp;" "," ")),"")</f>
        <v xml:space="preserve"> crevettes decortiquees </v>
      </c>
      <c r="BM23" s="1368" t="str">
        <f>IF(23=23,IF($U23="","",IF(SUM(BG23:BI23)+SUMPRODUCT(--ISNUMBER(SEARCH(" "&amp;$CR$2423:$CR$2424&amp;" ",$BJ23)))&gt;0,"X",IF(BK23&gt;0,"?",""))),"")</f>
        <v/>
      </c>
      <c r="BN23" s="1368">
        <f>IF(23=23,IF($U23="","",SUMPRODUCT(--ISNUMBER(SEARCH(" "&amp;$CR$1879:$CR$1936&amp;" ",$BO23)))),"")</f>
        <v>0</v>
      </c>
      <c r="BO23" s="1368" t="str">
        <f>IF(23=23,IF($U23="","",SUBSTITUTE(SUBSTITUTE(SUBSTITUTE(SUBSTITUTE(SUBSTITUTE(SUBSTITUTE(SUBSTITUTE(SUBSTITUTE(SUBSTITUTE(SUBSTITUTE(SUBSTITUTE(SUBSTITUTE(SUBSTITUTE(SUBSTITUTE(SUBSTITUTE(SUBSTITUTE(SUBSTITUTE(SUBSTITUTE(SUBSTITUTE(SUBSTITUTE(SUBSTITUTE(SUBSTITUTE(SUBSTITUTE($AA23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crevettes decortiquees </v>
      </c>
      <c r="BP23" s="1368">
        <f>IF(23=23,IF($U23="","",SUMPRODUCT(--ISNUMBER(SEARCH(" "&amp;$CR$1960:$CR$1976&amp;" ",$BO23)))),"")</f>
        <v>0</v>
      </c>
      <c r="BQ23" s="1368" t="str">
        <f>IF(23=23,IF($U23="","",IF(BN23&gt;0,"X",IF(BP23&gt;0,"?",""))),"")</f>
        <v/>
      </c>
      <c r="BR23" s="1368">
        <f>IF(23=23,IF($U23="","",SUMPRODUCT(--ISNUMBER(SEARCH(" "&amp;$CR$1977:$CR$1990&amp;" ",$AA23)))),"")</f>
        <v>0</v>
      </c>
      <c r="BS23" s="1368">
        <f>IF(23=23,IF($U23="","",SUMPRODUCT(--ISNUMBER(SEARCH(" "&amp;$CR$1991:$CR$2005&amp;" ",$AA23)))),"")</f>
        <v>0</v>
      </c>
      <c r="BT23" s="1368" t="str">
        <f>IF(23=23,IF($U23="","",IF((BR23)-(0)&gt;0,"X",IF((BS23)-(0)&gt;0,"?",""))),"")</f>
        <v/>
      </c>
      <c r="BU23" s="1368">
        <f>IF(23=23,IF($U23="","",SUMPRODUCT(--ISNUMBER(SEARCH(" "&amp;$CR$2006:$CR$2023&amp;" ",$AA23)))),"")</f>
        <v>0</v>
      </c>
      <c r="BV23" s="1368">
        <f>IF(23=23,IF($U23="","",SUMPRODUCT(--ISNUMBER(SEARCH(" "&amp;$CR$2024:$CR$2038&amp;" ",$AA23)))),"")</f>
        <v>0</v>
      </c>
      <c r="BW23" s="1368" t="str">
        <f>IF(23=23,IF($U23="","",IF((BU23)-(0)&gt;0,"X",IF((BV23)-(0)&gt;0,"?",""))),"")</f>
        <v/>
      </c>
      <c r="BX23" s="1368">
        <f>IF(23=23,IF($U23="","",SUMPRODUCT(--ISNUMBER(SEARCH(" "&amp;$CR$2039:$CR$2057&amp;" ",$AA23)))),"")</f>
        <v>0</v>
      </c>
      <c r="BY23" s="1368">
        <f>IF(23=23,IF($U23="","",SUMPRODUCT(--ISNUMBER(SEARCH(" "&amp;$CR$2058:$CR$2072&amp;" ",$AA23)))),"")</f>
        <v>0</v>
      </c>
      <c r="BZ23" s="1368" t="str">
        <f>IF(23=23,IF($U23="","",IF((BX23)-(0)&gt;0,"X",IF((BY23)-(0)&gt;0,"?",""))),"")</f>
        <v/>
      </c>
      <c r="CA23" s="1368">
        <f>IF(23=23,IF($U23="","",SUMPRODUCT(--ISNUMBER(SEARCH(" "&amp;$CR$2073:$CR$2093&amp;" ",$AA23)))),"")</f>
        <v>0</v>
      </c>
      <c r="CB23" s="1368">
        <f>IF(23=23,IF($U23="","",SUMPRODUCT(--ISNUMBER(SEARCH(" "&amp;$CR$2094:$CR$2133&amp;" ",SUBSTITUTE(SUBSTITUTE($AA23," "&amp;$CR$1367&amp;" "," ")," "&amp;$CR$1366&amp;" "," "))))+--ISNUMBER(SEARCH("poiré",$V23))),"")</f>
        <v>0</v>
      </c>
      <c r="CC23" s="1368" t="str">
        <f>IF(23=23,IF($U23="","",IF(OR(CA23&gt;0,ISNUMBER(SEARCH(" vinaigre de vin ",$AA23)),ISNUMBER(SEARCH(" vinaigre au vin ",$AA23))),"X",IF(CB23&gt;0,"?",""))),"")</f>
        <v/>
      </c>
      <c r="CD23" s="1368">
        <f>IF(23=23,IF($U23="","",SUMPRODUCT(--ISNUMBER(SEARCH(" "&amp;$CR$2134:$CR$2146&amp;" ",$AA23)))),"")</f>
        <v>0</v>
      </c>
      <c r="CE23" s="1368">
        <f>IF(23=23,IF($U23="","",SUMPRODUCT(--ISNUMBER(SEARCH(" "&amp;$CR$2147:$CR$2152&amp;" ",$AA23)))),"")</f>
        <v>0</v>
      </c>
      <c r="CF23" s="1368" t="str">
        <f>IF(23=23,IF($U23="","",IF((CD23)-(0)&gt;0,"X",IF((CE23)-(0)&gt;0,"?",""))),"")</f>
        <v/>
      </c>
      <c r="CG23" s="1368">
        <f>IF(23=23,IF($U23="","",SUMPRODUCT(--ISNUMBER(SEARCH(" "&amp;$CR$2153:$CR$2252&amp;" ",$CJ23)))),"")</f>
        <v>0</v>
      </c>
      <c r="CH23" s="1368">
        <f>IF(23=23,IF($U23="","",SUMPRODUCT(--ISNUMBER(SEARCH(" "&amp;$CR$2253:$CR$2352&amp;" ",$CJ23)))),"")</f>
        <v>0</v>
      </c>
      <c r="CI23" s="1368">
        <f>IF(23=23,IF($U23="","",SUMPRODUCT(--ISNUMBER(SEARCH(" "&amp;$CR$2353:$CR$2395&amp;" ",$CJ23)))),"")</f>
        <v>0</v>
      </c>
      <c r="CJ23" s="1368" t="str">
        <f>IF(23=23,IF($U23="","",SUBSTITUTE(SUBSTITUTE(SUBSTITUTE(SUBSTITUTE(SUBSTITUTE(SUBSTITUTE(SUBSTITUTE(SUBSTITUTE(SUBSTITUTE(SUBSTITUTE(SUBSTITUTE(SUBSTITUTE(SUBSTITUTE(SUBSTITUTE(SUBSTITUTE(SUBSTITUTE($AA23," "&amp;$CR$2401&amp;" "," ")," "&amp;$CR$2400&amp;" "," ")," "&amp;$CR$2399&amp;" "," ")," "&amp;$CR$2406&amp;" "," ")," "&amp;$CR$2398&amp;" "," ")," "&amp;$CR$2410&amp;" "," ")," "&amp;$CR$2397&amp;" "," ")," "&amp;$CR$2402&amp;" "," ")," "&amp;$CR$2405&amp;" "," ")," "&amp;$CR$2396&amp;" "," ")," "&amp;$CR$2404&amp;" "," ")," "&amp;$CR$2411&amp;" "," ")," "&amp;$CR$2408&amp;" "," ")," "&amp;$CR$2403&amp;" "," ")," "&amp;$CR$2407&amp;" "," ")," "&amp;$CR$2409&amp;" "," ")),"")</f>
        <v xml:space="preserve"> crevettes decortiquees </v>
      </c>
      <c r="CK23" s="1368">
        <f>IF(23=23,IF($U23="","",SUMPRODUCT(--ISNUMBER(SEARCH(" "&amp;$CR$2412:$CR$2416&amp;" ",$CJ23)))),"")</f>
        <v>0</v>
      </c>
      <c r="CL23" s="1368" t="str">
        <f>IF(23=23,IF($U23="","",IF(SUM(CG23:CI23)&gt;0,"X",IF(CK23&gt;0,"?",""))),"")</f>
        <v/>
      </c>
      <c r="CM23" s="1377"/>
      <c r="CN23" s="1388" t="s">
        <v>8249</v>
      </c>
      <c r="CO23" s="1388" t="s">
        <v>8105</v>
      </c>
      <c r="CP23" s="1388" t="s">
        <v>8106</v>
      </c>
      <c r="CQ23" s="1388" t="s">
        <v>8250</v>
      </c>
      <c r="CR23" s="1388" t="s">
        <v>8250</v>
      </c>
      <c r="CS23" s="1388" t="s">
        <v>8108</v>
      </c>
      <c r="CT23" s="1388" t="s">
        <v>8109</v>
      </c>
      <c r="CU23" s="1388" t="s">
        <v>8110</v>
      </c>
      <c r="CV23" s="1389" t="s">
        <v>8111</v>
      </c>
      <c r="CX23" s="1379">
        <v>1</v>
      </c>
    </row>
    <row r="24" spans="1:102" ht="21" customHeight="1" x14ac:dyDescent="0.25">
      <c r="A24" s="1412">
        <v>18</v>
      </c>
      <c r="B24" s="1413" t="s">
        <v>8251</v>
      </c>
      <c r="C24" s="1414" t="str">
        <f t="shared" si="0"/>
        <v>Cuisses de poulet</v>
      </c>
      <c r="D24" s="1415" t="str">
        <f>IF(24=24,IF($B24="","",IF(E24="X",""&amp;"Céréales contenant du gluten","")&amp;IF(F24="X",IF(COUNTIF($E24:$E24,"X")&gt;0,", ","")&amp;"Crustacés","")&amp;IF(G24="X",IF(COUNTIF($E24:$F24,"X")&gt;0,", ","")&amp;"Œufs","")&amp;IF(H24="X",IF(COUNTIF($E24:$G24,"X")&gt;0,", ","")&amp;"Poissons","")&amp;IF(I24="X",IF(COUNTIF($E24:$H24,"X")&gt;0,", ","")&amp;"Arachides","")&amp;IF(J24="X",IF(COUNTIF($E24:$I24,"X")&gt;0,", ","")&amp;"Soja","")&amp;IF(K24="X",IF(COUNTIF($E24:$J24,"X")&gt;0,", ","")&amp;"Lait","")&amp;IF(L24="X",IF(COUNTIF($E24:$K24,"X")&gt;0,", ","")&amp;"Fruits à coque","")&amp;IF(M24="X",IF(COUNTIF($E24:$L24,"X")&gt;0,", ","")&amp;"Céleri","")&amp;IF(N24="X",IF(COUNTIF($E24:$M24,"X")&gt;0,", ","")&amp;"Moutarde","")&amp;IF(O24="X",IF(COUNTIF($E24:$N24,"X")&gt;0,", ","")&amp;"Sésame","")&amp;IF(P24="X",IF(COUNTIF($E24:$O24,"X")&gt;0,", ","")&amp;"Sulfites","")&amp;IF(Q24="X",IF(COUNTIF($E24:$P24,"X")&gt;0,", ","")&amp;"Lupin","")&amp;IF(R24="X",IF(COUNTIF($E24:$Q24,"X")&gt;0,", ","")&amp;"Mollusques","")),"")</f>
        <v/>
      </c>
      <c r="E24" s="1416" t="str">
        <f>IF(24=24,IF($B24="","",AF24),"")</f>
        <v/>
      </c>
      <c r="F24" s="1416" t="str">
        <f>IF(24=24,IF($B24="","",AI24),"")</f>
        <v/>
      </c>
      <c r="G24" s="1416" t="str">
        <f>IF(24=24,IF($B24="","",AM24),"")</f>
        <v/>
      </c>
      <c r="H24" s="1416" t="str">
        <f>IF(24=24,IF($B24="","",IF(ISNUMBER(SEARCH(" colin ",$AA24)),"X",AZ24)),"")</f>
        <v/>
      </c>
      <c r="I24" s="1416" t="str">
        <f>IF(24=24,IF($B24="","",BB24),"")</f>
        <v/>
      </c>
      <c r="J24" s="1416" t="str">
        <f>IF(24=24,IF($B24="","",BF24),"")</f>
        <v/>
      </c>
      <c r="K24" s="1416" t="str">
        <f>IF(24=24,IF($B24="","",BM24),"")</f>
        <v/>
      </c>
      <c r="L24" s="1416" t="str">
        <f>IF(24=24,IF($B24="","",BQ24),"")</f>
        <v/>
      </c>
      <c r="M24" s="1416" t="str">
        <f>IF(24=24,IF($B24="","",BT24),"")</f>
        <v/>
      </c>
      <c r="N24" s="1416" t="str">
        <f>IF(24=24,IF($B24="","",BW24),"")</f>
        <v/>
      </c>
      <c r="O24" s="1416" t="str">
        <f>IF(24=24,IF($B24="","",BZ24),"")</f>
        <v/>
      </c>
      <c r="P24" s="1416" t="str">
        <f>IF(24=24,IF($B24="","",CC24),"")</f>
        <v/>
      </c>
      <c r="Q24" s="1416" t="str">
        <f>IF(24=24,IF($B24="","",CF24),"")</f>
        <v/>
      </c>
      <c r="R24" s="1416" t="str">
        <f>IF(24=24,IF($B24="","",CL24),"")</f>
        <v/>
      </c>
      <c r="S24" s="1417" t="str">
        <f>IF(24=24,IF($B24="","",IF(E24="?",""&amp;"Céréales contenant du gluten","")&amp;IF(F24="?",IF(COUNTIF($E24:$E24,"~?")&gt;0,", ","")&amp;"Crustacés","")&amp;IF(G24="?",IF(COUNTIF($E24:$F24,"~?")&gt;0,", ","")&amp;"Œufs","")&amp;IF(H24="?",IF(COUNTIF($E24:$G24,"~?")&gt;0,", ","")&amp;"Poissons","")&amp;IF(I24="?",IF(COUNTIF($E24:$H24,"~?")&gt;0,", ","")&amp;"Arachides","")&amp;IF(J24="?",IF(COUNTIF($E24:$I24,"~?")&gt;0,", ","")&amp;"Soja","")&amp;IF(K24="?",IF(COUNTIF($E24:$J24,"~?")&gt;0,", ","")&amp;"Lait","")&amp;IF(L24="?",IF(COUNTIF($E24:$K24,"~?")&gt;0,", ","")&amp;"Fruits à coque","")&amp;IF(M24="?",IF(COUNTIF($E24:$L24,"~?")&gt;0,", ","")&amp;"Céleri","")&amp;IF(N24="?",IF(COUNTIF($E24:$M24,"~?")&gt;0,", ","")&amp;"Moutarde","")&amp;IF(O24="?",IF(COUNTIF($E24:$N24,"~?")&gt;0,", ","")&amp;"Sésame","")&amp;IF(P24="?",IF(COUNTIF($E24:$O24,"~?")&gt;0,", ","")&amp;"Sulfites","")&amp;IF(Q24="?",IF(COUNTIF($E24:$P24,"~?")&gt;0,", ","")&amp;"Lupin","")&amp;IF(R24="?",IF(COUNTIF($E24:$Q24,"~?")&gt;0,", ","")&amp;"Mollusques","")),"")</f>
        <v/>
      </c>
      <c r="U24" s="1368" t="str">
        <f>IF(24=24,IF($B24="","",$B24),"")</f>
        <v>Cuisses de poulet</v>
      </c>
      <c r="V24" s="1368" t="str">
        <f>IF(24=24,LOWER(CLEAN(SUBSTITUTE(SUBSTITUTE(SUBSTITUTE(SUBSTITUTE($U24,CHAR(160)," ")," "," "),CHAR(10)," "),CHAR(13)," "))),"")</f>
        <v>cuisses de poulet</v>
      </c>
      <c r="W24" s="1368" t="str">
        <f>IF(24=24,SUBSTITUTE(SUBSTITUTE(SUBSTITUTE(SUBSTITUTE(SUBSTITUTE(SUBSTITUTE(SUBSTITUTE(SUBSTITUTE(SUBSTITUTE(SUBSTITUTE(SUBSTITUTE(SUBSTITUTE($V24,"œ","oe"),"æ","ae"),"à","a"),"á","a"),"â","a"),"ä","a"),"ã","a"),"ç","c"),"è","e"),"é","e"),"ê","e"),"ë","e"),"")</f>
        <v>cuisses de poulet</v>
      </c>
      <c r="X24" s="1368" t="str">
        <f>IF(24=24,SUBSTITUTE(SUBSTITUTE(SUBSTITUTE(SUBSTITUTE(SUBSTITUTE(SUBSTITUTE(SUBSTITUTE(SUBSTITUTE(SUBSTITUTE(SUBSTITUTE(SUBSTITUTE(SUBSTITUTE(SUBSTITUTE(SUBSTITUTE(SUBSTITUTE(SUBSTITUTE($W24,"ì","i"),"í","i"),"î","i"),"ï","i"),"ñ","n"),"ò","o"),"ó","o"),"ô","o"),"ö","o"),"õ","o"),"ù","u"),"ú","u"),"û","u"),"ü","u"),"ý","y"),"ÿ","y"),"")</f>
        <v>cuisses de poulet</v>
      </c>
      <c r="Y24" s="1368" t="str">
        <f>IF(24=24,SUBSTITUTE(SUBSTITUTE(SUBSTITUTE(SUBSTITUTE(SUBSTITUTE(SUBSTITUTE(SUBSTITUTE(SUBSTITUTE(SUBSTITUTE(SUBSTITUTE(SUBSTITUTE(SUBSTITUTE(SUBSTITUTE(SUBSTITUTE($X24,"’"," "),"`"," "),"–"," "),"—"," "),"-"," "),"'"," "),"/"," "),"_"," "),","," "),"."," "),"("," "),")"," "),";"," "),":"," "),"")</f>
        <v>cuisses de poulet</v>
      </c>
      <c r="Z24" s="1368" t="str">
        <f>IF(24=24,SUBSTITUTE(SUBSTITUTE(SUBSTITUTE(SUBSTITUTE(SUBSTITUTE(SUBSTITUTE(SUBSTITUTE(SUBSTITUTE(SUBSTITUTE(SUBSTITUTE(SUBSTITUTE(SUBSTITUTE(SUBSTITUTE(SUBSTITUTE(SUBSTITUTE($Y24,"!"," "),"?"," "),"+"," "),"*"," "),"&amp;"," "),"["," "),"]"," "),"{"," "),"}"," "),"%"," "),"="," "),"\"," "),"|"," "),"&lt;"," "),"&gt;"," "),"")</f>
        <v>cuisses de poulet</v>
      </c>
      <c r="AA24" s="1368" t="str">
        <f>IF(24=24," "&amp;TRIM(SUBSTITUTE(SUBSTITUTE(SUBSTITUTE(SUBSTITUTE(SUBSTITUTE(SUBSTITUTE($Z24,CHAR(34)," "),"  "," "),"  "," "),"  "," "),"  "," "),"  "," "))&amp;" ","")</f>
        <v xml:space="preserve"> cuisses de poulet </v>
      </c>
      <c r="AB24" s="1368">
        <f>IF(24=24,IF($U24="","",SUMPRODUCT(--ISNUMBER(SEARCH(" "&amp;$CR$2:$CR$101&amp;" ",$AD24)))),"")</f>
        <v>0</v>
      </c>
      <c r="AC24" s="1368">
        <f>IF(24=24,IF($U24="","",SUMPRODUCT(--ISNUMBER(SEARCH(" "&amp;$CR$102:$CR$151&amp;" ",$AD24)))),"")</f>
        <v>0</v>
      </c>
      <c r="AD24" s="1368" t="str">
        <f t="shared" si="1"/>
        <v xml:space="preserve"> cuisses de poulet </v>
      </c>
      <c r="AE24" s="1368">
        <f t="shared" si="2"/>
        <v>0</v>
      </c>
      <c r="AF24" s="1368" t="str">
        <f>IF(24=24,IF($U24="","",IF(SUM(AB24:AC24)+SUMPRODUCT(--ISNUMBER(SEARCH(" "&amp;$CR$2418:$CR$2420&amp;" ",$AD24)))&gt;0,"X",IF(AE24&gt;0,"?",""))),"")</f>
        <v/>
      </c>
      <c r="AG24" s="1368">
        <f>IF(24=24,IF($U24="","",SUMPRODUCT(--ISNUMBER(SEARCH(" "&amp;$CR$206:$CR$305&amp;" ",$AA24)))),"")</f>
        <v>0</v>
      </c>
      <c r="AH24" s="1368">
        <f>IF(24=24,IF($U24="","",SUMPRODUCT(--ISNUMBER(SEARCH(" "&amp;$CR$306:$CR$340&amp;" ",$AA24)))),"")</f>
        <v>0</v>
      </c>
      <c r="AI24" s="1368" t="str">
        <f>IF(24=24,IF($U24="","",IF((SUM(AG24:AH24))-(0)&gt;0,"X",IF((0)-(0)&gt;0,"?",""))),"")</f>
        <v/>
      </c>
      <c r="AJ24" s="1368">
        <f>IF(24=24,IF($U24="","",SUMPRODUCT(--ISNUMBER(SEARCH(" "&amp;$CR$341:$CR$398&amp;" ",$AA24)))),"")</f>
        <v>0</v>
      </c>
      <c r="AK24" s="1368">
        <f>IF(24=24,IF($U24="","",SUMPRODUCT(--ISNUMBER(SEARCH(" "&amp;$CR$399:$CR$426&amp;" ",$AL24)))+SUMPRODUCT(--ISNUMBER(SEARCH(" "&amp;$CR$2440:$CR$2453&amp;" ",$AL24)))),"")</f>
        <v>0</v>
      </c>
      <c r="AL24" s="1368" t="str">
        <f>IF(24=24,IF($U24="","",SUBSTITUTE(SUBSTITUTE(SUBSTITUTE(SUBSTITUTE(SUBSTITUTE(SUBSTITUTE(SUBSTITUTE(SUBSTITUTE(SUBSTITUTE(SUBSTITUTE(SUBSTITUTE(SUBSTITUTE(SUBSTITUTE(SUBSTITUTE($AA24," "&amp;$CR$2455&amp;" "," ")," "&amp;$CR$433&amp;" "," ")," "&amp;$CR$431&amp;" "," ")," "&amp;$CR$2438&amp;" "," ")," "&amp;$CR$2439&amp;" "," ")," "&amp;$CR$428&amp;" "," ")," "&amp;$CR$432&amp;" "," ")," "&amp;$CR$434&amp;" "," ")," "&amp;$CR$429&amp;" "," ")," "&amp;$CR$427&amp;" "," ")," "&amp;$CR$1367&amp;" "," ")," "&amp;$CR$435&amp;" "," ")," "&amp;$CR$1366&amp;" "," ")," "&amp;$CR$430&amp;" "," ")),"")</f>
        <v xml:space="preserve"> cuisses de poulet </v>
      </c>
      <c r="AM24" s="1368" t="str">
        <f>IF(24=24,IF($U24="","",IF(AJ24&gt;0,"X",IF(AK24&gt;0,"?",""))),"")</f>
        <v/>
      </c>
      <c r="AN24" s="1368">
        <f>IF(24=24,IF($U24="","",SUMPRODUCT(--ISNUMBER(SEARCH(" "&amp;$CR$436:$CR$535&amp;" ",$AX24)))),"")</f>
        <v>0</v>
      </c>
      <c r="AO24" s="1368">
        <f>IF(24=24,IF($U24="","",SUMPRODUCT(--ISNUMBER(SEARCH(" "&amp;$CR$536:$CR$635&amp;" ",$AX24)))),"")</f>
        <v>0</v>
      </c>
      <c r="AP24" s="1368">
        <f>IF(24=24,IF($U24="","",SUMPRODUCT(--ISNUMBER(SEARCH(" "&amp;$CR$636:$CR$735&amp;" ",$AX24)))),"")</f>
        <v>0</v>
      </c>
      <c r="AQ24" s="1368">
        <f>IF(24=24,IF($U24="","",SUMPRODUCT(--ISNUMBER(SEARCH(" "&amp;$CR$736:$CR$835&amp;" ",$AX24)))),"")</f>
        <v>0</v>
      </c>
      <c r="AR24" s="1368">
        <f>IF(24=24,IF($U24="","",SUMPRODUCT(--ISNUMBER(SEARCH(" "&amp;$CR$836:$CR$935&amp;" ",$AX24)))),"")</f>
        <v>0</v>
      </c>
      <c r="AS24" s="1368">
        <f>IF(24=24,IF($U24="","",SUMPRODUCT(--ISNUMBER(SEARCH(" "&amp;$CR$936:$CR$1035&amp;" ",$AX24)))),"")</f>
        <v>0</v>
      </c>
      <c r="AT24" s="1368">
        <f>IF(24=24,IF($U24="","",SUMPRODUCT(--ISNUMBER(SEARCH(" "&amp;$CR$1036:$CR$1135&amp;" ",$AX24)))),"")</f>
        <v>0</v>
      </c>
      <c r="AU24" s="1368">
        <f>IF(24=24,IF($U24="","",SUMPRODUCT(--ISNUMBER(SEARCH(" "&amp;$CR$1136:$CR$1235&amp;" ",$AX24)))),"")</f>
        <v>0</v>
      </c>
      <c r="AV24" s="1368">
        <f>IF(24=24,IF($U24="","",SUMPRODUCT(--ISNUMBER(SEARCH(" "&amp;$CR$1236:$CR$1335&amp;" ",$AX24)))),"")</f>
        <v>0</v>
      </c>
      <c r="AW24" s="1368">
        <f>IF(24=24,IF($U24="","",SUMPRODUCT(--ISNUMBER(SEARCH(" "&amp;$CR$1336:$CR$1363&amp;" ",$AX24)))),"")</f>
        <v>0</v>
      </c>
      <c r="AX24" s="1368" t="str">
        <f>IF(24=24,IF($U24="","",SUBSTITUTE(SUBSTITUTE(SUBSTITUTE(SUBSTITUTE(SUBSTITUTE(SUBSTITUTE(SUBSTITUTE(SUBSTITUTE(SUBSTITUTE($AA24," "&amp;$CR$1365&amp;" "," ")," "&amp;$CR$1364&amp;" "," ")," "&amp;$CR$1370&amp;" "," ")," "&amp;$CR$1371&amp;" "," ")," "&amp;$CR$1367&amp;" "," ")," "&amp;$CR$1369&amp;" "," ")," "&amp;$CR$1366&amp;" "," ")," "&amp;$CR$1368&amp;" "," ")," "&amp;$CR$1372&amp;" "," ")),"")</f>
        <v xml:space="preserve"> cuisses de poulet </v>
      </c>
      <c r="AY24" s="1368">
        <f>IF(24=24,IF($U24="","",SUMPRODUCT(--ISNUMBER(SEARCH(" "&amp;$CR$1373:$CR$1383&amp;" ",$AX24)))),"")</f>
        <v>0</v>
      </c>
      <c r="AZ24" s="1368" t="str">
        <f>IF(24=24,IF($U24="","",IF(SUM(AN24:AW24)+SUMPRODUCT(--ISNUMBER(SEARCH(" "&amp;$CR$2421:$CR$2422&amp;" ",$AX24)))&gt;0,"X",IF(AY24&gt;0,"?",""))),"")</f>
        <v/>
      </c>
      <c r="BA24" s="1368">
        <f>IF(24=24,IF($U24="","",SUMPRODUCT(--ISNUMBER(SEARCH(" "&amp;$CR$1384:$CR$1404&amp;" ",$AA24)))),"")</f>
        <v>0</v>
      </c>
      <c r="BB24" s="1368" t="str">
        <f>IF(24=24,IF($U24="","",IF((BA24)-(0)&gt;0,"X",IF((0)-(0)&gt;0,"?",""))),"")</f>
        <v/>
      </c>
      <c r="BC24" s="1368">
        <f>IF(24=24,IF($U24="","",SUMPRODUCT(--ISNUMBER(SEARCH(" "&amp;$CR$1405:$CR$1442&amp;" ",$BD24)))),"")</f>
        <v>0</v>
      </c>
      <c r="BD24" s="1368" t="str">
        <f>IF(24=24,IF($U24="","",SUBSTITUTE(SUBSTITUTE($AA24," "&amp;$CR$1443&amp;" "," ")," "&amp;$CR$1444&amp;" "," ")),"")</f>
        <v xml:space="preserve"> cuisses de poulet </v>
      </c>
      <c r="BE24" s="1368">
        <f>IF(24=24,IF($U24="","",SUMPRODUCT(--ISNUMBER(SEARCH(" "&amp;$CR$1445:$CR$1455&amp;" ",$BD24)))),"")</f>
        <v>0</v>
      </c>
      <c r="BF24" s="1368" t="str">
        <f>IF(24=24,IF($U24="","",IF(BC24&gt;0,"X",IF(BE24&gt;0,"?",""))),"")</f>
        <v/>
      </c>
      <c r="BG24" s="1368">
        <f>IF(24=24,IF($U24="","",SUMPRODUCT(--ISNUMBER(SEARCH(" "&amp;$CR$1456:$CR$1555&amp;" ",$BJ24)))),"")</f>
        <v>0</v>
      </c>
      <c r="BH24" s="1368">
        <f>IF(24=24,IF($U24="","",SUMPRODUCT(--ISNUMBER(SEARCH(" "&amp;$CR$1556:$CR$1655&amp;" ",$BJ24)))),"")</f>
        <v>0</v>
      </c>
      <c r="BI24" s="1368">
        <f>IF(24=24,IF($U24="","",SUMPRODUCT(--ISNUMBER(SEARCH(" "&amp;$CR$1656:$CR$1739&amp;" ",$BJ24)))),"")</f>
        <v>0</v>
      </c>
      <c r="BJ24" s="1368" t="str">
        <f>IF(24=24,IF($U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cuisses de poulet </v>
      </c>
      <c r="BK24" s="1368">
        <f>IF(24=24,IF($U24="","",SUMPRODUCT(--ISNUMBER(SEARCH(" "&amp;$CR$1790:$CR$1869&amp;" ",$BL24)))+SUMPRODUCT(--ISNUMBER(SEARCH(" "&amp;$CR$2440:$CR$2453&amp;" ",$BL24)))),"")</f>
        <v>0</v>
      </c>
      <c r="BL24" s="1368" t="str">
        <f>IF(24=24,IF($U24="","",SUBSTITUTE(SUBSTITUTE(SUBSTITUTE(SUBSTITUTE(SUBSTITUTE(SUBSTITUTE(SUBSTITUTE(SUBSTITUTE(SUBSTITUTE(SUBSTITUTE(SUBSTITUTE(SUBSTITUTE(SUBSTITUTE($BJ24," "&amp;$CR$1876&amp;" "," ")," "&amp;$CR$1874&amp;" "," ")," "&amp;$CR$2438&amp;" "," ")," "&amp;$CR$2439&amp;" "," ")," "&amp;$CR$1871&amp;" "," ")," "&amp;$CR$1875&amp;" "," ")," "&amp;$CR$1877&amp;" "," ")," "&amp;$CR$1872&amp;" "," ")," "&amp;$CR$1870&amp;" "," ")," "&amp;$CR$1367&amp;" "," ")," "&amp;$CR$1878&amp;" "," ")," "&amp;$CR$1366&amp;" "," ")," "&amp;$CR$1873&amp;" "," ")),"")</f>
        <v xml:space="preserve"> cuisses de poulet </v>
      </c>
      <c r="BM24" s="1368" t="str">
        <f>IF(24=24,IF($U24="","",IF(SUM(BG24:BI24)+SUMPRODUCT(--ISNUMBER(SEARCH(" "&amp;$CR$2423:$CR$2424&amp;" ",$BJ24)))&gt;0,"X",IF(BK24&gt;0,"?",""))),"")</f>
        <v/>
      </c>
      <c r="BN24" s="1368">
        <f>IF(24=24,IF($U24="","",SUMPRODUCT(--ISNUMBER(SEARCH(" "&amp;$CR$1879:$CR$1936&amp;" ",$BO24)))),"")</f>
        <v>0</v>
      </c>
      <c r="BO24" s="1368" t="str">
        <f>IF(24=24,IF($U24="","",SUBSTITUTE(SUBSTITUTE(SUBSTITUTE(SUBSTITUTE(SUBSTITUTE(SUBSTITUTE(SUBSTITUTE(SUBSTITUTE(SUBSTITUTE(SUBSTITUTE(SUBSTITUTE(SUBSTITUTE(SUBSTITUTE(SUBSTITUTE(SUBSTITUTE(SUBSTITUTE(SUBSTITUTE(SUBSTITUTE(SUBSTITUTE(SUBSTITUTE(SUBSTITUTE(SUBSTITUTE(SUBSTITUTE($AA24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cuisses de poulet </v>
      </c>
      <c r="BP24" s="1368">
        <f>IF(24=24,IF($U24="","",SUMPRODUCT(--ISNUMBER(SEARCH(" "&amp;$CR$1960:$CR$1976&amp;" ",$BO24)))),"")</f>
        <v>0</v>
      </c>
      <c r="BQ24" s="1368" t="str">
        <f>IF(24=24,IF($U24="","",IF(BN24&gt;0,"X",IF(BP24&gt;0,"?",""))),"")</f>
        <v/>
      </c>
      <c r="BR24" s="1368">
        <f>IF(24=24,IF($U24="","",SUMPRODUCT(--ISNUMBER(SEARCH(" "&amp;$CR$1977:$CR$1990&amp;" ",$AA24)))),"")</f>
        <v>0</v>
      </c>
      <c r="BS24" s="1368">
        <f>IF(24=24,IF($U24="","",SUMPRODUCT(--ISNUMBER(SEARCH(" "&amp;$CR$1991:$CR$2005&amp;" ",$AA24)))),"")</f>
        <v>0</v>
      </c>
      <c r="BT24" s="1368" t="str">
        <f>IF(24=24,IF($U24="","",IF((BR24)-(0)&gt;0,"X",IF((BS24)-(0)&gt;0,"?",""))),"")</f>
        <v/>
      </c>
      <c r="BU24" s="1368">
        <f>IF(24=24,IF($U24="","",SUMPRODUCT(--ISNUMBER(SEARCH(" "&amp;$CR$2006:$CR$2023&amp;" ",$AA24)))),"")</f>
        <v>0</v>
      </c>
      <c r="BV24" s="1368">
        <f>IF(24=24,IF($U24="","",SUMPRODUCT(--ISNUMBER(SEARCH(" "&amp;$CR$2024:$CR$2038&amp;" ",$AA24)))),"")</f>
        <v>0</v>
      </c>
      <c r="BW24" s="1368" t="str">
        <f>IF(24=24,IF($U24="","",IF((BU24)-(0)&gt;0,"X",IF((BV24)-(0)&gt;0,"?",""))),"")</f>
        <v/>
      </c>
      <c r="BX24" s="1368">
        <f>IF(24=24,IF($U24="","",SUMPRODUCT(--ISNUMBER(SEARCH(" "&amp;$CR$2039:$CR$2057&amp;" ",$AA24)))),"")</f>
        <v>0</v>
      </c>
      <c r="BY24" s="1368">
        <f>IF(24=24,IF($U24="","",SUMPRODUCT(--ISNUMBER(SEARCH(" "&amp;$CR$2058:$CR$2072&amp;" ",$AA24)))),"")</f>
        <v>0</v>
      </c>
      <c r="BZ24" s="1368" t="str">
        <f>IF(24=24,IF($U24="","",IF((BX24)-(0)&gt;0,"X",IF((BY24)-(0)&gt;0,"?",""))),"")</f>
        <v/>
      </c>
      <c r="CA24" s="1368">
        <f>IF(24=24,IF($U24="","",SUMPRODUCT(--ISNUMBER(SEARCH(" "&amp;$CR$2073:$CR$2093&amp;" ",$AA24)))),"")</f>
        <v>0</v>
      </c>
      <c r="CB24" s="1368">
        <f>IF(24=24,IF($U24="","",SUMPRODUCT(--ISNUMBER(SEARCH(" "&amp;$CR$2094:$CR$2133&amp;" ",SUBSTITUTE(SUBSTITUTE($AA24," "&amp;$CR$1367&amp;" "," ")," "&amp;$CR$1366&amp;" "," "))))+--ISNUMBER(SEARCH("poiré",$V24))),"")</f>
        <v>0</v>
      </c>
      <c r="CC24" s="1368" t="str">
        <f>IF(24=24,IF($U24="","",IF(OR(CA24&gt;0,ISNUMBER(SEARCH(" vinaigre de vin ",$AA24)),ISNUMBER(SEARCH(" vinaigre au vin ",$AA24))),"X",IF(CB24&gt;0,"?",""))),"")</f>
        <v/>
      </c>
      <c r="CD24" s="1368">
        <f>IF(24=24,IF($U24="","",SUMPRODUCT(--ISNUMBER(SEARCH(" "&amp;$CR$2134:$CR$2146&amp;" ",$AA24)))),"")</f>
        <v>0</v>
      </c>
      <c r="CE24" s="1368">
        <f>IF(24=24,IF($U24="","",SUMPRODUCT(--ISNUMBER(SEARCH(" "&amp;$CR$2147:$CR$2152&amp;" ",$AA24)))),"")</f>
        <v>0</v>
      </c>
      <c r="CF24" s="1368" t="str">
        <f>IF(24=24,IF($U24="","",IF((CD24)-(0)&gt;0,"X",IF((CE24)-(0)&gt;0,"?",""))),"")</f>
        <v/>
      </c>
      <c r="CG24" s="1368">
        <f>IF(24=24,IF($U24="","",SUMPRODUCT(--ISNUMBER(SEARCH(" "&amp;$CR$2153:$CR$2252&amp;" ",$CJ24)))),"")</f>
        <v>0</v>
      </c>
      <c r="CH24" s="1368">
        <f>IF(24=24,IF($U24="","",SUMPRODUCT(--ISNUMBER(SEARCH(" "&amp;$CR$2253:$CR$2352&amp;" ",$CJ24)))),"")</f>
        <v>0</v>
      </c>
      <c r="CI24" s="1368">
        <f>IF(24=24,IF($U24="","",SUMPRODUCT(--ISNUMBER(SEARCH(" "&amp;$CR$2353:$CR$2395&amp;" ",$CJ24)))),"")</f>
        <v>0</v>
      </c>
      <c r="CJ24" s="1368" t="str">
        <f>IF(24=24,IF($U24="","",SUBSTITUTE(SUBSTITUTE(SUBSTITUTE(SUBSTITUTE(SUBSTITUTE(SUBSTITUTE(SUBSTITUTE(SUBSTITUTE(SUBSTITUTE(SUBSTITUTE(SUBSTITUTE(SUBSTITUTE(SUBSTITUTE(SUBSTITUTE(SUBSTITUTE(SUBSTITUTE($AA24," "&amp;$CR$2401&amp;" "," ")," "&amp;$CR$2400&amp;" "," ")," "&amp;$CR$2399&amp;" "," ")," "&amp;$CR$2406&amp;" "," ")," "&amp;$CR$2398&amp;" "," ")," "&amp;$CR$2410&amp;" "," ")," "&amp;$CR$2397&amp;" "," ")," "&amp;$CR$2402&amp;" "," ")," "&amp;$CR$2405&amp;" "," ")," "&amp;$CR$2396&amp;" "," ")," "&amp;$CR$2404&amp;" "," ")," "&amp;$CR$2411&amp;" "," ")," "&amp;$CR$2408&amp;" "," ")," "&amp;$CR$2403&amp;" "," ")," "&amp;$CR$2407&amp;" "," ")," "&amp;$CR$2409&amp;" "," ")),"")</f>
        <v xml:space="preserve"> cuisses de poulet </v>
      </c>
      <c r="CK24" s="1368">
        <f>IF(24=24,IF($U24="","",SUMPRODUCT(--ISNUMBER(SEARCH(" "&amp;$CR$2412:$CR$2416&amp;" ",$CJ24)))),"")</f>
        <v>0</v>
      </c>
      <c r="CL24" s="1368" t="str">
        <f>IF(24=24,IF($U24="","",IF(SUM(CG24:CI24)&gt;0,"X",IF(CK24&gt;0,"?",""))),"")</f>
        <v/>
      </c>
      <c r="CM24" s="1377"/>
      <c r="CN24" s="1388" t="s">
        <v>8252</v>
      </c>
      <c r="CO24" s="1388" t="s">
        <v>8105</v>
      </c>
      <c r="CP24" s="1388" t="s">
        <v>8106</v>
      </c>
      <c r="CQ24" s="1388" t="s">
        <v>8253</v>
      </c>
      <c r="CR24" s="1388" t="s">
        <v>8253</v>
      </c>
      <c r="CS24" s="1388" t="s">
        <v>8108</v>
      </c>
      <c r="CT24" s="1388" t="s">
        <v>8109</v>
      </c>
      <c r="CU24" s="1388" t="s">
        <v>8110</v>
      </c>
      <c r="CV24" s="1389" t="s">
        <v>8111</v>
      </c>
      <c r="CX24" s="1379">
        <v>1</v>
      </c>
    </row>
    <row r="25" spans="1:102" ht="21" customHeight="1" x14ac:dyDescent="0.25">
      <c r="A25" s="1412">
        <v>19</v>
      </c>
      <c r="B25" s="1413" t="s">
        <v>8254</v>
      </c>
      <c r="C25" s="1414" t="str">
        <f t="shared" si="0"/>
        <v>Dos de colin *</v>
      </c>
      <c r="D25" s="1415" t="str">
        <f>IF(25=25,IF($B25="","",IF(E25="X",""&amp;"Céréales contenant du gluten","")&amp;IF(F25="X",IF(COUNTIF($E25:$E25,"X")&gt;0,", ","")&amp;"Crustacés","")&amp;IF(G25="X",IF(COUNTIF($E25:$F25,"X")&gt;0,", ","")&amp;"Œufs","")&amp;IF(H25="X",IF(COUNTIF($E25:$G25,"X")&gt;0,", ","")&amp;"Poissons","")&amp;IF(I25="X",IF(COUNTIF($E25:$H25,"X")&gt;0,", ","")&amp;"Arachides","")&amp;IF(J25="X",IF(COUNTIF($E25:$I25,"X")&gt;0,", ","")&amp;"Soja","")&amp;IF(K25="X",IF(COUNTIF($E25:$J25,"X")&gt;0,", ","")&amp;"Lait","")&amp;IF(L25="X",IF(COUNTIF($E25:$K25,"X")&gt;0,", ","")&amp;"Fruits à coque","")&amp;IF(M25="X",IF(COUNTIF($E25:$L25,"X")&gt;0,", ","")&amp;"Céleri","")&amp;IF(N25="X",IF(COUNTIF($E25:$M25,"X")&gt;0,", ","")&amp;"Moutarde","")&amp;IF(O25="X",IF(COUNTIF($E25:$N25,"X")&gt;0,", ","")&amp;"Sésame","")&amp;IF(P25="X",IF(COUNTIF($E25:$O25,"X")&gt;0,", ","")&amp;"Sulfites","")&amp;IF(Q25="X",IF(COUNTIF($E25:$P25,"X")&gt;0,", ","")&amp;"Lupin","")&amp;IF(R25="X",IF(COUNTIF($E25:$Q25,"X")&gt;0,", ","")&amp;"Mollusques","")),"")</f>
        <v>Poissons</v>
      </c>
      <c r="E25" s="1416" t="str">
        <f>IF(25=25,IF($B25="","",AF25),"")</f>
        <v/>
      </c>
      <c r="F25" s="1416" t="str">
        <f>IF(25=25,IF($B25="","",AI25),"")</f>
        <v/>
      </c>
      <c r="G25" s="1416" t="str">
        <f>IF(25=25,IF($B25="","",AM25),"")</f>
        <v/>
      </c>
      <c r="H25" s="1416" t="str">
        <f>IF(25=25,IF($B25="","",IF(ISNUMBER(SEARCH(" colin ",$AA25)),"X",AZ25)),"")</f>
        <v>X</v>
      </c>
      <c r="I25" s="1416" t="str">
        <f>IF(25=25,IF($B25="","",BB25),"")</f>
        <v/>
      </c>
      <c r="J25" s="1416" t="str">
        <f>IF(25=25,IF($B25="","",BF25),"")</f>
        <v/>
      </c>
      <c r="K25" s="1416" t="str">
        <f>IF(25=25,IF($B25="","",BM25),"")</f>
        <v/>
      </c>
      <c r="L25" s="1416" t="str">
        <f>IF(25=25,IF($B25="","",BQ25),"")</f>
        <v/>
      </c>
      <c r="M25" s="1416" t="str">
        <f>IF(25=25,IF($B25="","",BT25),"")</f>
        <v/>
      </c>
      <c r="N25" s="1416" t="str">
        <f>IF(25=25,IF($B25="","",BW25),"")</f>
        <v/>
      </c>
      <c r="O25" s="1416" t="str">
        <f>IF(25=25,IF($B25="","",BZ25),"")</f>
        <v/>
      </c>
      <c r="P25" s="1416" t="str">
        <f>IF(25=25,IF($B25="","",CC25),"")</f>
        <v/>
      </c>
      <c r="Q25" s="1416" t="str">
        <f>IF(25=25,IF($B25="","",CF25),"")</f>
        <v/>
      </c>
      <c r="R25" s="1416" t="str">
        <f>IF(25=25,IF($B25="","",CL25),"")</f>
        <v/>
      </c>
      <c r="S25" s="1417" t="str">
        <f>IF(25=25,IF($B25="","",IF(E25="?",""&amp;"Céréales contenant du gluten","")&amp;IF(F25="?",IF(COUNTIF($E25:$E25,"~?")&gt;0,", ","")&amp;"Crustacés","")&amp;IF(G25="?",IF(COUNTIF($E25:$F25,"~?")&gt;0,", ","")&amp;"Œufs","")&amp;IF(H25="?",IF(COUNTIF($E25:$G25,"~?")&gt;0,", ","")&amp;"Poissons","")&amp;IF(I25="?",IF(COUNTIF($E25:$H25,"~?")&gt;0,", ","")&amp;"Arachides","")&amp;IF(J25="?",IF(COUNTIF($E25:$I25,"~?")&gt;0,", ","")&amp;"Soja","")&amp;IF(K25="?",IF(COUNTIF($E25:$J25,"~?")&gt;0,", ","")&amp;"Lait","")&amp;IF(L25="?",IF(COUNTIF($E25:$K25,"~?")&gt;0,", ","")&amp;"Fruits à coque","")&amp;IF(M25="?",IF(COUNTIF($E25:$L25,"~?")&gt;0,", ","")&amp;"Céleri","")&amp;IF(N25="?",IF(COUNTIF($E25:$M25,"~?")&gt;0,", ","")&amp;"Moutarde","")&amp;IF(O25="?",IF(COUNTIF($E25:$N25,"~?")&gt;0,", ","")&amp;"Sésame","")&amp;IF(P25="?",IF(COUNTIF($E25:$O25,"~?")&gt;0,", ","")&amp;"Sulfites","")&amp;IF(Q25="?",IF(COUNTIF($E25:$P25,"~?")&gt;0,", ","")&amp;"Lupin","")&amp;IF(R25="?",IF(COUNTIF($E25:$Q25,"~?")&gt;0,", ","")&amp;"Mollusques","")),"")</f>
        <v/>
      </c>
      <c r="U25" s="1368" t="str">
        <f>IF(25=25,IF($B25="","",$B25),"")</f>
        <v>Dos de colin</v>
      </c>
      <c r="V25" s="1368" t="str">
        <f>IF(25=25,LOWER(CLEAN(SUBSTITUTE(SUBSTITUTE(SUBSTITUTE(SUBSTITUTE($U25,CHAR(160)," ")," "," "),CHAR(10)," "),CHAR(13)," "))),"")</f>
        <v>dos de colin</v>
      </c>
      <c r="W25" s="1368" t="str">
        <f>IF(25=25,SUBSTITUTE(SUBSTITUTE(SUBSTITUTE(SUBSTITUTE(SUBSTITUTE(SUBSTITUTE(SUBSTITUTE(SUBSTITUTE(SUBSTITUTE(SUBSTITUTE(SUBSTITUTE(SUBSTITUTE($V25,"œ","oe"),"æ","ae"),"à","a"),"á","a"),"â","a"),"ä","a"),"ã","a"),"ç","c"),"è","e"),"é","e"),"ê","e"),"ë","e"),"")</f>
        <v>dos de colin</v>
      </c>
      <c r="X25" s="1368" t="str">
        <f>IF(25=25,SUBSTITUTE(SUBSTITUTE(SUBSTITUTE(SUBSTITUTE(SUBSTITUTE(SUBSTITUTE(SUBSTITUTE(SUBSTITUTE(SUBSTITUTE(SUBSTITUTE(SUBSTITUTE(SUBSTITUTE(SUBSTITUTE(SUBSTITUTE(SUBSTITUTE(SUBSTITUTE($W25,"ì","i"),"í","i"),"î","i"),"ï","i"),"ñ","n"),"ò","o"),"ó","o"),"ô","o"),"ö","o"),"õ","o"),"ù","u"),"ú","u"),"û","u"),"ü","u"),"ý","y"),"ÿ","y"),"")</f>
        <v>dos de colin</v>
      </c>
      <c r="Y25" s="1368" t="str">
        <f>IF(25=25,SUBSTITUTE(SUBSTITUTE(SUBSTITUTE(SUBSTITUTE(SUBSTITUTE(SUBSTITUTE(SUBSTITUTE(SUBSTITUTE(SUBSTITUTE(SUBSTITUTE(SUBSTITUTE(SUBSTITUTE(SUBSTITUTE(SUBSTITUTE($X25,"’"," "),"`"," "),"–"," "),"—"," "),"-"," "),"'"," "),"/"," "),"_"," "),","," "),"."," "),"("," "),")"," "),";"," "),":"," "),"")</f>
        <v>dos de colin</v>
      </c>
      <c r="Z25" s="1368" t="str">
        <f>IF(25=25,SUBSTITUTE(SUBSTITUTE(SUBSTITUTE(SUBSTITUTE(SUBSTITUTE(SUBSTITUTE(SUBSTITUTE(SUBSTITUTE(SUBSTITUTE(SUBSTITUTE(SUBSTITUTE(SUBSTITUTE(SUBSTITUTE(SUBSTITUTE(SUBSTITUTE($Y25,"!"," "),"?"," "),"+"," "),"*"," "),"&amp;"," "),"["," "),"]"," "),"{"," "),"}"," "),"%"," "),"="," "),"\"," "),"|"," "),"&lt;"," "),"&gt;"," "),"")</f>
        <v>dos de colin</v>
      </c>
      <c r="AA25" s="1368" t="str">
        <f>IF(25=25," "&amp;TRIM(SUBSTITUTE(SUBSTITUTE(SUBSTITUTE(SUBSTITUTE(SUBSTITUTE(SUBSTITUTE($Z25,CHAR(34)," "),"  "," "),"  "," "),"  "," "),"  "," "),"  "," "))&amp;" ","")</f>
        <v xml:space="preserve"> dos de colin </v>
      </c>
      <c r="AB25" s="1368">
        <f>IF(25=25,IF($U25="","",SUMPRODUCT(--ISNUMBER(SEARCH(" "&amp;$CR$2:$CR$101&amp;" ",$AD25)))),"")</f>
        <v>0</v>
      </c>
      <c r="AC25" s="1368">
        <f>IF(25=25,IF($U25="","",SUMPRODUCT(--ISNUMBER(SEARCH(" "&amp;$CR$102:$CR$151&amp;" ",$AD25)))),"")</f>
        <v>0</v>
      </c>
      <c r="AD25" s="1368" t="str">
        <f t="shared" si="1"/>
        <v xml:space="preserve"> dos de colin </v>
      </c>
      <c r="AE25" s="1368">
        <f t="shared" si="2"/>
        <v>0</v>
      </c>
      <c r="AF25" s="1368" t="str">
        <f>IF(25=25,IF($U25="","",IF(SUM(AB25:AC25)+SUMPRODUCT(--ISNUMBER(SEARCH(" "&amp;$CR$2418:$CR$2420&amp;" ",$AD25)))&gt;0,"X",IF(AE25&gt;0,"?",""))),"")</f>
        <v/>
      </c>
      <c r="AG25" s="1368">
        <f>IF(25=25,IF($U25="","",SUMPRODUCT(--ISNUMBER(SEARCH(" "&amp;$CR$206:$CR$305&amp;" ",$AA25)))),"")</f>
        <v>0</v>
      </c>
      <c r="AH25" s="1368">
        <f>IF(25=25,IF($U25="","",SUMPRODUCT(--ISNUMBER(SEARCH(" "&amp;$CR$306:$CR$340&amp;" ",$AA25)))),"")</f>
        <v>0</v>
      </c>
      <c r="AI25" s="1368" t="str">
        <f>IF(25=25,IF($U25="","",IF((SUM(AG25:AH25))-(0)&gt;0,"X",IF((0)-(0)&gt;0,"?",""))),"")</f>
        <v/>
      </c>
      <c r="AJ25" s="1368">
        <f>IF(25=25,IF($U25="","",SUMPRODUCT(--ISNUMBER(SEARCH(" "&amp;$CR$341:$CR$398&amp;" ",$AA25)))),"")</f>
        <v>0</v>
      </c>
      <c r="AK25" s="1368">
        <f>IF(25=25,IF($U25="","",SUMPRODUCT(--ISNUMBER(SEARCH(" "&amp;$CR$399:$CR$426&amp;" ",$AL25)))+SUMPRODUCT(--ISNUMBER(SEARCH(" "&amp;$CR$2440:$CR$2453&amp;" ",$AL25)))),"")</f>
        <v>0</v>
      </c>
      <c r="AL25" s="1368" t="str">
        <f>IF(25=25,IF($U25="","",SUBSTITUTE(SUBSTITUTE(SUBSTITUTE(SUBSTITUTE(SUBSTITUTE(SUBSTITUTE(SUBSTITUTE(SUBSTITUTE(SUBSTITUTE(SUBSTITUTE(SUBSTITUTE(SUBSTITUTE(SUBSTITUTE(SUBSTITUTE($AA25," "&amp;$CR$2455&amp;" "," ")," "&amp;$CR$433&amp;" "," ")," "&amp;$CR$431&amp;" "," ")," "&amp;$CR$2438&amp;" "," ")," "&amp;$CR$2439&amp;" "," ")," "&amp;$CR$428&amp;" "," ")," "&amp;$CR$432&amp;" "," ")," "&amp;$CR$434&amp;" "," ")," "&amp;$CR$429&amp;" "," ")," "&amp;$CR$427&amp;" "," ")," "&amp;$CR$1367&amp;" "," ")," "&amp;$CR$435&amp;" "," ")," "&amp;$CR$1366&amp;" "," ")," "&amp;$CR$430&amp;" "," ")),"")</f>
        <v xml:space="preserve"> dos de colin </v>
      </c>
      <c r="AM25" s="1368" t="str">
        <f>IF(25=25,IF($U25="","",IF(AJ25&gt;0,"X",IF(AK25&gt;0,"?",""))),"")</f>
        <v/>
      </c>
      <c r="AN25" s="1368">
        <f>IF(25=25,IF($U25="","",SUMPRODUCT(--ISNUMBER(SEARCH(" "&amp;$CR$436:$CR$535&amp;" ",$AX25)))),"")</f>
        <v>0</v>
      </c>
      <c r="AO25" s="1368">
        <f>IF(25=25,IF($U25="","",SUMPRODUCT(--ISNUMBER(SEARCH(" "&amp;$CR$536:$CR$635&amp;" ",$AX25)))),"")</f>
        <v>1</v>
      </c>
      <c r="AP25" s="1368">
        <f>IF(25=25,IF($U25="","",SUMPRODUCT(--ISNUMBER(SEARCH(" "&amp;$CR$636:$CR$735&amp;" ",$AX25)))),"")</f>
        <v>0</v>
      </c>
      <c r="AQ25" s="1368">
        <f>IF(25=25,IF($U25="","",SUMPRODUCT(--ISNUMBER(SEARCH(" "&amp;$CR$736:$CR$835&amp;" ",$AX25)))),"")</f>
        <v>0</v>
      </c>
      <c r="AR25" s="1368">
        <f>IF(25=25,IF($U25="","",SUMPRODUCT(--ISNUMBER(SEARCH(" "&amp;$CR$836:$CR$935&amp;" ",$AX25)))),"")</f>
        <v>0</v>
      </c>
      <c r="AS25" s="1368">
        <f>IF(25=25,IF($U25="","",SUMPRODUCT(--ISNUMBER(SEARCH(" "&amp;$CR$936:$CR$1035&amp;" ",$AX25)))),"")</f>
        <v>0</v>
      </c>
      <c r="AT25" s="1368">
        <f>IF(25=25,IF($U25="","",SUMPRODUCT(--ISNUMBER(SEARCH(" "&amp;$CR$1036:$CR$1135&amp;" ",$AX25)))),"")</f>
        <v>0</v>
      </c>
      <c r="AU25" s="1368">
        <f>IF(25=25,IF($U25="","",SUMPRODUCT(--ISNUMBER(SEARCH(" "&amp;$CR$1136:$CR$1235&amp;" ",$AX25)))),"")</f>
        <v>0</v>
      </c>
      <c r="AV25" s="1368">
        <f>IF(25=25,IF($U25="","",SUMPRODUCT(--ISNUMBER(SEARCH(" "&amp;$CR$1236:$CR$1335&amp;" ",$AX25)))),"")</f>
        <v>0</v>
      </c>
      <c r="AW25" s="1368">
        <f>IF(25=25,IF($U25="","",SUMPRODUCT(--ISNUMBER(SEARCH(" "&amp;$CR$1336:$CR$1363&amp;" ",$AX25)))),"")</f>
        <v>0</v>
      </c>
      <c r="AX25" s="1368" t="str">
        <f>IF(25=25,IF($U25="","",SUBSTITUTE(SUBSTITUTE(SUBSTITUTE(SUBSTITUTE(SUBSTITUTE(SUBSTITUTE(SUBSTITUTE(SUBSTITUTE(SUBSTITUTE($AA25," "&amp;$CR$1365&amp;" "," ")," "&amp;$CR$1364&amp;" "," ")," "&amp;$CR$1370&amp;" "," ")," "&amp;$CR$1371&amp;" "," ")," "&amp;$CR$1367&amp;" "," ")," "&amp;$CR$1369&amp;" "," ")," "&amp;$CR$1366&amp;" "," ")," "&amp;$CR$1368&amp;" "," ")," "&amp;$CR$1372&amp;" "," ")),"")</f>
        <v xml:space="preserve"> dos de colin </v>
      </c>
      <c r="AY25" s="1368">
        <f>IF(25=25,IF($U25="","",SUMPRODUCT(--ISNUMBER(SEARCH(" "&amp;$CR$1373:$CR$1383&amp;" ",$AX25)))),"")</f>
        <v>0</v>
      </c>
      <c r="AZ25" s="1368" t="str">
        <f>IF(25=25,IF($U25="","",IF(SUM(AN25:AW25)+SUMPRODUCT(--ISNUMBER(SEARCH(" "&amp;$CR$2421:$CR$2422&amp;" ",$AX25)))&gt;0,"X",IF(AY25&gt;0,"?",""))),"")</f>
        <v>X</v>
      </c>
      <c r="BA25" s="1368">
        <f>IF(25=25,IF($U25="","",SUMPRODUCT(--ISNUMBER(SEARCH(" "&amp;$CR$1384:$CR$1404&amp;" ",$AA25)))),"")</f>
        <v>0</v>
      </c>
      <c r="BB25" s="1368" t="str">
        <f>IF(25=25,IF($U25="","",IF((BA25)-(0)&gt;0,"X",IF((0)-(0)&gt;0,"?",""))),"")</f>
        <v/>
      </c>
      <c r="BC25" s="1368">
        <f>IF(25=25,IF($U25="","",SUMPRODUCT(--ISNUMBER(SEARCH(" "&amp;$CR$1405:$CR$1442&amp;" ",$BD25)))),"")</f>
        <v>0</v>
      </c>
      <c r="BD25" s="1368" t="str">
        <f>IF(25=25,IF($U25="","",SUBSTITUTE(SUBSTITUTE($AA25," "&amp;$CR$1443&amp;" "," ")," "&amp;$CR$1444&amp;" "," ")),"")</f>
        <v xml:space="preserve"> dos de colin </v>
      </c>
      <c r="BE25" s="1368">
        <f>IF(25=25,IF($U25="","",SUMPRODUCT(--ISNUMBER(SEARCH(" "&amp;$CR$1445:$CR$1455&amp;" ",$BD25)))),"")</f>
        <v>0</v>
      </c>
      <c r="BF25" s="1368" t="str">
        <f>IF(25=25,IF($U25="","",IF(BC25&gt;0,"X",IF(BE25&gt;0,"?",""))),"")</f>
        <v/>
      </c>
      <c r="BG25" s="1368">
        <f>IF(25=25,IF($U25="","",SUMPRODUCT(--ISNUMBER(SEARCH(" "&amp;$CR$1456:$CR$1555&amp;" ",$BJ25)))),"")</f>
        <v>0</v>
      </c>
      <c r="BH25" s="1368">
        <f>IF(25=25,IF($U25="","",SUMPRODUCT(--ISNUMBER(SEARCH(" "&amp;$CR$1556:$CR$1655&amp;" ",$BJ25)))),"")</f>
        <v>0</v>
      </c>
      <c r="BI25" s="1368">
        <f>IF(25=25,IF($U25="","",SUMPRODUCT(--ISNUMBER(SEARCH(" "&amp;$CR$1656:$CR$1739&amp;" ",$BJ25)))),"")</f>
        <v>0</v>
      </c>
      <c r="BJ25" s="1368" t="str">
        <f>IF(25=25,IF($U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dos de colin </v>
      </c>
      <c r="BK25" s="1368">
        <f>IF(25=25,IF($U25="","",SUMPRODUCT(--ISNUMBER(SEARCH(" "&amp;$CR$1790:$CR$1869&amp;" ",$BL25)))+SUMPRODUCT(--ISNUMBER(SEARCH(" "&amp;$CR$2440:$CR$2453&amp;" ",$BL25)))),"")</f>
        <v>0</v>
      </c>
      <c r="BL25" s="1368" t="str">
        <f>IF(25=25,IF($U25="","",SUBSTITUTE(SUBSTITUTE(SUBSTITUTE(SUBSTITUTE(SUBSTITUTE(SUBSTITUTE(SUBSTITUTE(SUBSTITUTE(SUBSTITUTE(SUBSTITUTE(SUBSTITUTE(SUBSTITUTE(SUBSTITUTE($BJ25," "&amp;$CR$1876&amp;" "," ")," "&amp;$CR$1874&amp;" "," ")," "&amp;$CR$2438&amp;" "," ")," "&amp;$CR$2439&amp;" "," ")," "&amp;$CR$1871&amp;" "," ")," "&amp;$CR$1875&amp;" "," ")," "&amp;$CR$1877&amp;" "," ")," "&amp;$CR$1872&amp;" "," ")," "&amp;$CR$1870&amp;" "," ")," "&amp;$CR$1367&amp;" "," ")," "&amp;$CR$1878&amp;" "," ")," "&amp;$CR$1366&amp;" "," ")," "&amp;$CR$1873&amp;" "," ")),"")</f>
        <v xml:space="preserve"> dos de colin </v>
      </c>
      <c r="BM25" s="1368" t="str">
        <f>IF(25=25,IF($U25="","",IF(SUM(BG25:BI25)+SUMPRODUCT(--ISNUMBER(SEARCH(" "&amp;$CR$2423:$CR$2424&amp;" ",$BJ25)))&gt;0,"X",IF(BK25&gt;0,"?",""))),"")</f>
        <v/>
      </c>
      <c r="BN25" s="1368">
        <f>IF(25=25,IF($U25="","",SUMPRODUCT(--ISNUMBER(SEARCH(" "&amp;$CR$1879:$CR$1936&amp;" ",$BO25)))),"")</f>
        <v>0</v>
      </c>
      <c r="BO25" s="1368" t="str">
        <f>IF(25=25,IF($U25="","",SUBSTITUTE(SUBSTITUTE(SUBSTITUTE(SUBSTITUTE(SUBSTITUTE(SUBSTITUTE(SUBSTITUTE(SUBSTITUTE(SUBSTITUTE(SUBSTITUTE(SUBSTITUTE(SUBSTITUTE(SUBSTITUTE(SUBSTITUTE(SUBSTITUTE(SUBSTITUTE(SUBSTITUTE(SUBSTITUTE(SUBSTITUTE(SUBSTITUTE(SUBSTITUTE(SUBSTITUTE(SUBSTITUTE($AA25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dos de colin </v>
      </c>
      <c r="BP25" s="1368">
        <f>IF(25=25,IF($U25="","",SUMPRODUCT(--ISNUMBER(SEARCH(" "&amp;$CR$1960:$CR$1976&amp;" ",$BO25)))),"")</f>
        <v>0</v>
      </c>
      <c r="BQ25" s="1368" t="str">
        <f>IF(25=25,IF($U25="","",IF(BN25&gt;0,"X",IF(BP25&gt;0,"?",""))),"")</f>
        <v/>
      </c>
      <c r="BR25" s="1368">
        <f>IF(25=25,IF($U25="","",SUMPRODUCT(--ISNUMBER(SEARCH(" "&amp;$CR$1977:$CR$1990&amp;" ",$AA25)))),"")</f>
        <v>0</v>
      </c>
      <c r="BS25" s="1368">
        <f>IF(25=25,IF($U25="","",SUMPRODUCT(--ISNUMBER(SEARCH(" "&amp;$CR$1991:$CR$2005&amp;" ",$AA25)))),"")</f>
        <v>0</v>
      </c>
      <c r="BT25" s="1368" t="str">
        <f>IF(25=25,IF($U25="","",IF((BR25)-(0)&gt;0,"X",IF((BS25)-(0)&gt;0,"?",""))),"")</f>
        <v/>
      </c>
      <c r="BU25" s="1368">
        <f>IF(25=25,IF($U25="","",SUMPRODUCT(--ISNUMBER(SEARCH(" "&amp;$CR$2006:$CR$2023&amp;" ",$AA25)))),"")</f>
        <v>0</v>
      </c>
      <c r="BV25" s="1368">
        <f>IF(25=25,IF($U25="","",SUMPRODUCT(--ISNUMBER(SEARCH(" "&amp;$CR$2024:$CR$2038&amp;" ",$AA25)))),"")</f>
        <v>0</v>
      </c>
      <c r="BW25" s="1368" t="str">
        <f>IF(25=25,IF($U25="","",IF((BU25)-(0)&gt;0,"X",IF((BV25)-(0)&gt;0,"?",""))),"")</f>
        <v/>
      </c>
      <c r="BX25" s="1368">
        <f>IF(25=25,IF($U25="","",SUMPRODUCT(--ISNUMBER(SEARCH(" "&amp;$CR$2039:$CR$2057&amp;" ",$AA25)))),"")</f>
        <v>0</v>
      </c>
      <c r="BY25" s="1368">
        <f>IF(25=25,IF($U25="","",SUMPRODUCT(--ISNUMBER(SEARCH(" "&amp;$CR$2058:$CR$2072&amp;" ",$AA25)))),"")</f>
        <v>0</v>
      </c>
      <c r="BZ25" s="1368" t="str">
        <f>IF(25=25,IF($U25="","",IF((BX25)-(0)&gt;0,"X",IF((BY25)-(0)&gt;0,"?",""))),"")</f>
        <v/>
      </c>
      <c r="CA25" s="1368">
        <f>IF(25=25,IF($U25="","",SUMPRODUCT(--ISNUMBER(SEARCH(" "&amp;$CR$2073:$CR$2093&amp;" ",$AA25)))),"")</f>
        <v>0</v>
      </c>
      <c r="CB25" s="1368">
        <f>IF(25=25,IF($U25="","",SUMPRODUCT(--ISNUMBER(SEARCH(" "&amp;$CR$2094:$CR$2133&amp;" ",SUBSTITUTE(SUBSTITUTE($AA25," "&amp;$CR$1367&amp;" "," ")," "&amp;$CR$1366&amp;" "," "))))+--ISNUMBER(SEARCH("poiré",$V25))),"")</f>
        <v>0</v>
      </c>
      <c r="CC25" s="1368" t="str">
        <f>IF(25=25,IF($U25="","",IF(OR(CA25&gt;0,ISNUMBER(SEARCH(" vinaigre de vin ",$AA25)),ISNUMBER(SEARCH(" vinaigre au vin ",$AA25))),"X",IF(CB25&gt;0,"?",""))),"")</f>
        <v/>
      </c>
      <c r="CD25" s="1368">
        <f>IF(25=25,IF($U25="","",SUMPRODUCT(--ISNUMBER(SEARCH(" "&amp;$CR$2134:$CR$2146&amp;" ",$AA25)))),"")</f>
        <v>0</v>
      </c>
      <c r="CE25" s="1368">
        <f>IF(25=25,IF($U25="","",SUMPRODUCT(--ISNUMBER(SEARCH(" "&amp;$CR$2147:$CR$2152&amp;" ",$AA25)))),"")</f>
        <v>0</v>
      </c>
      <c r="CF25" s="1368" t="str">
        <f>IF(25=25,IF($U25="","",IF((CD25)-(0)&gt;0,"X",IF((CE25)-(0)&gt;0,"?",""))),"")</f>
        <v/>
      </c>
      <c r="CG25" s="1368">
        <f>IF(25=25,IF($U25="","",SUMPRODUCT(--ISNUMBER(SEARCH(" "&amp;$CR$2153:$CR$2252&amp;" ",$CJ25)))),"")</f>
        <v>0</v>
      </c>
      <c r="CH25" s="1368">
        <f>IF(25=25,IF($U25="","",SUMPRODUCT(--ISNUMBER(SEARCH(" "&amp;$CR$2253:$CR$2352&amp;" ",$CJ25)))),"")</f>
        <v>0</v>
      </c>
      <c r="CI25" s="1368">
        <f>IF(25=25,IF($U25="","",SUMPRODUCT(--ISNUMBER(SEARCH(" "&amp;$CR$2353:$CR$2395&amp;" ",$CJ25)))),"")</f>
        <v>0</v>
      </c>
      <c r="CJ25" s="1368" t="str">
        <f>IF(25=25,IF($U25="","",SUBSTITUTE(SUBSTITUTE(SUBSTITUTE(SUBSTITUTE(SUBSTITUTE(SUBSTITUTE(SUBSTITUTE(SUBSTITUTE(SUBSTITUTE(SUBSTITUTE(SUBSTITUTE(SUBSTITUTE(SUBSTITUTE(SUBSTITUTE(SUBSTITUTE(SUBSTITUTE($AA25," "&amp;$CR$2401&amp;" "," ")," "&amp;$CR$2400&amp;" "," ")," "&amp;$CR$2399&amp;" "," ")," "&amp;$CR$2406&amp;" "," ")," "&amp;$CR$2398&amp;" "," ")," "&amp;$CR$2410&amp;" "," ")," "&amp;$CR$2397&amp;" "," ")," "&amp;$CR$2402&amp;" "," ")," "&amp;$CR$2405&amp;" "," ")," "&amp;$CR$2396&amp;" "," ")," "&amp;$CR$2404&amp;" "," ")," "&amp;$CR$2411&amp;" "," ")," "&amp;$CR$2408&amp;" "," ")," "&amp;$CR$2403&amp;" "," ")," "&amp;$CR$2407&amp;" "," ")," "&amp;$CR$2409&amp;" "," ")),"")</f>
        <v xml:space="preserve"> dos de colin </v>
      </c>
      <c r="CK25" s="1368">
        <f>IF(25=25,IF($U25="","",SUMPRODUCT(--ISNUMBER(SEARCH(" "&amp;$CR$2412:$CR$2416&amp;" ",$CJ25)))),"")</f>
        <v>0</v>
      </c>
      <c r="CL25" s="1368" t="str">
        <f>IF(25=25,IF($U25="","",IF(SUM(CG25:CI25)&gt;0,"X",IF(CK25&gt;0,"?",""))),"")</f>
        <v/>
      </c>
      <c r="CM25" s="1377"/>
      <c r="CN25" s="1388" t="s">
        <v>8255</v>
      </c>
      <c r="CO25" s="1388" t="s">
        <v>8105</v>
      </c>
      <c r="CP25" s="1388" t="s">
        <v>8106</v>
      </c>
      <c r="CQ25" s="1388" t="s">
        <v>8256</v>
      </c>
      <c r="CR25" s="1388" t="s">
        <v>8256</v>
      </c>
      <c r="CS25" s="1388" t="s">
        <v>8108</v>
      </c>
      <c r="CT25" s="1388" t="s">
        <v>8109</v>
      </c>
      <c r="CU25" s="1388" t="s">
        <v>8110</v>
      </c>
      <c r="CV25" s="1389" t="s">
        <v>8111</v>
      </c>
      <c r="CX25" s="1379">
        <v>1</v>
      </c>
    </row>
    <row r="26" spans="1:102" ht="21" customHeight="1" x14ac:dyDescent="0.25">
      <c r="A26" s="1412">
        <v>20</v>
      </c>
      <c r="B26" s="1413" t="s">
        <v>8257</v>
      </c>
      <c r="C26" s="1414" t="str">
        <f t="shared" si="0"/>
        <v>Echalotes fraîches ou émincées surgelées</v>
      </c>
      <c r="D26" s="1415" t="str">
        <f>IF(26=26,IF($B26="","",IF(E26="X",""&amp;"Céréales contenant du gluten","")&amp;IF(F26="X",IF(COUNTIF($E26:$E26,"X")&gt;0,", ","")&amp;"Crustacés","")&amp;IF(G26="X",IF(COUNTIF($E26:$F26,"X")&gt;0,", ","")&amp;"Œufs","")&amp;IF(H26="X",IF(COUNTIF($E26:$G26,"X")&gt;0,", ","")&amp;"Poissons","")&amp;IF(I26="X",IF(COUNTIF($E26:$H26,"X")&gt;0,", ","")&amp;"Arachides","")&amp;IF(J26="X",IF(COUNTIF($E26:$I26,"X")&gt;0,", ","")&amp;"Soja","")&amp;IF(K26="X",IF(COUNTIF($E26:$J26,"X")&gt;0,", ","")&amp;"Lait","")&amp;IF(L26="X",IF(COUNTIF($E26:$K26,"X")&gt;0,", ","")&amp;"Fruits à coque","")&amp;IF(M26="X",IF(COUNTIF($E26:$L26,"X")&gt;0,", ","")&amp;"Céleri","")&amp;IF(N26="X",IF(COUNTIF($E26:$M26,"X")&gt;0,", ","")&amp;"Moutarde","")&amp;IF(O26="X",IF(COUNTIF($E26:$N26,"X")&gt;0,", ","")&amp;"Sésame","")&amp;IF(P26="X",IF(COUNTIF($E26:$O26,"X")&gt;0,", ","")&amp;"Sulfites","")&amp;IF(Q26="X",IF(COUNTIF($E26:$P26,"X")&gt;0,", ","")&amp;"Lupin","")&amp;IF(R26="X",IF(COUNTIF($E26:$Q26,"X")&gt;0,", ","")&amp;"Mollusques","")),"")</f>
        <v/>
      </c>
      <c r="E26" s="1416" t="str">
        <f>IF(26=26,IF($B26="","",AF26),"")</f>
        <v/>
      </c>
      <c r="F26" s="1416" t="str">
        <f>IF(26=26,IF($B26="","",AI26),"")</f>
        <v/>
      </c>
      <c r="G26" s="1416" t="str">
        <f>IF(26=26,IF($B26="","",AM26),"")</f>
        <v/>
      </c>
      <c r="H26" s="1416" t="str">
        <f>IF(26=26,IF($B26="","",IF(ISNUMBER(SEARCH(" colin ",$AA26)),"X",AZ26)),"")</f>
        <v/>
      </c>
      <c r="I26" s="1416" t="str">
        <f>IF(26=26,IF($B26="","",BB26),"")</f>
        <v/>
      </c>
      <c r="J26" s="1416" t="str">
        <f>IF(26=26,IF($B26="","",BF26),"")</f>
        <v/>
      </c>
      <c r="K26" s="1416" t="str">
        <f>IF(26=26,IF($B26="","",BM26),"")</f>
        <v/>
      </c>
      <c r="L26" s="1416" t="str">
        <f>IF(26=26,IF($B26="","",BQ26),"")</f>
        <v/>
      </c>
      <c r="M26" s="1416" t="str">
        <f>IF(26=26,IF($B26="","",BT26),"")</f>
        <v/>
      </c>
      <c r="N26" s="1416" t="str">
        <f>IF(26=26,IF($B26="","",BW26),"")</f>
        <v/>
      </c>
      <c r="O26" s="1416" t="str">
        <f>IF(26=26,IF($B26="","",BZ26),"")</f>
        <v/>
      </c>
      <c r="P26" s="1416" t="str">
        <f>IF(26=26,IF($B26="","",CC26),"")</f>
        <v/>
      </c>
      <c r="Q26" s="1416" t="str">
        <f>IF(26=26,IF($B26="","",CF26),"")</f>
        <v/>
      </c>
      <c r="R26" s="1416" t="str">
        <f>IF(26=26,IF($B26="","",CL26),"")</f>
        <v/>
      </c>
      <c r="S26" s="1417" t="str">
        <f>IF(26=26,IF($B26="","",IF(E26="?",""&amp;"Céréales contenant du gluten","")&amp;IF(F26="?",IF(COUNTIF($E26:$E26,"~?")&gt;0,", ","")&amp;"Crustacés","")&amp;IF(G26="?",IF(COUNTIF($E26:$F26,"~?")&gt;0,", ","")&amp;"Œufs","")&amp;IF(H26="?",IF(COUNTIF($E26:$G26,"~?")&gt;0,", ","")&amp;"Poissons","")&amp;IF(I26="?",IF(COUNTIF($E26:$H26,"~?")&gt;0,", ","")&amp;"Arachides","")&amp;IF(J26="?",IF(COUNTIF($E26:$I26,"~?")&gt;0,", ","")&amp;"Soja","")&amp;IF(K26="?",IF(COUNTIF($E26:$J26,"~?")&gt;0,", ","")&amp;"Lait","")&amp;IF(L26="?",IF(COUNTIF($E26:$K26,"~?")&gt;0,", ","")&amp;"Fruits à coque","")&amp;IF(M26="?",IF(COUNTIF($E26:$L26,"~?")&gt;0,", ","")&amp;"Céleri","")&amp;IF(N26="?",IF(COUNTIF($E26:$M26,"~?")&gt;0,", ","")&amp;"Moutarde","")&amp;IF(O26="?",IF(COUNTIF($E26:$N26,"~?")&gt;0,", ","")&amp;"Sésame","")&amp;IF(P26="?",IF(COUNTIF($E26:$O26,"~?")&gt;0,", ","")&amp;"Sulfites","")&amp;IF(Q26="?",IF(COUNTIF($E26:$P26,"~?")&gt;0,", ","")&amp;"Lupin","")&amp;IF(R26="?",IF(COUNTIF($E26:$Q26,"~?")&gt;0,", ","")&amp;"Mollusques","")),"")</f>
        <v/>
      </c>
      <c r="U26" s="1368" t="str">
        <f>IF(26=26,IF($B26="","",$B26),"")</f>
        <v>Echalotes fraîches ou émincées surgelées</v>
      </c>
      <c r="V26" s="1368" t="str">
        <f>IF(26=26,LOWER(CLEAN(SUBSTITUTE(SUBSTITUTE(SUBSTITUTE(SUBSTITUTE($U26,CHAR(160)," ")," "," "),CHAR(10)," "),CHAR(13)," "))),"")</f>
        <v>echalotes fraîches ou émincées surgelées</v>
      </c>
      <c r="W26" s="1368" t="str">
        <f>IF(26=26,SUBSTITUTE(SUBSTITUTE(SUBSTITUTE(SUBSTITUTE(SUBSTITUTE(SUBSTITUTE(SUBSTITUTE(SUBSTITUTE(SUBSTITUTE(SUBSTITUTE(SUBSTITUTE(SUBSTITUTE($V26,"œ","oe"),"æ","ae"),"à","a"),"á","a"),"â","a"),"ä","a"),"ã","a"),"ç","c"),"è","e"),"é","e"),"ê","e"),"ë","e"),"")</f>
        <v>echalotes fraîches ou emincees surgelees</v>
      </c>
      <c r="X26" s="1368" t="str">
        <f>IF(26=26,SUBSTITUTE(SUBSTITUTE(SUBSTITUTE(SUBSTITUTE(SUBSTITUTE(SUBSTITUTE(SUBSTITUTE(SUBSTITUTE(SUBSTITUTE(SUBSTITUTE(SUBSTITUTE(SUBSTITUTE(SUBSTITUTE(SUBSTITUTE(SUBSTITUTE(SUBSTITUTE($W26,"ì","i"),"í","i"),"î","i"),"ï","i"),"ñ","n"),"ò","o"),"ó","o"),"ô","o"),"ö","o"),"õ","o"),"ù","u"),"ú","u"),"û","u"),"ü","u"),"ý","y"),"ÿ","y"),"")</f>
        <v>echalotes fraiches ou emincees surgelees</v>
      </c>
      <c r="Y26" s="1368" t="str">
        <f>IF(26=26,SUBSTITUTE(SUBSTITUTE(SUBSTITUTE(SUBSTITUTE(SUBSTITUTE(SUBSTITUTE(SUBSTITUTE(SUBSTITUTE(SUBSTITUTE(SUBSTITUTE(SUBSTITUTE(SUBSTITUTE(SUBSTITUTE(SUBSTITUTE($X26,"’"," "),"`"," "),"–"," "),"—"," "),"-"," "),"'"," "),"/"," "),"_"," "),","," "),"."," "),"("," "),")"," "),";"," "),":"," "),"")</f>
        <v>echalotes fraiches ou emincees surgelees</v>
      </c>
      <c r="Z26" s="1368" t="str">
        <f>IF(26=26,SUBSTITUTE(SUBSTITUTE(SUBSTITUTE(SUBSTITUTE(SUBSTITUTE(SUBSTITUTE(SUBSTITUTE(SUBSTITUTE(SUBSTITUTE(SUBSTITUTE(SUBSTITUTE(SUBSTITUTE(SUBSTITUTE(SUBSTITUTE(SUBSTITUTE($Y26,"!"," "),"?"," "),"+"," "),"*"," "),"&amp;"," "),"["," "),"]"," "),"{"," "),"}"," "),"%"," "),"="," "),"\"," "),"|"," "),"&lt;"," "),"&gt;"," "),"")</f>
        <v>echalotes fraiches ou emincees surgelees</v>
      </c>
      <c r="AA26" s="1368" t="str">
        <f>IF(26=26," "&amp;TRIM(SUBSTITUTE(SUBSTITUTE(SUBSTITUTE(SUBSTITUTE(SUBSTITUTE(SUBSTITUTE($Z26,CHAR(34)," "),"  "," "),"  "," "),"  "," "),"  "," "),"  "," "))&amp;" ","")</f>
        <v xml:space="preserve"> echalotes fraiches ou emincees surgelees </v>
      </c>
      <c r="AB26" s="1368">
        <f>IF(26=26,IF($U26="","",SUMPRODUCT(--ISNUMBER(SEARCH(" "&amp;$CR$2:$CR$101&amp;" ",$AD26)))),"")</f>
        <v>0</v>
      </c>
      <c r="AC26" s="1368">
        <f>IF(26=26,IF($U26="","",SUMPRODUCT(--ISNUMBER(SEARCH(" "&amp;$CR$102:$CR$151&amp;" ",$AD26)))),"")</f>
        <v>0</v>
      </c>
      <c r="AD26" s="1368" t="str">
        <f t="shared" si="1"/>
        <v xml:space="preserve"> echalotes fraiches ou emincees surgelees </v>
      </c>
      <c r="AE26" s="1368">
        <f t="shared" si="2"/>
        <v>0</v>
      </c>
      <c r="AF26" s="1368" t="str">
        <f>IF(26=26,IF($U26="","",IF(SUM(AB26:AC26)+SUMPRODUCT(--ISNUMBER(SEARCH(" "&amp;$CR$2418:$CR$2420&amp;" ",$AD26)))&gt;0,"X",IF(AE26&gt;0,"?",""))),"")</f>
        <v/>
      </c>
      <c r="AG26" s="1368">
        <f>IF(26=26,IF($U26="","",SUMPRODUCT(--ISNUMBER(SEARCH(" "&amp;$CR$206:$CR$305&amp;" ",$AA26)))),"")</f>
        <v>0</v>
      </c>
      <c r="AH26" s="1368">
        <f>IF(26=26,IF($U26="","",SUMPRODUCT(--ISNUMBER(SEARCH(" "&amp;$CR$306:$CR$340&amp;" ",$AA26)))),"")</f>
        <v>0</v>
      </c>
      <c r="AI26" s="1368" t="str">
        <f>IF(26=26,IF($U26="","",IF((SUM(AG26:AH26))-(0)&gt;0,"X",IF((0)-(0)&gt;0,"?",""))),"")</f>
        <v/>
      </c>
      <c r="AJ26" s="1368">
        <f>IF(26=26,IF($U26="","",SUMPRODUCT(--ISNUMBER(SEARCH(" "&amp;$CR$341:$CR$398&amp;" ",$AA26)))),"")</f>
        <v>0</v>
      </c>
      <c r="AK26" s="1368">
        <f>IF(26=26,IF($U26="","",SUMPRODUCT(--ISNUMBER(SEARCH(" "&amp;$CR$399:$CR$426&amp;" ",$AL26)))+SUMPRODUCT(--ISNUMBER(SEARCH(" "&amp;$CR$2440:$CR$2453&amp;" ",$AL26)))),"")</f>
        <v>0</v>
      </c>
      <c r="AL26" s="1368" t="str">
        <f>IF(26=26,IF($U26="","",SUBSTITUTE(SUBSTITUTE(SUBSTITUTE(SUBSTITUTE(SUBSTITUTE(SUBSTITUTE(SUBSTITUTE(SUBSTITUTE(SUBSTITUTE(SUBSTITUTE(SUBSTITUTE(SUBSTITUTE(SUBSTITUTE(SUBSTITUTE($AA26," "&amp;$CR$2455&amp;" "," ")," "&amp;$CR$433&amp;" "," ")," "&amp;$CR$431&amp;" "," ")," "&amp;$CR$2438&amp;" "," ")," "&amp;$CR$2439&amp;" "," ")," "&amp;$CR$428&amp;" "," ")," "&amp;$CR$432&amp;" "," ")," "&amp;$CR$434&amp;" "," ")," "&amp;$CR$429&amp;" "," ")," "&amp;$CR$427&amp;" "," ")," "&amp;$CR$1367&amp;" "," ")," "&amp;$CR$435&amp;" "," ")," "&amp;$CR$1366&amp;" "," ")," "&amp;$CR$430&amp;" "," ")),"")</f>
        <v xml:space="preserve"> echalotes fraiches ou emincees surgelees </v>
      </c>
      <c r="AM26" s="1368" t="str">
        <f>IF(26=26,IF($U26="","",IF(AJ26&gt;0,"X",IF(AK26&gt;0,"?",""))),"")</f>
        <v/>
      </c>
      <c r="AN26" s="1368">
        <f>IF(26=26,IF($U26="","",SUMPRODUCT(--ISNUMBER(SEARCH(" "&amp;$CR$436:$CR$535&amp;" ",$AX26)))),"")</f>
        <v>0</v>
      </c>
      <c r="AO26" s="1368">
        <f>IF(26=26,IF($U26="","",SUMPRODUCT(--ISNUMBER(SEARCH(" "&amp;$CR$536:$CR$635&amp;" ",$AX26)))),"")</f>
        <v>0</v>
      </c>
      <c r="AP26" s="1368">
        <f>IF(26=26,IF($U26="","",SUMPRODUCT(--ISNUMBER(SEARCH(" "&amp;$CR$636:$CR$735&amp;" ",$AX26)))),"")</f>
        <v>0</v>
      </c>
      <c r="AQ26" s="1368">
        <f>IF(26=26,IF($U26="","",SUMPRODUCT(--ISNUMBER(SEARCH(" "&amp;$CR$736:$CR$835&amp;" ",$AX26)))),"")</f>
        <v>0</v>
      </c>
      <c r="AR26" s="1368">
        <f>IF(26=26,IF($U26="","",SUMPRODUCT(--ISNUMBER(SEARCH(" "&amp;$CR$836:$CR$935&amp;" ",$AX26)))),"")</f>
        <v>0</v>
      </c>
      <c r="AS26" s="1368">
        <f>IF(26=26,IF($U26="","",SUMPRODUCT(--ISNUMBER(SEARCH(" "&amp;$CR$936:$CR$1035&amp;" ",$AX26)))),"")</f>
        <v>0</v>
      </c>
      <c r="AT26" s="1368">
        <f>IF(26=26,IF($U26="","",SUMPRODUCT(--ISNUMBER(SEARCH(" "&amp;$CR$1036:$CR$1135&amp;" ",$AX26)))),"")</f>
        <v>0</v>
      </c>
      <c r="AU26" s="1368">
        <f>IF(26=26,IF($U26="","",SUMPRODUCT(--ISNUMBER(SEARCH(" "&amp;$CR$1136:$CR$1235&amp;" ",$AX26)))),"")</f>
        <v>0</v>
      </c>
      <c r="AV26" s="1368">
        <f>IF(26=26,IF($U26="","",SUMPRODUCT(--ISNUMBER(SEARCH(" "&amp;$CR$1236:$CR$1335&amp;" ",$AX26)))),"")</f>
        <v>0</v>
      </c>
      <c r="AW26" s="1368">
        <f>IF(26=26,IF($U26="","",SUMPRODUCT(--ISNUMBER(SEARCH(" "&amp;$CR$1336:$CR$1363&amp;" ",$AX26)))),"")</f>
        <v>0</v>
      </c>
      <c r="AX26" s="1368" t="str">
        <f>IF(26=26,IF($U26="","",SUBSTITUTE(SUBSTITUTE(SUBSTITUTE(SUBSTITUTE(SUBSTITUTE(SUBSTITUTE(SUBSTITUTE(SUBSTITUTE(SUBSTITUTE($AA26," "&amp;$CR$1365&amp;" "," ")," "&amp;$CR$1364&amp;" "," ")," "&amp;$CR$1370&amp;" "," ")," "&amp;$CR$1371&amp;" "," ")," "&amp;$CR$1367&amp;" "," ")," "&amp;$CR$1369&amp;" "," ")," "&amp;$CR$1366&amp;" "," ")," "&amp;$CR$1368&amp;" "," ")," "&amp;$CR$1372&amp;" "," ")),"")</f>
        <v xml:space="preserve"> echalotes fraiches ou emincees surgelees </v>
      </c>
      <c r="AY26" s="1368">
        <f>IF(26=26,IF($U26="","",SUMPRODUCT(--ISNUMBER(SEARCH(" "&amp;$CR$1373:$CR$1383&amp;" ",$AX26)))),"")</f>
        <v>0</v>
      </c>
      <c r="AZ26" s="1368" t="str">
        <f>IF(26=26,IF($U26="","",IF(SUM(AN26:AW26)+SUMPRODUCT(--ISNUMBER(SEARCH(" "&amp;$CR$2421:$CR$2422&amp;" ",$AX26)))&gt;0,"X",IF(AY26&gt;0,"?",""))),"")</f>
        <v/>
      </c>
      <c r="BA26" s="1368">
        <f>IF(26=26,IF($U26="","",SUMPRODUCT(--ISNUMBER(SEARCH(" "&amp;$CR$1384:$CR$1404&amp;" ",$AA26)))),"")</f>
        <v>0</v>
      </c>
      <c r="BB26" s="1368" t="str">
        <f>IF(26=26,IF($U26="","",IF((BA26)-(0)&gt;0,"X",IF((0)-(0)&gt;0,"?",""))),"")</f>
        <v/>
      </c>
      <c r="BC26" s="1368">
        <f>IF(26=26,IF($U26="","",SUMPRODUCT(--ISNUMBER(SEARCH(" "&amp;$CR$1405:$CR$1442&amp;" ",$BD26)))),"")</f>
        <v>0</v>
      </c>
      <c r="BD26" s="1368" t="str">
        <f>IF(26=26,IF($U26="","",SUBSTITUTE(SUBSTITUTE($AA26," "&amp;$CR$1443&amp;" "," ")," "&amp;$CR$1444&amp;" "," ")),"")</f>
        <v xml:space="preserve"> echalotes fraiches ou emincees surgelees </v>
      </c>
      <c r="BE26" s="1368">
        <f>IF(26=26,IF($U26="","",SUMPRODUCT(--ISNUMBER(SEARCH(" "&amp;$CR$1445:$CR$1455&amp;" ",$BD26)))),"")</f>
        <v>0</v>
      </c>
      <c r="BF26" s="1368" t="str">
        <f>IF(26=26,IF($U26="","",IF(BC26&gt;0,"X",IF(BE26&gt;0,"?",""))),"")</f>
        <v/>
      </c>
      <c r="BG26" s="1368">
        <f>IF(26=26,IF($U26="","",SUMPRODUCT(--ISNUMBER(SEARCH(" "&amp;$CR$1456:$CR$1555&amp;" ",$BJ26)))),"")</f>
        <v>0</v>
      </c>
      <c r="BH26" s="1368">
        <f>IF(26=26,IF($U26="","",SUMPRODUCT(--ISNUMBER(SEARCH(" "&amp;$CR$1556:$CR$1655&amp;" ",$BJ26)))),"")</f>
        <v>0</v>
      </c>
      <c r="BI26" s="1368">
        <f>IF(26=26,IF($U26="","",SUMPRODUCT(--ISNUMBER(SEARCH(" "&amp;$CR$1656:$CR$1739&amp;" ",$BJ26)))),"")</f>
        <v>0</v>
      </c>
      <c r="BJ26" s="1368" t="str">
        <f>IF(26=26,IF($U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echalotes fraiches ou emincees surgelees </v>
      </c>
      <c r="BK26" s="1368">
        <f>IF(26=26,IF($U26="","",SUMPRODUCT(--ISNUMBER(SEARCH(" "&amp;$CR$1790:$CR$1869&amp;" ",$BL26)))+SUMPRODUCT(--ISNUMBER(SEARCH(" "&amp;$CR$2440:$CR$2453&amp;" ",$BL26)))),"")</f>
        <v>0</v>
      </c>
      <c r="BL26" s="1368" t="str">
        <f>IF(26=26,IF($U26="","",SUBSTITUTE(SUBSTITUTE(SUBSTITUTE(SUBSTITUTE(SUBSTITUTE(SUBSTITUTE(SUBSTITUTE(SUBSTITUTE(SUBSTITUTE(SUBSTITUTE(SUBSTITUTE(SUBSTITUTE(SUBSTITUTE($BJ26," "&amp;$CR$1876&amp;" "," ")," "&amp;$CR$1874&amp;" "," ")," "&amp;$CR$2438&amp;" "," ")," "&amp;$CR$2439&amp;" "," ")," "&amp;$CR$1871&amp;" "," ")," "&amp;$CR$1875&amp;" "," ")," "&amp;$CR$1877&amp;" "," ")," "&amp;$CR$1872&amp;" "," ")," "&amp;$CR$1870&amp;" "," ")," "&amp;$CR$1367&amp;" "," ")," "&amp;$CR$1878&amp;" "," ")," "&amp;$CR$1366&amp;" "," ")," "&amp;$CR$1873&amp;" "," ")),"")</f>
        <v xml:space="preserve"> echalotes fraiches ou emincees surgelees </v>
      </c>
      <c r="BM26" s="1368" t="str">
        <f>IF(26=26,IF($U26="","",IF(SUM(BG26:BI26)+SUMPRODUCT(--ISNUMBER(SEARCH(" "&amp;$CR$2423:$CR$2424&amp;" ",$BJ26)))&gt;0,"X",IF(BK26&gt;0,"?",""))),"")</f>
        <v/>
      </c>
      <c r="BN26" s="1368">
        <f>IF(26=26,IF($U26="","",SUMPRODUCT(--ISNUMBER(SEARCH(" "&amp;$CR$1879:$CR$1936&amp;" ",$BO26)))),"")</f>
        <v>0</v>
      </c>
      <c r="BO26" s="1368" t="str">
        <f>IF(26=26,IF($U26="","",SUBSTITUTE(SUBSTITUTE(SUBSTITUTE(SUBSTITUTE(SUBSTITUTE(SUBSTITUTE(SUBSTITUTE(SUBSTITUTE(SUBSTITUTE(SUBSTITUTE(SUBSTITUTE(SUBSTITUTE(SUBSTITUTE(SUBSTITUTE(SUBSTITUTE(SUBSTITUTE(SUBSTITUTE(SUBSTITUTE(SUBSTITUTE(SUBSTITUTE(SUBSTITUTE(SUBSTITUTE(SUBSTITUTE($AA26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echalotes fraiches ou emincees surgelees </v>
      </c>
      <c r="BP26" s="1368">
        <f>IF(26=26,IF($U26="","",SUMPRODUCT(--ISNUMBER(SEARCH(" "&amp;$CR$1960:$CR$1976&amp;" ",$BO26)))),"")</f>
        <v>0</v>
      </c>
      <c r="BQ26" s="1368" t="str">
        <f>IF(26=26,IF($U26="","",IF(BN26&gt;0,"X",IF(BP26&gt;0,"?",""))),"")</f>
        <v/>
      </c>
      <c r="BR26" s="1368">
        <f>IF(26=26,IF($U26="","",SUMPRODUCT(--ISNUMBER(SEARCH(" "&amp;$CR$1977:$CR$1990&amp;" ",$AA26)))),"")</f>
        <v>0</v>
      </c>
      <c r="BS26" s="1368">
        <f>IF(26=26,IF($U26="","",SUMPRODUCT(--ISNUMBER(SEARCH(" "&amp;$CR$1991:$CR$2005&amp;" ",$AA26)))),"")</f>
        <v>0</v>
      </c>
      <c r="BT26" s="1368" t="str">
        <f>IF(26=26,IF($U26="","",IF((BR26)-(0)&gt;0,"X",IF((BS26)-(0)&gt;0,"?",""))),"")</f>
        <v/>
      </c>
      <c r="BU26" s="1368">
        <f>IF(26=26,IF($U26="","",SUMPRODUCT(--ISNUMBER(SEARCH(" "&amp;$CR$2006:$CR$2023&amp;" ",$AA26)))),"")</f>
        <v>0</v>
      </c>
      <c r="BV26" s="1368">
        <f>IF(26=26,IF($U26="","",SUMPRODUCT(--ISNUMBER(SEARCH(" "&amp;$CR$2024:$CR$2038&amp;" ",$AA26)))),"")</f>
        <v>0</v>
      </c>
      <c r="BW26" s="1368" t="str">
        <f>IF(26=26,IF($U26="","",IF((BU26)-(0)&gt;0,"X",IF((BV26)-(0)&gt;0,"?",""))),"")</f>
        <v/>
      </c>
      <c r="BX26" s="1368">
        <f>IF(26=26,IF($U26="","",SUMPRODUCT(--ISNUMBER(SEARCH(" "&amp;$CR$2039:$CR$2057&amp;" ",$AA26)))),"")</f>
        <v>0</v>
      </c>
      <c r="BY26" s="1368">
        <f>IF(26=26,IF($U26="","",SUMPRODUCT(--ISNUMBER(SEARCH(" "&amp;$CR$2058:$CR$2072&amp;" ",$AA26)))),"")</f>
        <v>0</v>
      </c>
      <c r="BZ26" s="1368" t="str">
        <f>IF(26=26,IF($U26="","",IF((BX26)-(0)&gt;0,"X",IF((BY26)-(0)&gt;0,"?",""))),"")</f>
        <v/>
      </c>
      <c r="CA26" s="1368">
        <f>IF(26=26,IF($U26="","",SUMPRODUCT(--ISNUMBER(SEARCH(" "&amp;$CR$2073:$CR$2093&amp;" ",$AA26)))),"")</f>
        <v>0</v>
      </c>
      <c r="CB26" s="1368">
        <f>IF(26=26,IF($U26="","",SUMPRODUCT(--ISNUMBER(SEARCH(" "&amp;$CR$2094:$CR$2133&amp;" ",SUBSTITUTE(SUBSTITUTE($AA26," "&amp;$CR$1367&amp;" "," ")," "&amp;$CR$1366&amp;" "," "))))+--ISNUMBER(SEARCH("poiré",$V26))),"")</f>
        <v>0</v>
      </c>
      <c r="CC26" s="1368" t="str">
        <f>IF(26=26,IF($U26="","",IF(OR(CA26&gt;0,ISNUMBER(SEARCH(" vinaigre de vin ",$AA26)),ISNUMBER(SEARCH(" vinaigre au vin ",$AA26))),"X",IF(CB26&gt;0,"?",""))),"")</f>
        <v/>
      </c>
      <c r="CD26" s="1368">
        <f>IF(26=26,IF($U26="","",SUMPRODUCT(--ISNUMBER(SEARCH(" "&amp;$CR$2134:$CR$2146&amp;" ",$AA26)))),"")</f>
        <v>0</v>
      </c>
      <c r="CE26" s="1368">
        <f>IF(26=26,IF($U26="","",SUMPRODUCT(--ISNUMBER(SEARCH(" "&amp;$CR$2147:$CR$2152&amp;" ",$AA26)))),"")</f>
        <v>0</v>
      </c>
      <c r="CF26" s="1368" t="str">
        <f>IF(26=26,IF($U26="","",IF((CD26)-(0)&gt;0,"X",IF((CE26)-(0)&gt;0,"?",""))),"")</f>
        <v/>
      </c>
      <c r="CG26" s="1368">
        <f>IF(26=26,IF($U26="","",SUMPRODUCT(--ISNUMBER(SEARCH(" "&amp;$CR$2153:$CR$2252&amp;" ",$CJ26)))),"")</f>
        <v>0</v>
      </c>
      <c r="CH26" s="1368">
        <f>IF(26=26,IF($U26="","",SUMPRODUCT(--ISNUMBER(SEARCH(" "&amp;$CR$2253:$CR$2352&amp;" ",$CJ26)))),"")</f>
        <v>0</v>
      </c>
      <c r="CI26" s="1368">
        <f>IF(26=26,IF($U26="","",SUMPRODUCT(--ISNUMBER(SEARCH(" "&amp;$CR$2353:$CR$2395&amp;" ",$CJ26)))),"")</f>
        <v>0</v>
      </c>
      <c r="CJ26" s="1368" t="str">
        <f>IF(26=26,IF($U26="","",SUBSTITUTE(SUBSTITUTE(SUBSTITUTE(SUBSTITUTE(SUBSTITUTE(SUBSTITUTE(SUBSTITUTE(SUBSTITUTE(SUBSTITUTE(SUBSTITUTE(SUBSTITUTE(SUBSTITUTE(SUBSTITUTE(SUBSTITUTE(SUBSTITUTE(SUBSTITUTE($AA26," "&amp;$CR$2401&amp;" "," ")," "&amp;$CR$2400&amp;" "," ")," "&amp;$CR$2399&amp;" "," ")," "&amp;$CR$2406&amp;" "," ")," "&amp;$CR$2398&amp;" "," ")," "&amp;$CR$2410&amp;" "," ")," "&amp;$CR$2397&amp;" "," ")," "&amp;$CR$2402&amp;" "," ")," "&amp;$CR$2405&amp;" "," ")," "&amp;$CR$2396&amp;" "," ")," "&amp;$CR$2404&amp;" "," ")," "&amp;$CR$2411&amp;" "," ")," "&amp;$CR$2408&amp;" "," ")," "&amp;$CR$2403&amp;" "," ")," "&amp;$CR$2407&amp;" "," ")," "&amp;$CR$2409&amp;" "," ")),"")</f>
        <v xml:space="preserve"> echalotes fraiches ou emincees surgelees </v>
      </c>
      <c r="CK26" s="1368">
        <f>IF(26=26,IF($U26="","",SUMPRODUCT(--ISNUMBER(SEARCH(" "&amp;$CR$2412:$CR$2416&amp;" ",$CJ26)))),"")</f>
        <v>0</v>
      </c>
      <c r="CL26" s="1368" t="str">
        <f>IF(26=26,IF($U26="","",IF(SUM(CG26:CI26)&gt;0,"X",IF(CK26&gt;0,"?",""))),"")</f>
        <v/>
      </c>
      <c r="CM26" s="1377"/>
      <c r="CN26" s="1388" t="s">
        <v>8258</v>
      </c>
      <c r="CO26" s="1388" t="s">
        <v>8105</v>
      </c>
      <c r="CP26" s="1388" t="s">
        <v>8106</v>
      </c>
      <c r="CQ26" s="1388" t="s">
        <v>8259</v>
      </c>
      <c r="CR26" s="1388" t="s">
        <v>8259</v>
      </c>
      <c r="CS26" s="1388" t="s">
        <v>8108</v>
      </c>
      <c r="CT26" s="1388" t="s">
        <v>8109</v>
      </c>
      <c r="CU26" s="1388" t="s">
        <v>8110</v>
      </c>
      <c r="CV26" s="1389" t="s">
        <v>8111</v>
      </c>
      <c r="CX26" s="1379">
        <v>1</v>
      </c>
    </row>
    <row r="27" spans="1:102" ht="21" customHeight="1" x14ac:dyDescent="0.25">
      <c r="A27" s="1412">
        <v>21</v>
      </c>
      <c r="B27" s="1413" t="s">
        <v>8260</v>
      </c>
      <c r="C27" s="1414" t="str">
        <f t="shared" si="0"/>
        <v>Farine ?</v>
      </c>
      <c r="D27" s="1415" t="str">
        <f>IF(27=27,IF($B27="","",IF(E27="X",""&amp;"Céréales contenant du gluten","")&amp;IF(F27="X",IF(COUNTIF($E27:$E27,"X")&gt;0,", ","")&amp;"Crustacés","")&amp;IF(G27="X",IF(COUNTIF($E27:$F27,"X")&gt;0,", ","")&amp;"Œufs","")&amp;IF(H27="X",IF(COUNTIF($E27:$G27,"X")&gt;0,", ","")&amp;"Poissons","")&amp;IF(I27="X",IF(COUNTIF($E27:$H27,"X")&gt;0,", ","")&amp;"Arachides","")&amp;IF(J27="X",IF(COUNTIF($E27:$I27,"X")&gt;0,", ","")&amp;"Soja","")&amp;IF(K27="X",IF(COUNTIF($E27:$J27,"X")&gt;0,", ","")&amp;"Lait","")&amp;IF(L27="X",IF(COUNTIF($E27:$K27,"X")&gt;0,", ","")&amp;"Fruits à coque","")&amp;IF(M27="X",IF(COUNTIF($E27:$L27,"X")&gt;0,", ","")&amp;"Céleri","")&amp;IF(N27="X",IF(COUNTIF($E27:$M27,"X")&gt;0,", ","")&amp;"Moutarde","")&amp;IF(O27="X",IF(COUNTIF($E27:$N27,"X")&gt;0,", ","")&amp;"Sésame","")&amp;IF(P27="X",IF(COUNTIF($E27:$O27,"X")&gt;0,", ","")&amp;"Sulfites","")&amp;IF(Q27="X",IF(COUNTIF($E27:$P27,"X")&gt;0,", ","")&amp;"Lupin","")&amp;IF(R27="X",IF(COUNTIF($E27:$Q27,"X")&gt;0,", ","")&amp;"Mollusques","")),"")</f>
        <v/>
      </c>
      <c r="E27" s="1416" t="str">
        <f>IF(27=27,IF($B27="","",AF27),"")</f>
        <v>?</v>
      </c>
      <c r="F27" s="1416" t="str">
        <f>IF(27=27,IF($B27="","",AI27),"")</f>
        <v/>
      </c>
      <c r="G27" s="1416" t="str">
        <f>IF(27=27,IF($B27="","",AM27),"")</f>
        <v/>
      </c>
      <c r="H27" s="1416" t="str">
        <f>IF(27=27,IF($B27="","",IF(ISNUMBER(SEARCH(" colin ",$AA27)),"X",AZ27)),"")</f>
        <v/>
      </c>
      <c r="I27" s="1416" t="str">
        <f>IF(27=27,IF($B27="","",BB27),"")</f>
        <v/>
      </c>
      <c r="J27" s="1416" t="str">
        <f>IF(27=27,IF($B27="","",BF27),"")</f>
        <v/>
      </c>
      <c r="K27" s="1416" t="str">
        <f>IF(27=27,IF($B27="","",BM27),"")</f>
        <v/>
      </c>
      <c r="L27" s="1416" t="str">
        <f>IF(27=27,IF($B27="","",BQ27),"")</f>
        <v/>
      </c>
      <c r="M27" s="1416" t="str">
        <f>IF(27=27,IF($B27="","",BT27),"")</f>
        <v/>
      </c>
      <c r="N27" s="1416" t="str">
        <f>IF(27=27,IF($B27="","",BW27),"")</f>
        <v/>
      </c>
      <c r="O27" s="1416" t="str">
        <f>IF(27=27,IF($B27="","",BZ27),"")</f>
        <v/>
      </c>
      <c r="P27" s="1416" t="str">
        <f>IF(27=27,IF($B27="","",CC27),"")</f>
        <v/>
      </c>
      <c r="Q27" s="1416" t="str">
        <f>IF(27=27,IF($B27="","",CF27),"")</f>
        <v/>
      </c>
      <c r="R27" s="1416" t="str">
        <f>IF(27=27,IF($B27="","",CL27),"")</f>
        <v/>
      </c>
      <c r="S27" s="1417" t="str">
        <f>IF(27=27,IF($B27="","",IF(E27="?",""&amp;"Céréales contenant du gluten","")&amp;IF(F27="?",IF(COUNTIF($E27:$E27,"~?")&gt;0,", ","")&amp;"Crustacés","")&amp;IF(G27="?",IF(COUNTIF($E27:$F27,"~?")&gt;0,", ","")&amp;"Œufs","")&amp;IF(H27="?",IF(COUNTIF($E27:$G27,"~?")&gt;0,", ","")&amp;"Poissons","")&amp;IF(I27="?",IF(COUNTIF($E27:$H27,"~?")&gt;0,", ","")&amp;"Arachides","")&amp;IF(J27="?",IF(COUNTIF($E27:$I27,"~?")&gt;0,", ","")&amp;"Soja","")&amp;IF(K27="?",IF(COUNTIF($E27:$J27,"~?")&gt;0,", ","")&amp;"Lait","")&amp;IF(L27="?",IF(COUNTIF($E27:$K27,"~?")&gt;0,", ","")&amp;"Fruits à coque","")&amp;IF(M27="?",IF(COUNTIF($E27:$L27,"~?")&gt;0,", ","")&amp;"Céleri","")&amp;IF(N27="?",IF(COUNTIF($E27:$M27,"~?")&gt;0,", ","")&amp;"Moutarde","")&amp;IF(O27="?",IF(COUNTIF($E27:$N27,"~?")&gt;0,", ","")&amp;"Sésame","")&amp;IF(P27="?",IF(COUNTIF($E27:$O27,"~?")&gt;0,", ","")&amp;"Sulfites","")&amp;IF(Q27="?",IF(COUNTIF($E27:$P27,"~?")&gt;0,", ","")&amp;"Lupin","")&amp;IF(R27="?",IF(COUNTIF($E27:$Q27,"~?")&gt;0,", ","")&amp;"Mollusques","")),"")</f>
        <v>Céréales contenant du gluten</v>
      </c>
      <c r="U27" s="1368" t="str">
        <f>IF(27=27,IF($B27="","",$B27),"")</f>
        <v xml:space="preserve">Farine </v>
      </c>
      <c r="V27" s="1368" t="str">
        <f>IF(27=27,LOWER(CLEAN(SUBSTITUTE(SUBSTITUTE(SUBSTITUTE(SUBSTITUTE($U27,CHAR(160)," ")," "," "),CHAR(10)," "),CHAR(13)," "))),"")</f>
        <v xml:space="preserve">farine </v>
      </c>
      <c r="W27" s="1368" t="str">
        <f>IF(27=27,SUBSTITUTE(SUBSTITUTE(SUBSTITUTE(SUBSTITUTE(SUBSTITUTE(SUBSTITUTE(SUBSTITUTE(SUBSTITUTE(SUBSTITUTE(SUBSTITUTE(SUBSTITUTE(SUBSTITUTE($V27,"œ","oe"),"æ","ae"),"à","a"),"á","a"),"â","a"),"ä","a"),"ã","a"),"ç","c"),"è","e"),"é","e"),"ê","e"),"ë","e"),"")</f>
        <v xml:space="preserve">farine </v>
      </c>
      <c r="X27" s="1368" t="str">
        <f>IF(27=27,SUBSTITUTE(SUBSTITUTE(SUBSTITUTE(SUBSTITUTE(SUBSTITUTE(SUBSTITUTE(SUBSTITUTE(SUBSTITUTE(SUBSTITUTE(SUBSTITUTE(SUBSTITUTE(SUBSTITUTE(SUBSTITUTE(SUBSTITUTE(SUBSTITUTE(SUBSTITUTE($W27,"ì","i"),"í","i"),"î","i"),"ï","i"),"ñ","n"),"ò","o"),"ó","o"),"ô","o"),"ö","o"),"õ","o"),"ù","u"),"ú","u"),"û","u"),"ü","u"),"ý","y"),"ÿ","y"),"")</f>
        <v xml:space="preserve">farine </v>
      </c>
      <c r="Y27" s="1368" t="str">
        <f>IF(27=27,SUBSTITUTE(SUBSTITUTE(SUBSTITUTE(SUBSTITUTE(SUBSTITUTE(SUBSTITUTE(SUBSTITUTE(SUBSTITUTE(SUBSTITUTE(SUBSTITUTE(SUBSTITUTE(SUBSTITUTE(SUBSTITUTE(SUBSTITUTE($X27,"’"," "),"`"," "),"–"," "),"—"," "),"-"," "),"'"," "),"/"," "),"_"," "),","," "),"."," "),"("," "),")"," "),";"," "),":"," "),"")</f>
        <v xml:space="preserve">farine </v>
      </c>
      <c r="Z27" s="1368" t="str">
        <f>IF(27=27,SUBSTITUTE(SUBSTITUTE(SUBSTITUTE(SUBSTITUTE(SUBSTITUTE(SUBSTITUTE(SUBSTITUTE(SUBSTITUTE(SUBSTITUTE(SUBSTITUTE(SUBSTITUTE(SUBSTITUTE(SUBSTITUTE(SUBSTITUTE(SUBSTITUTE($Y27,"!"," "),"?"," "),"+"," "),"*"," "),"&amp;"," "),"["," "),"]"," "),"{"," "),"}"," "),"%"," "),"="," "),"\"," "),"|"," "),"&lt;"," "),"&gt;"," "),"")</f>
        <v xml:space="preserve">farine </v>
      </c>
      <c r="AA27" s="1368" t="str">
        <f>IF(27=27," "&amp;TRIM(SUBSTITUTE(SUBSTITUTE(SUBSTITUTE(SUBSTITUTE(SUBSTITUTE(SUBSTITUTE($Z27,CHAR(34)," "),"  "," "),"  "," "),"  "," "),"  "," "),"  "," "))&amp;" ","")</f>
        <v xml:space="preserve"> farine </v>
      </c>
      <c r="AB27" s="1368">
        <f>IF(27=27,IF($U27="","",SUMPRODUCT(--ISNUMBER(SEARCH(" "&amp;$CR$2:$CR$101&amp;" ",$AD27)))),"")</f>
        <v>0</v>
      </c>
      <c r="AC27" s="1368">
        <f>IF(27=27,IF($U27="","",SUMPRODUCT(--ISNUMBER(SEARCH(" "&amp;$CR$102:$CR$151&amp;" ",$AD27)))),"")</f>
        <v>0</v>
      </c>
      <c r="AD27" s="1368" t="str">
        <f t="shared" si="1"/>
        <v xml:space="preserve"> farine </v>
      </c>
      <c r="AE27" s="1368">
        <f t="shared" si="2"/>
        <v>1</v>
      </c>
      <c r="AF27" s="1368" t="str">
        <f>IF(27=27,IF($U27="","",IF(SUM(AB27:AC27)+SUMPRODUCT(--ISNUMBER(SEARCH(" "&amp;$CR$2418:$CR$2420&amp;" ",$AD27)))&gt;0,"X",IF(AE27&gt;0,"?",""))),"")</f>
        <v>?</v>
      </c>
      <c r="AG27" s="1368">
        <f>IF(27=27,IF($U27="","",SUMPRODUCT(--ISNUMBER(SEARCH(" "&amp;$CR$206:$CR$305&amp;" ",$AA27)))),"")</f>
        <v>0</v>
      </c>
      <c r="AH27" s="1368">
        <f>IF(27=27,IF($U27="","",SUMPRODUCT(--ISNUMBER(SEARCH(" "&amp;$CR$306:$CR$340&amp;" ",$AA27)))),"")</f>
        <v>0</v>
      </c>
      <c r="AI27" s="1368" t="str">
        <f>IF(27=27,IF($U27="","",IF((SUM(AG27:AH27))-(0)&gt;0,"X",IF((0)-(0)&gt;0,"?",""))),"")</f>
        <v/>
      </c>
      <c r="AJ27" s="1368">
        <f>IF(27=27,IF($U27="","",SUMPRODUCT(--ISNUMBER(SEARCH(" "&amp;$CR$341:$CR$398&amp;" ",$AA27)))),"")</f>
        <v>0</v>
      </c>
      <c r="AK27" s="1368">
        <f>IF(27=27,IF($U27="","",SUMPRODUCT(--ISNUMBER(SEARCH(" "&amp;$CR$399:$CR$426&amp;" ",$AL27)))+SUMPRODUCT(--ISNUMBER(SEARCH(" "&amp;$CR$2440:$CR$2453&amp;" ",$AL27)))),"")</f>
        <v>0</v>
      </c>
      <c r="AL27" s="1368" t="str">
        <f>IF(27=27,IF($U27="","",SUBSTITUTE(SUBSTITUTE(SUBSTITUTE(SUBSTITUTE(SUBSTITUTE(SUBSTITUTE(SUBSTITUTE(SUBSTITUTE(SUBSTITUTE(SUBSTITUTE(SUBSTITUTE(SUBSTITUTE(SUBSTITUTE(SUBSTITUTE($AA27," "&amp;$CR$2455&amp;" "," ")," "&amp;$CR$433&amp;" "," ")," "&amp;$CR$431&amp;" "," ")," "&amp;$CR$2438&amp;" "," ")," "&amp;$CR$2439&amp;" "," ")," "&amp;$CR$428&amp;" "," ")," "&amp;$CR$432&amp;" "," ")," "&amp;$CR$434&amp;" "," ")," "&amp;$CR$429&amp;" "," ")," "&amp;$CR$427&amp;" "," ")," "&amp;$CR$1367&amp;" "," ")," "&amp;$CR$435&amp;" "," ")," "&amp;$CR$1366&amp;" "," ")," "&amp;$CR$430&amp;" "," ")),"")</f>
        <v xml:space="preserve"> farine </v>
      </c>
      <c r="AM27" s="1368" t="str">
        <f>IF(27=27,IF($U27="","",IF(AJ27&gt;0,"X",IF(AK27&gt;0,"?",""))),"")</f>
        <v/>
      </c>
      <c r="AN27" s="1368">
        <f>IF(27=27,IF($U27="","",SUMPRODUCT(--ISNUMBER(SEARCH(" "&amp;$CR$436:$CR$535&amp;" ",$AX27)))),"")</f>
        <v>0</v>
      </c>
      <c r="AO27" s="1368">
        <f>IF(27=27,IF($U27="","",SUMPRODUCT(--ISNUMBER(SEARCH(" "&amp;$CR$536:$CR$635&amp;" ",$AX27)))),"")</f>
        <v>0</v>
      </c>
      <c r="AP27" s="1368">
        <f>IF(27=27,IF($U27="","",SUMPRODUCT(--ISNUMBER(SEARCH(" "&amp;$CR$636:$CR$735&amp;" ",$AX27)))),"")</f>
        <v>0</v>
      </c>
      <c r="AQ27" s="1368">
        <f>IF(27=27,IF($U27="","",SUMPRODUCT(--ISNUMBER(SEARCH(" "&amp;$CR$736:$CR$835&amp;" ",$AX27)))),"")</f>
        <v>0</v>
      </c>
      <c r="AR27" s="1368">
        <f>IF(27=27,IF($U27="","",SUMPRODUCT(--ISNUMBER(SEARCH(" "&amp;$CR$836:$CR$935&amp;" ",$AX27)))),"")</f>
        <v>0</v>
      </c>
      <c r="AS27" s="1368">
        <f>IF(27=27,IF($U27="","",SUMPRODUCT(--ISNUMBER(SEARCH(" "&amp;$CR$936:$CR$1035&amp;" ",$AX27)))),"")</f>
        <v>0</v>
      </c>
      <c r="AT27" s="1368">
        <f>IF(27=27,IF($U27="","",SUMPRODUCT(--ISNUMBER(SEARCH(" "&amp;$CR$1036:$CR$1135&amp;" ",$AX27)))),"")</f>
        <v>0</v>
      </c>
      <c r="AU27" s="1368">
        <f>IF(27=27,IF($U27="","",SUMPRODUCT(--ISNUMBER(SEARCH(" "&amp;$CR$1136:$CR$1235&amp;" ",$AX27)))),"")</f>
        <v>0</v>
      </c>
      <c r="AV27" s="1368">
        <f>IF(27=27,IF($U27="","",SUMPRODUCT(--ISNUMBER(SEARCH(" "&amp;$CR$1236:$CR$1335&amp;" ",$AX27)))),"")</f>
        <v>0</v>
      </c>
      <c r="AW27" s="1368">
        <f>IF(27=27,IF($U27="","",SUMPRODUCT(--ISNUMBER(SEARCH(" "&amp;$CR$1336:$CR$1363&amp;" ",$AX27)))),"")</f>
        <v>0</v>
      </c>
      <c r="AX27" s="1368" t="str">
        <f>IF(27=27,IF($U27="","",SUBSTITUTE(SUBSTITUTE(SUBSTITUTE(SUBSTITUTE(SUBSTITUTE(SUBSTITUTE(SUBSTITUTE(SUBSTITUTE(SUBSTITUTE($AA27," "&amp;$CR$1365&amp;" "," ")," "&amp;$CR$1364&amp;" "," ")," "&amp;$CR$1370&amp;" "," ")," "&amp;$CR$1371&amp;" "," ")," "&amp;$CR$1367&amp;" "," ")," "&amp;$CR$1369&amp;" "," ")," "&amp;$CR$1366&amp;" "," ")," "&amp;$CR$1368&amp;" "," ")," "&amp;$CR$1372&amp;" "," ")),"")</f>
        <v xml:space="preserve"> farine </v>
      </c>
      <c r="AY27" s="1368">
        <f>IF(27=27,IF($U27="","",SUMPRODUCT(--ISNUMBER(SEARCH(" "&amp;$CR$1373:$CR$1383&amp;" ",$AX27)))),"")</f>
        <v>0</v>
      </c>
      <c r="AZ27" s="1368" t="str">
        <f>IF(27=27,IF($U27="","",IF(SUM(AN27:AW27)+SUMPRODUCT(--ISNUMBER(SEARCH(" "&amp;$CR$2421:$CR$2422&amp;" ",$AX27)))&gt;0,"X",IF(AY27&gt;0,"?",""))),"")</f>
        <v/>
      </c>
      <c r="BA27" s="1368">
        <f>IF(27=27,IF($U27="","",SUMPRODUCT(--ISNUMBER(SEARCH(" "&amp;$CR$1384:$CR$1404&amp;" ",$AA27)))),"")</f>
        <v>0</v>
      </c>
      <c r="BB27" s="1368" t="str">
        <f>IF(27=27,IF($U27="","",IF((BA27)-(0)&gt;0,"X",IF((0)-(0)&gt;0,"?",""))),"")</f>
        <v/>
      </c>
      <c r="BC27" s="1368">
        <f>IF(27=27,IF($U27="","",SUMPRODUCT(--ISNUMBER(SEARCH(" "&amp;$CR$1405:$CR$1442&amp;" ",$BD27)))),"")</f>
        <v>0</v>
      </c>
      <c r="BD27" s="1368" t="str">
        <f>IF(27=27,IF($U27="","",SUBSTITUTE(SUBSTITUTE($AA27," "&amp;$CR$1443&amp;" "," ")," "&amp;$CR$1444&amp;" "," ")),"")</f>
        <v xml:space="preserve"> farine </v>
      </c>
      <c r="BE27" s="1368">
        <f>IF(27=27,IF($U27="","",SUMPRODUCT(--ISNUMBER(SEARCH(" "&amp;$CR$1445:$CR$1455&amp;" ",$BD27)))),"")</f>
        <v>0</v>
      </c>
      <c r="BF27" s="1368" t="str">
        <f>IF(27=27,IF($U27="","",IF(BC27&gt;0,"X",IF(BE27&gt;0,"?",""))),"")</f>
        <v/>
      </c>
      <c r="BG27" s="1368">
        <f>IF(27=27,IF($U27="","",SUMPRODUCT(--ISNUMBER(SEARCH(" "&amp;$CR$1456:$CR$1555&amp;" ",$BJ27)))),"")</f>
        <v>0</v>
      </c>
      <c r="BH27" s="1368">
        <f>IF(27=27,IF($U27="","",SUMPRODUCT(--ISNUMBER(SEARCH(" "&amp;$CR$1556:$CR$1655&amp;" ",$BJ27)))),"")</f>
        <v>0</v>
      </c>
      <c r="BI27" s="1368">
        <f>IF(27=27,IF($U27="","",SUMPRODUCT(--ISNUMBER(SEARCH(" "&amp;$CR$1656:$CR$1739&amp;" ",$BJ27)))),"")</f>
        <v>0</v>
      </c>
      <c r="BJ27" s="1368" t="str">
        <f>IF(27=27,IF($U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farine </v>
      </c>
      <c r="BK27" s="1368">
        <f>IF(27=27,IF($U27="","",SUMPRODUCT(--ISNUMBER(SEARCH(" "&amp;$CR$1790:$CR$1869&amp;" ",$BL27)))+SUMPRODUCT(--ISNUMBER(SEARCH(" "&amp;$CR$2440:$CR$2453&amp;" ",$BL27)))),"")</f>
        <v>0</v>
      </c>
      <c r="BL27" s="1368" t="str">
        <f>IF(27=27,IF($U27="","",SUBSTITUTE(SUBSTITUTE(SUBSTITUTE(SUBSTITUTE(SUBSTITUTE(SUBSTITUTE(SUBSTITUTE(SUBSTITUTE(SUBSTITUTE(SUBSTITUTE(SUBSTITUTE(SUBSTITUTE(SUBSTITUTE($BJ27," "&amp;$CR$1876&amp;" "," ")," "&amp;$CR$1874&amp;" "," ")," "&amp;$CR$2438&amp;" "," ")," "&amp;$CR$2439&amp;" "," ")," "&amp;$CR$1871&amp;" "," ")," "&amp;$CR$1875&amp;" "," ")," "&amp;$CR$1877&amp;" "," ")," "&amp;$CR$1872&amp;" "," ")," "&amp;$CR$1870&amp;" "," ")," "&amp;$CR$1367&amp;" "," ")," "&amp;$CR$1878&amp;" "," ")," "&amp;$CR$1366&amp;" "," ")," "&amp;$CR$1873&amp;" "," ")),"")</f>
        <v xml:space="preserve"> farine </v>
      </c>
      <c r="BM27" s="1368" t="str">
        <f>IF(27=27,IF($U27="","",IF(SUM(BG27:BI27)+SUMPRODUCT(--ISNUMBER(SEARCH(" "&amp;$CR$2423:$CR$2424&amp;" ",$BJ27)))&gt;0,"X",IF(BK27&gt;0,"?",""))),"")</f>
        <v/>
      </c>
      <c r="BN27" s="1368">
        <f>IF(27=27,IF($U27="","",SUMPRODUCT(--ISNUMBER(SEARCH(" "&amp;$CR$1879:$CR$1936&amp;" ",$BO27)))),"")</f>
        <v>0</v>
      </c>
      <c r="BO27" s="1368" t="str">
        <f>IF(27=27,IF($U27="","",SUBSTITUTE(SUBSTITUTE(SUBSTITUTE(SUBSTITUTE(SUBSTITUTE(SUBSTITUTE(SUBSTITUTE(SUBSTITUTE(SUBSTITUTE(SUBSTITUTE(SUBSTITUTE(SUBSTITUTE(SUBSTITUTE(SUBSTITUTE(SUBSTITUTE(SUBSTITUTE(SUBSTITUTE(SUBSTITUTE(SUBSTITUTE(SUBSTITUTE(SUBSTITUTE(SUBSTITUTE(SUBSTITUTE($AA27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farine </v>
      </c>
      <c r="BP27" s="1368">
        <f>IF(27=27,IF($U27="","",SUMPRODUCT(--ISNUMBER(SEARCH(" "&amp;$CR$1960:$CR$1976&amp;" ",$BO27)))),"")</f>
        <v>0</v>
      </c>
      <c r="BQ27" s="1368" t="str">
        <f>IF(27=27,IF($U27="","",IF(BN27&gt;0,"X",IF(BP27&gt;0,"?",""))),"")</f>
        <v/>
      </c>
      <c r="BR27" s="1368">
        <f>IF(27=27,IF($U27="","",SUMPRODUCT(--ISNUMBER(SEARCH(" "&amp;$CR$1977:$CR$1990&amp;" ",$AA27)))),"")</f>
        <v>0</v>
      </c>
      <c r="BS27" s="1368">
        <f>IF(27=27,IF($U27="","",SUMPRODUCT(--ISNUMBER(SEARCH(" "&amp;$CR$1991:$CR$2005&amp;" ",$AA27)))),"")</f>
        <v>0</v>
      </c>
      <c r="BT27" s="1368" t="str">
        <f>IF(27=27,IF($U27="","",IF((BR27)-(0)&gt;0,"X",IF((BS27)-(0)&gt;0,"?",""))),"")</f>
        <v/>
      </c>
      <c r="BU27" s="1368">
        <f>IF(27=27,IF($U27="","",SUMPRODUCT(--ISNUMBER(SEARCH(" "&amp;$CR$2006:$CR$2023&amp;" ",$AA27)))),"")</f>
        <v>0</v>
      </c>
      <c r="BV27" s="1368">
        <f>IF(27=27,IF($U27="","",SUMPRODUCT(--ISNUMBER(SEARCH(" "&amp;$CR$2024:$CR$2038&amp;" ",$AA27)))),"")</f>
        <v>0</v>
      </c>
      <c r="BW27" s="1368" t="str">
        <f>IF(27=27,IF($U27="","",IF((BU27)-(0)&gt;0,"X",IF((BV27)-(0)&gt;0,"?",""))),"")</f>
        <v/>
      </c>
      <c r="BX27" s="1368">
        <f>IF(27=27,IF($U27="","",SUMPRODUCT(--ISNUMBER(SEARCH(" "&amp;$CR$2039:$CR$2057&amp;" ",$AA27)))),"")</f>
        <v>0</v>
      </c>
      <c r="BY27" s="1368">
        <f>IF(27=27,IF($U27="","",SUMPRODUCT(--ISNUMBER(SEARCH(" "&amp;$CR$2058:$CR$2072&amp;" ",$AA27)))),"")</f>
        <v>0</v>
      </c>
      <c r="BZ27" s="1368" t="str">
        <f>IF(27=27,IF($U27="","",IF((BX27)-(0)&gt;0,"X",IF((BY27)-(0)&gt;0,"?",""))),"")</f>
        <v/>
      </c>
      <c r="CA27" s="1368">
        <f>IF(27=27,IF($U27="","",SUMPRODUCT(--ISNUMBER(SEARCH(" "&amp;$CR$2073:$CR$2093&amp;" ",$AA27)))),"")</f>
        <v>0</v>
      </c>
      <c r="CB27" s="1368">
        <f>IF(27=27,IF($U27="","",SUMPRODUCT(--ISNUMBER(SEARCH(" "&amp;$CR$2094:$CR$2133&amp;" ",SUBSTITUTE(SUBSTITUTE($AA27," "&amp;$CR$1367&amp;" "," ")," "&amp;$CR$1366&amp;" "," "))))+--ISNUMBER(SEARCH("poiré",$V27))),"")</f>
        <v>0</v>
      </c>
      <c r="CC27" s="1368" t="str">
        <f>IF(27=27,IF($U27="","",IF(OR(CA27&gt;0,ISNUMBER(SEARCH(" vinaigre de vin ",$AA27)),ISNUMBER(SEARCH(" vinaigre au vin ",$AA27))),"X",IF(CB27&gt;0,"?",""))),"")</f>
        <v/>
      </c>
      <c r="CD27" s="1368">
        <f>IF(27=27,IF($U27="","",SUMPRODUCT(--ISNUMBER(SEARCH(" "&amp;$CR$2134:$CR$2146&amp;" ",$AA27)))),"")</f>
        <v>0</v>
      </c>
      <c r="CE27" s="1368">
        <f>IF(27=27,IF($U27="","",SUMPRODUCT(--ISNUMBER(SEARCH(" "&amp;$CR$2147:$CR$2152&amp;" ",$AA27)))),"")</f>
        <v>0</v>
      </c>
      <c r="CF27" s="1368" t="str">
        <f>IF(27=27,IF($U27="","",IF((CD27)-(0)&gt;0,"X",IF((CE27)-(0)&gt;0,"?",""))),"")</f>
        <v/>
      </c>
      <c r="CG27" s="1368">
        <f>IF(27=27,IF($U27="","",SUMPRODUCT(--ISNUMBER(SEARCH(" "&amp;$CR$2153:$CR$2252&amp;" ",$CJ27)))),"")</f>
        <v>0</v>
      </c>
      <c r="CH27" s="1368">
        <f>IF(27=27,IF($U27="","",SUMPRODUCT(--ISNUMBER(SEARCH(" "&amp;$CR$2253:$CR$2352&amp;" ",$CJ27)))),"")</f>
        <v>0</v>
      </c>
      <c r="CI27" s="1368">
        <f>IF(27=27,IF($U27="","",SUMPRODUCT(--ISNUMBER(SEARCH(" "&amp;$CR$2353:$CR$2395&amp;" ",$CJ27)))),"")</f>
        <v>0</v>
      </c>
      <c r="CJ27" s="1368" t="str">
        <f>IF(27=27,IF($U27="","",SUBSTITUTE(SUBSTITUTE(SUBSTITUTE(SUBSTITUTE(SUBSTITUTE(SUBSTITUTE(SUBSTITUTE(SUBSTITUTE(SUBSTITUTE(SUBSTITUTE(SUBSTITUTE(SUBSTITUTE(SUBSTITUTE(SUBSTITUTE(SUBSTITUTE(SUBSTITUTE($AA27," "&amp;$CR$2401&amp;" "," ")," "&amp;$CR$2400&amp;" "," ")," "&amp;$CR$2399&amp;" "," ")," "&amp;$CR$2406&amp;" "," ")," "&amp;$CR$2398&amp;" "," ")," "&amp;$CR$2410&amp;" "," ")," "&amp;$CR$2397&amp;" "," ")," "&amp;$CR$2402&amp;" "," ")," "&amp;$CR$2405&amp;" "," ")," "&amp;$CR$2396&amp;" "," ")," "&amp;$CR$2404&amp;" "," ")," "&amp;$CR$2411&amp;" "," ")," "&amp;$CR$2408&amp;" "," ")," "&amp;$CR$2403&amp;" "," ")," "&amp;$CR$2407&amp;" "," ")," "&amp;$CR$2409&amp;" "," ")),"")</f>
        <v xml:space="preserve"> farine </v>
      </c>
      <c r="CK27" s="1368">
        <f>IF(27=27,IF($U27="","",SUMPRODUCT(--ISNUMBER(SEARCH(" "&amp;$CR$2412:$CR$2416&amp;" ",$CJ27)))),"")</f>
        <v>0</v>
      </c>
      <c r="CL27" s="1368" t="str">
        <f>IF(27=27,IF($U27="","",IF(SUM(CG27:CI27)&gt;0,"X",IF(CK27&gt;0,"?",""))),"")</f>
        <v/>
      </c>
      <c r="CM27" s="1377"/>
      <c r="CN27" s="1388" t="s">
        <v>8261</v>
      </c>
      <c r="CO27" s="1388" t="s">
        <v>8105</v>
      </c>
      <c r="CP27" s="1388" t="s">
        <v>8106</v>
      </c>
      <c r="CQ27" s="1388" t="s">
        <v>8262</v>
      </c>
      <c r="CR27" s="1388" t="s">
        <v>8263</v>
      </c>
      <c r="CS27" s="1388" t="s">
        <v>8108</v>
      </c>
      <c r="CT27" s="1388" t="s">
        <v>8109</v>
      </c>
      <c r="CU27" s="1388" t="s">
        <v>8110</v>
      </c>
      <c r="CV27" s="1389" t="s">
        <v>8111</v>
      </c>
      <c r="CX27" s="1379">
        <v>1</v>
      </c>
    </row>
    <row r="28" spans="1:102" ht="21" customHeight="1" x14ac:dyDescent="0.25">
      <c r="A28" s="1412">
        <v>22</v>
      </c>
      <c r="B28" s="1413" t="s">
        <v>8264</v>
      </c>
      <c r="C28" s="1414" t="str">
        <f t="shared" si="0"/>
        <v>Filets de morue dessalés *</v>
      </c>
      <c r="D28" s="1415" t="str">
        <f>IF(28=28,IF($B28="","",IF(E28="X",""&amp;"Céréales contenant du gluten","")&amp;IF(F28="X",IF(COUNTIF($E28:$E28,"X")&gt;0,", ","")&amp;"Crustacés","")&amp;IF(G28="X",IF(COUNTIF($E28:$F28,"X")&gt;0,", ","")&amp;"Œufs","")&amp;IF(H28="X",IF(COUNTIF($E28:$G28,"X")&gt;0,", ","")&amp;"Poissons","")&amp;IF(I28="X",IF(COUNTIF($E28:$H28,"X")&gt;0,", ","")&amp;"Arachides","")&amp;IF(J28="X",IF(COUNTIF($E28:$I28,"X")&gt;0,", ","")&amp;"Soja","")&amp;IF(K28="X",IF(COUNTIF($E28:$J28,"X")&gt;0,", ","")&amp;"Lait","")&amp;IF(L28="X",IF(COUNTIF($E28:$K28,"X")&gt;0,", ","")&amp;"Fruits à coque","")&amp;IF(M28="X",IF(COUNTIF($E28:$L28,"X")&gt;0,", ","")&amp;"Céleri","")&amp;IF(N28="X",IF(COUNTIF($E28:$M28,"X")&gt;0,", ","")&amp;"Moutarde","")&amp;IF(O28="X",IF(COUNTIF($E28:$N28,"X")&gt;0,", ","")&amp;"Sésame","")&amp;IF(P28="X",IF(COUNTIF($E28:$O28,"X")&gt;0,", ","")&amp;"Sulfites","")&amp;IF(Q28="X",IF(COUNTIF($E28:$P28,"X")&gt;0,", ","")&amp;"Lupin","")&amp;IF(R28="X",IF(COUNTIF($E28:$Q28,"X")&gt;0,", ","")&amp;"Mollusques","")),"")</f>
        <v>Poissons</v>
      </c>
      <c r="E28" s="1416" t="str">
        <f>IF(28=28,IF($B28="","",AF28),"")</f>
        <v/>
      </c>
      <c r="F28" s="1416" t="str">
        <f>IF(28=28,IF($B28="","",AI28),"")</f>
        <v/>
      </c>
      <c r="G28" s="1416" t="str">
        <f>IF(28=28,IF($B28="","",AM28),"")</f>
        <v/>
      </c>
      <c r="H28" s="1416" t="str">
        <f>IF(28=28,IF($B28="","",IF(ISNUMBER(SEARCH(" colin ",$AA28)),"X",AZ28)),"")</f>
        <v>X</v>
      </c>
      <c r="I28" s="1416" t="str">
        <f>IF(28=28,IF($B28="","",BB28),"")</f>
        <v/>
      </c>
      <c r="J28" s="1416" t="str">
        <f>IF(28=28,IF($B28="","",BF28),"")</f>
        <v/>
      </c>
      <c r="K28" s="1416" t="str">
        <f>IF(28=28,IF($B28="","",BM28),"")</f>
        <v/>
      </c>
      <c r="L28" s="1416" t="str">
        <f>IF(28=28,IF($B28="","",BQ28),"")</f>
        <v/>
      </c>
      <c r="M28" s="1416" t="str">
        <f>IF(28=28,IF($B28="","",BT28),"")</f>
        <v/>
      </c>
      <c r="N28" s="1416" t="str">
        <f>IF(28=28,IF($B28="","",BW28),"")</f>
        <v/>
      </c>
      <c r="O28" s="1416" t="str">
        <f>IF(28=28,IF($B28="","",BZ28),"")</f>
        <v/>
      </c>
      <c r="P28" s="1416" t="str">
        <f>IF(28=28,IF($B28="","",CC28),"")</f>
        <v/>
      </c>
      <c r="Q28" s="1416" t="str">
        <f>IF(28=28,IF($B28="","",CF28),"")</f>
        <v/>
      </c>
      <c r="R28" s="1416" t="str">
        <f>IF(28=28,IF($B28="","",CL28),"")</f>
        <v/>
      </c>
      <c r="S28" s="1417" t="str">
        <f>IF(28=28,IF($B28="","",IF(E28="?",""&amp;"Céréales contenant du gluten","")&amp;IF(F28="?",IF(COUNTIF($E28:$E28,"~?")&gt;0,", ","")&amp;"Crustacés","")&amp;IF(G28="?",IF(COUNTIF($E28:$F28,"~?")&gt;0,", ","")&amp;"Œufs","")&amp;IF(H28="?",IF(COUNTIF($E28:$G28,"~?")&gt;0,", ","")&amp;"Poissons","")&amp;IF(I28="?",IF(COUNTIF($E28:$H28,"~?")&gt;0,", ","")&amp;"Arachides","")&amp;IF(J28="?",IF(COUNTIF($E28:$I28,"~?")&gt;0,", ","")&amp;"Soja","")&amp;IF(K28="?",IF(COUNTIF($E28:$J28,"~?")&gt;0,", ","")&amp;"Lait","")&amp;IF(L28="?",IF(COUNTIF($E28:$K28,"~?")&gt;0,", ","")&amp;"Fruits à coque","")&amp;IF(M28="?",IF(COUNTIF($E28:$L28,"~?")&gt;0,", ","")&amp;"Céleri","")&amp;IF(N28="?",IF(COUNTIF($E28:$M28,"~?")&gt;0,", ","")&amp;"Moutarde","")&amp;IF(O28="?",IF(COUNTIF($E28:$N28,"~?")&gt;0,", ","")&amp;"Sésame","")&amp;IF(P28="?",IF(COUNTIF($E28:$O28,"~?")&gt;0,", ","")&amp;"Sulfites","")&amp;IF(Q28="?",IF(COUNTIF($E28:$P28,"~?")&gt;0,", ","")&amp;"Lupin","")&amp;IF(R28="?",IF(COUNTIF($E28:$Q28,"~?")&gt;0,", ","")&amp;"Mollusques","")),"")</f>
        <v/>
      </c>
      <c r="U28" s="1368" t="str">
        <f>IF(28=28,IF($B28="","",$B28),"")</f>
        <v>Filets de morue dessalés</v>
      </c>
      <c r="V28" s="1368" t="str">
        <f>IF(28=28,LOWER(CLEAN(SUBSTITUTE(SUBSTITUTE(SUBSTITUTE(SUBSTITUTE($U28,CHAR(160)," ")," "," "),CHAR(10)," "),CHAR(13)," "))),"")</f>
        <v>filets de morue dessalés</v>
      </c>
      <c r="W28" s="1368" t="str">
        <f>IF(28=28,SUBSTITUTE(SUBSTITUTE(SUBSTITUTE(SUBSTITUTE(SUBSTITUTE(SUBSTITUTE(SUBSTITUTE(SUBSTITUTE(SUBSTITUTE(SUBSTITUTE(SUBSTITUTE(SUBSTITUTE($V28,"œ","oe"),"æ","ae"),"à","a"),"á","a"),"â","a"),"ä","a"),"ã","a"),"ç","c"),"è","e"),"é","e"),"ê","e"),"ë","e"),"")</f>
        <v>filets de morue dessales</v>
      </c>
      <c r="X28" s="1368" t="str">
        <f>IF(28=28,SUBSTITUTE(SUBSTITUTE(SUBSTITUTE(SUBSTITUTE(SUBSTITUTE(SUBSTITUTE(SUBSTITUTE(SUBSTITUTE(SUBSTITUTE(SUBSTITUTE(SUBSTITUTE(SUBSTITUTE(SUBSTITUTE(SUBSTITUTE(SUBSTITUTE(SUBSTITUTE($W28,"ì","i"),"í","i"),"î","i"),"ï","i"),"ñ","n"),"ò","o"),"ó","o"),"ô","o"),"ö","o"),"õ","o"),"ù","u"),"ú","u"),"û","u"),"ü","u"),"ý","y"),"ÿ","y"),"")</f>
        <v>filets de morue dessales</v>
      </c>
      <c r="Y28" s="1368" t="str">
        <f>IF(28=28,SUBSTITUTE(SUBSTITUTE(SUBSTITUTE(SUBSTITUTE(SUBSTITUTE(SUBSTITUTE(SUBSTITUTE(SUBSTITUTE(SUBSTITUTE(SUBSTITUTE(SUBSTITUTE(SUBSTITUTE(SUBSTITUTE(SUBSTITUTE($X28,"’"," "),"`"," "),"–"," "),"—"," "),"-"," "),"'"," "),"/"," "),"_"," "),","," "),"."," "),"("," "),")"," "),";"," "),":"," "),"")</f>
        <v>filets de morue dessales</v>
      </c>
      <c r="Z28" s="1368" t="str">
        <f>IF(28=28,SUBSTITUTE(SUBSTITUTE(SUBSTITUTE(SUBSTITUTE(SUBSTITUTE(SUBSTITUTE(SUBSTITUTE(SUBSTITUTE(SUBSTITUTE(SUBSTITUTE(SUBSTITUTE(SUBSTITUTE(SUBSTITUTE(SUBSTITUTE(SUBSTITUTE($Y28,"!"," "),"?"," "),"+"," "),"*"," "),"&amp;"," "),"["," "),"]"," "),"{"," "),"}"," "),"%"," "),"="," "),"\"," "),"|"," "),"&lt;"," "),"&gt;"," "),"")</f>
        <v>filets de morue dessales</v>
      </c>
      <c r="AA28" s="1368" t="str">
        <f>IF(28=28," "&amp;TRIM(SUBSTITUTE(SUBSTITUTE(SUBSTITUTE(SUBSTITUTE(SUBSTITUTE(SUBSTITUTE($Z28,CHAR(34)," "),"  "," "),"  "," "),"  "," "),"  "," "),"  "," "))&amp;" ","")</f>
        <v xml:space="preserve"> filets de morue dessales </v>
      </c>
      <c r="AB28" s="1368">
        <f>IF(28=28,IF($U28="","",SUMPRODUCT(--ISNUMBER(SEARCH(" "&amp;$CR$2:$CR$101&amp;" ",$AD28)))),"")</f>
        <v>0</v>
      </c>
      <c r="AC28" s="1368">
        <f>IF(28=28,IF($U28="","",SUMPRODUCT(--ISNUMBER(SEARCH(" "&amp;$CR$102:$CR$151&amp;" ",$AD28)))),"")</f>
        <v>0</v>
      </c>
      <c r="AD28" s="1368" t="str">
        <f t="shared" si="1"/>
        <v xml:space="preserve"> filets de morue dessales </v>
      </c>
      <c r="AE28" s="1368">
        <f t="shared" si="2"/>
        <v>0</v>
      </c>
      <c r="AF28" s="1368" t="str">
        <f>IF(28=28,IF($U28="","",IF(SUM(AB28:AC28)+SUMPRODUCT(--ISNUMBER(SEARCH(" "&amp;$CR$2418:$CR$2420&amp;" ",$AD28)))&gt;0,"X",IF(AE28&gt;0,"?",""))),"")</f>
        <v/>
      </c>
      <c r="AG28" s="1368">
        <f>IF(28=28,IF($U28="","",SUMPRODUCT(--ISNUMBER(SEARCH(" "&amp;$CR$206:$CR$305&amp;" ",$AA28)))),"")</f>
        <v>0</v>
      </c>
      <c r="AH28" s="1368">
        <f>IF(28=28,IF($U28="","",SUMPRODUCT(--ISNUMBER(SEARCH(" "&amp;$CR$306:$CR$340&amp;" ",$AA28)))),"")</f>
        <v>0</v>
      </c>
      <c r="AI28" s="1368" t="str">
        <f>IF(28=28,IF($U28="","",IF((SUM(AG28:AH28))-(0)&gt;0,"X",IF((0)-(0)&gt;0,"?",""))),"")</f>
        <v/>
      </c>
      <c r="AJ28" s="1368">
        <f>IF(28=28,IF($U28="","",SUMPRODUCT(--ISNUMBER(SEARCH(" "&amp;$CR$341:$CR$398&amp;" ",$AA28)))),"")</f>
        <v>0</v>
      </c>
      <c r="AK28" s="1368">
        <f>IF(28=28,IF($U28="","",SUMPRODUCT(--ISNUMBER(SEARCH(" "&amp;$CR$399:$CR$426&amp;" ",$AL28)))+SUMPRODUCT(--ISNUMBER(SEARCH(" "&amp;$CR$2440:$CR$2453&amp;" ",$AL28)))),"")</f>
        <v>0</v>
      </c>
      <c r="AL28" s="1368" t="str">
        <f>IF(28=28,IF($U28="","",SUBSTITUTE(SUBSTITUTE(SUBSTITUTE(SUBSTITUTE(SUBSTITUTE(SUBSTITUTE(SUBSTITUTE(SUBSTITUTE(SUBSTITUTE(SUBSTITUTE(SUBSTITUTE(SUBSTITUTE(SUBSTITUTE(SUBSTITUTE($AA28," "&amp;$CR$2455&amp;" "," ")," "&amp;$CR$433&amp;" "," ")," "&amp;$CR$431&amp;" "," ")," "&amp;$CR$2438&amp;" "," ")," "&amp;$CR$2439&amp;" "," ")," "&amp;$CR$428&amp;" "," ")," "&amp;$CR$432&amp;" "," ")," "&amp;$CR$434&amp;" "," ")," "&amp;$CR$429&amp;" "," ")," "&amp;$CR$427&amp;" "," ")," "&amp;$CR$1367&amp;" "," ")," "&amp;$CR$435&amp;" "," ")," "&amp;$CR$1366&amp;" "," ")," "&amp;$CR$430&amp;" "," ")),"")</f>
        <v xml:space="preserve"> filets de morue dessales </v>
      </c>
      <c r="AM28" s="1368" t="str">
        <f>IF(28=28,IF($U28="","",IF(AJ28&gt;0,"X",IF(AK28&gt;0,"?",""))),"")</f>
        <v/>
      </c>
      <c r="AN28" s="1368">
        <f>IF(28=28,IF($U28="","",SUMPRODUCT(--ISNUMBER(SEARCH(" "&amp;$CR$436:$CR$535&amp;" ",$AX28)))),"")</f>
        <v>0</v>
      </c>
      <c r="AO28" s="1368">
        <f>IF(28=28,IF($U28="","",SUMPRODUCT(--ISNUMBER(SEARCH(" "&amp;$CR$536:$CR$635&amp;" ",$AX28)))),"")</f>
        <v>0</v>
      </c>
      <c r="AP28" s="1368">
        <f>IF(28=28,IF($U28="","",SUMPRODUCT(--ISNUMBER(SEARCH(" "&amp;$CR$636:$CR$735&amp;" ",$AX28)))),"")</f>
        <v>0</v>
      </c>
      <c r="AQ28" s="1368">
        <f>IF(28=28,IF($U28="","",SUMPRODUCT(--ISNUMBER(SEARCH(" "&amp;$CR$736:$CR$835&amp;" ",$AX28)))),"")</f>
        <v>0</v>
      </c>
      <c r="AR28" s="1368">
        <f>IF(28=28,IF($U28="","",SUMPRODUCT(--ISNUMBER(SEARCH(" "&amp;$CR$836:$CR$935&amp;" ",$AX28)))),"")</f>
        <v>0</v>
      </c>
      <c r="AS28" s="1368">
        <f>IF(28=28,IF($U28="","",SUMPRODUCT(--ISNUMBER(SEARCH(" "&amp;$CR$936:$CR$1035&amp;" ",$AX28)))),"")</f>
        <v>1</v>
      </c>
      <c r="AT28" s="1368">
        <f>IF(28=28,IF($U28="","",SUMPRODUCT(--ISNUMBER(SEARCH(" "&amp;$CR$1036:$CR$1135&amp;" ",$AX28)))),"")</f>
        <v>0</v>
      </c>
      <c r="AU28" s="1368">
        <f>IF(28=28,IF($U28="","",SUMPRODUCT(--ISNUMBER(SEARCH(" "&amp;$CR$1136:$CR$1235&amp;" ",$AX28)))),"")</f>
        <v>0</v>
      </c>
      <c r="AV28" s="1368">
        <f>IF(28=28,IF($U28="","",SUMPRODUCT(--ISNUMBER(SEARCH(" "&amp;$CR$1236:$CR$1335&amp;" ",$AX28)))),"")</f>
        <v>0</v>
      </c>
      <c r="AW28" s="1368">
        <f>IF(28=28,IF($U28="","",SUMPRODUCT(--ISNUMBER(SEARCH(" "&amp;$CR$1336:$CR$1363&amp;" ",$AX28)))),"")</f>
        <v>0</v>
      </c>
      <c r="AX28" s="1368" t="str">
        <f>IF(28=28,IF($U28="","",SUBSTITUTE(SUBSTITUTE(SUBSTITUTE(SUBSTITUTE(SUBSTITUTE(SUBSTITUTE(SUBSTITUTE(SUBSTITUTE(SUBSTITUTE($AA28," "&amp;$CR$1365&amp;" "," ")," "&amp;$CR$1364&amp;" "," ")," "&amp;$CR$1370&amp;" "," ")," "&amp;$CR$1371&amp;" "," ")," "&amp;$CR$1367&amp;" "," ")," "&amp;$CR$1369&amp;" "," ")," "&amp;$CR$1366&amp;" "," ")," "&amp;$CR$1368&amp;" "," ")," "&amp;$CR$1372&amp;" "," ")),"")</f>
        <v xml:space="preserve"> filets de morue dessales </v>
      </c>
      <c r="AY28" s="1368">
        <f>IF(28=28,IF($U28="","",SUMPRODUCT(--ISNUMBER(SEARCH(" "&amp;$CR$1373:$CR$1383&amp;" ",$AX28)))),"")</f>
        <v>0</v>
      </c>
      <c r="AZ28" s="1368" t="str">
        <f>IF(28=28,IF($U28="","",IF(SUM(AN28:AW28)+SUMPRODUCT(--ISNUMBER(SEARCH(" "&amp;$CR$2421:$CR$2422&amp;" ",$AX28)))&gt;0,"X",IF(AY28&gt;0,"?",""))),"")</f>
        <v>X</v>
      </c>
      <c r="BA28" s="1368">
        <f>IF(28=28,IF($U28="","",SUMPRODUCT(--ISNUMBER(SEARCH(" "&amp;$CR$1384:$CR$1404&amp;" ",$AA28)))),"")</f>
        <v>0</v>
      </c>
      <c r="BB28" s="1368" t="str">
        <f>IF(28=28,IF($U28="","",IF((BA28)-(0)&gt;0,"X",IF((0)-(0)&gt;0,"?",""))),"")</f>
        <v/>
      </c>
      <c r="BC28" s="1368">
        <f>IF(28=28,IF($U28="","",SUMPRODUCT(--ISNUMBER(SEARCH(" "&amp;$CR$1405:$CR$1442&amp;" ",$BD28)))),"")</f>
        <v>0</v>
      </c>
      <c r="BD28" s="1368" t="str">
        <f>IF(28=28,IF($U28="","",SUBSTITUTE(SUBSTITUTE($AA28," "&amp;$CR$1443&amp;" "," ")," "&amp;$CR$1444&amp;" "," ")),"")</f>
        <v xml:space="preserve"> filets de morue dessales </v>
      </c>
      <c r="BE28" s="1368">
        <f>IF(28=28,IF($U28="","",SUMPRODUCT(--ISNUMBER(SEARCH(" "&amp;$CR$1445:$CR$1455&amp;" ",$BD28)))),"")</f>
        <v>0</v>
      </c>
      <c r="BF28" s="1368" t="str">
        <f>IF(28=28,IF($U28="","",IF(BC28&gt;0,"X",IF(BE28&gt;0,"?",""))),"")</f>
        <v/>
      </c>
      <c r="BG28" s="1368">
        <f>IF(28=28,IF($U28="","",SUMPRODUCT(--ISNUMBER(SEARCH(" "&amp;$CR$1456:$CR$1555&amp;" ",$BJ28)))),"")</f>
        <v>0</v>
      </c>
      <c r="BH28" s="1368">
        <f>IF(28=28,IF($U28="","",SUMPRODUCT(--ISNUMBER(SEARCH(" "&amp;$CR$1556:$CR$1655&amp;" ",$BJ28)))),"")</f>
        <v>0</v>
      </c>
      <c r="BI28" s="1368">
        <f>IF(28=28,IF($U28="","",SUMPRODUCT(--ISNUMBER(SEARCH(" "&amp;$CR$1656:$CR$1739&amp;" ",$BJ28)))),"")</f>
        <v>0</v>
      </c>
      <c r="BJ28" s="1368" t="str">
        <f>IF(28=28,IF($U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filets de morue dessales </v>
      </c>
      <c r="BK28" s="1368">
        <f>IF(28=28,IF($U28="","",SUMPRODUCT(--ISNUMBER(SEARCH(" "&amp;$CR$1790:$CR$1869&amp;" ",$BL28)))+SUMPRODUCT(--ISNUMBER(SEARCH(" "&amp;$CR$2440:$CR$2453&amp;" ",$BL28)))),"")</f>
        <v>0</v>
      </c>
      <c r="BL28" s="1368" t="str">
        <f>IF(28=28,IF($U28="","",SUBSTITUTE(SUBSTITUTE(SUBSTITUTE(SUBSTITUTE(SUBSTITUTE(SUBSTITUTE(SUBSTITUTE(SUBSTITUTE(SUBSTITUTE(SUBSTITUTE(SUBSTITUTE(SUBSTITUTE(SUBSTITUTE($BJ28," "&amp;$CR$1876&amp;" "," ")," "&amp;$CR$1874&amp;" "," ")," "&amp;$CR$2438&amp;" "," ")," "&amp;$CR$2439&amp;" "," ")," "&amp;$CR$1871&amp;" "," ")," "&amp;$CR$1875&amp;" "," ")," "&amp;$CR$1877&amp;" "," ")," "&amp;$CR$1872&amp;" "," ")," "&amp;$CR$1870&amp;" "," ")," "&amp;$CR$1367&amp;" "," ")," "&amp;$CR$1878&amp;" "," ")," "&amp;$CR$1366&amp;" "," ")," "&amp;$CR$1873&amp;" "," ")),"")</f>
        <v xml:space="preserve"> filets de morue dessales </v>
      </c>
      <c r="BM28" s="1368" t="str">
        <f>IF(28=28,IF($U28="","",IF(SUM(BG28:BI28)+SUMPRODUCT(--ISNUMBER(SEARCH(" "&amp;$CR$2423:$CR$2424&amp;" ",$BJ28)))&gt;0,"X",IF(BK28&gt;0,"?",""))),"")</f>
        <v/>
      </c>
      <c r="BN28" s="1368">
        <f>IF(28=28,IF($U28="","",SUMPRODUCT(--ISNUMBER(SEARCH(" "&amp;$CR$1879:$CR$1936&amp;" ",$BO28)))),"")</f>
        <v>0</v>
      </c>
      <c r="BO28" s="1368" t="str">
        <f>IF(28=28,IF($U28="","",SUBSTITUTE(SUBSTITUTE(SUBSTITUTE(SUBSTITUTE(SUBSTITUTE(SUBSTITUTE(SUBSTITUTE(SUBSTITUTE(SUBSTITUTE(SUBSTITUTE(SUBSTITUTE(SUBSTITUTE(SUBSTITUTE(SUBSTITUTE(SUBSTITUTE(SUBSTITUTE(SUBSTITUTE(SUBSTITUTE(SUBSTITUTE(SUBSTITUTE(SUBSTITUTE(SUBSTITUTE(SUBSTITUTE($AA28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filets de morue dessales </v>
      </c>
      <c r="BP28" s="1368">
        <f>IF(28=28,IF($U28="","",SUMPRODUCT(--ISNUMBER(SEARCH(" "&amp;$CR$1960:$CR$1976&amp;" ",$BO28)))),"")</f>
        <v>0</v>
      </c>
      <c r="BQ28" s="1368" t="str">
        <f>IF(28=28,IF($U28="","",IF(BN28&gt;0,"X",IF(BP28&gt;0,"?",""))),"")</f>
        <v/>
      </c>
      <c r="BR28" s="1368">
        <f>IF(28=28,IF($U28="","",SUMPRODUCT(--ISNUMBER(SEARCH(" "&amp;$CR$1977:$CR$1990&amp;" ",$AA28)))),"")</f>
        <v>0</v>
      </c>
      <c r="BS28" s="1368">
        <f>IF(28=28,IF($U28="","",SUMPRODUCT(--ISNUMBER(SEARCH(" "&amp;$CR$1991:$CR$2005&amp;" ",$AA28)))),"")</f>
        <v>0</v>
      </c>
      <c r="BT28" s="1368" t="str">
        <f>IF(28=28,IF($U28="","",IF((BR28)-(0)&gt;0,"X",IF((BS28)-(0)&gt;0,"?",""))),"")</f>
        <v/>
      </c>
      <c r="BU28" s="1368">
        <f>IF(28=28,IF($U28="","",SUMPRODUCT(--ISNUMBER(SEARCH(" "&amp;$CR$2006:$CR$2023&amp;" ",$AA28)))),"")</f>
        <v>0</v>
      </c>
      <c r="BV28" s="1368">
        <f>IF(28=28,IF($U28="","",SUMPRODUCT(--ISNUMBER(SEARCH(" "&amp;$CR$2024:$CR$2038&amp;" ",$AA28)))),"")</f>
        <v>0</v>
      </c>
      <c r="BW28" s="1368" t="str">
        <f>IF(28=28,IF($U28="","",IF((BU28)-(0)&gt;0,"X",IF((BV28)-(0)&gt;0,"?",""))),"")</f>
        <v/>
      </c>
      <c r="BX28" s="1368">
        <f>IF(28=28,IF($U28="","",SUMPRODUCT(--ISNUMBER(SEARCH(" "&amp;$CR$2039:$CR$2057&amp;" ",$AA28)))),"")</f>
        <v>0</v>
      </c>
      <c r="BY28" s="1368">
        <f>IF(28=28,IF($U28="","",SUMPRODUCT(--ISNUMBER(SEARCH(" "&amp;$CR$2058:$CR$2072&amp;" ",$AA28)))),"")</f>
        <v>0</v>
      </c>
      <c r="BZ28" s="1368" t="str">
        <f>IF(28=28,IF($U28="","",IF((BX28)-(0)&gt;0,"X",IF((BY28)-(0)&gt;0,"?",""))),"")</f>
        <v/>
      </c>
      <c r="CA28" s="1368">
        <f>IF(28=28,IF($U28="","",SUMPRODUCT(--ISNUMBER(SEARCH(" "&amp;$CR$2073:$CR$2093&amp;" ",$AA28)))),"")</f>
        <v>0</v>
      </c>
      <c r="CB28" s="1368">
        <f>IF(28=28,IF($U28="","",SUMPRODUCT(--ISNUMBER(SEARCH(" "&amp;$CR$2094:$CR$2133&amp;" ",SUBSTITUTE(SUBSTITUTE($AA28," "&amp;$CR$1367&amp;" "," ")," "&amp;$CR$1366&amp;" "," "))))+--ISNUMBER(SEARCH("poiré",$V28))),"")</f>
        <v>0</v>
      </c>
      <c r="CC28" s="1368" t="str">
        <f>IF(28=28,IF($U28="","",IF(OR(CA28&gt;0,ISNUMBER(SEARCH(" vinaigre de vin ",$AA28)),ISNUMBER(SEARCH(" vinaigre au vin ",$AA28))),"X",IF(CB28&gt;0,"?",""))),"")</f>
        <v/>
      </c>
      <c r="CD28" s="1368">
        <f>IF(28=28,IF($U28="","",SUMPRODUCT(--ISNUMBER(SEARCH(" "&amp;$CR$2134:$CR$2146&amp;" ",$AA28)))),"")</f>
        <v>0</v>
      </c>
      <c r="CE28" s="1368">
        <f>IF(28=28,IF($U28="","",SUMPRODUCT(--ISNUMBER(SEARCH(" "&amp;$CR$2147:$CR$2152&amp;" ",$AA28)))),"")</f>
        <v>0</v>
      </c>
      <c r="CF28" s="1368" t="str">
        <f>IF(28=28,IF($U28="","",IF((CD28)-(0)&gt;0,"X",IF((CE28)-(0)&gt;0,"?",""))),"")</f>
        <v/>
      </c>
      <c r="CG28" s="1368">
        <f>IF(28=28,IF($U28="","",SUMPRODUCT(--ISNUMBER(SEARCH(" "&amp;$CR$2153:$CR$2252&amp;" ",$CJ28)))),"")</f>
        <v>0</v>
      </c>
      <c r="CH28" s="1368">
        <f>IF(28=28,IF($U28="","",SUMPRODUCT(--ISNUMBER(SEARCH(" "&amp;$CR$2253:$CR$2352&amp;" ",$CJ28)))),"")</f>
        <v>0</v>
      </c>
      <c r="CI28" s="1368">
        <f>IF(28=28,IF($U28="","",SUMPRODUCT(--ISNUMBER(SEARCH(" "&amp;$CR$2353:$CR$2395&amp;" ",$CJ28)))),"")</f>
        <v>0</v>
      </c>
      <c r="CJ28" s="1368" t="str">
        <f>IF(28=28,IF($U28="","",SUBSTITUTE(SUBSTITUTE(SUBSTITUTE(SUBSTITUTE(SUBSTITUTE(SUBSTITUTE(SUBSTITUTE(SUBSTITUTE(SUBSTITUTE(SUBSTITUTE(SUBSTITUTE(SUBSTITUTE(SUBSTITUTE(SUBSTITUTE(SUBSTITUTE(SUBSTITUTE($AA28," "&amp;$CR$2401&amp;" "," ")," "&amp;$CR$2400&amp;" "," ")," "&amp;$CR$2399&amp;" "," ")," "&amp;$CR$2406&amp;" "," ")," "&amp;$CR$2398&amp;" "," ")," "&amp;$CR$2410&amp;" "," ")," "&amp;$CR$2397&amp;" "," ")," "&amp;$CR$2402&amp;" "," ")," "&amp;$CR$2405&amp;" "," ")," "&amp;$CR$2396&amp;" "," ")," "&amp;$CR$2404&amp;" "," ")," "&amp;$CR$2411&amp;" "," ")," "&amp;$CR$2408&amp;" "," ")," "&amp;$CR$2403&amp;" "," ")," "&amp;$CR$2407&amp;" "," ")," "&amp;$CR$2409&amp;" "," ")),"")</f>
        <v xml:space="preserve"> filets de morue dessales </v>
      </c>
      <c r="CK28" s="1368">
        <f>IF(28=28,IF($U28="","",SUMPRODUCT(--ISNUMBER(SEARCH(" "&amp;$CR$2412:$CR$2416&amp;" ",$CJ28)))),"")</f>
        <v>0</v>
      </c>
      <c r="CL28" s="1368" t="str">
        <f>IF(28=28,IF($U28="","",IF(SUM(CG28:CI28)&gt;0,"X",IF(CK28&gt;0,"?",""))),"")</f>
        <v/>
      </c>
      <c r="CM28" s="1377"/>
      <c r="CN28" s="1388" t="s">
        <v>8265</v>
      </c>
      <c r="CO28" s="1388" t="s">
        <v>8105</v>
      </c>
      <c r="CP28" s="1388" t="s">
        <v>8106</v>
      </c>
      <c r="CQ28" s="1388" t="s">
        <v>8266</v>
      </c>
      <c r="CR28" s="1388" t="s">
        <v>8266</v>
      </c>
      <c r="CS28" s="1388" t="s">
        <v>8108</v>
      </c>
      <c r="CT28" s="1388" t="s">
        <v>8109</v>
      </c>
      <c r="CU28" s="1388" t="s">
        <v>8110</v>
      </c>
      <c r="CV28" s="1389" t="s">
        <v>8111</v>
      </c>
      <c r="CX28" s="1379">
        <v>1</v>
      </c>
    </row>
    <row r="29" spans="1:102" ht="21" customHeight="1" x14ac:dyDescent="0.25">
      <c r="A29" s="1412">
        <v>23</v>
      </c>
      <c r="B29" s="1413" t="s">
        <v>8267</v>
      </c>
      <c r="C29" s="1414" t="str">
        <f t="shared" si="0"/>
        <v>Fond blanc de veau ?</v>
      </c>
      <c r="D29" s="1415" t="str">
        <f>IF(29=29,IF($B29="","",IF(E29="X",""&amp;"Céréales contenant du gluten","")&amp;IF(F29="X",IF(COUNTIF($E29:$E29,"X")&gt;0,", ","")&amp;"Crustacés","")&amp;IF(G29="X",IF(COUNTIF($E29:$F29,"X")&gt;0,", ","")&amp;"Œufs","")&amp;IF(H29="X",IF(COUNTIF($E29:$G29,"X")&gt;0,", ","")&amp;"Poissons","")&amp;IF(I29="X",IF(COUNTIF($E29:$H29,"X")&gt;0,", ","")&amp;"Arachides","")&amp;IF(J29="X",IF(COUNTIF($E29:$I29,"X")&gt;0,", ","")&amp;"Soja","")&amp;IF(K29="X",IF(COUNTIF($E29:$J29,"X")&gt;0,", ","")&amp;"Lait","")&amp;IF(L29="X",IF(COUNTIF($E29:$K29,"X")&gt;0,", ","")&amp;"Fruits à coque","")&amp;IF(M29="X",IF(COUNTIF($E29:$L29,"X")&gt;0,", ","")&amp;"Céleri","")&amp;IF(N29="X",IF(COUNTIF($E29:$M29,"X")&gt;0,", ","")&amp;"Moutarde","")&amp;IF(O29="X",IF(COUNTIF($E29:$N29,"X")&gt;0,", ","")&amp;"Sésame","")&amp;IF(P29="X",IF(COUNTIF($E29:$O29,"X")&gt;0,", ","")&amp;"Sulfites","")&amp;IF(Q29="X",IF(COUNTIF($E29:$P29,"X")&gt;0,", ","")&amp;"Lupin","")&amp;IF(R29="X",IF(COUNTIF($E29:$Q29,"X")&gt;0,", ","")&amp;"Mollusques","")),"")</f>
        <v/>
      </c>
      <c r="E29" s="1416" t="str">
        <f>IF(29=29,IF($B29="","",AF29),"")</f>
        <v>?</v>
      </c>
      <c r="F29" s="1416" t="str">
        <f>IF(29=29,IF($B29="","",AI29),"")</f>
        <v/>
      </c>
      <c r="G29" s="1416" t="str">
        <f>IF(29=29,IF($B29="","",AM29),"")</f>
        <v/>
      </c>
      <c r="H29" s="1416" t="str">
        <f>IF(29=29,IF($B29="","",IF(ISNUMBER(SEARCH(" colin ",$AA29)),"X",AZ29)),"")</f>
        <v/>
      </c>
      <c r="I29" s="1416" t="str">
        <f>IF(29=29,IF($B29="","",BB29),"")</f>
        <v/>
      </c>
      <c r="J29" s="1416" t="str">
        <f>IF(29=29,IF($B29="","",BF29),"")</f>
        <v/>
      </c>
      <c r="K29" s="1416" t="str">
        <f>IF(29=29,IF($B29="","",BM29),"")</f>
        <v/>
      </c>
      <c r="L29" s="1416" t="str">
        <f>IF(29=29,IF($B29="","",BQ29),"")</f>
        <v/>
      </c>
      <c r="M29" s="1416" t="str">
        <f>IF(29=29,IF($B29="","",BT29),"")</f>
        <v>?</v>
      </c>
      <c r="N29" s="1416" t="str">
        <f>IF(29=29,IF($B29="","",BW29),"")</f>
        <v/>
      </c>
      <c r="O29" s="1416" t="str">
        <f>IF(29=29,IF($B29="","",BZ29),"")</f>
        <v/>
      </c>
      <c r="P29" s="1416" t="str">
        <f>IF(29=29,IF($B29="","",CC29),"")</f>
        <v/>
      </c>
      <c r="Q29" s="1416" t="str">
        <f>IF(29=29,IF($B29="","",CF29),"")</f>
        <v/>
      </c>
      <c r="R29" s="1416" t="str">
        <f>IF(29=29,IF($B29="","",CL29),"")</f>
        <v/>
      </c>
      <c r="S29" s="1417" t="str">
        <f>IF(29=29,IF($B29="","",IF(E29="?",""&amp;"Céréales contenant du gluten","")&amp;IF(F29="?",IF(COUNTIF($E29:$E29,"~?")&gt;0,", ","")&amp;"Crustacés","")&amp;IF(G29="?",IF(COUNTIF($E29:$F29,"~?")&gt;0,", ","")&amp;"Œufs","")&amp;IF(H29="?",IF(COUNTIF($E29:$G29,"~?")&gt;0,", ","")&amp;"Poissons","")&amp;IF(I29="?",IF(COUNTIF($E29:$H29,"~?")&gt;0,", ","")&amp;"Arachides","")&amp;IF(J29="?",IF(COUNTIF($E29:$I29,"~?")&gt;0,", ","")&amp;"Soja","")&amp;IF(K29="?",IF(COUNTIF($E29:$J29,"~?")&gt;0,", ","")&amp;"Lait","")&amp;IF(L29="?",IF(COUNTIF($E29:$K29,"~?")&gt;0,", ","")&amp;"Fruits à coque","")&amp;IF(M29="?",IF(COUNTIF($E29:$L29,"~?")&gt;0,", ","")&amp;"Céleri","")&amp;IF(N29="?",IF(COUNTIF($E29:$M29,"~?")&gt;0,", ","")&amp;"Moutarde","")&amp;IF(O29="?",IF(COUNTIF($E29:$N29,"~?")&gt;0,", ","")&amp;"Sésame","")&amp;IF(P29="?",IF(COUNTIF($E29:$O29,"~?")&gt;0,", ","")&amp;"Sulfites","")&amp;IF(Q29="?",IF(COUNTIF($E29:$P29,"~?")&gt;0,", ","")&amp;"Lupin","")&amp;IF(R29="?",IF(COUNTIF($E29:$Q29,"~?")&gt;0,", ","")&amp;"Mollusques","")),"")</f>
        <v>Céréales contenant du gluten, Céleri</v>
      </c>
      <c r="U29" s="1368" t="str">
        <f>IF(29=29,IF($B29="","",$B29),"")</f>
        <v>Fond blanc de veau</v>
      </c>
      <c r="V29" s="1368" t="str">
        <f>IF(29=29,LOWER(CLEAN(SUBSTITUTE(SUBSTITUTE(SUBSTITUTE(SUBSTITUTE($U29,CHAR(160)," ")," "," "),CHAR(10)," "),CHAR(13)," "))),"")</f>
        <v>fond blanc de veau</v>
      </c>
      <c r="W29" s="1368" t="str">
        <f>IF(29=29,SUBSTITUTE(SUBSTITUTE(SUBSTITUTE(SUBSTITUTE(SUBSTITUTE(SUBSTITUTE(SUBSTITUTE(SUBSTITUTE(SUBSTITUTE(SUBSTITUTE(SUBSTITUTE(SUBSTITUTE($V29,"œ","oe"),"æ","ae"),"à","a"),"á","a"),"â","a"),"ä","a"),"ã","a"),"ç","c"),"è","e"),"é","e"),"ê","e"),"ë","e"),"")</f>
        <v>fond blanc de veau</v>
      </c>
      <c r="X29" s="1368" t="str">
        <f>IF(29=29,SUBSTITUTE(SUBSTITUTE(SUBSTITUTE(SUBSTITUTE(SUBSTITUTE(SUBSTITUTE(SUBSTITUTE(SUBSTITUTE(SUBSTITUTE(SUBSTITUTE(SUBSTITUTE(SUBSTITUTE(SUBSTITUTE(SUBSTITUTE(SUBSTITUTE(SUBSTITUTE($W29,"ì","i"),"í","i"),"î","i"),"ï","i"),"ñ","n"),"ò","o"),"ó","o"),"ô","o"),"ö","o"),"õ","o"),"ù","u"),"ú","u"),"û","u"),"ü","u"),"ý","y"),"ÿ","y"),"")</f>
        <v>fond blanc de veau</v>
      </c>
      <c r="Y29" s="1368" t="str">
        <f>IF(29=29,SUBSTITUTE(SUBSTITUTE(SUBSTITUTE(SUBSTITUTE(SUBSTITUTE(SUBSTITUTE(SUBSTITUTE(SUBSTITUTE(SUBSTITUTE(SUBSTITUTE(SUBSTITUTE(SUBSTITUTE(SUBSTITUTE(SUBSTITUTE($X29,"’"," "),"`"," "),"–"," "),"—"," "),"-"," "),"'"," "),"/"," "),"_"," "),","," "),"."," "),"("," "),")"," "),";"," "),":"," "),"")</f>
        <v>fond blanc de veau</v>
      </c>
      <c r="Z29" s="1368" t="str">
        <f>IF(29=29,SUBSTITUTE(SUBSTITUTE(SUBSTITUTE(SUBSTITUTE(SUBSTITUTE(SUBSTITUTE(SUBSTITUTE(SUBSTITUTE(SUBSTITUTE(SUBSTITUTE(SUBSTITUTE(SUBSTITUTE(SUBSTITUTE(SUBSTITUTE(SUBSTITUTE($Y29,"!"," "),"?"," "),"+"," "),"*"," "),"&amp;"," "),"["," "),"]"," "),"{"," "),"}"," "),"%"," "),"="," "),"\"," "),"|"," "),"&lt;"," "),"&gt;"," "),"")</f>
        <v>fond blanc de veau</v>
      </c>
      <c r="AA29" s="1368" t="str">
        <f>IF(29=29," "&amp;TRIM(SUBSTITUTE(SUBSTITUTE(SUBSTITUTE(SUBSTITUTE(SUBSTITUTE(SUBSTITUTE($Z29,CHAR(34)," "),"  "," "),"  "," "),"  "," "),"  "," "),"  "," "))&amp;" ","")</f>
        <v xml:space="preserve"> fond blanc de veau </v>
      </c>
      <c r="AB29" s="1368">
        <f>IF(29=29,IF($U29="","",SUMPRODUCT(--ISNUMBER(SEARCH(" "&amp;$CR$2:$CR$101&amp;" ",$AD29)))),"")</f>
        <v>0</v>
      </c>
      <c r="AC29" s="1368">
        <f>IF(29=29,IF($U29="","",SUMPRODUCT(--ISNUMBER(SEARCH(" "&amp;$CR$102:$CR$151&amp;" ",$AD29)))),"")</f>
        <v>0</v>
      </c>
      <c r="AD29" s="1368" t="str">
        <f t="shared" si="1"/>
        <v xml:space="preserve"> fond blanc de veau </v>
      </c>
      <c r="AE29" s="1368">
        <f t="shared" si="2"/>
        <v>1</v>
      </c>
      <c r="AF29" s="1368" t="str">
        <f>IF(29=29,IF($U29="","",IF(SUM(AB29:AC29)+SUMPRODUCT(--ISNUMBER(SEARCH(" "&amp;$CR$2418:$CR$2420&amp;" ",$AD29)))&gt;0,"X",IF(AE29&gt;0,"?",""))),"")</f>
        <v>?</v>
      </c>
      <c r="AG29" s="1368">
        <f>IF(29=29,IF($U29="","",SUMPRODUCT(--ISNUMBER(SEARCH(" "&amp;$CR$206:$CR$305&amp;" ",$AA29)))),"")</f>
        <v>0</v>
      </c>
      <c r="AH29" s="1368">
        <f>IF(29=29,IF($U29="","",SUMPRODUCT(--ISNUMBER(SEARCH(" "&amp;$CR$306:$CR$340&amp;" ",$AA29)))),"")</f>
        <v>0</v>
      </c>
      <c r="AI29" s="1368" t="str">
        <f>IF(29=29,IF($U29="","",IF((SUM(AG29:AH29))-(0)&gt;0,"X",IF((0)-(0)&gt;0,"?",""))),"")</f>
        <v/>
      </c>
      <c r="AJ29" s="1368">
        <f>IF(29=29,IF($U29="","",SUMPRODUCT(--ISNUMBER(SEARCH(" "&amp;$CR$341:$CR$398&amp;" ",$AA29)))),"")</f>
        <v>0</v>
      </c>
      <c r="AK29" s="1368">
        <f>IF(29=29,IF($U29="","",SUMPRODUCT(--ISNUMBER(SEARCH(" "&amp;$CR$399:$CR$426&amp;" ",$AL29)))+SUMPRODUCT(--ISNUMBER(SEARCH(" "&amp;$CR$2440:$CR$2453&amp;" ",$AL29)))),"")</f>
        <v>0</v>
      </c>
      <c r="AL29" s="1368" t="str">
        <f>IF(29=29,IF($U29="","",SUBSTITUTE(SUBSTITUTE(SUBSTITUTE(SUBSTITUTE(SUBSTITUTE(SUBSTITUTE(SUBSTITUTE(SUBSTITUTE(SUBSTITUTE(SUBSTITUTE(SUBSTITUTE(SUBSTITUTE(SUBSTITUTE(SUBSTITUTE($AA29," "&amp;$CR$2455&amp;" "," ")," "&amp;$CR$433&amp;" "," ")," "&amp;$CR$431&amp;" "," ")," "&amp;$CR$2438&amp;" "," ")," "&amp;$CR$2439&amp;" "," ")," "&amp;$CR$428&amp;" "," ")," "&amp;$CR$432&amp;" "," ")," "&amp;$CR$434&amp;" "," ")," "&amp;$CR$429&amp;" "," ")," "&amp;$CR$427&amp;" "," ")," "&amp;$CR$1367&amp;" "," ")," "&amp;$CR$435&amp;" "," ")," "&amp;$CR$1366&amp;" "," ")," "&amp;$CR$430&amp;" "," ")),"")</f>
        <v xml:space="preserve"> fond blanc de veau </v>
      </c>
      <c r="AM29" s="1368" t="str">
        <f>IF(29=29,IF($U29="","",IF(AJ29&gt;0,"X",IF(AK29&gt;0,"?",""))),"")</f>
        <v/>
      </c>
      <c r="AN29" s="1368">
        <f>IF(29=29,IF($U29="","",SUMPRODUCT(--ISNUMBER(SEARCH(" "&amp;$CR$436:$CR$535&amp;" ",$AX29)))),"")</f>
        <v>0</v>
      </c>
      <c r="AO29" s="1368">
        <f>IF(29=29,IF($U29="","",SUMPRODUCT(--ISNUMBER(SEARCH(" "&amp;$CR$536:$CR$635&amp;" ",$AX29)))),"")</f>
        <v>0</v>
      </c>
      <c r="AP29" s="1368">
        <f>IF(29=29,IF($U29="","",SUMPRODUCT(--ISNUMBER(SEARCH(" "&amp;$CR$636:$CR$735&amp;" ",$AX29)))),"")</f>
        <v>0</v>
      </c>
      <c r="AQ29" s="1368">
        <f>IF(29=29,IF($U29="","",SUMPRODUCT(--ISNUMBER(SEARCH(" "&amp;$CR$736:$CR$835&amp;" ",$AX29)))),"")</f>
        <v>0</v>
      </c>
      <c r="AR29" s="1368">
        <f>IF(29=29,IF($U29="","",SUMPRODUCT(--ISNUMBER(SEARCH(" "&amp;$CR$836:$CR$935&amp;" ",$AX29)))),"")</f>
        <v>0</v>
      </c>
      <c r="AS29" s="1368">
        <f>IF(29=29,IF($U29="","",SUMPRODUCT(--ISNUMBER(SEARCH(" "&amp;$CR$936:$CR$1035&amp;" ",$AX29)))),"")</f>
        <v>0</v>
      </c>
      <c r="AT29" s="1368">
        <f>IF(29=29,IF($U29="","",SUMPRODUCT(--ISNUMBER(SEARCH(" "&amp;$CR$1036:$CR$1135&amp;" ",$AX29)))),"")</f>
        <v>0</v>
      </c>
      <c r="AU29" s="1368">
        <f>IF(29=29,IF($U29="","",SUMPRODUCT(--ISNUMBER(SEARCH(" "&amp;$CR$1136:$CR$1235&amp;" ",$AX29)))),"")</f>
        <v>0</v>
      </c>
      <c r="AV29" s="1368">
        <f>IF(29=29,IF($U29="","",SUMPRODUCT(--ISNUMBER(SEARCH(" "&amp;$CR$1236:$CR$1335&amp;" ",$AX29)))),"")</f>
        <v>0</v>
      </c>
      <c r="AW29" s="1368">
        <f>IF(29=29,IF($U29="","",SUMPRODUCT(--ISNUMBER(SEARCH(" "&amp;$CR$1336:$CR$1363&amp;" ",$AX29)))),"")</f>
        <v>0</v>
      </c>
      <c r="AX29" s="1368" t="str">
        <f>IF(29=29,IF($U29="","",SUBSTITUTE(SUBSTITUTE(SUBSTITUTE(SUBSTITUTE(SUBSTITUTE(SUBSTITUTE(SUBSTITUTE(SUBSTITUTE(SUBSTITUTE($AA29," "&amp;$CR$1365&amp;" "," ")," "&amp;$CR$1364&amp;" "," ")," "&amp;$CR$1370&amp;" "," ")," "&amp;$CR$1371&amp;" "," ")," "&amp;$CR$1367&amp;" "," ")," "&amp;$CR$1369&amp;" "," ")," "&amp;$CR$1366&amp;" "," ")," "&amp;$CR$1368&amp;" "," ")," "&amp;$CR$1372&amp;" "," ")),"")</f>
        <v xml:space="preserve"> fond blanc de veau </v>
      </c>
      <c r="AY29" s="1368">
        <f>IF(29=29,IF($U29="","",SUMPRODUCT(--ISNUMBER(SEARCH(" "&amp;$CR$1373:$CR$1383&amp;" ",$AX29)))),"")</f>
        <v>0</v>
      </c>
      <c r="AZ29" s="1368" t="str">
        <f>IF(29=29,IF($U29="","",IF(SUM(AN29:AW29)+SUMPRODUCT(--ISNUMBER(SEARCH(" "&amp;$CR$2421:$CR$2422&amp;" ",$AX29)))&gt;0,"X",IF(AY29&gt;0,"?",""))),"")</f>
        <v/>
      </c>
      <c r="BA29" s="1368">
        <f>IF(29=29,IF($U29="","",SUMPRODUCT(--ISNUMBER(SEARCH(" "&amp;$CR$1384:$CR$1404&amp;" ",$AA29)))),"")</f>
        <v>0</v>
      </c>
      <c r="BB29" s="1368" t="str">
        <f>IF(29=29,IF($U29="","",IF((BA29)-(0)&gt;0,"X",IF((0)-(0)&gt;0,"?",""))),"")</f>
        <v/>
      </c>
      <c r="BC29" s="1368">
        <f>IF(29=29,IF($U29="","",SUMPRODUCT(--ISNUMBER(SEARCH(" "&amp;$CR$1405:$CR$1442&amp;" ",$BD29)))),"")</f>
        <v>0</v>
      </c>
      <c r="BD29" s="1368" t="str">
        <f>IF(29=29,IF($U29="","",SUBSTITUTE(SUBSTITUTE($AA29," "&amp;$CR$1443&amp;" "," ")," "&amp;$CR$1444&amp;" "," ")),"")</f>
        <v xml:space="preserve"> fond blanc de veau </v>
      </c>
      <c r="BE29" s="1368">
        <f>IF(29=29,IF($U29="","",SUMPRODUCT(--ISNUMBER(SEARCH(" "&amp;$CR$1445:$CR$1455&amp;" ",$BD29)))),"")</f>
        <v>0</v>
      </c>
      <c r="BF29" s="1368" t="str">
        <f>IF(29=29,IF($U29="","",IF(BC29&gt;0,"X",IF(BE29&gt;0,"?",""))),"")</f>
        <v/>
      </c>
      <c r="BG29" s="1368">
        <f>IF(29=29,IF($U29="","",SUMPRODUCT(--ISNUMBER(SEARCH(" "&amp;$CR$1456:$CR$1555&amp;" ",$BJ29)))),"")</f>
        <v>0</v>
      </c>
      <c r="BH29" s="1368">
        <f>IF(29=29,IF($U29="","",SUMPRODUCT(--ISNUMBER(SEARCH(" "&amp;$CR$1556:$CR$1655&amp;" ",$BJ29)))),"")</f>
        <v>0</v>
      </c>
      <c r="BI29" s="1368">
        <f>IF(29=29,IF($U29="","",SUMPRODUCT(--ISNUMBER(SEARCH(" "&amp;$CR$1656:$CR$1739&amp;" ",$BJ29)))),"")</f>
        <v>0</v>
      </c>
      <c r="BJ29" s="1368" t="str">
        <f>IF(29=29,IF($U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fond blanc de veau </v>
      </c>
      <c r="BK29" s="1368">
        <f>IF(29=29,IF($U29="","",SUMPRODUCT(--ISNUMBER(SEARCH(" "&amp;$CR$1790:$CR$1869&amp;" ",$BL29)))+SUMPRODUCT(--ISNUMBER(SEARCH(" "&amp;$CR$2440:$CR$2453&amp;" ",$BL29)))),"")</f>
        <v>0</v>
      </c>
      <c r="BL29" s="1368" t="str">
        <f>IF(29=29,IF($U29="","",SUBSTITUTE(SUBSTITUTE(SUBSTITUTE(SUBSTITUTE(SUBSTITUTE(SUBSTITUTE(SUBSTITUTE(SUBSTITUTE(SUBSTITUTE(SUBSTITUTE(SUBSTITUTE(SUBSTITUTE(SUBSTITUTE($BJ29," "&amp;$CR$1876&amp;" "," ")," "&amp;$CR$1874&amp;" "," ")," "&amp;$CR$2438&amp;" "," ")," "&amp;$CR$2439&amp;" "," ")," "&amp;$CR$1871&amp;" "," ")," "&amp;$CR$1875&amp;" "," ")," "&amp;$CR$1877&amp;" "," ")," "&amp;$CR$1872&amp;" "," ")," "&amp;$CR$1870&amp;" "," ")," "&amp;$CR$1367&amp;" "," ")," "&amp;$CR$1878&amp;" "," ")," "&amp;$CR$1366&amp;" "," ")," "&amp;$CR$1873&amp;" "," ")),"")</f>
        <v xml:space="preserve"> fond blanc de veau </v>
      </c>
      <c r="BM29" s="1368" t="str">
        <f>IF(29=29,IF($U29="","",IF(SUM(BG29:BI29)+SUMPRODUCT(--ISNUMBER(SEARCH(" "&amp;$CR$2423:$CR$2424&amp;" ",$BJ29)))&gt;0,"X",IF(BK29&gt;0,"?",""))),"")</f>
        <v/>
      </c>
      <c r="BN29" s="1368">
        <f>IF(29=29,IF($U29="","",SUMPRODUCT(--ISNUMBER(SEARCH(" "&amp;$CR$1879:$CR$1936&amp;" ",$BO29)))),"")</f>
        <v>0</v>
      </c>
      <c r="BO29" s="1368" t="str">
        <f>IF(29=29,IF($U29="","",SUBSTITUTE(SUBSTITUTE(SUBSTITUTE(SUBSTITUTE(SUBSTITUTE(SUBSTITUTE(SUBSTITUTE(SUBSTITUTE(SUBSTITUTE(SUBSTITUTE(SUBSTITUTE(SUBSTITUTE(SUBSTITUTE(SUBSTITUTE(SUBSTITUTE(SUBSTITUTE(SUBSTITUTE(SUBSTITUTE(SUBSTITUTE(SUBSTITUTE(SUBSTITUTE(SUBSTITUTE(SUBSTITUTE($AA29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fond blanc de veau </v>
      </c>
      <c r="BP29" s="1368">
        <f>IF(29=29,IF($U29="","",SUMPRODUCT(--ISNUMBER(SEARCH(" "&amp;$CR$1960:$CR$1976&amp;" ",$BO29)))),"")</f>
        <v>0</v>
      </c>
      <c r="BQ29" s="1368" t="str">
        <f>IF(29=29,IF($U29="","",IF(BN29&gt;0,"X",IF(BP29&gt;0,"?",""))),"")</f>
        <v/>
      </c>
      <c r="BR29" s="1368">
        <f>IF(29=29,IF($U29="","",SUMPRODUCT(--ISNUMBER(SEARCH(" "&amp;$CR$1977:$CR$1990&amp;" ",$AA29)))),"")</f>
        <v>0</v>
      </c>
      <c r="BS29" s="1368">
        <f>IF(29=29,IF($U29="","",SUMPRODUCT(--ISNUMBER(SEARCH(" "&amp;$CR$1991:$CR$2005&amp;" ",$AA29)))),"")</f>
        <v>1</v>
      </c>
      <c r="BT29" s="1368" t="str">
        <f>IF(29=29,IF($U29="","",IF((BR29)-(0)&gt;0,"X",IF((BS29)-(0)&gt;0,"?",""))),"")</f>
        <v>?</v>
      </c>
      <c r="BU29" s="1368">
        <f>IF(29=29,IF($U29="","",SUMPRODUCT(--ISNUMBER(SEARCH(" "&amp;$CR$2006:$CR$2023&amp;" ",$AA29)))),"")</f>
        <v>0</v>
      </c>
      <c r="BV29" s="1368">
        <f>IF(29=29,IF($U29="","",SUMPRODUCT(--ISNUMBER(SEARCH(" "&amp;$CR$2024:$CR$2038&amp;" ",$AA29)))),"")</f>
        <v>0</v>
      </c>
      <c r="BW29" s="1368" t="str">
        <f>IF(29=29,IF($U29="","",IF((BU29)-(0)&gt;0,"X",IF((BV29)-(0)&gt;0,"?",""))),"")</f>
        <v/>
      </c>
      <c r="BX29" s="1368">
        <f>IF(29=29,IF($U29="","",SUMPRODUCT(--ISNUMBER(SEARCH(" "&amp;$CR$2039:$CR$2057&amp;" ",$AA29)))),"")</f>
        <v>0</v>
      </c>
      <c r="BY29" s="1368">
        <f>IF(29=29,IF($U29="","",SUMPRODUCT(--ISNUMBER(SEARCH(" "&amp;$CR$2058:$CR$2072&amp;" ",$AA29)))),"")</f>
        <v>0</v>
      </c>
      <c r="BZ29" s="1368" t="str">
        <f>IF(29=29,IF($U29="","",IF((BX29)-(0)&gt;0,"X",IF((BY29)-(0)&gt;0,"?",""))),"")</f>
        <v/>
      </c>
      <c r="CA29" s="1368">
        <f>IF(29=29,IF($U29="","",SUMPRODUCT(--ISNUMBER(SEARCH(" "&amp;$CR$2073:$CR$2093&amp;" ",$AA29)))),"")</f>
        <v>0</v>
      </c>
      <c r="CB29" s="1368">
        <f>IF(29=29,IF($U29="","",SUMPRODUCT(--ISNUMBER(SEARCH(" "&amp;$CR$2094:$CR$2133&amp;" ",SUBSTITUTE(SUBSTITUTE($AA29," "&amp;$CR$1367&amp;" "," ")," "&amp;$CR$1366&amp;" "," "))))+--ISNUMBER(SEARCH("poiré",$V29))),"")</f>
        <v>0</v>
      </c>
      <c r="CC29" s="1368" t="str">
        <f>IF(29=29,IF($U29="","",IF(OR(CA29&gt;0,ISNUMBER(SEARCH(" vinaigre de vin ",$AA29)),ISNUMBER(SEARCH(" vinaigre au vin ",$AA29))),"X",IF(CB29&gt;0,"?",""))),"")</f>
        <v/>
      </c>
      <c r="CD29" s="1368">
        <f>IF(29=29,IF($U29="","",SUMPRODUCT(--ISNUMBER(SEARCH(" "&amp;$CR$2134:$CR$2146&amp;" ",$AA29)))),"")</f>
        <v>0</v>
      </c>
      <c r="CE29" s="1368">
        <f>IF(29=29,IF($U29="","",SUMPRODUCT(--ISNUMBER(SEARCH(" "&amp;$CR$2147:$CR$2152&amp;" ",$AA29)))),"")</f>
        <v>0</v>
      </c>
      <c r="CF29" s="1368" t="str">
        <f>IF(29=29,IF($U29="","",IF((CD29)-(0)&gt;0,"X",IF((CE29)-(0)&gt;0,"?",""))),"")</f>
        <v/>
      </c>
      <c r="CG29" s="1368">
        <f>IF(29=29,IF($U29="","",SUMPRODUCT(--ISNUMBER(SEARCH(" "&amp;$CR$2153:$CR$2252&amp;" ",$CJ29)))),"")</f>
        <v>0</v>
      </c>
      <c r="CH29" s="1368">
        <f>IF(29=29,IF($U29="","",SUMPRODUCT(--ISNUMBER(SEARCH(" "&amp;$CR$2253:$CR$2352&amp;" ",$CJ29)))),"")</f>
        <v>0</v>
      </c>
      <c r="CI29" s="1368">
        <f>IF(29=29,IF($U29="","",SUMPRODUCT(--ISNUMBER(SEARCH(" "&amp;$CR$2353:$CR$2395&amp;" ",$CJ29)))),"")</f>
        <v>0</v>
      </c>
      <c r="CJ29" s="1368" t="str">
        <f>IF(29=29,IF($U29="","",SUBSTITUTE(SUBSTITUTE(SUBSTITUTE(SUBSTITUTE(SUBSTITUTE(SUBSTITUTE(SUBSTITUTE(SUBSTITUTE(SUBSTITUTE(SUBSTITUTE(SUBSTITUTE(SUBSTITUTE(SUBSTITUTE(SUBSTITUTE(SUBSTITUTE(SUBSTITUTE($AA29," "&amp;$CR$2401&amp;" "," ")," "&amp;$CR$2400&amp;" "," ")," "&amp;$CR$2399&amp;" "," ")," "&amp;$CR$2406&amp;" "," ")," "&amp;$CR$2398&amp;" "," ")," "&amp;$CR$2410&amp;" "," ")," "&amp;$CR$2397&amp;" "," ")," "&amp;$CR$2402&amp;" "," ")," "&amp;$CR$2405&amp;" "," ")," "&amp;$CR$2396&amp;" "," ")," "&amp;$CR$2404&amp;" "," ")," "&amp;$CR$2411&amp;" "," ")," "&amp;$CR$2408&amp;" "," ")," "&amp;$CR$2403&amp;" "," ")," "&amp;$CR$2407&amp;" "," ")," "&amp;$CR$2409&amp;" "," ")),"")</f>
        <v xml:space="preserve"> fond blanc de veau </v>
      </c>
      <c r="CK29" s="1368">
        <f>IF(29=29,IF($U29="","",SUMPRODUCT(--ISNUMBER(SEARCH(" "&amp;$CR$2412:$CR$2416&amp;" ",$CJ29)))),"")</f>
        <v>0</v>
      </c>
      <c r="CL29" s="1368" t="str">
        <f>IF(29=29,IF($U29="","",IF(SUM(CG29:CI29)&gt;0,"X",IF(CK29&gt;0,"?",""))),"")</f>
        <v/>
      </c>
      <c r="CM29" s="1377"/>
      <c r="CN29" s="1388" t="s">
        <v>8268</v>
      </c>
      <c r="CO29" s="1388" t="s">
        <v>8105</v>
      </c>
      <c r="CP29" s="1388" t="s">
        <v>8106</v>
      </c>
      <c r="CQ29" s="1388" t="s">
        <v>8269</v>
      </c>
      <c r="CR29" s="1388" t="s">
        <v>8269</v>
      </c>
      <c r="CS29" s="1388" t="s">
        <v>8108</v>
      </c>
      <c r="CT29" s="1388" t="s">
        <v>8109</v>
      </c>
      <c r="CU29" s="1388" t="s">
        <v>8110</v>
      </c>
      <c r="CV29" s="1389" t="s">
        <v>8111</v>
      </c>
      <c r="CX29" s="1379">
        <v>1</v>
      </c>
    </row>
    <row r="30" spans="1:102" ht="21" customHeight="1" x14ac:dyDescent="0.25">
      <c r="A30" s="1412">
        <v>24</v>
      </c>
      <c r="B30" s="1413" t="s">
        <v>8270</v>
      </c>
      <c r="C30" s="1414" t="str">
        <f t="shared" si="0"/>
        <v>Fumet de crustacés *</v>
      </c>
      <c r="D30" s="1415" t="str">
        <f>IF(30=30,IF($B30="","",IF(E30="X",""&amp;"Céréales contenant du gluten","")&amp;IF(F30="X",IF(COUNTIF($E30:$E30,"X")&gt;0,", ","")&amp;"Crustacés","")&amp;IF(G30="X",IF(COUNTIF($E30:$F30,"X")&gt;0,", ","")&amp;"Œufs","")&amp;IF(H30="X",IF(COUNTIF($E30:$G30,"X")&gt;0,", ","")&amp;"Poissons","")&amp;IF(I30="X",IF(COUNTIF($E30:$H30,"X")&gt;0,", ","")&amp;"Arachides","")&amp;IF(J30="X",IF(COUNTIF($E30:$I30,"X")&gt;0,", ","")&amp;"Soja","")&amp;IF(K30="X",IF(COUNTIF($E30:$J30,"X")&gt;0,", ","")&amp;"Lait","")&amp;IF(L30="X",IF(COUNTIF($E30:$K30,"X")&gt;0,", ","")&amp;"Fruits à coque","")&amp;IF(M30="X",IF(COUNTIF($E30:$L30,"X")&gt;0,", ","")&amp;"Céleri","")&amp;IF(N30="X",IF(COUNTIF($E30:$M30,"X")&gt;0,", ","")&amp;"Moutarde","")&amp;IF(O30="X",IF(COUNTIF($E30:$N30,"X")&gt;0,", ","")&amp;"Sésame","")&amp;IF(P30="X",IF(COUNTIF($E30:$O30,"X")&gt;0,", ","")&amp;"Sulfites","")&amp;IF(Q30="X",IF(COUNTIF($E30:$P30,"X")&gt;0,", ","")&amp;"Lupin","")&amp;IF(R30="X",IF(COUNTIF($E30:$Q30,"X")&gt;0,", ","")&amp;"Mollusques","")),"")</f>
        <v>Crustacés</v>
      </c>
      <c r="E30" s="1416" t="str">
        <f>IF(30=30,IF($B30="","",AF30),"")</f>
        <v/>
      </c>
      <c r="F30" s="1416" t="str">
        <f>IF(30=30,IF($B30="","",AI30),"")</f>
        <v>X</v>
      </c>
      <c r="G30" s="1416" t="str">
        <f>IF(30=30,IF($B30="","",AM30),"")</f>
        <v/>
      </c>
      <c r="H30" s="1416" t="str">
        <f>IF(30=30,IF($B30="","",IF(ISNUMBER(SEARCH(" colin ",$AA30)),"X",AZ30)),"")</f>
        <v/>
      </c>
      <c r="I30" s="1416" t="str">
        <f>IF(30=30,IF($B30="","",BB30),"")</f>
        <v/>
      </c>
      <c r="J30" s="1416" t="str">
        <f>IF(30=30,IF($B30="","",BF30),"")</f>
        <v/>
      </c>
      <c r="K30" s="1416" t="str">
        <f>IF(30=30,IF($B30="","",BM30),"")</f>
        <v/>
      </c>
      <c r="L30" s="1416" t="str">
        <f>IF(30=30,IF($B30="","",BQ30),"")</f>
        <v/>
      </c>
      <c r="M30" s="1416" t="str">
        <f>IF(30=30,IF($B30="","",BT30),"")</f>
        <v/>
      </c>
      <c r="N30" s="1416" t="str">
        <f>IF(30=30,IF($B30="","",BW30),"")</f>
        <v/>
      </c>
      <c r="O30" s="1416" t="str">
        <f>IF(30=30,IF($B30="","",BZ30),"")</f>
        <v/>
      </c>
      <c r="P30" s="1416" t="str">
        <f>IF(30=30,IF($B30="","",CC30),"")</f>
        <v/>
      </c>
      <c r="Q30" s="1416" t="str">
        <f>IF(30=30,IF($B30="","",CF30),"")</f>
        <v/>
      </c>
      <c r="R30" s="1416" t="str">
        <f>IF(30=30,IF($B30="","",CL30),"")</f>
        <v/>
      </c>
      <c r="S30" s="1417" t="str">
        <f>IF(30=30,IF($B30="","",IF(E30="?",""&amp;"Céréales contenant du gluten","")&amp;IF(F30="?",IF(COUNTIF($E30:$E30,"~?")&gt;0,", ","")&amp;"Crustacés","")&amp;IF(G30="?",IF(COUNTIF($E30:$F30,"~?")&gt;0,", ","")&amp;"Œufs","")&amp;IF(H30="?",IF(COUNTIF($E30:$G30,"~?")&gt;0,", ","")&amp;"Poissons","")&amp;IF(I30="?",IF(COUNTIF($E30:$H30,"~?")&gt;0,", ","")&amp;"Arachides","")&amp;IF(J30="?",IF(COUNTIF($E30:$I30,"~?")&gt;0,", ","")&amp;"Soja","")&amp;IF(K30="?",IF(COUNTIF($E30:$J30,"~?")&gt;0,", ","")&amp;"Lait","")&amp;IF(L30="?",IF(COUNTIF($E30:$K30,"~?")&gt;0,", ","")&amp;"Fruits à coque","")&amp;IF(M30="?",IF(COUNTIF($E30:$L30,"~?")&gt;0,", ","")&amp;"Céleri","")&amp;IF(N30="?",IF(COUNTIF($E30:$M30,"~?")&gt;0,", ","")&amp;"Moutarde","")&amp;IF(O30="?",IF(COUNTIF($E30:$N30,"~?")&gt;0,", ","")&amp;"Sésame","")&amp;IF(P30="?",IF(COUNTIF($E30:$O30,"~?")&gt;0,", ","")&amp;"Sulfites","")&amp;IF(Q30="?",IF(COUNTIF($E30:$P30,"~?")&gt;0,", ","")&amp;"Lupin","")&amp;IF(R30="?",IF(COUNTIF($E30:$Q30,"~?")&gt;0,", ","")&amp;"Mollusques","")),"")</f>
        <v/>
      </c>
      <c r="U30" s="1368" t="str">
        <f>IF(30=30,IF($B30="","",$B30),"")</f>
        <v xml:space="preserve">Fumet de crustacés </v>
      </c>
      <c r="V30" s="1368" t="str">
        <f>IF(30=30,LOWER(CLEAN(SUBSTITUTE(SUBSTITUTE(SUBSTITUTE(SUBSTITUTE($U30,CHAR(160)," ")," "," "),CHAR(10)," "),CHAR(13)," "))),"")</f>
        <v xml:space="preserve">fumet de crustacés </v>
      </c>
      <c r="W30" s="1368" t="str">
        <f>IF(30=30,SUBSTITUTE(SUBSTITUTE(SUBSTITUTE(SUBSTITUTE(SUBSTITUTE(SUBSTITUTE(SUBSTITUTE(SUBSTITUTE(SUBSTITUTE(SUBSTITUTE(SUBSTITUTE(SUBSTITUTE($V30,"œ","oe"),"æ","ae"),"à","a"),"á","a"),"â","a"),"ä","a"),"ã","a"),"ç","c"),"è","e"),"é","e"),"ê","e"),"ë","e"),"")</f>
        <v xml:space="preserve">fumet de crustaces </v>
      </c>
      <c r="X30" s="1368" t="str">
        <f>IF(30=30,SUBSTITUTE(SUBSTITUTE(SUBSTITUTE(SUBSTITUTE(SUBSTITUTE(SUBSTITUTE(SUBSTITUTE(SUBSTITUTE(SUBSTITUTE(SUBSTITUTE(SUBSTITUTE(SUBSTITUTE(SUBSTITUTE(SUBSTITUTE(SUBSTITUTE(SUBSTITUTE($W30,"ì","i"),"í","i"),"î","i"),"ï","i"),"ñ","n"),"ò","o"),"ó","o"),"ô","o"),"ö","o"),"õ","o"),"ù","u"),"ú","u"),"û","u"),"ü","u"),"ý","y"),"ÿ","y"),"")</f>
        <v xml:space="preserve">fumet de crustaces </v>
      </c>
      <c r="Y30" s="1368" t="str">
        <f>IF(30=30,SUBSTITUTE(SUBSTITUTE(SUBSTITUTE(SUBSTITUTE(SUBSTITUTE(SUBSTITUTE(SUBSTITUTE(SUBSTITUTE(SUBSTITUTE(SUBSTITUTE(SUBSTITUTE(SUBSTITUTE(SUBSTITUTE(SUBSTITUTE($X30,"’"," "),"`"," "),"–"," "),"—"," "),"-"," "),"'"," "),"/"," "),"_"," "),","," "),"."," "),"("," "),")"," "),";"," "),":"," "),"")</f>
        <v xml:space="preserve">fumet de crustaces </v>
      </c>
      <c r="Z30" s="1368" t="str">
        <f>IF(30=30,SUBSTITUTE(SUBSTITUTE(SUBSTITUTE(SUBSTITUTE(SUBSTITUTE(SUBSTITUTE(SUBSTITUTE(SUBSTITUTE(SUBSTITUTE(SUBSTITUTE(SUBSTITUTE(SUBSTITUTE(SUBSTITUTE(SUBSTITUTE(SUBSTITUTE($Y30,"!"," "),"?"," "),"+"," "),"*"," "),"&amp;"," "),"["," "),"]"," "),"{"," "),"}"," "),"%"," "),"="," "),"\"," "),"|"," "),"&lt;"," "),"&gt;"," "),"")</f>
        <v xml:space="preserve">fumet de crustaces </v>
      </c>
      <c r="AA30" s="1368" t="str">
        <f>IF(30=30," "&amp;TRIM(SUBSTITUTE(SUBSTITUTE(SUBSTITUTE(SUBSTITUTE(SUBSTITUTE(SUBSTITUTE($Z30,CHAR(34)," "),"  "," "),"  "," "),"  "," "),"  "," "),"  "," "))&amp;" ","")</f>
        <v xml:space="preserve"> fumet de crustaces </v>
      </c>
      <c r="AB30" s="1368">
        <f>IF(30=30,IF($U30="","",SUMPRODUCT(--ISNUMBER(SEARCH(" "&amp;$CR$2:$CR$101&amp;" ",$AD30)))),"")</f>
        <v>0</v>
      </c>
      <c r="AC30" s="1368">
        <f>IF(30=30,IF($U30="","",SUMPRODUCT(--ISNUMBER(SEARCH(" "&amp;$CR$102:$CR$151&amp;" ",$AD30)))),"")</f>
        <v>0</v>
      </c>
      <c r="AD30" s="1368" t="str">
        <f t="shared" si="1"/>
        <v xml:space="preserve"> fumet de crustaces </v>
      </c>
      <c r="AE30" s="1368">
        <f t="shared" si="2"/>
        <v>0</v>
      </c>
      <c r="AF30" s="1368" t="str">
        <f>IF(30=30,IF($U30="","",IF(SUM(AB30:AC30)+SUMPRODUCT(--ISNUMBER(SEARCH(" "&amp;$CR$2418:$CR$2420&amp;" ",$AD30)))&gt;0,"X",IF(AE30&gt;0,"?",""))),"")</f>
        <v/>
      </c>
      <c r="AG30" s="1368">
        <f>IF(30=30,IF($U30="","",SUMPRODUCT(--ISNUMBER(SEARCH(" "&amp;$CR$206:$CR$305&amp;" ",$AA30)))),"")</f>
        <v>1</v>
      </c>
      <c r="AH30" s="1368">
        <f>IF(30=30,IF($U30="","",SUMPRODUCT(--ISNUMBER(SEARCH(" "&amp;$CR$306:$CR$340&amp;" ",$AA30)))),"")</f>
        <v>0</v>
      </c>
      <c r="AI30" s="1368" t="str">
        <f>IF(30=30,IF($U30="","",IF((SUM(AG30:AH30))-(0)&gt;0,"X",IF((0)-(0)&gt;0,"?",""))),"")</f>
        <v>X</v>
      </c>
      <c r="AJ30" s="1368">
        <f>IF(30=30,IF($U30="","",SUMPRODUCT(--ISNUMBER(SEARCH(" "&amp;$CR$341:$CR$398&amp;" ",$AA30)))),"")</f>
        <v>0</v>
      </c>
      <c r="AK30" s="1368">
        <f>IF(30=30,IF($U30="","",SUMPRODUCT(--ISNUMBER(SEARCH(" "&amp;$CR$399:$CR$426&amp;" ",$AL30)))+SUMPRODUCT(--ISNUMBER(SEARCH(" "&amp;$CR$2440:$CR$2453&amp;" ",$AL30)))),"")</f>
        <v>0</v>
      </c>
      <c r="AL30" s="1368" t="str">
        <f>IF(30=30,IF($U30="","",SUBSTITUTE(SUBSTITUTE(SUBSTITUTE(SUBSTITUTE(SUBSTITUTE(SUBSTITUTE(SUBSTITUTE(SUBSTITUTE(SUBSTITUTE(SUBSTITUTE(SUBSTITUTE(SUBSTITUTE(SUBSTITUTE(SUBSTITUTE($AA30," "&amp;$CR$2455&amp;" "," ")," "&amp;$CR$433&amp;" "," ")," "&amp;$CR$431&amp;" "," ")," "&amp;$CR$2438&amp;" "," ")," "&amp;$CR$2439&amp;" "," ")," "&amp;$CR$428&amp;" "," ")," "&amp;$CR$432&amp;" "," ")," "&amp;$CR$434&amp;" "," ")," "&amp;$CR$429&amp;" "," ")," "&amp;$CR$427&amp;" "," ")," "&amp;$CR$1367&amp;" "," ")," "&amp;$CR$435&amp;" "," ")," "&amp;$CR$1366&amp;" "," ")," "&amp;$CR$430&amp;" "," ")),"")</f>
        <v xml:space="preserve"> fumet de crustaces </v>
      </c>
      <c r="AM30" s="1368" t="str">
        <f>IF(30=30,IF($U30="","",IF(AJ30&gt;0,"X",IF(AK30&gt;0,"?",""))),"")</f>
        <v/>
      </c>
      <c r="AN30" s="1368">
        <f>IF(30=30,IF($U30="","",SUMPRODUCT(--ISNUMBER(SEARCH(" "&amp;$CR$436:$CR$535&amp;" ",$AX30)))),"")</f>
        <v>0</v>
      </c>
      <c r="AO30" s="1368">
        <f>IF(30=30,IF($U30="","",SUMPRODUCT(--ISNUMBER(SEARCH(" "&amp;$CR$536:$CR$635&amp;" ",$AX30)))),"")</f>
        <v>0</v>
      </c>
      <c r="AP30" s="1368">
        <f>IF(30=30,IF($U30="","",SUMPRODUCT(--ISNUMBER(SEARCH(" "&amp;$CR$636:$CR$735&amp;" ",$AX30)))),"")</f>
        <v>0</v>
      </c>
      <c r="AQ30" s="1368">
        <f>IF(30=30,IF($U30="","",SUMPRODUCT(--ISNUMBER(SEARCH(" "&amp;$CR$736:$CR$835&amp;" ",$AX30)))),"")</f>
        <v>0</v>
      </c>
      <c r="AR30" s="1368">
        <f>IF(30=30,IF($U30="","",SUMPRODUCT(--ISNUMBER(SEARCH(" "&amp;$CR$836:$CR$935&amp;" ",$AX30)))),"")</f>
        <v>0</v>
      </c>
      <c r="AS30" s="1368">
        <f>IF(30=30,IF($U30="","",SUMPRODUCT(--ISNUMBER(SEARCH(" "&amp;$CR$936:$CR$1035&amp;" ",$AX30)))),"")</f>
        <v>0</v>
      </c>
      <c r="AT30" s="1368">
        <f>IF(30=30,IF($U30="","",SUMPRODUCT(--ISNUMBER(SEARCH(" "&amp;$CR$1036:$CR$1135&amp;" ",$AX30)))),"")</f>
        <v>0</v>
      </c>
      <c r="AU30" s="1368">
        <f>IF(30=30,IF($U30="","",SUMPRODUCT(--ISNUMBER(SEARCH(" "&amp;$CR$1136:$CR$1235&amp;" ",$AX30)))),"")</f>
        <v>0</v>
      </c>
      <c r="AV30" s="1368">
        <f>IF(30=30,IF($U30="","",SUMPRODUCT(--ISNUMBER(SEARCH(" "&amp;$CR$1236:$CR$1335&amp;" ",$AX30)))),"")</f>
        <v>0</v>
      </c>
      <c r="AW30" s="1368">
        <f>IF(30=30,IF($U30="","",SUMPRODUCT(--ISNUMBER(SEARCH(" "&amp;$CR$1336:$CR$1363&amp;" ",$AX30)))),"")</f>
        <v>0</v>
      </c>
      <c r="AX30" s="1368" t="str">
        <f>IF(30=30,IF($U30="","",SUBSTITUTE(SUBSTITUTE(SUBSTITUTE(SUBSTITUTE(SUBSTITUTE(SUBSTITUTE(SUBSTITUTE(SUBSTITUTE(SUBSTITUTE($AA30," "&amp;$CR$1365&amp;" "," ")," "&amp;$CR$1364&amp;" "," ")," "&amp;$CR$1370&amp;" "," ")," "&amp;$CR$1371&amp;" "," ")," "&amp;$CR$1367&amp;" "," ")," "&amp;$CR$1369&amp;" "," ")," "&amp;$CR$1366&amp;" "," ")," "&amp;$CR$1368&amp;" "," ")," "&amp;$CR$1372&amp;" "," ")),"")</f>
        <v xml:space="preserve"> fumet de crustaces </v>
      </c>
      <c r="AY30" s="1368">
        <f>IF(30=30,IF($U30="","",SUMPRODUCT(--ISNUMBER(SEARCH(" "&amp;$CR$1373:$CR$1383&amp;" ",$AX30)))),"")</f>
        <v>0</v>
      </c>
      <c r="AZ30" s="1368" t="str">
        <f>IF(30=30,IF($U30="","",IF(SUM(AN30:AW30)+SUMPRODUCT(--ISNUMBER(SEARCH(" "&amp;$CR$2421:$CR$2422&amp;" ",$AX30)))&gt;0,"X",IF(AY30&gt;0,"?",""))),"")</f>
        <v/>
      </c>
      <c r="BA30" s="1368">
        <f>IF(30=30,IF($U30="","",SUMPRODUCT(--ISNUMBER(SEARCH(" "&amp;$CR$1384:$CR$1404&amp;" ",$AA30)))),"")</f>
        <v>0</v>
      </c>
      <c r="BB30" s="1368" t="str">
        <f>IF(30=30,IF($U30="","",IF((BA30)-(0)&gt;0,"X",IF((0)-(0)&gt;0,"?",""))),"")</f>
        <v/>
      </c>
      <c r="BC30" s="1368">
        <f>IF(30=30,IF($U30="","",SUMPRODUCT(--ISNUMBER(SEARCH(" "&amp;$CR$1405:$CR$1442&amp;" ",$BD30)))),"")</f>
        <v>0</v>
      </c>
      <c r="BD30" s="1368" t="str">
        <f>IF(30=30,IF($U30="","",SUBSTITUTE(SUBSTITUTE($AA30," "&amp;$CR$1443&amp;" "," ")," "&amp;$CR$1444&amp;" "," ")),"")</f>
        <v xml:space="preserve"> fumet de crustaces </v>
      </c>
      <c r="BE30" s="1368">
        <f>IF(30=30,IF($U30="","",SUMPRODUCT(--ISNUMBER(SEARCH(" "&amp;$CR$1445:$CR$1455&amp;" ",$BD30)))),"")</f>
        <v>0</v>
      </c>
      <c r="BF30" s="1368" t="str">
        <f>IF(30=30,IF($U30="","",IF(BC30&gt;0,"X",IF(BE30&gt;0,"?",""))),"")</f>
        <v/>
      </c>
      <c r="BG30" s="1368">
        <f>IF(30=30,IF($U30="","",SUMPRODUCT(--ISNUMBER(SEARCH(" "&amp;$CR$1456:$CR$1555&amp;" ",$BJ30)))),"")</f>
        <v>0</v>
      </c>
      <c r="BH30" s="1368">
        <f>IF(30=30,IF($U30="","",SUMPRODUCT(--ISNUMBER(SEARCH(" "&amp;$CR$1556:$CR$1655&amp;" ",$BJ30)))),"")</f>
        <v>0</v>
      </c>
      <c r="BI30" s="1368">
        <f>IF(30=30,IF($U30="","",SUMPRODUCT(--ISNUMBER(SEARCH(" "&amp;$CR$1656:$CR$1739&amp;" ",$BJ30)))),"")</f>
        <v>0</v>
      </c>
      <c r="BJ30" s="1368" t="str">
        <f>IF(30=30,IF($U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fumet de crustaces </v>
      </c>
      <c r="BK30" s="1368">
        <f>IF(30=30,IF($U30="","",SUMPRODUCT(--ISNUMBER(SEARCH(" "&amp;$CR$1790:$CR$1869&amp;" ",$BL30)))+SUMPRODUCT(--ISNUMBER(SEARCH(" "&amp;$CR$2440:$CR$2453&amp;" ",$BL30)))),"")</f>
        <v>0</v>
      </c>
      <c r="BL30" s="1368" t="str">
        <f>IF(30=30,IF($U30="","",SUBSTITUTE(SUBSTITUTE(SUBSTITUTE(SUBSTITUTE(SUBSTITUTE(SUBSTITUTE(SUBSTITUTE(SUBSTITUTE(SUBSTITUTE(SUBSTITUTE(SUBSTITUTE(SUBSTITUTE(SUBSTITUTE($BJ30," "&amp;$CR$1876&amp;" "," ")," "&amp;$CR$1874&amp;" "," ")," "&amp;$CR$2438&amp;" "," ")," "&amp;$CR$2439&amp;" "," ")," "&amp;$CR$1871&amp;" "," ")," "&amp;$CR$1875&amp;" "," ")," "&amp;$CR$1877&amp;" "," ")," "&amp;$CR$1872&amp;" "," ")," "&amp;$CR$1870&amp;" "," ")," "&amp;$CR$1367&amp;" "," ")," "&amp;$CR$1878&amp;" "," ")," "&amp;$CR$1366&amp;" "," ")," "&amp;$CR$1873&amp;" "," ")),"")</f>
        <v xml:space="preserve"> fumet de crustaces </v>
      </c>
      <c r="BM30" s="1368" t="str">
        <f>IF(30=30,IF($U30="","",IF(SUM(BG30:BI30)+SUMPRODUCT(--ISNUMBER(SEARCH(" "&amp;$CR$2423:$CR$2424&amp;" ",$BJ30)))&gt;0,"X",IF(BK30&gt;0,"?",""))),"")</f>
        <v/>
      </c>
      <c r="BN30" s="1368">
        <f>IF(30=30,IF($U30="","",SUMPRODUCT(--ISNUMBER(SEARCH(" "&amp;$CR$1879:$CR$1936&amp;" ",$BO30)))),"")</f>
        <v>0</v>
      </c>
      <c r="BO30" s="1368" t="str">
        <f>IF(30=30,IF($U30="","",SUBSTITUTE(SUBSTITUTE(SUBSTITUTE(SUBSTITUTE(SUBSTITUTE(SUBSTITUTE(SUBSTITUTE(SUBSTITUTE(SUBSTITUTE(SUBSTITUTE(SUBSTITUTE(SUBSTITUTE(SUBSTITUTE(SUBSTITUTE(SUBSTITUTE(SUBSTITUTE(SUBSTITUTE(SUBSTITUTE(SUBSTITUTE(SUBSTITUTE(SUBSTITUTE(SUBSTITUTE(SUBSTITUTE($AA30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fumet de crustaces </v>
      </c>
      <c r="BP30" s="1368">
        <f>IF(30=30,IF($U30="","",SUMPRODUCT(--ISNUMBER(SEARCH(" "&amp;$CR$1960:$CR$1976&amp;" ",$BO30)))),"")</f>
        <v>0</v>
      </c>
      <c r="BQ30" s="1368" t="str">
        <f>IF(30=30,IF($U30="","",IF(BN30&gt;0,"X",IF(BP30&gt;0,"?",""))),"")</f>
        <v/>
      </c>
      <c r="BR30" s="1368">
        <f>IF(30=30,IF($U30="","",SUMPRODUCT(--ISNUMBER(SEARCH(" "&amp;$CR$1977:$CR$1990&amp;" ",$AA30)))),"")</f>
        <v>0</v>
      </c>
      <c r="BS30" s="1368">
        <f>IF(30=30,IF($U30="","",SUMPRODUCT(--ISNUMBER(SEARCH(" "&amp;$CR$1991:$CR$2005&amp;" ",$AA30)))),"")</f>
        <v>0</v>
      </c>
      <c r="BT30" s="1368" t="str">
        <f>IF(30=30,IF($U30="","",IF((BR30)-(0)&gt;0,"X",IF((BS30)-(0)&gt;0,"?",""))),"")</f>
        <v/>
      </c>
      <c r="BU30" s="1368">
        <f>IF(30=30,IF($U30="","",SUMPRODUCT(--ISNUMBER(SEARCH(" "&amp;$CR$2006:$CR$2023&amp;" ",$AA30)))),"")</f>
        <v>0</v>
      </c>
      <c r="BV30" s="1368">
        <f>IF(30=30,IF($U30="","",SUMPRODUCT(--ISNUMBER(SEARCH(" "&amp;$CR$2024:$CR$2038&amp;" ",$AA30)))),"")</f>
        <v>0</v>
      </c>
      <c r="BW30" s="1368" t="str">
        <f>IF(30=30,IF($U30="","",IF((BU30)-(0)&gt;0,"X",IF((BV30)-(0)&gt;0,"?",""))),"")</f>
        <v/>
      </c>
      <c r="BX30" s="1368">
        <f>IF(30=30,IF($U30="","",SUMPRODUCT(--ISNUMBER(SEARCH(" "&amp;$CR$2039:$CR$2057&amp;" ",$AA30)))),"")</f>
        <v>0</v>
      </c>
      <c r="BY30" s="1368">
        <f>IF(30=30,IF($U30="","",SUMPRODUCT(--ISNUMBER(SEARCH(" "&amp;$CR$2058:$CR$2072&amp;" ",$AA30)))),"")</f>
        <v>0</v>
      </c>
      <c r="BZ30" s="1368" t="str">
        <f>IF(30=30,IF($U30="","",IF((BX30)-(0)&gt;0,"X",IF((BY30)-(0)&gt;0,"?",""))),"")</f>
        <v/>
      </c>
      <c r="CA30" s="1368">
        <f>IF(30=30,IF($U30="","",SUMPRODUCT(--ISNUMBER(SEARCH(" "&amp;$CR$2073:$CR$2093&amp;" ",$AA30)))),"")</f>
        <v>0</v>
      </c>
      <c r="CB30" s="1368">
        <f>IF(30=30,IF($U30="","",SUMPRODUCT(--ISNUMBER(SEARCH(" "&amp;$CR$2094:$CR$2133&amp;" ",SUBSTITUTE(SUBSTITUTE($AA30," "&amp;$CR$1367&amp;" "," ")," "&amp;$CR$1366&amp;" "," "))))+--ISNUMBER(SEARCH("poiré",$V30))),"")</f>
        <v>0</v>
      </c>
      <c r="CC30" s="1368" t="str">
        <f>IF(30=30,IF($U30="","",IF(OR(CA30&gt;0,ISNUMBER(SEARCH(" vinaigre de vin ",$AA30)),ISNUMBER(SEARCH(" vinaigre au vin ",$AA30))),"X",IF(CB30&gt;0,"?",""))),"")</f>
        <v/>
      </c>
      <c r="CD30" s="1368">
        <f>IF(30=30,IF($U30="","",SUMPRODUCT(--ISNUMBER(SEARCH(" "&amp;$CR$2134:$CR$2146&amp;" ",$AA30)))),"")</f>
        <v>0</v>
      </c>
      <c r="CE30" s="1368">
        <f>IF(30=30,IF($U30="","",SUMPRODUCT(--ISNUMBER(SEARCH(" "&amp;$CR$2147:$CR$2152&amp;" ",$AA30)))),"")</f>
        <v>0</v>
      </c>
      <c r="CF30" s="1368" t="str">
        <f>IF(30=30,IF($U30="","",IF((CD30)-(0)&gt;0,"X",IF((CE30)-(0)&gt;0,"?",""))),"")</f>
        <v/>
      </c>
      <c r="CG30" s="1368">
        <f>IF(30=30,IF($U30="","",SUMPRODUCT(--ISNUMBER(SEARCH(" "&amp;$CR$2153:$CR$2252&amp;" ",$CJ30)))),"")</f>
        <v>0</v>
      </c>
      <c r="CH30" s="1368">
        <f>IF(30=30,IF($U30="","",SUMPRODUCT(--ISNUMBER(SEARCH(" "&amp;$CR$2253:$CR$2352&amp;" ",$CJ30)))),"")</f>
        <v>0</v>
      </c>
      <c r="CI30" s="1368">
        <f>IF(30=30,IF($U30="","",SUMPRODUCT(--ISNUMBER(SEARCH(" "&amp;$CR$2353:$CR$2395&amp;" ",$CJ30)))),"")</f>
        <v>0</v>
      </c>
      <c r="CJ30" s="1368" t="str">
        <f>IF(30=30,IF($U30="","",SUBSTITUTE(SUBSTITUTE(SUBSTITUTE(SUBSTITUTE(SUBSTITUTE(SUBSTITUTE(SUBSTITUTE(SUBSTITUTE(SUBSTITUTE(SUBSTITUTE(SUBSTITUTE(SUBSTITUTE(SUBSTITUTE(SUBSTITUTE(SUBSTITUTE(SUBSTITUTE($AA30," "&amp;$CR$2401&amp;" "," ")," "&amp;$CR$2400&amp;" "," ")," "&amp;$CR$2399&amp;" "," ")," "&amp;$CR$2406&amp;" "," ")," "&amp;$CR$2398&amp;" "," ")," "&amp;$CR$2410&amp;" "," ")," "&amp;$CR$2397&amp;" "," ")," "&amp;$CR$2402&amp;" "," ")," "&amp;$CR$2405&amp;" "," ")," "&amp;$CR$2396&amp;" "," ")," "&amp;$CR$2404&amp;" "," ")," "&amp;$CR$2411&amp;" "," ")," "&amp;$CR$2408&amp;" "," ")," "&amp;$CR$2403&amp;" "," ")," "&amp;$CR$2407&amp;" "," ")," "&amp;$CR$2409&amp;" "," ")),"")</f>
        <v xml:space="preserve"> fumet de crustaces </v>
      </c>
      <c r="CK30" s="1368">
        <f>IF(30=30,IF($U30="","",SUMPRODUCT(--ISNUMBER(SEARCH(" "&amp;$CR$2412:$CR$2416&amp;" ",$CJ30)))),"")</f>
        <v>0</v>
      </c>
      <c r="CL30" s="1368" t="str">
        <f>IF(30=30,IF($U30="","",IF(SUM(CG30:CI30)&gt;0,"X",IF(CK30&gt;0,"?",""))),"")</f>
        <v/>
      </c>
      <c r="CM30" s="1377"/>
      <c r="CN30" s="1388" t="s">
        <v>8271</v>
      </c>
      <c r="CO30" s="1388" t="s">
        <v>8105</v>
      </c>
      <c r="CP30" s="1388" t="s">
        <v>8106</v>
      </c>
      <c r="CQ30" s="1388" t="s">
        <v>2328</v>
      </c>
      <c r="CR30" s="1388" t="s">
        <v>2328</v>
      </c>
      <c r="CS30" s="1388" t="s">
        <v>8108</v>
      </c>
      <c r="CT30" s="1388" t="s">
        <v>8109</v>
      </c>
      <c r="CU30" s="1388" t="s">
        <v>8110</v>
      </c>
      <c r="CV30" s="1389" t="s">
        <v>8111</v>
      </c>
      <c r="CX30" s="1379">
        <v>1</v>
      </c>
    </row>
    <row r="31" spans="1:102" ht="21" customHeight="1" x14ac:dyDescent="0.25">
      <c r="A31" s="1412">
        <v>25</v>
      </c>
      <c r="B31" s="1413" t="s">
        <v>8272</v>
      </c>
      <c r="C31" s="1414" t="str">
        <f t="shared" si="0"/>
        <v>Glace de poisson *</v>
      </c>
      <c r="D31" s="1415" t="str">
        <f>IF(31=31,IF($B31="","",IF(E31="X",""&amp;"Céréales contenant du gluten","")&amp;IF(F31="X",IF(COUNTIF($E31:$E31,"X")&gt;0,", ","")&amp;"Crustacés","")&amp;IF(G31="X",IF(COUNTIF($E31:$F31,"X")&gt;0,", ","")&amp;"Œufs","")&amp;IF(H31="X",IF(COUNTIF($E31:$G31,"X")&gt;0,", ","")&amp;"Poissons","")&amp;IF(I31="X",IF(COUNTIF($E31:$H31,"X")&gt;0,", ","")&amp;"Arachides","")&amp;IF(J31="X",IF(COUNTIF($E31:$I31,"X")&gt;0,", ","")&amp;"Soja","")&amp;IF(K31="X",IF(COUNTIF($E31:$J31,"X")&gt;0,", ","")&amp;"Lait","")&amp;IF(L31="X",IF(COUNTIF($E31:$K31,"X")&gt;0,", ","")&amp;"Fruits à coque","")&amp;IF(M31="X",IF(COUNTIF($E31:$L31,"X")&gt;0,", ","")&amp;"Céleri","")&amp;IF(N31="X",IF(COUNTIF($E31:$M31,"X")&gt;0,", ","")&amp;"Moutarde","")&amp;IF(O31="X",IF(COUNTIF($E31:$N31,"X")&gt;0,", ","")&amp;"Sésame","")&amp;IF(P31="X",IF(COUNTIF($E31:$O31,"X")&gt;0,", ","")&amp;"Sulfites","")&amp;IF(Q31="X",IF(COUNTIF($E31:$P31,"X")&gt;0,", ","")&amp;"Lupin","")&amp;IF(R31="X",IF(COUNTIF($E31:$Q31,"X")&gt;0,", ","")&amp;"Mollusques","")),"")</f>
        <v>Poissons</v>
      </c>
      <c r="E31" s="1416" t="str">
        <f>IF(31=31,IF($B31="","",AF31),"")</f>
        <v/>
      </c>
      <c r="F31" s="1416" t="str">
        <f>IF(31=31,IF($B31="","",AI31),"")</f>
        <v/>
      </c>
      <c r="G31" s="1416" t="str">
        <f>IF(31=31,IF($B31="","",AM31),"")</f>
        <v>?</v>
      </c>
      <c r="H31" s="1416" t="str">
        <f>IF(31=31,IF($B31="","",IF(ISNUMBER(SEARCH(" colin ",$AA31)),"X",AZ31)),"")</f>
        <v>X</v>
      </c>
      <c r="I31" s="1416" t="str">
        <f>IF(31=31,IF($B31="","",BB31),"")</f>
        <v/>
      </c>
      <c r="J31" s="1416" t="str">
        <f>IF(31=31,IF($B31="","",BF31),"")</f>
        <v/>
      </c>
      <c r="K31" s="1416" t="str">
        <f>IF(31=31,IF($B31="","",BM31),"")</f>
        <v>?</v>
      </c>
      <c r="L31" s="1416" t="str">
        <f>IF(31=31,IF($B31="","",BQ31),"")</f>
        <v/>
      </c>
      <c r="M31" s="1416" t="str">
        <f>IF(31=31,IF($B31="","",BT31),"")</f>
        <v/>
      </c>
      <c r="N31" s="1416" t="str">
        <f>IF(31=31,IF($B31="","",BW31),"")</f>
        <v/>
      </c>
      <c r="O31" s="1416" t="str">
        <f>IF(31=31,IF($B31="","",BZ31),"")</f>
        <v/>
      </c>
      <c r="P31" s="1416" t="str">
        <f>IF(31=31,IF($B31="","",CC31),"")</f>
        <v/>
      </c>
      <c r="Q31" s="1416" t="str">
        <f>IF(31=31,IF($B31="","",CF31),"")</f>
        <v/>
      </c>
      <c r="R31" s="1416" t="str">
        <f>IF(31=31,IF($B31="","",CL31),"")</f>
        <v/>
      </c>
      <c r="S31" s="1417" t="str">
        <f>IF(31=31,IF($B31="","",IF(E31="?",""&amp;"Céréales contenant du gluten","")&amp;IF(F31="?",IF(COUNTIF($E31:$E31,"~?")&gt;0,", ","")&amp;"Crustacés","")&amp;IF(G31="?",IF(COUNTIF($E31:$F31,"~?")&gt;0,", ","")&amp;"Œufs","")&amp;IF(H31="?",IF(COUNTIF($E31:$G31,"~?")&gt;0,", ","")&amp;"Poissons","")&amp;IF(I31="?",IF(COUNTIF($E31:$H31,"~?")&gt;0,", ","")&amp;"Arachides","")&amp;IF(J31="?",IF(COUNTIF($E31:$I31,"~?")&gt;0,", ","")&amp;"Soja","")&amp;IF(K31="?",IF(COUNTIF($E31:$J31,"~?")&gt;0,", ","")&amp;"Lait","")&amp;IF(L31="?",IF(COUNTIF($E31:$K31,"~?")&gt;0,", ","")&amp;"Fruits à coque","")&amp;IF(M31="?",IF(COUNTIF($E31:$L31,"~?")&gt;0,", ","")&amp;"Céleri","")&amp;IF(N31="?",IF(COUNTIF($E31:$M31,"~?")&gt;0,", ","")&amp;"Moutarde","")&amp;IF(O31="?",IF(COUNTIF($E31:$N31,"~?")&gt;0,", ","")&amp;"Sésame","")&amp;IF(P31="?",IF(COUNTIF($E31:$O31,"~?")&gt;0,", ","")&amp;"Sulfites","")&amp;IF(Q31="?",IF(COUNTIF($E31:$P31,"~?")&gt;0,", ","")&amp;"Lupin","")&amp;IF(R31="?",IF(COUNTIF($E31:$Q31,"~?")&gt;0,", ","")&amp;"Mollusques","")),"")</f>
        <v>Œufs, Lait</v>
      </c>
      <c r="U31" s="1368" t="str">
        <f>IF(31=31,IF($B31="","",$B31),"")</f>
        <v xml:space="preserve">Glace de poisson </v>
      </c>
      <c r="V31" s="1368" t="str">
        <f>IF(31=31,LOWER(CLEAN(SUBSTITUTE(SUBSTITUTE(SUBSTITUTE(SUBSTITUTE($U31,CHAR(160)," ")," "," "),CHAR(10)," "),CHAR(13)," "))),"")</f>
        <v xml:space="preserve">glace de poisson </v>
      </c>
      <c r="W31" s="1368" t="str">
        <f>IF(31=31,SUBSTITUTE(SUBSTITUTE(SUBSTITUTE(SUBSTITUTE(SUBSTITUTE(SUBSTITUTE(SUBSTITUTE(SUBSTITUTE(SUBSTITUTE(SUBSTITUTE(SUBSTITUTE(SUBSTITUTE($V31,"œ","oe"),"æ","ae"),"à","a"),"á","a"),"â","a"),"ä","a"),"ã","a"),"ç","c"),"è","e"),"é","e"),"ê","e"),"ë","e"),"")</f>
        <v xml:space="preserve">glace de poisson </v>
      </c>
      <c r="X31" s="1368" t="str">
        <f>IF(31=31,SUBSTITUTE(SUBSTITUTE(SUBSTITUTE(SUBSTITUTE(SUBSTITUTE(SUBSTITUTE(SUBSTITUTE(SUBSTITUTE(SUBSTITUTE(SUBSTITUTE(SUBSTITUTE(SUBSTITUTE(SUBSTITUTE(SUBSTITUTE(SUBSTITUTE(SUBSTITUTE($W31,"ì","i"),"í","i"),"î","i"),"ï","i"),"ñ","n"),"ò","o"),"ó","o"),"ô","o"),"ö","o"),"õ","o"),"ù","u"),"ú","u"),"û","u"),"ü","u"),"ý","y"),"ÿ","y"),"")</f>
        <v xml:space="preserve">glace de poisson </v>
      </c>
      <c r="Y31" s="1368" t="str">
        <f>IF(31=31,SUBSTITUTE(SUBSTITUTE(SUBSTITUTE(SUBSTITUTE(SUBSTITUTE(SUBSTITUTE(SUBSTITUTE(SUBSTITUTE(SUBSTITUTE(SUBSTITUTE(SUBSTITUTE(SUBSTITUTE(SUBSTITUTE(SUBSTITUTE($X31,"’"," "),"`"," "),"–"," "),"—"," "),"-"," "),"'"," "),"/"," "),"_"," "),","," "),"."," "),"("," "),")"," "),";"," "),":"," "),"")</f>
        <v xml:space="preserve">glace de poisson </v>
      </c>
      <c r="Z31" s="1368" t="str">
        <f>IF(31=31,SUBSTITUTE(SUBSTITUTE(SUBSTITUTE(SUBSTITUTE(SUBSTITUTE(SUBSTITUTE(SUBSTITUTE(SUBSTITUTE(SUBSTITUTE(SUBSTITUTE(SUBSTITUTE(SUBSTITUTE(SUBSTITUTE(SUBSTITUTE(SUBSTITUTE($Y31,"!"," "),"?"," "),"+"," "),"*"," "),"&amp;"," "),"["," "),"]"," "),"{"," "),"}"," "),"%"," "),"="," "),"\"," "),"|"," "),"&lt;"," "),"&gt;"," "),"")</f>
        <v xml:space="preserve">glace de poisson </v>
      </c>
      <c r="AA31" s="1368" t="str">
        <f>IF(31=31," "&amp;TRIM(SUBSTITUTE(SUBSTITUTE(SUBSTITUTE(SUBSTITUTE(SUBSTITUTE(SUBSTITUTE($Z31,CHAR(34)," "),"  "," "),"  "," "),"  "," "),"  "," "),"  "," "))&amp;" ","")</f>
        <v xml:space="preserve"> glace de poisson </v>
      </c>
      <c r="AB31" s="1368">
        <f>IF(31=31,IF($U31="","",SUMPRODUCT(--ISNUMBER(SEARCH(" "&amp;$CR$2:$CR$101&amp;" ",$AD31)))),"")</f>
        <v>0</v>
      </c>
      <c r="AC31" s="1368">
        <f>IF(31=31,IF($U31="","",SUMPRODUCT(--ISNUMBER(SEARCH(" "&amp;$CR$102:$CR$151&amp;" ",$AD31)))),"")</f>
        <v>0</v>
      </c>
      <c r="AD31" s="1368" t="str">
        <f t="shared" si="1"/>
        <v xml:space="preserve"> glace de poisson </v>
      </c>
      <c r="AE31" s="1368">
        <f t="shared" si="2"/>
        <v>0</v>
      </c>
      <c r="AF31" s="1368" t="str">
        <f>IF(31=31,IF($U31="","",IF(SUM(AB31:AC31)+SUMPRODUCT(--ISNUMBER(SEARCH(" "&amp;$CR$2418:$CR$2420&amp;" ",$AD31)))&gt;0,"X",IF(AE31&gt;0,"?",""))),"")</f>
        <v/>
      </c>
      <c r="AG31" s="1368">
        <f>IF(31=31,IF($U31="","",SUMPRODUCT(--ISNUMBER(SEARCH(" "&amp;$CR$206:$CR$305&amp;" ",$AA31)))),"")</f>
        <v>0</v>
      </c>
      <c r="AH31" s="1368">
        <f>IF(31=31,IF($U31="","",SUMPRODUCT(--ISNUMBER(SEARCH(" "&amp;$CR$306:$CR$340&amp;" ",$AA31)))),"")</f>
        <v>0</v>
      </c>
      <c r="AI31" s="1368" t="str">
        <f>IF(31=31,IF($U31="","",IF((SUM(AG31:AH31))-(0)&gt;0,"X",IF((0)-(0)&gt;0,"?",""))),"")</f>
        <v/>
      </c>
      <c r="AJ31" s="1368">
        <f>IF(31=31,IF($U31="","",SUMPRODUCT(--ISNUMBER(SEARCH(" "&amp;$CR$341:$CR$398&amp;" ",$AA31)))),"")</f>
        <v>0</v>
      </c>
      <c r="AK31" s="1368">
        <f>IF(31=31,IF($U31="","",SUMPRODUCT(--ISNUMBER(SEARCH(" "&amp;$CR$399:$CR$426&amp;" ",$AL31)))+SUMPRODUCT(--ISNUMBER(SEARCH(" "&amp;$CR$2440:$CR$2453&amp;" ",$AL31)))),"")</f>
        <v>1</v>
      </c>
      <c r="AL31" s="1368" t="str">
        <f>IF(31=31,IF($U31="","",SUBSTITUTE(SUBSTITUTE(SUBSTITUTE(SUBSTITUTE(SUBSTITUTE(SUBSTITUTE(SUBSTITUTE(SUBSTITUTE(SUBSTITUTE(SUBSTITUTE(SUBSTITUTE(SUBSTITUTE(SUBSTITUTE(SUBSTITUTE($AA31," "&amp;$CR$2455&amp;" "," ")," "&amp;$CR$433&amp;" "," ")," "&amp;$CR$431&amp;" "," ")," "&amp;$CR$2438&amp;" "," ")," "&amp;$CR$2439&amp;" "," ")," "&amp;$CR$428&amp;" "," ")," "&amp;$CR$432&amp;" "," ")," "&amp;$CR$434&amp;" "," ")," "&amp;$CR$429&amp;" "," ")," "&amp;$CR$427&amp;" "," ")," "&amp;$CR$1367&amp;" "," ")," "&amp;$CR$435&amp;" "," ")," "&amp;$CR$1366&amp;" "," ")," "&amp;$CR$430&amp;" "," ")),"")</f>
        <v xml:space="preserve"> glace de poisson </v>
      </c>
      <c r="AM31" s="1368" t="str">
        <f>IF(31=31,IF($U31="","",IF(AJ31&gt;0,"X",IF(AK31&gt;0,"?",""))),"")</f>
        <v>?</v>
      </c>
      <c r="AN31" s="1368">
        <f>IF(31=31,IF($U31="","",SUMPRODUCT(--ISNUMBER(SEARCH(" "&amp;$CR$436:$CR$535&amp;" ",$AX31)))),"")</f>
        <v>0</v>
      </c>
      <c r="AO31" s="1368">
        <f>IF(31=31,IF($U31="","",SUMPRODUCT(--ISNUMBER(SEARCH(" "&amp;$CR$536:$CR$635&amp;" ",$AX31)))),"")</f>
        <v>0</v>
      </c>
      <c r="AP31" s="1368">
        <f>IF(31=31,IF($U31="","",SUMPRODUCT(--ISNUMBER(SEARCH(" "&amp;$CR$636:$CR$735&amp;" ",$AX31)))),"")</f>
        <v>0</v>
      </c>
      <c r="AQ31" s="1368">
        <f>IF(31=31,IF($U31="","",SUMPRODUCT(--ISNUMBER(SEARCH(" "&amp;$CR$736:$CR$835&amp;" ",$AX31)))),"")</f>
        <v>0</v>
      </c>
      <c r="AR31" s="1368">
        <f>IF(31=31,IF($U31="","",SUMPRODUCT(--ISNUMBER(SEARCH(" "&amp;$CR$836:$CR$935&amp;" ",$AX31)))),"")</f>
        <v>0</v>
      </c>
      <c r="AS31" s="1368">
        <f>IF(31=31,IF($U31="","",SUMPRODUCT(--ISNUMBER(SEARCH(" "&amp;$CR$936:$CR$1035&amp;" ",$AX31)))),"")</f>
        <v>0</v>
      </c>
      <c r="AT31" s="1368">
        <f>IF(31=31,IF($U31="","",SUMPRODUCT(--ISNUMBER(SEARCH(" "&amp;$CR$1036:$CR$1135&amp;" ",$AX31)))),"")</f>
        <v>1</v>
      </c>
      <c r="AU31" s="1368">
        <f>IF(31=31,IF($U31="","",SUMPRODUCT(--ISNUMBER(SEARCH(" "&amp;$CR$1136:$CR$1235&amp;" ",$AX31)))),"")</f>
        <v>0</v>
      </c>
      <c r="AV31" s="1368">
        <f>IF(31=31,IF($U31="","",SUMPRODUCT(--ISNUMBER(SEARCH(" "&amp;$CR$1236:$CR$1335&amp;" ",$AX31)))),"")</f>
        <v>0</v>
      </c>
      <c r="AW31" s="1368">
        <f>IF(31=31,IF($U31="","",SUMPRODUCT(--ISNUMBER(SEARCH(" "&amp;$CR$1336:$CR$1363&amp;" ",$AX31)))),"")</f>
        <v>0</v>
      </c>
      <c r="AX31" s="1368" t="str">
        <f>IF(31=31,IF($U31="","",SUBSTITUTE(SUBSTITUTE(SUBSTITUTE(SUBSTITUTE(SUBSTITUTE(SUBSTITUTE(SUBSTITUTE(SUBSTITUTE(SUBSTITUTE($AA31," "&amp;$CR$1365&amp;" "," ")," "&amp;$CR$1364&amp;" "," ")," "&amp;$CR$1370&amp;" "," ")," "&amp;$CR$1371&amp;" "," ")," "&amp;$CR$1367&amp;" "," ")," "&amp;$CR$1369&amp;" "," ")," "&amp;$CR$1366&amp;" "," ")," "&amp;$CR$1368&amp;" "," ")," "&amp;$CR$1372&amp;" "," ")),"")</f>
        <v xml:space="preserve"> glace de poisson </v>
      </c>
      <c r="AY31" s="1368">
        <f>IF(31=31,IF($U31="","",SUMPRODUCT(--ISNUMBER(SEARCH(" "&amp;$CR$1373:$CR$1383&amp;" ",$AX31)))),"")</f>
        <v>0</v>
      </c>
      <c r="AZ31" s="1368" t="str">
        <f>IF(31=31,IF($U31="","",IF(SUM(AN31:AW31)+SUMPRODUCT(--ISNUMBER(SEARCH(" "&amp;$CR$2421:$CR$2422&amp;" ",$AX31)))&gt;0,"X",IF(AY31&gt;0,"?",""))),"")</f>
        <v>X</v>
      </c>
      <c r="BA31" s="1368">
        <f>IF(31=31,IF($U31="","",SUMPRODUCT(--ISNUMBER(SEARCH(" "&amp;$CR$1384:$CR$1404&amp;" ",$AA31)))),"")</f>
        <v>0</v>
      </c>
      <c r="BB31" s="1368" t="str">
        <f>IF(31=31,IF($U31="","",IF((BA31)-(0)&gt;0,"X",IF((0)-(0)&gt;0,"?",""))),"")</f>
        <v/>
      </c>
      <c r="BC31" s="1368">
        <f>IF(31=31,IF($U31="","",SUMPRODUCT(--ISNUMBER(SEARCH(" "&amp;$CR$1405:$CR$1442&amp;" ",$BD31)))),"")</f>
        <v>0</v>
      </c>
      <c r="BD31" s="1368" t="str">
        <f>IF(31=31,IF($U31="","",SUBSTITUTE(SUBSTITUTE($AA31," "&amp;$CR$1443&amp;" "," ")," "&amp;$CR$1444&amp;" "," ")),"")</f>
        <v xml:space="preserve"> glace de poisson </v>
      </c>
      <c r="BE31" s="1368">
        <f>IF(31=31,IF($U31="","",SUMPRODUCT(--ISNUMBER(SEARCH(" "&amp;$CR$1445:$CR$1455&amp;" ",$BD31)))),"")</f>
        <v>0</v>
      </c>
      <c r="BF31" s="1368" t="str">
        <f>IF(31=31,IF($U31="","",IF(BC31&gt;0,"X",IF(BE31&gt;0,"?",""))),"")</f>
        <v/>
      </c>
      <c r="BG31" s="1368">
        <f>IF(31=31,IF($U31="","",SUMPRODUCT(--ISNUMBER(SEARCH(" "&amp;$CR$1456:$CR$1555&amp;" ",$BJ31)))),"")</f>
        <v>0</v>
      </c>
      <c r="BH31" s="1368">
        <f>IF(31=31,IF($U31="","",SUMPRODUCT(--ISNUMBER(SEARCH(" "&amp;$CR$1556:$CR$1655&amp;" ",$BJ31)))),"")</f>
        <v>0</v>
      </c>
      <c r="BI31" s="1368">
        <f>IF(31=31,IF($U31="","",SUMPRODUCT(--ISNUMBER(SEARCH(" "&amp;$CR$1656:$CR$1739&amp;" ",$BJ31)))),"")</f>
        <v>0</v>
      </c>
      <c r="BJ31" s="1368" t="str">
        <f>IF(31=31,IF($U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glace de poisson </v>
      </c>
      <c r="BK31" s="1368">
        <f>IF(31=31,IF($U31="","",SUMPRODUCT(--ISNUMBER(SEARCH(" "&amp;$CR$1790:$CR$1869&amp;" ",$BL31)))+SUMPRODUCT(--ISNUMBER(SEARCH(" "&amp;$CR$2440:$CR$2453&amp;" ",$BL31)))),"")</f>
        <v>1</v>
      </c>
      <c r="BL31" s="1368" t="str">
        <f>IF(31=31,IF($U31="","",SUBSTITUTE(SUBSTITUTE(SUBSTITUTE(SUBSTITUTE(SUBSTITUTE(SUBSTITUTE(SUBSTITUTE(SUBSTITUTE(SUBSTITUTE(SUBSTITUTE(SUBSTITUTE(SUBSTITUTE(SUBSTITUTE($BJ31," "&amp;$CR$1876&amp;" "," ")," "&amp;$CR$1874&amp;" "," ")," "&amp;$CR$2438&amp;" "," ")," "&amp;$CR$2439&amp;" "," ")," "&amp;$CR$1871&amp;" "," ")," "&amp;$CR$1875&amp;" "," ")," "&amp;$CR$1877&amp;" "," ")," "&amp;$CR$1872&amp;" "," ")," "&amp;$CR$1870&amp;" "," ")," "&amp;$CR$1367&amp;" "," ")," "&amp;$CR$1878&amp;" "," ")," "&amp;$CR$1366&amp;" "," ")," "&amp;$CR$1873&amp;" "," ")),"")</f>
        <v xml:space="preserve"> glace de poisson </v>
      </c>
      <c r="BM31" s="1368" t="str">
        <f>IF(31=31,IF($U31="","",IF(SUM(BG31:BI31)+SUMPRODUCT(--ISNUMBER(SEARCH(" "&amp;$CR$2423:$CR$2424&amp;" ",$BJ31)))&gt;0,"X",IF(BK31&gt;0,"?",""))),"")</f>
        <v>?</v>
      </c>
      <c r="BN31" s="1368">
        <f>IF(31=31,IF($U31="","",SUMPRODUCT(--ISNUMBER(SEARCH(" "&amp;$CR$1879:$CR$1936&amp;" ",$BO31)))),"")</f>
        <v>0</v>
      </c>
      <c r="BO31" s="1368" t="str">
        <f>IF(31=31,IF($U31="","",SUBSTITUTE(SUBSTITUTE(SUBSTITUTE(SUBSTITUTE(SUBSTITUTE(SUBSTITUTE(SUBSTITUTE(SUBSTITUTE(SUBSTITUTE(SUBSTITUTE(SUBSTITUTE(SUBSTITUTE(SUBSTITUTE(SUBSTITUTE(SUBSTITUTE(SUBSTITUTE(SUBSTITUTE(SUBSTITUTE(SUBSTITUTE(SUBSTITUTE(SUBSTITUTE(SUBSTITUTE(SUBSTITUTE($AA31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glace de poisson </v>
      </c>
      <c r="BP31" s="1368">
        <f>IF(31=31,IF($U31="","",SUMPRODUCT(--ISNUMBER(SEARCH(" "&amp;$CR$1960:$CR$1976&amp;" ",$BO31)))),"")</f>
        <v>0</v>
      </c>
      <c r="BQ31" s="1368" t="str">
        <f>IF(31=31,IF($U31="","",IF(BN31&gt;0,"X",IF(BP31&gt;0,"?",""))),"")</f>
        <v/>
      </c>
      <c r="BR31" s="1368">
        <f>IF(31=31,IF($U31="","",SUMPRODUCT(--ISNUMBER(SEARCH(" "&amp;$CR$1977:$CR$1990&amp;" ",$AA31)))),"")</f>
        <v>0</v>
      </c>
      <c r="BS31" s="1368">
        <f>IF(31=31,IF($U31="","",SUMPRODUCT(--ISNUMBER(SEARCH(" "&amp;$CR$1991:$CR$2005&amp;" ",$AA31)))),"")</f>
        <v>0</v>
      </c>
      <c r="BT31" s="1368" t="str">
        <f>IF(31=31,IF($U31="","",IF((BR31)-(0)&gt;0,"X",IF((BS31)-(0)&gt;0,"?",""))),"")</f>
        <v/>
      </c>
      <c r="BU31" s="1368">
        <f>IF(31=31,IF($U31="","",SUMPRODUCT(--ISNUMBER(SEARCH(" "&amp;$CR$2006:$CR$2023&amp;" ",$AA31)))),"")</f>
        <v>0</v>
      </c>
      <c r="BV31" s="1368">
        <f>IF(31=31,IF($U31="","",SUMPRODUCT(--ISNUMBER(SEARCH(" "&amp;$CR$2024:$CR$2038&amp;" ",$AA31)))),"")</f>
        <v>0</v>
      </c>
      <c r="BW31" s="1368" t="str">
        <f>IF(31=31,IF($U31="","",IF((BU31)-(0)&gt;0,"X",IF((BV31)-(0)&gt;0,"?",""))),"")</f>
        <v/>
      </c>
      <c r="BX31" s="1368">
        <f>IF(31=31,IF($U31="","",SUMPRODUCT(--ISNUMBER(SEARCH(" "&amp;$CR$2039:$CR$2057&amp;" ",$AA31)))),"")</f>
        <v>0</v>
      </c>
      <c r="BY31" s="1368">
        <f>IF(31=31,IF($U31="","",SUMPRODUCT(--ISNUMBER(SEARCH(" "&amp;$CR$2058:$CR$2072&amp;" ",$AA31)))),"")</f>
        <v>0</v>
      </c>
      <c r="BZ31" s="1368" t="str">
        <f>IF(31=31,IF($U31="","",IF((BX31)-(0)&gt;0,"X",IF((BY31)-(0)&gt;0,"?",""))),"")</f>
        <v/>
      </c>
      <c r="CA31" s="1368">
        <f>IF(31=31,IF($U31="","",SUMPRODUCT(--ISNUMBER(SEARCH(" "&amp;$CR$2073:$CR$2093&amp;" ",$AA31)))),"")</f>
        <v>0</v>
      </c>
      <c r="CB31" s="1368">
        <f>IF(31=31,IF($U31="","",SUMPRODUCT(--ISNUMBER(SEARCH(" "&amp;$CR$2094:$CR$2133&amp;" ",SUBSTITUTE(SUBSTITUTE($AA31," "&amp;$CR$1367&amp;" "," ")," "&amp;$CR$1366&amp;" "," "))))+--ISNUMBER(SEARCH("poiré",$V31))),"")</f>
        <v>0</v>
      </c>
      <c r="CC31" s="1368" t="str">
        <f>IF(31=31,IF($U31="","",IF(OR(CA31&gt;0,ISNUMBER(SEARCH(" vinaigre de vin ",$AA31)),ISNUMBER(SEARCH(" vinaigre au vin ",$AA31))),"X",IF(CB31&gt;0,"?",""))),"")</f>
        <v/>
      </c>
      <c r="CD31" s="1368">
        <f>IF(31=31,IF($U31="","",SUMPRODUCT(--ISNUMBER(SEARCH(" "&amp;$CR$2134:$CR$2146&amp;" ",$AA31)))),"")</f>
        <v>0</v>
      </c>
      <c r="CE31" s="1368">
        <f>IF(31=31,IF($U31="","",SUMPRODUCT(--ISNUMBER(SEARCH(" "&amp;$CR$2147:$CR$2152&amp;" ",$AA31)))),"")</f>
        <v>0</v>
      </c>
      <c r="CF31" s="1368" t="str">
        <f>IF(31=31,IF($U31="","",IF((CD31)-(0)&gt;0,"X",IF((CE31)-(0)&gt;0,"?",""))),"")</f>
        <v/>
      </c>
      <c r="CG31" s="1368">
        <f>IF(31=31,IF($U31="","",SUMPRODUCT(--ISNUMBER(SEARCH(" "&amp;$CR$2153:$CR$2252&amp;" ",$CJ31)))),"")</f>
        <v>0</v>
      </c>
      <c r="CH31" s="1368">
        <f>IF(31=31,IF($U31="","",SUMPRODUCT(--ISNUMBER(SEARCH(" "&amp;$CR$2253:$CR$2352&amp;" ",$CJ31)))),"")</f>
        <v>0</v>
      </c>
      <c r="CI31" s="1368">
        <f>IF(31=31,IF($U31="","",SUMPRODUCT(--ISNUMBER(SEARCH(" "&amp;$CR$2353:$CR$2395&amp;" ",$CJ31)))),"")</f>
        <v>0</v>
      </c>
      <c r="CJ31" s="1368" t="str">
        <f>IF(31=31,IF($U31="","",SUBSTITUTE(SUBSTITUTE(SUBSTITUTE(SUBSTITUTE(SUBSTITUTE(SUBSTITUTE(SUBSTITUTE(SUBSTITUTE(SUBSTITUTE(SUBSTITUTE(SUBSTITUTE(SUBSTITUTE(SUBSTITUTE(SUBSTITUTE(SUBSTITUTE(SUBSTITUTE($AA31," "&amp;$CR$2401&amp;" "," ")," "&amp;$CR$2400&amp;" "," ")," "&amp;$CR$2399&amp;" "," ")," "&amp;$CR$2406&amp;" "," ")," "&amp;$CR$2398&amp;" "," ")," "&amp;$CR$2410&amp;" "," ")," "&amp;$CR$2397&amp;" "," ")," "&amp;$CR$2402&amp;" "," ")," "&amp;$CR$2405&amp;" "," ")," "&amp;$CR$2396&amp;" "," ")," "&amp;$CR$2404&amp;" "," ")," "&amp;$CR$2411&amp;" "," ")," "&amp;$CR$2408&amp;" "," ")," "&amp;$CR$2403&amp;" "," ")," "&amp;$CR$2407&amp;" "," ")," "&amp;$CR$2409&amp;" "," ")),"")</f>
        <v xml:space="preserve"> glace de poisson </v>
      </c>
      <c r="CK31" s="1368">
        <f>IF(31=31,IF($U31="","",SUMPRODUCT(--ISNUMBER(SEARCH(" "&amp;$CR$2412:$CR$2416&amp;" ",$CJ31)))),"")</f>
        <v>0</v>
      </c>
      <c r="CL31" s="1368" t="str">
        <f>IF(31=31,IF($U31="","",IF(SUM(CG31:CI31)&gt;0,"X",IF(CK31&gt;0,"?",""))),"")</f>
        <v/>
      </c>
      <c r="CM31" s="1377"/>
      <c r="CN31" s="1388" t="s">
        <v>8273</v>
      </c>
      <c r="CO31" s="1388" t="s">
        <v>8105</v>
      </c>
      <c r="CP31" s="1388" t="s">
        <v>8106</v>
      </c>
      <c r="CQ31" s="1388" t="s">
        <v>8274</v>
      </c>
      <c r="CR31" s="1388" t="s">
        <v>8274</v>
      </c>
      <c r="CS31" s="1388" t="s">
        <v>8108</v>
      </c>
      <c r="CT31" s="1388" t="s">
        <v>8109</v>
      </c>
      <c r="CU31" s="1388" t="s">
        <v>8110</v>
      </c>
      <c r="CV31" s="1389" t="s">
        <v>8111</v>
      </c>
      <c r="CX31" s="1379">
        <v>1</v>
      </c>
    </row>
    <row r="32" spans="1:102" ht="21" customHeight="1" x14ac:dyDescent="0.25">
      <c r="A32" s="1412">
        <v>26</v>
      </c>
      <c r="B32" s="1413" t="s">
        <v>8275</v>
      </c>
      <c r="C32" s="1414" t="str">
        <f t="shared" si="0"/>
        <v>Haricots plats d’Espagne surgelés</v>
      </c>
      <c r="D32" s="1415" t="str">
        <f>IF(32=32,IF($B32="","",IF(E32="X",""&amp;"Céréales contenant du gluten","")&amp;IF(F32="X",IF(COUNTIF($E32:$E32,"X")&gt;0,", ","")&amp;"Crustacés","")&amp;IF(G32="X",IF(COUNTIF($E32:$F32,"X")&gt;0,", ","")&amp;"Œufs","")&amp;IF(H32="X",IF(COUNTIF($E32:$G32,"X")&gt;0,", ","")&amp;"Poissons","")&amp;IF(I32="X",IF(COUNTIF($E32:$H32,"X")&gt;0,", ","")&amp;"Arachides","")&amp;IF(J32="X",IF(COUNTIF($E32:$I32,"X")&gt;0,", ","")&amp;"Soja","")&amp;IF(K32="X",IF(COUNTIF($E32:$J32,"X")&gt;0,", ","")&amp;"Lait","")&amp;IF(L32="X",IF(COUNTIF($E32:$K32,"X")&gt;0,", ","")&amp;"Fruits à coque","")&amp;IF(M32="X",IF(COUNTIF($E32:$L32,"X")&gt;0,", ","")&amp;"Céleri","")&amp;IF(N32="X",IF(COUNTIF($E32:$M32,"X")&gt;0,", ","")&amp;"Moutarde","")&amp;IF(O32="X",IF(COUNTIF($E32:$N32,"X")&gt;0,", ","")&amp;"Sésame","")&amp;IF(P32="X",IF(COUNTIF($E32:$O32,"X")&gt;0,", ","")&amp;"Sulfites","")&amp;IF(Q32="X",IF(COUNTIF($E32:$P32,"X")&gt;0,", ","")&amp;"Lupin","")&amp;IF(R32="X",IF(COUNTIF($E32:$Q32,"X")&gt;0,", ","")&amp;"Mollusques","")),"")</f>
        <v/>
      </c>
      <c r="E32" s="1416" t="str">
        <f>IF(32=32,IF($B32="","",AF32),"")</f>
        <v/>
      </c>
      <c r="F32" s="1416" t="str">
        <f>IF(32=32,IF($B32="","",AI32),"")</f>
        <v/>
      </c>
      <c r="G32" s="1416" t="str">
        <f>IF(32=32,IF($B32="","",AM32),"")</f>
        <v/>
      </c>
      <c r="H32" s="1416" t="str">
        <f>IF(32=32,IF($B32="","",IF(ISNUMBER(SEARCH(" colin ",$AA32)),"X",AZ32)),"")</f>
        <v/>
      </c>
      <c r="I32" s="1416" t="str">
        <f>IF(32=32,IF($B32="","",BB32),"")</f>
        <v/>
      </c>
      <c r="J32" s="1416" t="str">
        <f>IF(32=32,IF($B32="","",BF32),"")</f>
        <v/>
      </c>
      <c r="K32" s="1416" t="str">
        <f>IF(32=32,IF($B32="","",BM32),"")</f>
        <v/>
      </c>
      <c r="L32" s="1416" t="str">
        <f>IF(32=32,IF($B32="","",BQ32),"")</f>
        <v/>
      </c>
      <c r="M32" s="1416" t="str">
        <f>IF(32=32,IF($B32="","",BT32),"")</f>
        <v/>
      </c>
      <c r="N32" s="1416" t="str">
        <f>IF(32=32,IF($B32="","",BW32),"")</f>
        <v/>
      </c>
      <c r="O32" s="1416" t="str">
        <f>IF(32=32,IF($B32="","",BZ32),"")</f>
        <v/>
      </c>
      <c r="P32" s="1416" t="str">
        <f>IF(32=32,IF($B32="","",CC32),"")</f>
        <v/>
      </c>
      <c r="Q32" s="1416" t="str">
        <f>IF(32=32,IF($B32="","",CF32),"")</f>
        <v/>
      </c>
      <c r="R32" s="1416" t="str">
        <f>IF(32=32,IF($B32="","",CL32),"")</f>
        <v/>
      </c>
      <c r="S32" s="1417" t="str">
        <f>IF(32=32,IF($B32="","",IF(E32="?",""&amp;"Céréales contenant du gluten","")&amp;IF(F32="?",IF(COUNTIF($E32:$E32,"~?")&gt;0,", ","")&amp;"Crustacés","")&amp;IF(G32="?",IF(COUNTIF($E32:$F32,"~?")&gt;0,", ","")&amp;"Œufs","")&amp;IF(H32="?",IF(COUNTIF($E32:$G32,"~?")&gt;0,", ","")&amp;"Poissons","")&amp;IF(I32="?",IF(COUNTIF($E32:$H32,"~?")&gt;0,", ","")&amp;"Arachides","")&amp;IF(J32="?",IF(COUNTIF($E32:$I32,"~?")&gt;0,", ","")&amp;"Soja","")&amp;IF(K32="?",IF(COUNTIF($E32:$J32,"~?")&gt;0,", ","")&amp;"Lait","")&amp;IF(L32="?",IF(COUNTIF($E32:$K32,"~?")&gt;0,", ","")&amp;"Fruits à coque","")&amp;IF(M32="?",IF(COUNTIF($E32:$L32,"~?")&gt;0,", ","")&amp;"Céleri","")&amp;IF(N32="?",IF(COUNTIF($E32:$M32,"~?")&gt;0,", ","")&amp;"Moutarde","")&amp;IF(O32="?",IF(COUNTIF($E32:$N32,"~?")&gt;0,", ","")&amp;"Sésame","")&amp;IF(P32="?",IF(COUNTIF($E32:$O32,"~?")&gt;0,", ","")&amp;"Sulfites","")&amp;IF(Q32="?",IF(COUNTIF($E32:$P32,"~?")&gt;0,", ","")&amp;"Lupin","")&amp;IF(R32="?",IF(COUNTIF($E32:$Q32,"~?")&gt;0,", ","")&amp;"Mollusques","")),"")</f>
        <v/>
      </c>
      <c r="U32" s="1368" t="str">
        <f>IF(32=32,IF($B32="","",$B32),"")</f>
        <v>Haricots plats d’Espagne surgelés</v>
      </c>
      <c r="V32" s="1368" t="str">
        <f>IF(32=32,LOWER(CLEAN(SUBSTITUTE(SUBSTITUTE(SUBSTITUTE(SUBSTITUTE($U32,CHAR(160)," ")," "," "),CHAR(10)," "),CHAR(13)," "))),"")</f>
        <v>haricots plats d’espagne surgelés</v>
      </c>
      <c r="W32" s="1368" t="str">
        <f>IF(32=32,SUBSTITUTE(SUBSTITUTE(SUBSTITUTE(SUBSTITUTE(SUBSTITUTE(SUBSTITUTE(SUBSTITUTE(SUBSTITUTE(SUBSTITUTE(SUBSTITUTE(SUBSTITUTE(SUBSTITUTE($V32,"œ","oe"),"æ","ae"),"à","a"),"á","a"),"â","a"),"ä","a"),"ã","a"),"ç","c"),"è","e"),"é","e"),"ê","e"),"ë","e"),"")</f>
        <v>haricots plats d’espagne surgeles</v>
      </c>
      <c r="X32" s="1368" t="str">
        <f>IF(32=32,SUBSTITUTE(SUBSTITUTE(SUBSTITUTE(SUBSTITUTE(SUBSTITUTE(SUBSTITUTE(SUBSTITUTE(SUBSTITUTE(SUBSTITUTE(SUBSTITUTE(SUBSTITUTE(SUBSTITUTE(SUBSTITUTE(SUBSTITUTE(SUBSTITUTE(SUBSTITUTE($W32,"ì","i"),"í","i"),"î","i"),"ï","i"),"ñ","n"),"ò","o"),"ó","o"),"ô","o"),"ö","o"),"õ","o"),"ù","u"),"ú","u"),"û","u"),"ü","u"),"ý","y"),"ÿ","y"),"")</f>
        <v>haricots plats d’espagne surgeles</v>
      </c>
      <c r="Y32" s="1368" t="str">
        <f>IF(32=32,SUBSTITUTE(SUBSTITUTE(SUBSTITUTE(SUBSTITUTE(SUBSTITUTE(SUBSTITUTE(SUBSTITUTE(SUBSTITUTE(SUBSTITUTE(SUBSTITUTE(SUBSTITUTE(SUBSTITUTE(SUBSTITUTE(SUBSTITUTE($X32,"’"," "),"`"," "),"–"," "),"—"," "),"-"," "),"'"," "),"/"," "),"_"," "),","," "),"."," "),"("," "),")"," "),";"," "),":"," "),"")</f>
        <v>haricots plats d espagne surgeles</v>
      </c>
      <c r="Z32" s="1368" t="str">
        <f>IF(32=32,SUBSTITUTE(SUBSTITUTE(SUBSTITUTE(SUBSTITUTE(SUBSTITUTE(SUBSTITUTE(SUBSTITUTE(SUBSTITUTE(SUBSTITUTE(SUBSTITUTE(SUBSTITUTE(SUBSTITUTE(SUBSTITUTE(SUBSTITUTE(SUBSTITUTE($Y32,"!"," "),"?"," "),"+"," "),"*"," "),"&amp;"," "),"["," "),"]"," "),"{"," "),"}"," "),"%"," "),"="," "),"\"," "),"|"," "),"&lt;"," "),"&gt;"," "),"")</f>
        <v>haricots plats d espagne surgeles</v>
      </c>
      <c r="AA32" s="1368" t="str">
        <f>IF(32=32," "&amp;TRIM(SUBSTITUTE(SUBSTITUTE(SUBSTITUTE(SUBSTITUTE(SUBSTITUTE(SUBSTITUTE($Z32,CHAR(34)," "),"  "," "),"  "," "),"  "," "),"  "," "),"  "," "))&amp;" ","")</f>
        <v xml:space="preserve"> haricots plats d espagne surgeles </v>
      </c>
      <c r="AB32" s="1368">
        <f>IF(32=32,IF($U32="","",SUMPRODUCT(--ISNUMBER(SEARCH(" "&amp;$CR$2:$CR$101&amp;" ",$AD32)))),"")</f>
        <v>0</v>
      </c>
      <c r="AC32" s="1368">
        <f>IF(32=32,IF($U32="","",SUMPRODUCT(--ISNUMBER(SEARCH(" "&amp;$CR$102:$CR$151&amp;" ",$AD32)))),"")</f>
        <v>0</v>
      </c>
      <c r="AD32" s="1368" t="str">
        <f t="shared" si="1"/>
        <v xml:space="preserve"> haricots plats d espagne surgeles </v>
      </c>
      <c r="AE32" s="1368">
        <f t="shared" si="2"/>
        <v>0</v>
      </c>
      <c r="AF32" s="1368" t="str">
        <f>IF(32=32,IF($U32="","",IF(SUM(AB32:AC32)+SUMPRODUCT(--ISNUMBER(SEARCH(" "&amp;$CR$2418:$CR$2420&amp;" ",$AD32)))&gt;0,"X",IF(AE32&gt;0,"?",""))),"")</f>
        <v/>
      </c>
      <c r="AG32" s="1368">
        <f>IF(32=32,IF($U32="","",SUMPRODUCT(--ISNUMBER(SEARCH(" "&amp;$CR$206:$CR$305&amp;" ",$AA32)))),"")</f>
        <v>0</v>
      </c>
      <c r="AH32" s="1368">
        <f>IF(32=32,IF($U32="","",SUMPRODUCT(--ISNUMBER(SEARCH(" "&amp;$CR$306:$CR$340&amp;" ",$AA32)))),"")</f>
        <v>0</v>
      </c>
      <c r="AI32" s="1368" t="str">
        <f>IF(32=32,IF($U32="","",IF((SUM(AG32:AH32))-(0)&gt;0,"X",IF((0)-(0)&gt;0,"?",""))),"")</f>
        <v/>
      </c>
      <c r="AJ32" s="1368">
        <f>IF(32=32,IF($U32="","",SUMPRODUCT(--ISNUMBER(SEARCH(" "&amp;$CR$341:$CR$398&amp;" ",$AA32)))),"")</f>
        <v>0</v>
      </c>
      <c r="AK32" s="1368">
        <f>IF(32=32,IF($U32="","",SUMPRODUCT(--ISNUMBER(SEARCH(" "&amp;$CR$399:$CR$426&amp;" ",$AL32)))+SUMPRODUCT(--ISNUMBER(SEARCH(" "&amp;$CR$2440:$CR$2453&amp;" ",$AL32)))),"")</f>
        <v>0</v>
      </c>
      <c r="AL32" s="1368" t="str">
        <f>IF(32=32,IF($U32="","",SUBSTITUTE(SUBSTITUTE(SUBSTITUTE(SUBSTITUTE(SUBSTITUTE(SUBSTITUTE(SUBSTITUTE(SUBSTITUTE(SUBSTITUTE(SUBSTITUTE(SUBSTITUTE(SUBSTITUTE(SUBSTITUTE(SUBSTITUTE($AA32," "&amp;$CR$2455&amp;" "," ")," "&amp;$CR$433&amp;" "," ")," "&amp;$CR$431&amp;" "," ")," "&amp;$CR$2438&amp;" "," ")," "&amp;$CR$2439&amp;" "," ")," "&amp;$CR$428&amp;" "," ")," "&amp;$CR$432&amp;" "," ")," "&amp;$CR$434&amp;" "," ")," "&amp;$CR$429&amp;" "," ")," "&amp;$CR$427&amp;" "," ")," "&amp;$CR$1367&amp;" "," ")," "&amp;$CR$435&amp;" "," ")," "&amp;$CR$1366&amp;" "," ")," "&amp;$CR$430&amp;" "," ")),"")</f>
        <v xml:space="preserve"> haricots plats d espagne surgeles </v>
      </c>
      <c r="AM32" s="1368" t="str">
        <f>IF(32=32,IF($U32="","",IF(AJ32&gt;0,"X",IF(AK32&gt;0,"?",""))),"")</f>
        <v/>
      </c>
      <c r="AN32" s="1368">
        <f>IF(32=32,IF($U32="","",SUMPRODUCT(--ISNUMBER(SEARCH(" "&amp;$CR$436:$CR$535&amp;" ",$AX32)))),"")</f>
        <v>0</v>
      </c>
      <c r="AO32" s="1368">
        <f>IF(32=32,IF($U32="","",SUMPRODUCT(--ISNUMBER(SEARCH(" "&amp;$CR$536:$CR$635&amp;" ",$AX32)))),"")</f>
        <v>0</v>
      </c>
      <c r="AP32" s="1368">
        <f>IF(32=32,IF($U32="","",SUMPRODUCT(--ISNUMBER(SEARCH(" "&amp;$CR$636:$CR$735&amp;" ",$AX32)))),"")</f>
        <v>0</v>
      </c>
      <c r="AQ32" s="1368">
        <f>IF(32=32,IF($U32="","",SUMPRODUCT(--ISNUMBER(SEARCH(" "&amp;$CR$736:$CR$835&amp;" ",$AX32)))),"")</f>
        <v>0</v>
      </c>
      <c r="AR32" s="1368">
        <f>IF(32=32,IF($U32="","",SUMPRODUCT(--ISNUMBER(SEARCH(" "&amp;$CR$836:$CR$935&amp;" ",$AX32)))),"")</f>
        <v>0</v>
      </c>
      <c r="AS32" s="1368">
        <f>IF(32=32,IF($U32="","",SUMPRODUCT(--ISNUMBER(SEARCH(" "&amp;$CR$936:$CR$1035&amp;" ",$AX32)))),"")</f>
        <v>0</v>
      </c>
      <c r="AT32" s="1368">
        <f>IF(32=32,IF($U32="","",SUMPRODUCT(--ISNUMBER(SEARCH(" "&amp;$CR$1036:$CR$1135&amp;" ",$AX32)))),"")</f>
        <v>0</v>
      </c>
      <c r="AU32" s="1368">
        <f>IF(32=32,IF($U32="","",SUMPRODUCT(--ISNUMBER(SEARCH(" "&amp;$CR$1136:$CR$1235&amp;" ",$AX32)))),"")</f>
        <v>0</v>
      </c>
      <c r="AV32" s="1368">
        <f>IF(32=32,IF($U32="","",SUMPRODUCT(--ISNUMBER(SEARCH(" "&amp;$CR$1236:$CR$1335&amp;" ",$AX32)))),"")</f>
        <v>0</v>
      </c>
      <c r="AW32" s="1368">
        <f>IF(32=32,IF($U32="","",SUMPRODUCT(--ISNUMBER(SEARCH(" "&amp;$CR$1336:$CR$1363&amp;" ",$AX32)))),"")</f>
        <v>0</v>
      </c>
      <c r="AX32" s="1368" t="str">
        <f>IF(32=32,IF($U32="","",SUBSTITUTE(SUBSTITUTE(SUBSTITUTE(SUBSTITUTE(SUBSTITUTE(SUBSTITUTE(SUBSTITUTE(SUBSTITUTE(SUBSTITUTE($AA32," "&amp;$CR$1365&amp;" "," ")," "&amp;$CR$1364&amp;" "," ")," "&amp;$CR$1370&amp;" "," ")," "&amp;$CR$1371&amp;" "," ")," "&amp;$CR$1367&amp;" "," ")," "&amp;$CR$1369&amp;" "," ")," "&amp;$CR$1366&amp;" "," ")," "&amp;$CR$1368&amp;" "," ")," "&amp;$CR$1372&amp;" "," ")),"")</f>
        <v xml:space="preserve"> haricots plats d espagne surgeles </v>
      </c>
      <c r="AY32" s="1368">
        <f>IF(32=32,IF($U32="","",SUMPRODUCT(--ISNUMBER(SEARCH(" "&amp;$CR$1373:$CR$1383&amp;" ",$AX32)))),"")</f>
        <v>0</v>
      </c>
      <c r="AZ32" s="1368" t="str">
        <f>IF(32=32,IF($U32="","",IF(SUM(AN32:AW32)+SUMPRODUCT(--ISNUMBER(SEARCH(" "&amp;$CR$2421:$CR$2422&amp;" ",$AX32)))&gt;0,"X",IF(AY32&gt;0,"?",""))),"")</f>
        <v/>
      </c>
      <c r="BA32" s="1368">
        <f>IF(32=32,IF($U32="","",SUMPRODUCT(--ISNUMBER(SEARCH(" "&amp;$CR$1384:$CR$1404&amp;" ",$AA32)))),"")</f>
        <v>0</v>
      </c>
      <c r="BB32" s="1368" t="str">
        <f>IF(32=32,IF($U32="","",IF((BA32)-(0)&gt;0,"X",IF((0)-(0)&gt;0,"?",""))),"")</f>
        <v/>
      </c>
      <c r="BC32" s="1368">
        <f>IF(32=32,IF($U32="","",SUMPRODUCT(--ISNUMBER(SEARCH(" "&amp;$CR$1405:$CR$1442&amp;" ",$BD32)))),"")</f>
        <v>0</v>
      </c>
      <c r="BD32" s="1368" t="str">
        <f>IF(32=32,IF($U32="","",SUBSTITUTE(SUBSTITUTE($AA32," "&amp;$CR$1443&amp;" "," ")," "&amp;$CR$1444&amp;" "," ")),"")</f>
        <v xml:space="preserve"> haricots plats d espagne surgeles </v>
      </c>
      <c r="BE32" s="1368">
        <f>IF(32=32,IF($U32="","",SUMPRODUCT(--ISNUMBER(SEARCH(" "&amp;$CR$1445:$CR$1455&amp;" ",$BD32)))),"")</f>
        <v>0</v>
      </c>
      <c r="BF32" s="1368" t="str">
        <f>IF(32=32,IF($U32="","",IF(BC32&gt;0,"X",IF(BE32&gt;0,"?",""))),"")</f>
        <v/>
      </c>
      <c r="BG32" s="1368">
        <f>IF(32=32,IF($U32="","",SUMPRODUCT(--ISNUMBER(SEARCH(" "&amp;$CR$1456:$CR$1555&amp;" ",$BJ32)))),"")</f>
        <v>0</v>
      </c>
      <c r="BH32" s="1368">
        <f>IF(32=32,IF($U32="","",SUMPRODUCT(--ISNUMBER(SEARCH(" "&amp;$CR$1556:$CR$1655&amp;" ",$BJ32)))),"")</f>
        <v>0</v>
      </c>
      <c r="BI32" s="1368">
        <f>IF(32=32,IF($U32="","",SUMPRODUCT(--ISNUMBER(SEARCH(" "&amp;$CR$1656:$CR$1739&amp;" ",$BJ32)))),"")</f>
        <v>0</v>
      </c>
      <c r="BJ32" s="1368" t="str">
        <f>IF(32=32,IF($U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haricots plats d espagne surgeles </v>
      </c>
      <c r="BK32" s="1368">
        <f>IF(32=32,IF($U32="","",SUMPRODUCT(--ISNUMBER(SEARCH(" "&amp;$CR$1790:$CR$1869&amp;" ",$BL32)))+SUMPRODUCT(--ISNUMBER(SEARCH(" "&amp;$CR$2440:$CR$2453&amp;" ",$BL32)))),"")</f>
        <v>0</v>
      </c>
      <c r="BL32" s="1368" t="str">
        <f>IF(32=32,IF($U32="","",SUBSTITUTE(SUBSTITUTE(SUBSTITUTE(SUBSTITUTE(SUBSTITUTE(SUBSTITUTE(SUBSTITUTE(SUBSTITUTE(SUBSTITUTE(SUBSTITUTE(SUBSTITUTE(SUBSTITUTE(SUBSTITUTE($BJ32," "&amp;$CR$1876&amp;" "," ")," "&amp;$CR$1874&amp;" "," ")," "&amp;$CR$2438&amp;" "," ")," "&amp;$CR$2439&amp;" "," ")," "&amp;$CR$1871&amp;" "," ")," "&amp;$CR$1875&amp;" "," ")," "&amp;$CR$1877&amp;" "," ")," "&amp;$CR$1872&amp;" "," ")," "&amp;$CR$1870&amp;" "," ")," "&amp;$CR$1367&amp;" "," ")," "&amp;$CR$1878&amp;" "," ")," "&amp;$CR$1366&amp;" "," ")," "&amp;$CR$1873&amp;" "," ")),"")</f>
        <v xml:space="preserve"> haricots plats d espagne surgeles </v>
      </c>
      <c r="BM32" s="1368" t="str">
        <f>IF(32=32,IF($U32="","",IF(SUM(BG32:BI32)+SUMPRODUCT(--ISNUMBER(SEARCH(" "&amp;$CR$2423:$CR$2424&amp;" ",$BJ32)))&gt;0,"X",IF(BK32&gt;0,"?",""))),"")</f>
        <v/>
      </c>
      <c r="BN32" s="1368">
        <f>IF(32=32,IF($U32="","",SUMPRODUCT(--ISNUMBER(SEARCH(" "&amp;$CR$1879:$CR$1936&amp;" ",$BO32)))),"")</f>
        <v>0</v>
      </c>
      <c r="BO32" s="1368" t="str">
        <f>IF(32=32,IF($U32="","",SUBSTITUTE(SUBSTITUTE(SUBSTITUTE(SUBSTITUTE(SUBSTITUTE(SUBSTITUTE(SUBSTITUTE(SUBSTITUTE(SUBSTITUTE(SUBSTITUTE(SUBSTITUTE(SUBSTITUTE(SUBSTITUTE(SUBSTITUTE(SUBSTITUTE(SUBSTITUTE(SUBSTITUTE(SUBSTITUTE(SUBSTITUTE(SUBSTITUTE(SUBSTITUTE(SUBSTITUTE(SUBSTITUTE($AA32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haricots plats d espagne surgeles </v>
      </c>
      <c r="BP32" s="1368">
        <f>IF(32=32,IF($U32="","",SUMPRODUCT(--ISNUMBER(SEARCH(" "&amp;$CR$1960:$CR$1976&amp;" ",$BO32)))),"")</f>
        <v>0</v>
      </c>
      <c r="BQ32" s="1368" t="str">
        <f>IF(32=32,IF($U32="","",IF(BN32&gt;0,"X",IF(BP32&gt;0,"?",""))),"")</f>
        <v/>
      </c>
      <c r="BR32" s="1368">
        <f>IF(32=32,IF($U32="","",SUMPRODUCT(--ISNUMBER(SEARCH(" "&amp;$CR$1977:$CR$1990&amp;" ",$AA32)))),"")</f>
        <v>0</v>
      </c>
      <c r="BS32" s="1368">
        <f>IF(32=32,IF($U32="","",SUMPRODUCT(--ISNUMBER(SEARCH(" "&amp;$CR$1991:$CR$2005&amp;" ",$AA32)))),"")</f>
        <v>0</v>
      </c>
      <c r="BT32" s="1368" t="str">
        <f>IF(32=32,IF($U32="","",IF((BR32)-(0)&gt;0,"X",IF((BS32)-(0)&gt;0,"?",""))),"")</f>
        <v/>
      </c>
      <c r="BU32" s="1368">
        <f>IF(32=32,IF($U32="","",SUMPRODUCT(--ISNUMBER(SEARCH(" "&amp;$CR$2006:$CR$2023&amp;" ",$AA32)))),"")</f>
        <v>0</v>
      </c>
      <c r="BV32" s="1368">
        <f>IF(32=32,IF($U32="","",SUMPRODUCT(--ISNUMBER(SEARCH(" "&amp;$CR$2024:$CR$2038&amp;" ",$AA32)))),"")</f>
        <v>0</v>
      </c>
      <c r="BW32" s="1368" t="str">
        <f>IF(32=32,IF($U32="","",IF((BU32)-(0)&gt;0,"X",IF((BV32)-(0)&gt;0,"?",""))),"")</f>
        <v/>
      </c>
      <c r="BX32" s="1368">
        <f>IF(32=32,IF($U32="","",SUMPRODUCT(--ISNUMBER(SEARCH(" "&amp;$CR$2039:$CR$2057&amp;" ",$AA32)))),"")</f>
        <v>0</v>
      </c>
      <c r="BY32" s="1368">
        <f>IF(32=32,IF($U32="","",SUMPRODUCT(--ISNUMBER(SEARCH(" "&amp;$CR$2058:$CR$2072&amp;" ",$AA32)))),"")</f>
        <v>0</v>
      </c>
      <c r="BZ32" s="1368" t="str">
        <f>IF(32=32,IF($U32="","",IF((BX32)-(0)&gt;0,"X",IF((BY32)-(0)&gt;0,"?",""))),"")</f>
        <v/>
      </c>
      <c r="CA32" s="1368">
        <f>IF(32=32,IF($U32="","",SUMPRODUCT(--ISNUMBER(SEARCH(" "&amp;$CR$2073:$CR$2093&amp;" ",$AA32)))),"")</f>
        <v>0</v>
      </c>
      <c r="CB32" s="1368">
        <f>IF(32=32,IF($U32="","",SUMPRODUCT(--ISNUMBER(SEARCH(" "&amp;$CR$2094:$CR$2133&amp;" ",SUBSTITUTE(SUBSTITUTE($AA32," "&amp;$CR$1367&amp;" "," ")," "&amp;$CR$1366&amp;" "," "))))+--ISNUMBER(SEARCH("poiré",$V32))),"")</f>
        <v>0</v>
      </c>
      <c r="CC32" s="1368" t="str">
        <f>IF(32=32,IF($U32="","",IF(OR(CA32&gt;0,ISNUMBER(SEARCH(" vinaigre de vin ",$AA32)),ISNUMBER(SEARCH(" vinaigre au vin ",$AA32))),"X",IF(CB32&gt;0,"?",""))),"")</f>
        <v/>
      </c>
      <c r="CD32" s="1368">
        <f>IF(32=32,IF($U32="","",SUMPRODUCT(--ISNUMBER(SEARCH(" "&amp;$CR$2134:$CR$2146&amp;" ",$AA32)))),"")</f>
        <v>0</v>
      </c>
      <c r="CE32" s="1368">
        <f>IF(32=32,IF($U32="","",SUMPRODUCT(--ISNUMBER(SEARCH(" "&amp;$CR$2147:$CR$2152&amp;" ",$AA32)))),"")</f>
        <v>0</v>
      </c>
      <c r="CF32" s="1368" t="str">
        <f>IF(32=32,IF($U32="","",IF((CD32)-(0)&gt;0,"X",IF((CE32)-(0)&gt;0,"?",""))),"")</f>
        <v/>
      </c>
      <c r="CG32" s="1368">
        <f>IF(32=32,IF($U32="","",SUMPRODUCT(--ISNUMBER(SEARCH(" "&amp;$CR$2153:$CR$2252&amp;" ",$CJ32)))),"")</f>
        <v>0</v>
      </c>
      <c r="CH32" s="1368">
        <f>IF(32=32,IF($U32="","",SUMPRODUCT(--ISNUMBER(SEARCH(" "&amp;$CR$2253:$CR$2352&amp;" ",$CJ32)))),"")</f>
        <v>0</v>
      </c>
      <c r="CI32" s="1368">
        <f>IF(32=32,IF($U32="","",SUMPRODUCT(--ISNUMBER(SEARCH(" "&amp;$CR$2353:$CR$2395&amp;" ",$CJ32)))),"")</f>
        <v>0</v>
      </c>
      <c r="CJ32" s="1368" t="str">
        <f>IF(32=32,IF($U32="","",SUBSTITUTE(SUBSTITUTE(SUBSTITUTE(SUBSTITUTE(SUBSTITUTE(SUBSTITUTE(SUBSTITUTE(SUBSTITUTE(SUBSTITUTE(SUBSTITUTE(SUBSTITUTE(SUBSTITUTE(SUBSTITUTE(SUBSTITUTE(SUBSTITUTE(SUBSTITUTE($AA32," "&amp;$CR$2401&amp;" "," ")," "&amp;$CR$2400&amp;" "," ")," "&amp;$CR$2399&amp;" "," ")," "&amp;$CR$2406&amp;" "," ")," "&amp;$CR$2398&amp;" "," ")," "&amp;$CR$2410&amp;" "," ")," "&amp;$CR$2397&amp;" "," ")," "&amp;$CR$2402&amp;" "," ")," "&amp;$CR$2405&amp;" "," ")," "&amp;$CR$2396&amp;" "," ")," "&amp;$CR$2404&amp;" "," ")," "&amp;$CR$2411&amp;" "," ")," "&amp;$CR$2408&amp;" "," ")," "&amp;$CR$2403&amp;" "," ")," "&amp;$CR$2407&amp;" "," ")," "&amp;$CR$2409&amp;" "," ")),"")</f>
        <v xml:space="preserve"> haricots plats d espagne surgeles </v>
      </c>
      <c r="CK32" s="1368">
        <f>IF(32=32,IF($U32="","",SUMPRODUCT(--ISNUMBER(SEARCH(" "&amp;$CR$2412:$CR$2416&amp;" ",$CJ32)))),"")</f>
        <v>0</v>
      </c>
      <c r="CL32" s="1368" t="str">
        <f>IF(32=32,IF($U32="","",IF(SUM(CG32:CI32)&gt;0,"X",IF(CK32&gt;0,"?",""))),"")</f>
        <v/>
      </c>
      <c r="CM32" s="1377"/>
      <c r="CN32" s="1388" t="s">
        <v>8276</v>
      </c>
      <c r="CO32" s="1388" t="s">
        <v>8105</v>
      </c>
      <c r="CP32" s="1388" t="s">
        <v>8106</v>
      </c>
      <c r="CQ32" s="1388" t="s">
        <v>8277</v>
      </c>
      <c r="CR32" s="1388" t="s">
        <v>8277</v>
      </c>
      <c r="CS32" s="1388" t="s">
        <v>8108</v>
      </c>
      <c r="CT32" s="1388" t="s">
        <v>8109</v>
      </c>
      <c r="CU32" s="1388" t="s">
        <v>8110</v>
      </c>
      <c r="CV32" s="1389" t="s">
        <v>8111</v>
      </c>
      <c r="CX32" s="1379">
        <v>1</v>
      </c>
    </row>
    <row r="33" spans="1:102" ht="21" customHeight="1" x14ac:dyDescent="0.25">
      <c r="A33" s="1412">
        <v>27</v>
      </c>
      <c r="B33" s="1413" t="s">
        <v>8278</v>
      </c>
      <c r="C33" s="1414" t="str">
        <f t="shared" si="0"/>
        <v>Herbes de Provence</v>
      </c>
      <c r="D33" s="1415" t="str">
        <f>IF(33=33,IF($B33="","",IF(E33="X",""&amp;"Céréales contenant du gluten","")&amp;IF(F33="X",IF(COUNTIF($E33:$E33,"X")&gt;0,", ","")&amp;"Crustacés","")&amp;IF(G33="X",IF(COUNTIF($E33:$F33,"X")&gt;0,", ","")&amp;"Œufs","")&amp;IF(H33="X",IF(COUNTIF($E33:$G33,"X")&gt;0,", ","")&amp;"Poissons","")&amp;IF(I33="X",IF(COUNTIF($E33:$H33,"X")&gt;0,", ","")&amp;"Arachides","")&amp;IF(J33="X",IF(COUNTIF($E33:$I33,"X")&gt;0,", ","")&amp;"Soja","")&amp;IF(K33="X",IF(COUNTIF($E33:$J33,"X")&gt;0,", ","")&amp;"Lait","")&amp;IF(L33="X",IF(COUNTIF($E33:$K33,"X")&gt;0,", ","")&amp;"Fruits à coque","")&amp;IF(M33="X",IF(COUNTIF($E33:$L33,"X")&gt;0,", ","")&amp;"Céleri","")&amp;IF(N33="X",IF(COUNTIF($E33:$M33,"X")&gt;0,", ","")&amp;"Moutarde","")&amp;IF(O33="X",IF(COUNTIF($E33:$N33,"X")&gt;0,", ","")&amp;"Sésame","")&amp;IF(P33="X",IF(COUNTIF($E33:$O33,"X")&gt;0,", ","")&amp;"Sulfites","")&amp;IF(Q33="X",IF(COUNTIF($E33:$P33,"X")&gt;0,", ","")&amp;"Lupin","")&amp;IF(R33="X",IF(COUNTIF($E33:$Q33,"X")&gt;0,", ","")&amp;"Mollusques","")),"")</f>
        <v/>
      </c>
      <c r="E33" s="1416" t="str">
        <f>IF(33=33,IF($B33="","",AF33),"")</f>
        <v/>
      </c>
      <c r="F33" s="1416" t="str">
        <f>IF(33=33,IF($B33="","",AI33),"")</f>
        <v/>
      </c>
      <c r="G33" s="1416" t="str">
        <f>IF(33=33,IF($B33="","",AM33),"")</f>
        <v/>
      </c>
      <c r="H33" s="1416" t="str">
        <f>IF(33=33,IF($B33="","",IF(ISNUMBER(SEARCH(" colin ",$AA33)),"X",AZ33)),"")</f>
        <v/>
      </c>
      <c r="I33" s="1416" t="str">
        <f>IF(33=33,IF($B33="","",BB33),"")</f>
        <v/>
      </c>
      <c r="J33" s="1416" t="str">
        <f>IF(33=33,IF($B33="","",BF33),"")</f>
        <v/>
      </c>
      <c r="K33" s="1416" t="str">
        <f>IF(33=33,IF($B33="","",BM33),"")</f>
        <v/>
      </c>
      <c r="L33" s="1416" t="str">
        <f>IF(33=33,IF($B33="","",BQ33),"")</f>
        <v/>
      </c>
      <c r="M33" s="1416" t="str">
        <f>IF(33=33,IF($B33="","",BT33),"")</f>
        <v/>
      </c>
      <c r="N33" s="1416" t="str">
        <f>IF(33=33,IF($B33="","",BW33),"")</f>
        <v/>
      </c>
      <c r="O33" s="1416" t="str">
        <f>IF(33=33,IF($B33="","",BZ33),"")</f>
        <v/>
      </c>
      <c r="P33" s="1416" t="str">
        <f>IF(33=33,IF($B33="","",CC33),"")</f>
        <v/>
      </c>
      <c r="Q33" s="1416" t="str">
        <f>IF(33=33,IF($B33="","",CF33),"")</f>
        <v/>
      </c>
      <c r="R33" s="1416" t="str">
        <f>IF(33=33,IF($B33="","",CL33),"")</f>
        <v/>
      </c>
      <c r="S33" s="1417" t="str">
        <f>IF(33=33,IF($B33="","",IF(E33="?",""&amp;"Céréales contenant du gluten","")&amp;IF(F33="?",IF(COUNTIF($E33:$E33,"~?")&gt;0,", ","")&amp;"Crustacés","")&amp;IF(G33="?",IF(COUNTIF($E33:$F33,"~?")&gt;0,", ","")&amp;"Œufs","")&amp;IF(H33="?",IF(COUNTIF($E33:$G33,"~?")&gt;0,", ","")&amp;"Poissons","")&amp;IF(I33="?",IF(COUNTIF($E33:$H33,"~?")&gt;0,", ","")&amp;"Arachides","")&amp;IF(J33="?",IF(COUNTIF($E33:$I33,"~?")&gt;0,", ","")&amp;"Soja","")&amp;IF(K33="?",IF(COUNTIF($E33:$J33,"~?")&gt;0,", ","")&amp;"Lait","")&amp;IF(L33="?",IF(COUNTIF($E33:$K33,"~?")&gt;0,", ","")&amp;"Fruits à coque","")&amp;IF(M33="?",IF(COUNTIF($E33:$L33,"~?")&gt;0,", ","")&amp;"Céleri","")&amp;IF(N33="?",IF(COUNTIF($E33:$M33,"~?")&gt;0,", ","")&amp;"Moutarde","")&amp;IF(O33="?",IF(COUNTIF($E33:$N33,"~?")&gt;0,", ","")&amp;"Sésame","")&amp;IF(P33="?",IF(COUNTIF($E33:$O33,"~?")&gt;0,", ","")&amp;"Sulfites","")&amp;IF(Q33="?",IF(COUNTIF($E33:$P33,"~?")&gt;0,", ","")&amp;"Lupin","")&amp;IF(R33="?",IF(COUNTIF($E33:$Q33,"~?")&gt;0,", ","")&amp;"Mollusques","")),"")</f>
        <v/>
      </c>
      <c r="U33" s="1368" t="str">
        <f>IF(33=33,IF($B33="","",$B33),"")</f>
        <v>Herbes de Provence</v>
      </c>
      <c r="V33" s="1368" t="str">
        <f>IF(33=33,LOWER(CLEAN(SUBSTITUTE(SUBSTITUTE(SUBSTITUTE(SUBSTITUTE($U33,CHAR(160)," ")," "," "),CHAR(10)," "),CHAR(13)," "))),"")</f>
        <v>herbes de provence</v>
      </c>
      <c r="W33" s="1368" t="str">
        <f>IF(33=33,SUBSTITUTE(SUBSTITUTE(SUBSTITUTE(SUBSTITUTE(SUBSTITUTE(SUBSTITUTE(SUBSTITUTE(SUBSTITUTE(SUBSTITUTE(SUBSTITUTE(SUBSTITUTE(SUBSTITUTE($V33,"œ","oe"),"æ","ae"),"à","a"),"á","a"),"â","a"),"ä","a"),"ã","a"),"ç","c"),"è","e"),"é","e"),"ê","e"),"ë","e"),"")</f>
        <v>herbes de provence</v>
      </c>
      <c r="X33" s="1368" t="str">
        <f>IF(33=33,SUBSTITUTE(SUBSTITUTE(SUBSTITUTE(SUBSTITUTE(SUBSTITUTE(SUBSTITUTE(SUBSTITUTE(SUBSTITUTE(SUBSTITUTE(SUBSTITUTE(SUBSTITUTE(SUBSTITUTE(SUBSTITUTE(SUBSTITUTE(SUBSTITUTE(SUBSTITUTE($W33,"ì","i"),"í","i"),"î","i"),"ï","i"),"ñ","n"),"ò","o"),"ó","o"),"ô","o"),"ö","o"),"õ","o"),"ù","u"),"ú","u"),"û","u"),"ü","u"),"ý","y"),"ÿ","y"),"")</f>
        <v>herbes de provence</v>
      </c>
      <c r="Y33" s="1368" t="str">
        <f>IF(33=33,SUBSTITUTE(SUBSTITUTE(SUBSTITUTE(SUBSTITUTE(SUBSTITUTE(SUBSTITUTE(SUBSTITUTE(SUBSTITUTE(SUBSTITUTE(SUBSTITUTE(SUBSTITUTE(SUBSTITUTE(SUBSTITUTE(SUBSTITUTE($X33,"’"," "),"`"," "),"–"," "),"—"," "),"-"," "),"'"," "),"/"," "),"_"," "),","," "),"."," "),"("," "),")"," "),";"," "),":"," "),"")</f>
        <v>herbes de provence</v>
      </c>
      <c r="Z33" s="1368" t="str">
        <f>IF(33=33,SUBSTITUTE(SUBSTITUTE(SUBSTITUTE(SUBSTITUTE(SUBSTITUTE(SUBSTITUTE(SUBSTITUTE(SUBSTITUTE(SUBSTITUTE(SUBSTITUTE(SUBSTITUTE(SUBSTITUTE(SUBSTITUTE(SUBSTITUTE(SUBSTITUTE($Y33,"!"," "),"?"," "),"+"," "),"*"," "),"&amp;"," "),"["," "),"]"," "),"{"," "),"}"," "),"%"," "),"="," "),"\"," "),"|"," "),"&lt;"," "),"&gt;"," "),"")</f>
        <v>herbes de provence</v>
      </c>
      <c r="AA33" s="1368" t="str">
        <f>IF(33=33," "&amp;TRIM(SUBSTITUTE(SUBSTITUTE(SUBSTITUTE(SUBSTITUTE(SUBSTITUTE(SUBSTITUTE($Z33,CHAR(34)," "),"  "," "),"  "," "),"  "," "),"  "," "),"  "," "))&amp;" ","")</f>
        <v xml:space="preserve"> herbes de provence </v>
      </c>
      <c r="AB33" s="1368">
        <f>IF(33=33,IF($U33="","",SUMPRODUCT(--ISNUMBER(SEARCH(" "&amp;$CR$2:$CR$101&amp;" ",$AD33)))),"")</f>
        <v>0</v>
      </c>
      <c r="AC33" s="1368">
        <f>IF(33=33,IF($U33="","",SUMPRODUCT(--ISNUMBER(SEARCH(" "&amp;$CR$102:$CR$151&amp;" ",$AD33)))),"")</f>
        <v>0</v>
      </c>
      <c r="AD33" s="1368" t="str">
        <f t="shared" si="1"/>
        <v xml:space="preserve"> herbes de provence </v>
      </c>
      <c r="AE33" s="1368">
        <f t="shared" si="2"/>
        <v>0</v>
      </c>
      <c r="AF33" s="1368" t="str">
        <f>IF(33=33,IF($U33="","",IF(SUM(AB33:AC33)+SUMPRODUCT(--ISNUMBER(SEARCH(" "&amp;$CR$2418:$CR$2420&amp;" ",$AD33)))&gt;0,"X",IF(AE33&gt;0,"?",""))),"")</f>
        <v/>
      </c>
      <c r="AG33" s="1368">
        <f>IF(33=33,IF($U33="","",SUMPRODUCT(--ISNUMBER(SEARCH(" "&amp;$CR$206:$CR$305&amp;" ",$AA33)))),"")</f>
        <v>0</v>
      </c>
      <c r="AH33" s="1368">
        <f>IF(33=33,IF($U33="","",SUMPRODUCT(--ISNUMBER(SEARCH(" "&amp;$CR$306:$CR$340&amp;" ",$AA33)))),"")</f>
        <v>0</v>
      </c>
      <c r="AI33" s="1368" t="str">
        <f>IF(33=33,IF($U33="","",IF((SUM(AG33:AH33))-(0)&gt;0,"X",IF((0)-(0)&gt;0,"?",""))),"")</f>
        <v/>
      </c>
      <c r="AJ33" s="1368">
        <f>IF(33=33,IF($U33="","",SUMPRODUCT(--ISNUMBER(SEARCH(" "&amp;$CR$341:$CR$398&amp;" ",$AA33)))),"")</f>
        <v>0</v>
      </c>
      <c r="AK33" s="1368">
        <f>IF(33=33,IF($U33="","",SUMPRODUCT(--ISNUMBER(SEARCH(" "&amp;$CR$399:$CR$426&amp;" ",$AL33)))+SUMPRODUCT(--ISNUMBER(SEARCH(" "&amp;$CR$2440:$CR$2453&amp;" ",$AL33)))),"")</f>
        <v>0</v>
      </c>
      <c r="AL33" s="1368" t="str">
        <f>IF(33=33,IF($U33="","",SUBSTITUTE(SUBSTITUTE(SUBSTITUTE(SUBSTITUTE(SUBSTITUTE(SUBSTITUTE(SUBSTITUTE(SUBSTITUTE(SUBSTITUTE(SUBSTITUTE(SUBSTITUTE(SUBSTITUTE(SUBSTITUTE(SUBSTITUTE($AA33," "&amp;$CR$2455&amp;" "," ")," "&amp;$CR$433&amp;" "," ")," "&amp;$CR$431&amp;" "," ")," "&amp;$CR$2438&amp;" "," ")," "&amp;$CR$2439&amp;" "," ")," "&amp;$CR$428&amp;" "," ")," "&amp;$CR$432&amp;" "," ")," "&amp;$CR$434&amp;" "," ")," "&amp;$CR$429&amp;" "," ")," "&amp;$CR$427&amp;" "," ")," "&amp;$CR$1367&amp;" "," ")," "&amp;$CR$435&amp;" "," ")," "&amp;$CR$1366&amp;" "," ")," "&amp;$CR$430&amp;" "," ")),"")</f>
        <v xml:space="preserve"> herbes de provence </v>
      </c>
      <c r="AM33" s="1368" t="str">
        <f>IF(33=33,IF($U33="","",IF(AJ33&gt;0,"X",IF(AK33&gt;0,"?",""))),"")</f>
        <v/>
      </c>
      <c r="AN33" s="1368">
        <f>IF(33=33,IF($U33="","",SUMPRODUCT(--ISNUMBER(SEARCH(" "&amp;$CR$436:$CR$535&amp;" ",$AX33)))),"")</f>
        <v>0</v>
      </c>
      <c r="AO33" s="1368">
        <f>IF(33=33,IF($U33="","",SUMPRODUCT(--ISNUMBER(SEARCH(" "&amp;$CR$536:$CR$635&amp;" ",$AX33)))),"")</f>
        <v>0</v>
      </c>
      <c r="AP33" s="1368">
        <f>IF(33=33,IF($U33="","",SUMPRODUCT(--ISNUMBER(SEARCH(" "&amp;$CR$636:$CR$735&amp;" ",$AX33)))),"")</f>
        <v>0</v>
      </c>
      <c r="AQ33" s="1368">
        <f>IF(33=33,IF($U33="","",SUMPRODUCT(--ISNUMBER(SEARCH(" "&amp;$CR$736:$CR$835&amp;" ",$AX33)))),"")</f>
        <v>0</v>
      </c>
      <c r="AR33" s="1368">
        <f>IF(33=33,IF($U33="","",SUMPRODUCT(--ISNUMBER(SEARCH(" "&amp;$CR$836:$CR$935&amp;" ",$AX33)))),"")</f>
        <v>0</v>
      </c>
      <c r="AS33" s="1368">
        <f>IF(33=33,IF($U33="","",SUMPRODUCT(--ISNUMBER(SEARCH(" "&amp;$CR$936:$CR$1035&amp;" ",$AX33)))),"")</f>
        <v>0</v>
      </c>
      <c r="AT33" s="1368">
        <f>IF(33=33,IF($U33="","",SUMPRODUCT(--ISNUMBER(SEARCH(" "&amp;$CR$1036:$CR$1135&amp;" ",$AX33)))),"")</f>
        <v>0</v>
      </c>
      <c r="AU33" s="1368">
        <f>IF(33=33,IF($U33="","",SUMPRODUCT(--ISNUMBER(SEARCH(" "&amp;$CR$1136:$CR$1235&amp;" ",$AX33)))),"")</f>
        <v>0</v>
      </c>
      <c r="AV33" s="1368">
        <f>IF(33=33,IF($U33="","",SUMPRODUCT(--ISNUMBER(SEARCH(" "&amp;$CR$1236:$CR$1335&amp;" ",$AX33)))),"")</f>
        <v>0</v>
      </c>
      <c r="AW33" s="1368">
        <f>IF(33=33,IF($U33="","",SUMPRODUCT(--ISNUMBER(SEARCH(" "&amp;$CR$1336:$CR$1363&amp;" ",$AX33)))),"")</f>
        <v>0</v>
      </c>
      <c r="AX33" s="1368" t="str">
        <f>IF(33=33,IF($U33="","",SUBSTITUTE(SUBSTITUTE(SUBSTITUTE(SUBSTITUTE(SUBSTITUTE(SUBSTITUTE(SUBSTITUTE(SUBSTITUTE(SUBSTITUTE($AA33," "&amp;$CR$1365&amp;" "," ")," "&amp;$CR$1364&amp;" "," ")," "&amp;$CR$1370&amp;" "," ")," "&amp;$CR$1371&amp;" "," ")," "&amp;$CR$1367&amp;" "," ")," "&amp;$CR$1369&amp;" "," ")," "&amp;$CR$1366&amp;" "," ")," "&amp;$CR$1368&amp;" "," ")," "&amp;$CR$1372&amp;" "," ")),"")</f>
        <v xml:space="preserve"> herbes de provence </v>
      </c>
      <c r="AY33" s="1368">
        <f>IF(33=33,IF($U33="","",SUMPRODUCT(--ISNUMBER(SEARCH(" "&amp;$CR$1373:$CR$1383&amp;" ",$AX33)))),"")</f>
        <v>0</v>
      </c>
      <c r="AZ33" s="1368" t="str">
        <f>IF(33=33,IF($U33="","",IF(SUM(AN33:AW33)+SUMPRODUCT(--ISNUMBER(SEARCH(" "&amp;$CR$2421:$CR$2422&amp;" ",$AX33)))&gt;0,"X",IF(AY33&gt;0,"?",""))),"")</f>
        <v/>
      </c>
      <c r="BA33" s="1368">
        <f>IF(33=33,IF($U33="","",SUMPRODUCT(--ISNUMBER(SEARCH(" "&amp;$CR$1384:$CR$1404&amp;" ",$AA33)))),"")</f>
        <v>0</v>
      </c>
      <c r="BB33" s="1368" t="str">
        <f>IF(33=33,IF($U33="","",IF((BA33)-(0)&gt;0,"X",IF((0)-(0)&gt;0,"?",""))),"")</f>
        <v/>
      </c>
      <c r="BC33" s="1368">
        <f>IF(33=33,IF($U33="","",SUMPRODUCT(--ISNUMBER(SEARCH(" "&amp;$CR$1405:$CR$1442&amp;" ",$BD33)))),"")</f>
        <v>0</v>
      </c>
      <c r="BD33" s="1368" t="str">
        <f>IF(33=33,IF($U33="","",SUBSTITUTE(SUBSTITUTE($AA33," "&amp;$CR$1443&amp;" "," ")," "&amp;$CR$1444&amp;" "," ")),"")</f>
        <v xml:space="preserve"> herbes de provence </v>
      </c>
      <c r="BE33" s="1368">
        <f>IF(33=33,IF($U33="","",SUMPRODUCT(--ISNUMBER(SEARCH(" "&amp;$CR$1445:$CR$1455&amp;" ",$BD33)))),"")</f>
        <v>0</v>
      </c>
      <c r="BF33" s="1368" t="str">
        <f>IF(33=33,IF($U33="","",IF(BC33&gt;0,"X",IF(BE33&gt;0,"?",""))),"")</f>
        <v/>
      </c>
      <c r="BG33" s="1368">
        <f>IF(33=33,IF($U33="","",SUMPRODUCT(--ISNUMBER(SEARCH(" "&amp;$CR$1456:$CR$1555&amp;" ",$BJ33)))),"")</f>
        <v>0</v>
      </c>
      <c r="BH33" s="1368">
        <f>IF(33=33,IF($U33="","",SUMPRODUCT(--ISNUMBER(SEARCH(" "&amp;$CR$1556:$CR$1655&amp;" ",$BJ33)))),"")</f>
        <v>0</v>
      </c>
      <c r="BI33" s="1368">
        <f>IF(33=33,IF($U33="","",SUMPRODUCT(--ISNUMBER(SEARCH(" "&amp;$CR$1656:$CR$1739&amp;" ",$BJ33)))),"")</f>
        <v>0</v>
      </c>
      <c r="BJ33" s="1368" t="str">
        <f>IF(33=33,IF($U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herbes de provence </v>
      </c>
      <c r="BK33" s="1368">
        <f>IF(33=33,IF($U33="","",SUMPRODUCT(--ISNUMBER(SEARCH(" "&amp;$CR$1790:$CR$1869&amp;" ",$BL33)))+SUMPRODUCT(--ISNUMBER(SEARCH(" "&amp;$CR$2440:$CR$2453&amp;" ",$BL33)))),"")</f>
        <v>0</v>
      </c>
      <c r="BL33" s="1368" t="str">
        <f>IF(33=33,IF($U33="","",SUBSTITUTE(SUBSTITUTE(SUBSTITUTE(SUBSTITUTE(SUBSTITUTE(SUBSTITUTE(SUBSTITUTE(SUBSTITUTE(SUBSTITUTE(SUBSTITUTE(SUBSTITUTE(SUBSTITUTE(SUBSTITUTE($BJ33," "&amp;$CR$1876&amp;" "," ")," "&amp;$CR$1874&amp;" "," ")," "&amp;$CR$2438&amp;" "," ")," "&amp;$CR$2439&amp;" "," ")," "&amp;$CR$1871&amp;" "," ")," "&amp;$CR$1875&amp;" "," ")," "&amp;$CR$1877&amp;" "," ")," "&amp;$CR$1872&amp;" "," ")," "&amp;$CR$1870&amp;" "," ")," "&amp;$CR$1367&amp;" "," ")," "&amp;$CR$1878&amp;" "," ")," "&amp;$CR$1366&amp;" "," ")," "&amp;$CR$1873&amp;" "," ")),"")</f>
        <v xml:space="preserve"> herbes de provence </v>
      </c>
      <c r="BM33" s="1368" t="str">
        <f>IF(33=33,IF($U33="","",IF(SUM(BG33:BI33)+SUMPRODUCT(--ISNUMBER(SEARCH(" "&amp;$CR$2423:$CR$2424&amp;" ",$BJ33)))&gt;0,"X",IF(BK33&gt;0,"?",""))),"")</f>
        <v/>
      </c>
      <c r="BN33" s="1368">
        <f>IF(33=33,IF($U33="","",SUMPRODUCT(--ISNUMBER(SEARCH(" "&amp;$CR$1879:$CR$1936&amp;" ",$BO33)))),"")</f>
        <v>0</v>
      </c>
      <c r="BO33" s="1368" t="str">
        <f>IF(33=33,IF($U33="","",SUBSTITUTE(SUBSTITUTE(SUBSTITUTE(SUBSTITUTE(SUBSTITUTE(SUBSTITUTE(SUBSTITUTE(SUBSTITUTE(SUBSTITUTE(SUBSTITUTE(SUBSTITUTE(SUBSTITUTE(SUBSTITUTE(SUBSTITUTE(SUBSTITUTE(SUBSTITUTE(SUBSTITUTE(SUBSTITUTE(SUBSTITUTE(SUBSTITUTE(SUBSTITUTE(SUBSTITUTE(SUBSTITUTE($AA33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herbes de provence </v>
      </c>
      <c r="BP33" s="1368">
        <f>IF(33=33,IF($U33="","",SUMPRODUCT(--ISNUMBER(SEARCH(" "&amp;$CR$1960:$CR$1976&amp;" ",$BO33)))),"")</f>
        <v>0</v>
      </c>
      <c r="BQ33" s="1368" t="str">
        <f>IF(33=33,IF($U33="","",IF(BN33&gt;0,"X",IF(BP33&gt;0,"?",""))),"")</f>
        <v/>
      </c>
      <c r="BR33" s="1368">
        <f>IF(33=33,IF($U33="","",SUMPRODUCT(--ISNUMBER(SEARCH(" "&amp;$CR$1977:$CR$1990&amp;" ",$AA33)))),"")</f>
        <v>0</v>
      </c>
      <c r="BS33" s="1368">
        <f>IF(33=33,IF($U33="","",SUMPRODUCT(--ISNUMBER(SEARCH(" "&amp;$CR$1991:$CR$2005&amp;" ",$AA33)))),"")</f>
        <v>0</v>
      </c>
      <c r="BT33" s="1368" t="str">
        <f>IF(33=33,IF($U33="","",IF((BR33)-(0)&gt;0,"X",IF((BS33)-(0)&gt;0,"?",""))),"")</f>
        <v/>
      </c>
      <c r="BU33" s="1368">
        <f>IF(33=33,IF($U33="","",SUMPRODUCT(--ISNUMBER(SEARCH(" "&amp;$CR$2006:$CR$2023&amp;" ",$AA33)))),"")</f>
        <v>0</v>
      </c>
      <c r="BV33" s="1368">
        <f>IF(33=33,IF($U33="","",SUMPRODUCT(--ISNUMBER(SEARCH(" "&amp;$CR$2024:$CR$2038&amp;" ",$AA33)))),"")</f>
        <v>0</v>
      </c>
      <c r="BW33" s="1368" t="str">
        <f>IF(33=33,IF($U33="","",IF((BU33)-(0)&gt;0,"X",IF((BV33)-(0)&gt;0,"?",""))),"")</f>
        <v/>
      </c>
      <c r="BX33" s="1368">
        <f>IF(33=33,IF($U33="","",SUMPRODUCT(--ISNUMBER(SEARCH(" "&amp;$CR$2039:$CR$2057&amp;" ",$AA33)))),"")</f>
        <v>0</v>
      </c>
      <c r="BY33" s="1368">
        <f>IF(33=33,IF($U33="","",SUMPRODUCT(--ISNUMBER(SEARCH(" "&amp;$CR$2058:$CR$2072&amp;" ",$AA33)))),"")</f>
        <v>0</v>
      </c>
      <c r="BZ33" s="1368" t="str">
        <f>IF(33=33,IF($U33="","",IF((BX33)-(0)&gt;0,"X",IF((BY33)-(0)&gt;0,"?",""))),"")</f>
        <v/>
      </c>
      <c r="CA33" s="1368">
        <f>IF(33=33,IF($U33="","",SUMPRODUCT(--ISNUMBER(SEARCH(" "&amp;$CR$2073:$CR$2093&amp;" ",$AA33)))),"")</f>
        <v>0</v>
      </c>
      <c r="CB33" s="1368">
        <f>IF(33=33,IF($U33="","",SUMPRODUCT(--ISNUMBER(SEARCH(" "&amp;$CR$2094:$CR$2133&amp;" ",SUBSTITUTE(SUBSTITUTE($AA33," "&amp;$CR$1367&amp;" "," ")," "&amp;$CR$1366&amp;" "," "))))+--ISNUMBER(SEARCH("poiré",$V33))),"")</f>
        <v>0</v>
      </c>
      <c r="CC33" s="1368" t="str">
        <f>IF(33=33,IF($U33="","",IF(OR(CA33&gt;0,ISNUMBER(SEARCH(" vinaigre de vin ",$AA33)),ISNUMBER(SEARCH(" vinaigre au vin ",$AA33))),"X",IF(CB33&gt;0,"?",""))),"")</f>
        <v/>
      </c>
      <c r="CD33" s="1368">
        <f>IF(33=33,IF($U33="","",SUMPRODUCT(--ISNUMBER(SEARCH(" "&amp;$CR$2134:$CR$2146&amp;" ",$AA33)))),"")</f>
        <v>0</v>
      </c>
      <c r="CE33" s="1368">
        <f>IF(33=33,IF($U33="","",SUMPRODUCT(--ISNUMBER(SEARCH(" "&amp;$CR$2147:$CR$2152&amp;" ",$AA33)))),"")</f>
        <v>0</v>
      </c>
      <c r="CF33" s="1368" t="str">
        <f>IF(33=33,IF($U33="","",IF((CD33)-(0)&gt;0,"X",IF((CE33)-(0)&gt;0,"?",""))),"")</f>
        <v/>
      </c>
      <c r="CG33" s="1368">
        <f>IF(33=33,IF($U33="","",SUMPRODUCT(--ISNUMBER(SEARCH(" "&amp;$CR$2153:$CR$2252&amp;" ",$CJ33)))),"")</f>
        <v>0</v>
      </c>
      <c r="CH33" s="1368">
        <f>IF(33=33,IF($U33="","",SUMPRODUCT(--ISNUMBER(SEARCH(" "&amp;$CR$2253:$CR$2352&amp;" ",$CJ33)))),"")</f>
        <v>0</v>
      </c>
      <c r="CI33" s="1368">
        <f>IF(33=33,IF($U33="","",SUMPRODUCT(--ISNUMBER(SEARCH(" "&amp;$CR$2353:$CR$2395&amp;" ",$CJ33)))),"")</f>
        <v>0</v>
      </c>
      <c r="CJ33" s="1368" t="str">
        <f>IF(33=33,IF($U33="","",SUBSTITUTE(SUBSTITUTE(SUBSTITUTE(SUBSTITUTE(SUBSTITUTE(SUBSTITUTE(SUBSTITUTE(SUBSTITUTE(SUBSTITUTE(SUBSTITUTE(SUBSTITUTE(SUBSTITUTE(SUBSTITUTE(SUBSTITUTE(SUBSTITUTE(SUBSTITUTE($AA33," "&amp;$CR$2401&amp;" "," ")," "&amp;$CR$2400&amp;" "," ")," "&amp;$CR$2399&amp;" "," ")," "&amp;$CR$2406&amp;" "," ")," "&amp;$CR$2398&amp;" "," ")," "&amp;$CR$2410&amp;" "," ")," "&amp;$CR$2397&amp;" "," ")," "&amp;$CR$2402&amp;" "," ")," "&amp;$CR$2405&amp;" "," ")," "&amp;$CR$2396&amp;" "," ")," "&amp;$CR$2404&amp;" "," ")," "&amp;$CR$2411&amp;" "," ")," "&amp;$CR$2408&amp;" "," ")," "&amp;$CR$2403&amp;" "," ")," "&amp;$CR$2407&amp;" "," ")," "&amp;$CR$2409&amp;" "," ")),"")</f>
        <v xml:space="preserve"> herbes de provence </v>
      </c>
      <c r="CK33" s="1368">
        <f>IF(33=33,IF($U33="","",SUMPRODUCT(--ISNUMBER(SEARCH(" "&amp;$CR$2412:$CR$2416&amp;" ",$CJ33)))),"")</f>
        <v>0</v>
      </c>
      <c r="CL33" s="1368" t="str">
        <f>IF(33=33,IF($U33="","",IF(SUM(CG33:CI33)&gt;0,"X",IF(CK33&gt;0,"?",""))),"")</f>
        <v/>
      </c>
      <c r="CM33" s="1377"/>
      <c r="CN33" s="1388" t="s">
        <v>8279</v>
      </c>
      <c r="CO33" s="1388" t="s">
        <v>8105</v>
      </c>
      <c r="CP33" s="1388" t="s">
        <v>8106</v>
      </c>
      <c r="CQ33" s="1388" t="s">
        <v>8280</v>
      </c>
      <c r="CR33" s="1388" t="s">
        <v>8281</v>
      </c>
      <c r="CS33" s="1388" t="s">
        <v>8108</v>
      </c>
      <c r="CT33" s="1388" t="s">
        <v>8109</v>
      </c>
      <c r="CU33" s="1388" t="s">
        <v>8110</v>
      </c>
      <c r="CV33" s="1389" t="s">
        <v>8111</v>
      </c>
      <c r="CX33" s="1379">
        <v>1</v>
      </c>
    </row>
    <row r="34" spans="1:102" ht="21" customHeight="1" x14ac:dyDescent="0.25">
      <c r="A34" s="1412">
        <v>28</v>
      </c>
      <c r="B34" s="1413" t="s">
        <v>8282</v>
      </c>
      <c r="C34" s="1414" t="str">
        <f t="shared" si="0"/>
        <v>Huile</v>
      </c>
      <c r="D34" s="1415" t="str">
        <f>IF(34=34,IF($B34="","",IF(E34="X",""&amp;"Céréales contenant du gluten","")&amp;IF(F34="X",IF(COUNTIF($E34:$E34,"X")&gt;0,", ","")&amp;"Crustacés","")&amp;IF(G34="X",IF(COUNTIF($E34:$F34,"X")&gt;0,", ","")&amp;"Œufs","")&amp;IF(H34="X",IF(COUNTIF($E34:$G34,"X")&gt;0,", ","")&amp;"Poissons","")&amp;IF(I34="X",IF(COUNTIF($E34:$H34,"X")&gt;0,", ","")&amp;"Arachides","")&amp;IF(J34="X",IF(COUNTIF($E34:$I34,"X")&gt;0,", ","")&amp;"Soja","")&amp;IF(K34="X",IF(COUNTIF($E34:$J34,"X")&gt;0,", ","")&amp;"Lait","")&amp;IF(L34="X",IF(COUNTIF($E34:$K34,"X")&gt;0,", ","")&amp;"Fruits à coque","")&amp;IF(M34="X",IF(COUNTIF($E34:$L34,"X")&gt;0,", ","")&amp;"Céleri","")&amp;IF(N34="X",IF(COUNTIF($E34:$M34,"X")&gt;0,", ","")&amp;"Moutarde","")&amp;IF(O34="X",IF(COUNTIF($E34:$N34,"X")&gt;0,", ","")&amp;"Sésame","")&amp;IF(P34="X",IF(COUNTIF($E34:$O34,"X")&gt;0,", ","")&amp;"Sulfites","")&amp;IF(Q34="X",IF(COUNTIF($E34:$P34,"X")&gt;0,", ","")&amp;"Lupin","")&amp;IF(R34="X",IF(COUNTIF($E34:$Q34,"X")&gt;0,", ","")&amp;"Mollusques","")),"")</f>
        <v/>
      </c>
      <c r="E34" s="1416" t="str">
        <f>IF(34=34,IF($B34="","",AF34),"")</f>
        <v/>
      </c>
      <c r="F34" s="1416" t="str">
        <f>IF(34=34,IF($B34="","",AI34),"")</f>
        <v/>
      </c>
      <c r="G34" s="1416" t="str">
        <f>IF(34=34,IF($B34="","",AM34),"")</f>
        <v/>
      </c>
      <c r="H34" s="1416" t="str">
        <f>IF(34=34,IF($B34="","",IF(ISNUMBER(SEARCH(" colin ",$AA34)),"X",AZ34)),"")</f>
        <v/>
      </c>
      <c r="I34" s="1416" t="str">
        <f>IF(34=34,IF($B34="","",BB34),"")</f>
        <v/>
      </c>
      <c r="J34" s="1416" t="str">
        <f>IF(34=34,IF($B34="","",BF34),"")</f>
        <v/>
      </c>
      <c r="K34" s="1416" t="str">
        <f>IF(34=34,IF($B34="","",BM34),"")</f>
        <v/>
      </c>
      <c r="L34" s="1416" t="str">
        <f>IF(34=34,IF($B34="","",BQ34),"")</f>
        <v/>
      </c>
      <c r="M34" s="1416" t="str">
        <f>IF(34=34,IF($B34="","",BT34),"")</f>
        <v/>
      </c>
      <c r="N34" s="1416" t="str">
        <f>IF(34=34,IF($B34="","",BW34),"")</f>
        <v/>
      </c>
      <c r="O34" s="1416" t="str">
        <f>IF(34=34,IF($B34="","",BZ34),"")</f>
        <v/>
      </c>
      <c r="P34" s="1416" t="str">
        <f>IF(34=34,IF($B34="","",CC34),"")</f>
        <v/>
      </c>
      <c r="Q34" s="1416" t="str">
        <f>IF(34=34,IF($B34="","",CF34),"")</f>
        <v/>
      </c>
      <c r="R34" s="1416" t="str">
        <f>IF(34=34,IF($B34="","",CL34),"")</f>
        <v/>
      </c>
      <c r="S34" s="1417" t="str">
        <f>IF(34=34,IF($B34="","",IF(E34="?",""&amp;"Céréales contenant du gluten","")&amp;IF(F34="?",IF(COUNTIF($E34:$E34,"~?")&gt;0,", ","")&amp;"Crustacés","")&amp;IF(G34="?",IF(COUNTIF($E34:$F34,"~?")&gt;0,", ","")&amp;"Œufs","")&amp;IF(H34="?",IF(COUNTIF($E34:$G34,"~?")&gt;0,", ","")&amp;"Poissons","")&amp;IF(I34="?",IF(COUNTIF($E34:$H34,"~?")&gt;0,", ","")&amp;"Arachides","")&amp;IF(J34="?",IF(COUNTIF($E34:$I34,"~?")&gt;0,", ","")&amp;"Soja","")&amp;IF(K34="?",IF(COUNTIF($E34:$J34,"~?")&gt;0,", ","")&amp;"Lait","")&amp;IF(L34="?",IF(COUNTIF($E34:$K34,"~?")&gt;0,", ","")&amp;"Fruits à coque","")&amp;IF(M34="?",IF(COUNTIF($E34:$L34,"~?")&gt;0,", ","")&amp;"Céleri","")&amp;IF(N34="?",IF(COUNTIF($E34:$M34,"~?")&gt;0,", ","")&amp;"Moutarde","")&amp;IF(O34="?",IF(COUNTIF($E34:$N34,"~?")&gt;0,", ","")&amp;"Sésame","")&amp;IF(P34="?",IF(COUNTIF($E34:$O34,"~?")&gt;0,", ","")&amp;"Sulfites","")&amp;IF(Q34="?",IF(COUNTIF($E34:$P34,"~?")&gt;0,", ","")&amp;"Lupin","")&amp;IF(R34="?",IF(COUNTIF($E34:$Q34,"~?")&gt;0,", ","")&amp;"Mollusques","")),"")</f>
        <v/>
      </c>
      <c r="U34" s="1368" t="str">
        <f>IF(34=34,IF($B34="","",$B34),"")</f>
        <v>Huile</v>
      </c>
      <c r="V34" s="1368" t="str">
        <f>IF(34=34,LOWER(CLEAN(SUBSTITUTE(SUBSTITUTE(SUBSTITUTE(SUBSTITUTE($U34,CHAR(160)," ")," "," "),CHAR(10)," "),CHAR(13)," "))),"")</f>
        <v>huile</v>
      </c>
      <c r="W34" s="1368" t="str">
        <f>IF(34=34,SUBSTITUTE(SUBSTITUTE(SUBSTITUTE(SUBSTITUTE(SUBSTITUTE(SUBSTITUTE(SUBSTITUTE(SUBSTITUTE(SUBSTITUTE(SUBSTITUTE(SUBSTITUTE(SUBSTITUTE($V34,"œ","oe"),"æ","ae"),"à","a"),"á","a"),"â","a"),"ä","a"),"ã","a"),"ç","c"),"è","e"),"é","e"),"ê","e"),"ë","e"),"")</f>
        <v>huile</v>
      </c>
      <c r="X34" s="1368" t="str">
        <f>IF(34=34,SUBSTITUTE(SUBSTITUTE(SUBSTITUTE(SUBSTITUTE(SUBSTITUTE(SUBSTITUTE(SUBSTITUTE(SUBSTITUTE(SUBSTITUTE(SUBSTITUTE(SUBSTITUTE(SUBSTITUTE(SUBSTITUTE(SUBSTITUTE(SUBSTITUTE(SUBSTITUTE($W34,"ì","i"),"í","i"),"î","i"),"ï","i"),"ñ","n"),"ò","o"),"ó","o"),"ô","o"),"ö","o"),"õ","o"),"ù","u"),"ú","u"),"û","u"),"ü","u"),"ý","y"),"ÿ","y"),"")</f>
        <v>huile</v>
      </c>
      <c r="Y34" s="1368" t="str">
        <f>IF(34=34,SUBSTITUTE(SUBSTITUTE(SUBSTITUTE(SUBSTITUTE(SUBSTITUTE(SUBSTITUTE(SUBSTITUTE(SUBSTITUTE(SUBSTITUTE(SUBSTITUTE(SUBSTITUTE(SUBSTITUTE(SUBSTITUTE(SUBSTITUTE($X34,"’"," "),"`"," "),"–"," "),"—"," "),"-"," "),"'"," "),"/"," "),"_"," "),","," "),"."," "),"("," "),")"," "),";"," "),":"," "),"")</f>
        <v>huile</v>
      </c>
      <c r="Z34" s="1368" t="str">
        <f>IF(34=34,SUBSTITUTE(SUBSTITUTE(SUBSTITUTE(SUBSTITUTE(SUBSTITUTE(SUBSTITUTE(SUBSTITUTE(SUBSTITUTE(SUBSTITUTE(SUBSTITUTE(SUBSTITUTE(SUBSTITUTE(SUBSTITUTE(SUBSTITUTE(SUBSTITUTE($Y34,"!"," "),"?"," "),"+"," "),"*"," "),"&amp;"," "),"["," "),"]"," "),"{"," "),"}"," "),"%"," "),"="," "),"\"," "),"|"," "),"&lt;"," "),"&gt;"," "),"")</f>
        <v>huile</v>
      </c>
      <c r="AA34" s="1368" t="str">
        <f>IF(34=34," "&amp;TRIM(SUBSTITUTE(SUBSTITUTE(SUBSTITUTE(SUBSTITUTE(SUBSTITUTE(SUBSTITUTE($Z34,CHAR(34)," "),"  "," "),"  "," "),"  "," "),"  "," "),"  "," "))&amp;" ","")</f>
        <v xml:space="preserve"> huile </v>
      </c>
      <c r="AB34" s="1368">
        <f>IF(34=34,IF($U34="","",SUMPRODUCT(--ISNUMBER(SEARCH(" "&amp;$CR$2:$CR$101&amp;" ",$AD34)))),"")</f>
        <v>0</v>
      </c>
      <c r="AC34" s="1368">
        <f>IF(34=34,IF($U34="","",SUMPRODUCT(--ISNUMBER(SEARCH(" "&amp;$CR$102:$CR$151&amp;" ",$AD34)))),"")</f>
        <v>0</v>
      </c>
      <c r="AD34" s="1368" t="str">
        <f t="shared" si="1"/>
        <v xml:space="preserve"> huile </v>
      </c>
      <c r="AE34" s="1368">
        <f t="shared" si="2"/>
        <v>0</v>
      </c>
      <c r="AF34" s="1368" t="str">
        <f>IF(34=34,IF($U34="","",IF(SUM(AB34:AC34)+SUMPRODUCT(--ISNUMBER(SEARCH(" "&amp;$CR$2418:$CR$2420&amp;" ",$AD34)))&gt;0,"X",IF(AE34&gt;0,"?",""))),"")</f>
        <v/>
      </c>
      <c r="AG34" s="1368">
        <f>IF(34=34,IF($U34="","",SUMPRODUCT(--ISNUMBER(SEARCH(" "&amp;$CR$206:$CR$305&amp;" ",$AA34)))),"")</f>
        <v>0</v>
      </c>
      <c r="AH34" s="1368">
        <f>IF(34=34,IF($U34="","",SUMPRODUCT(--ISNUMBER(SEARCH(" "&amp;$CR$306:$CR$340&amp;" ",$AA34)))),"")</f>
        <v>0</v>
      </c>
      <c r="AI34" s="1368" t="str">
        <f>IF(34=34,IF($U34="","",IF((SUM(AG34:AH34))-(0)&gt;0,"X",IF((0)-(0)&gt;0,"?",""))),"")</f>
        <v/>
      </c>
      <c r="AJ34" s="1368">
        <f>IF(34=34,IF($U34="","",SUMPRODUCT(--ISNUMBER(SEARCH(" "&amp;$CR$341:$CR$398&amp;" ",$AA34)))),"")</f>
        <v>0</v>
      </c>
      <c r="AK34" s="1368">
        <f>IF(34=34,IF($U34="","",SUMPRODUCT(--ISNUMBER(SEARCH(" "&amp;$CR$399:$CR$426&amp;" ",$AL34)))+SUMPRODUCT(--ISNUMBER(SEARCH(" "&amp;$CR$2440:$CR$2453&amp;" ",$AL34)))),"")</f>
        <v>0</v>
      </c>
      <c r="AL34" s="1368" t="str">
        <f>IF(34=34,IF($U34="","",SUBSTITUTE(SUBSTITUTE(SUBSTITUTE(SUBSTITUTE(SUBSTITUTE(SUBSTITUTE(SUBSTITUTE(SUBSTITUTE(SUBSTITUTE(SUBSTITUTE(SUBSTITUTE(SUBSTITUTE(SUBSTITUTE(SUBSTITUTE($AA34," "&amp;$CR$2455&amp;" "," ")," "&amp;$CR$433&amp;" "," ")," "&amp;$CR$431&amp;" "," ")," "&amp;$CR$2438&amp;" "," ")," "&amp;$CR$2439&amp;" "," ")," "&amp;$CR$428&amp;" "," ")," "&amp;$CR$432&amp;" "," ")," "&amp;$CR$434&amp;" "," ")," "&amp;$CR$429&amp;" "," ")," "&amp;$CR$427&amp;" "," ")," "&amp;$CR$1367&amp;" "," ")," "&amp;$CR$435&amp;" "," ")," "&amp;$CR$1366&amp;" "," ")," "&amp;$CR$430&amp;" "," ")),"")</f>
        <v xml:space="preserve"> huile </v>
      </c>
      <c r="AM34" s="1368" t="str">
        <f>IF(34=34,IF($U34="","",IF(AJ34&gt;0,"X",IF(AK34&gt;0,"?",""))),"")</f>
        <v/>
      </c>
      <c r="AN34" s="1368">
        <f>IF(34=34,IF($U34="","",SUMPRODUCT(--ISNUMBER(SEARCH(" "&amp;$CR$436:$CR$535&amp;" ",$AX34)))),"")</f>
        <v>0</v>
      </c>
      <c r="AO34" s="1368">
        <f>IF(34=34,IF($U34="","",SUMPRODUCT(--ISNUMBER(SEARCH(" "&amp;$CR$536:$CR$635&amp;" ",$AX34)))),"")</f>
        <v>0</v>
      </c>
      <c r="AP34" s="1368">
        <f>IF(34=34,IF($U34="","",SUMPRODUCT(--ISNUMBER(SEARCH(" "&amp;$CR$636:$CR$735&amp;" ",$AX34)))),"")</f>
        <v>0</v>
      </c>
      <c r="AQ34" s="1368">
        <f>IF(34=34,IF($U34="","",SUMPRODUCT(--ISNUMBER(SEARCH(" "&amp;$CR$736:$CR$835&amp;" ",$AX34)))),"")</f>
        <v>0</v>
      </c>
      <c r="AR34" s="1368">
        <f>IF(34=34,IF($U34="","",SUMPRODUCT(--ISNUMBER(SEARCH(" "&amp;$CR$836:$CR$935&amp;" ",$AX34)))),"")</f>
        <v>0</v>
      </c>
      <c r="AS34" s="1368">
        <f>IF(34=34,IF($U34="","",SUMPRODUCT(--ISNUMBER(SEARCH(" "&amp;$CR$936:$CR$1035&amp;" ",$AX34)))),"")</f>
        <v>0</v>
      </c>
      <c r="AT34" s="1368">
        <f>IF(34=34,IF($U34="","",SUMPRODUCT(--ISNUMBER(SEARCH(" "&amp;$CR$1036:$CR$1135&amp;" ",$AX34)))),"")</f>
        <v>0</v>
      </c>
      <c r="AU34" s="1368">
        <f>IF(34=34,IF($U34="","",SUMPRODUCT(--ISNUMBER(SEARCH(" "&amp;$CR$1136:$CR$1235&amp;" ",$AX34)))),"")</f>
        <v>0</v>
      </c>
      <c r="AV34" s="1368">
        <f>IF(34=34,IF($U34="","",SUMPRODUCT(--ISNUMBER(SEARCH(" "&amp;$CR$1236:$CR$1335&amp;" ",$AX34)))),"")</f>
        <v>0</v>
      </c>
      <c r="AW34" s="1368">
        <f>IF(34=34,IF($U34="","",SUMPRODUCT(--ISNUMBER(SEARCH(" "&amp;$CR$1336:$CR$1363&amp;" ",$AX34)))),"")</f>
        <v>0</v>
      </c>
      <c r="AX34" s="1368" t="str">
        <f>IF(34=34,IF($U34="","",SUBSTITUTE(SUBSTITUTE(SUBSTITUTE(SUBSTITUTE(SUBSTITUTE(SUBSTITUTE(SUBSTITUTE(SUBSTITUTE(SUBSTITUTE($AA34," "&amp;$CR$1365&amp;" "," ")," "&amp;$CR$1364&amp;" "," ")," "&amp;$CR$1370&amp;" "," ")," "&amp;$CR$1371&amp;" "," ")," "&amp;$CR$1367&amp;" "," ")," "&amp;$CR$1369&amp;" "," ")," "&amp;$CR$1366&amp;" "," ")," "&amp;$CR$1368&amp;" "," ")," "&amp;$CR$1372&amp;" "," ")),"")</f>
        <v xml:space="preserve"> huile </v>
      </c>
      <c r="AY34" s="1368">
        <f>IF(34=34,IF($U34="","",SUMPRODUCT(--ISNUMBER(SEARCH(" "&amp;$CR$1373:$CR$1383&amp;" ",$AX34)))),"")</f>
        <v>0</v>
      </c>
      <c r="AZ34" s="1368" t="str">
        <f>IF(34=34,IF($U34="","",IF(SUM(AN34:AW34)+SUMPRODUCT(--ISNUMBER(SEARCH(" "&amp;$CR$2421:$CR$2422&amp;" ",$AX34)))&gt;0,"X",IF(AY34&gt;0,"?",""))),"")</f>
        <v/>
      </c>
      <c r="BA34" s="1368">
        <f>IF(34=34,IF($U34="","",SUMPRODUCT(--ISNUMBER(SEARCH(" "&amp;$CR$1384:$CR$1404&amp;" ",$AA34)))),"")</f>
        <v>0</v>
      </c>
      <c r="BB34" s="1368" t="str">
        <f>IF(34=34,IF($U34="","",IF((BA34)-(0)&gt;0,"X",IF((0)-(0)&gt;0,"?",""))),"")</f>
        <v/>
      </c>
      <c r="BC34" s="1368">
        <f>IF(34=34,IF($U34="","",SUMPRODUCT(--ISNUMBER(SEARCH(" "&amp;$CR$1405:$CR$1442&amp;" ",$BD34)))),"")</f>
        <v>0</v>
      </c>
      <c r="BD34" s="1368" t="str">
        <f>IF(34=34,IF($U34="","",SUBSTITUTE(SUBSTITUTE($AA34," "&amp;$CR$1443&amp;" "," ")," "&amp;$CR$1444&amp;" "," ")),"")</f>
        <v xml:space="preserve"> huile </v>
      </c>
      <c r="BE34" s="1368">
        <f>IF(34=34,IF($U34="","",SUMPRODUCT(--ISNUMBER(SEARCH(" "&amp;$CR$1445:$CR$1455&amp;" ",$BD34)))),"")</f>
        <v>0</v>
      </c>
      <c r="BF34" s="1368" t="str">
        <f>IF(34=34,IF($U34="","",IF(BC34&gt;0,"X",IF(BE34&gt;0,"?",""))),"")</f>
        <v/>
      </c>
      <c r="BG34" s="1368">
        <f>IF(34=34,IF($U34="","",SUMPRODUCT(--ISNUMBER(SEARCH(" "&amp;$CR$1456:$CR$1555&amp;" ",$BJ34)))),"")</f>
        <v>0</v>
      </c>
      <c r="BH34" s="1368">
        <f>IF(34=34,IF($U34="","",SUMPRODUCT(--ISNUMBER(SEARCH(" "&amp;$CR$1556:$CR$1655&amp;" ",$BJ34)))),"")</f>
        <v>0</v>
      </c>
      <c r="BI34" s="1368">
        <f>IF(34=34,IF($U34="","",SUMPRODUCT(--ISNUMBER(SEARCH(" "&amp;$CR$1656:$CR$1739&amp;" ",$BJ34)))),"")</f>
        <v>0</v>
      </c>
      <c r="BJ34" s="1368" t="str">
        <f>IF(34=34,IF($U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v>
      </c>
      <c r="BK34" s="1368">
        <f>IF(34=34,IF($U34="","",SUMPRODUCT(--ISNUMBER(SEARCH(" "&amp;$CR$1790:$CR$1869&amp;" ",$BL34)))+SUMPRODUCT(--ISNUMBER(SEARCH(" "&amp;$CR$2440:$CR$2453&amp;" ",$BL34)))),"")</f>
        <v>0</v>
      </c>
      <c r="BL34" s="1368" t="str">
        <f>IF(34=34,IF($U34="","",SUBSTITUTE(SUBSTITUTE(SUBSTITUTE(SUBSTITUTE(SUBSTITUTE(SUBSTITUTE(SUBSTITUTE(SUBSTITUTE(SUBSTITUTE(SUBSTITUTE(SUBSTITUTE(SUBSTITUTE(SUBSTITUTE($BJ34," "&amp;$CR$1876&amp;" "," ")," "&amp;$CR$1874&amp;" "," ")," "&amp;$CR$2438&amp;" "," ")," "&amp;$CR$2439&amp;" "," ")," "&amp;$CR$1871&amp;" "," ")," "&amp;$CR$1875&amp;" "," ")," "&amp;$CR$1877&amp;" "," ")," "&amp;$CR$1872&amp;" "," ")," "&amp;$CR$1870&amp;" "," ")," "&amp;$CR$1367&amp;" "," ")," "&amp;$CR$1878&amp;" "," ")," "&amp;$CR$1366&amp;" "," ")," "&amp;$CR$1873&amp;" "," ")),"")</f>
        <v xml:space="preserve"> huile </v>
      </c>
      <c r="BM34" s="1368" t="str">
        <f>IF(34=34,IF($U34="","",IF(SUM(BG34:BI34)+SUMPRODUCT(--ISNUMBER(SEARCH(" "&amp;$CR$2423:$CR$2424&amp;" ",$BJ34)))&gt;0,"X",IF(BK34&gt;0,"?",""))),"")</f>
        <v/>
      </c>
      <c r="BN34" s="1368">
        <f>IF(34=34,IF($U34="","",SUMPRODUCT(--ISNUMBER(SEARCH(" "&amp;$CR$1879:$CR$1936&amp;" ",$BO34)))),"")</f>
        <v>0</v>
      </c>
      <c r="BO34" s="1368" t="str">
        <f>IF(34=34,IF($U34="","",SUBSTITUTE(SUBSTITUTE(SUBSTITUTE(SUBSTITUTE(SUBSTITUTE(SUBSTITUTE(SUBSTITUTE(SUBSTITUTE(SUBSTITUTE(SUBSTITUTE(SUBSTITUTE(SUBSTITUTE(SUBSTITUTE(SUBSTITUTE(SUBSTITUTE(SUBSTITUTE(SUBSTITUTE(SUBSTITUTE(SUBSTITUTE(SUBSTITUTE(SUBSTITUTE(SUBSTITUTE(SUBSTITUTE($AA34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v>
      </c>
      <c r="BP34" s="1368">
        <f>IF(34=34,IF($U34="","",SUMPRODUCT(--ISNUMBER(SEARCH(" "&amp;$CR$1960:$CR$1976&amp;" ",$BO34)))),"")</f>
        <v>0</v>
      </c>
      <c r="BQ34" s="1368" t="str">
        <f>IF(34=34,IF($U34="","",IF(BN34&gt;0,"X",IF(BP34&gt;0,"?",""))),"")</f>
        <v/>
      </c>
      <c r="BR34" s="1368">
        <f>IF(34=34,IF($U34="","",SUMPRODUCT(--ISNUMBER(SEARCH(" "&amp;$CR$1977:$CR$1990&amp;" ",$AA34)))),"")</f>
        <v>0</v>
      </c>
      <c r="BS34" s="1368">
        <f>IF(34=34,IF($U34="","",SUMPRODUCT(--ISNUMBER(SEARCH(" "&amp;$CR$1991:$CR$2005&amp;" ",$AA34)))),"")</f>
        <v>0</v>
      </c>
      <c r="BT34" s="1368" t="str">
        <f>IF(34=34,IF($U34="","",IF((BR34)-(0)&gt;0,"X",IF((BS34)-(0)&gt;0,"?",""))),"")</f>
        <v/>
      </c>
      <c r="BU34" s="1368">
        <f>IF(34=34,IF($U34="","",SUMPRODUCT(--ISNUMBER(SEARCH(" "&amp;$CR$2006:$CR$2023&amp;" ",$AA34)))),"")</f>
        <v>0</v>
      </c>
      <c r="BV34" s="1368">
        <f>IF(34=34,IF($U34="","",SUMPRODUCT(--ISNUMBER(SEARCH(" "&amp;$CR$2024:$CR$2038&amp;" ",$AA34)))),"")</f>
        <v>0</v>
      </c>
      <c r="BW34" s="1368" t="str">
        <f>IF(34=34,IF($U34="","",IF((BU34)-(0)&gt;0,"X",IF((BV34)-(0)&gt;0,"?",""))),"")</f>
        <v/>
      </c>
      <c r="BX34" s="1368">
        <f>IF(34=34,IF($U34="","",SUMPRODUCT(--ISNUMBER(SEARCH(" "&amp;$CR$2039:$CR$2057&amp;" ",$AA34)))),"")</f>
        <v>0</v>
      </c>
      <c r="BY34" s="1368">
        <f>IF(34=34,IF($U34="","",SUMPRODUCT(--ISNUMBER(SEARCH(" "&amp;$CR$2058:$CR$2072&amp;" ",$AA34)))),"")</f>
        <v>0</v>
      </c>
      <c r="BZ34" s="1368" t="str">
        <f>IF(34=34,IF($U34="","",IF((BX34)-(0)&gt;0,"X",IF((BY34)-(0)&gt;0,"?",""))),"")</f>
        <v/>
      </c>
      <c r="CA34" s="1368">
        <f>IF(34=34,IF($U34="","",SUMPRODUCT(--ISNUMBER(SEARCH(" "&amp;$CR$2073:$CR$2093&amp;" ",$AA34)))),"")</f>
        <v>0</v>
      </c>
      <c r="CB34" s="1368">
        <f>IF(34=34,IF($U34="","",SUMPRODUCT(--ISNUMBER(SEARCH(" "&amp;$CR$2094:$CR$2133&amp;" ",SUBSTITUTE(SUBSTITUTE($AA34," "&amp;$CR$1367&amp;" "," ")," "&amp;$CR$1366&amp;" "," "))))+--ISNUMBER(SEARCH("poiré",$V34))),"")</f>
        <v>0</v>
      </c>
      <c r="CC34" s="1368" t="str">
        <f>IF(34=34,IF($U34="","",IF(OR(CA34&gt;0,ISNUMBER(SEARCH(" vinaigre de vin ",$AA34)),ISNUMBER(SEARCH(" vinaigre au vin ",$AA34))),"X",IF(CB34&gt;0,"?",""))),"")</f>
        <v/>
      </c>
      <c r="CD34" s="1368">
        <f>IF(34=34,IF($U34="","",SUMPRODUCT(--ISNUMBER(SEARCH(" "&amp;$CR$2134:$CR$2146&amp;" ",$AA34)))),"")</f>
        <v>0</v>
      </c>
      <c r="CE34" s="1368">
        <f>IF(34=34,IF($U34="","",SUMPRODUCT(--ISNUMBER(SEARCH(" "&amp;$CR$2147:$CR$2152&amp;" ",$AA34)))),"")</f>
        <v>0</v>
      </c>
      <c r="CF34" s="1368" t="str">
        <f>IF(34=34,IF($U34="","",IF((CD34)-(0)&gt;0,"X",IF((CE34)-(0)&gt;0,"?",""))),"")</f>
        <v/>
      </c>
      <c r="CG34" s="1368">
        <f>IF(34=34,IF($U34="","",SUMPRODUCT(--ISNUMBER(SEARCH(" "&amp;$CR$2153:$CR$2252&amp;" ",$CJ34)))),"")</f>
        <v>0</v>
      </c>
      <c r="CH34" s="1368">
        <f>IF(34=34,IF($U34="","",SUMPRODUCT(--ISNUMBER(SEARCH(" "&amp;$CR$2253:$CR$2352&amp;" ",$CJ34)))),"")</f>
        <v>0</v>
      </c>
      <c r="CI34" s="1368">
        <f>IF(34=34,IF($U34="","",SUMPRODUCT(--ISNUMBER(SEARCH(" "&amp;$CR$2353:$CR$2395&amp;" ",$CJ34)))),"")</f>
        <v>0</v>
      </c>
      <c r="CJ34" s="1368" t="str">
        <f>IF(34=34,IF($U34="","",SUBSTITUTE(SUBSTITUTE(SUBSTITUTE(SUBSTITUTE(SUBSTITUTE(SUBSTITUTE(SUBSTITUTE(SUBSTITUTE(SUBSTITUTE(SUBSTITUTE(SUBSTITUTE(SUBSTITUTE(SUBSTITUTE(SUBSTITUTE(SUBSTITUTE(SUBSTITUTE($AA34," "&amp;$CR$2401&amp;" "," ")," "&amp;$CR$2400&amp;" "," ")," "&amp;$CR$2399&amp;" "," ")," "&amp;$CR$2406&amp;" "," ")," "&amp;$CR$2398&amp;" "," ")," "&amp;$CR$2410&amp;" "," ")," "&amp;$CR$2397&amp;" "," ")," "&amp;$CR$2402&amp;" "," ")," "&amp;$CR$2405&amp;" "," ")," "&amp;$CR$2396&amp;" "," ")," "&amp;$CR$2404&amp;" "," ")," "&amp;$CR$2411&amp;" "," ")," "&amp;$CR$2408&amp;" "," ")," "&amp;$CR$2403&amp;" "," ")," "&amp;$CR$2407&amp;" "," ")," "&amp;$CR$2409&amp;" "," ")),"")</f>
        <v xml:space="preserve"> huile </v>
      </c>
      <c r="CK34" s="1368">
        <f>IF(34=34,IF($U34="","",SUMPRODUCT(--ISNUMBER(SEARCH(" "&amp;$CR$2412:$CR$2416&amp;" ",$CJ34)))),"")</f>
        <v>0</v>
      </c>
      <c r="CL34" s="1368" t="str">
        <f>IF(34=34,IF($U34="","",IF(SUM(CG34:CI34)&gt;0,"X",IF(CK34&gt;0,"?",""))),"")</f>
        <v/>
      </c>
      <c r="CM34" s="1377"/>
      <c r="CN34" s="1388" t="s">
        <v>8283</v>
      </c>
      <c r="CO34" s="1388" t="s">
        <v>8105</v>
      </c>
      <c r="CP34" s="1388" t="s">
        <v>8106</v>
      </c>
      <c r="CQ34" s="1388" t="s">
        <v>8284</v>
      </c>
      <c r="CR34" s="1388" t="s">
        <v>8285</v>
      </c>
      <c r="CS34" s="1388" t="s">
        <v>8108</v>
      </c>
      <c r="CT34" s="1388" t="s">
        <v>8109</v>
      </c>
      <c r="CU34" s="1388" t="s">
        <v>8110</v>
      </c>
      <c r="CV34" s="1389" t="s">
        <v>8111</v>
      </c>
      <c r="CX34" s="1379">
        <v>1</v>
      </c>
    </row>
    <row r="35" spans="1:102" ht="21" customHeight="1" x14ac:dyDescent="0.25">
      <c r="A35" s="1412">
        <v>29</v>
      </c>
      <c r="B35" s="1413" t="s">
        <v>8286</v>
      </c>
      <c r="C35" s="1414" t="str">
        <f t="shared" si="0"/>
        <v>Huile d’olive</v>
      </c>
      <c r="D35" s="1415" t="str">
        <f>IF(35=35,IF($B35="","",IF(E35="X",""&amp;"Céréales contenant du gluten","")&amp;IF(F35="X",IF(COUNTIF($E35:$E35,"X")&gt;0,", ","")&amp;"Crustacés","")&amp;IF(G35="X",IF(COUNTIF($E35:$F35,"X")&gt;0,", ","")&amp;"Œufs","")&amp;IF(H35="X",IF(COUNTIF($E35:$G35,"X")&gt;0,", ","")&amp;"Poissons","")&amp;IF(I35="X",IF(COUNTIF($E35:$H35,"X")&gt;0,", ","")&amp;"Arachides","")&amp;IF(J35="X",IF(COUNTIF($E35:$I35,"X")&gt;0,", ","")&amp;"Soja","")&amp;IF(K35="X",IF(COUNTIF($E35:$J35,"X")&gt;0,", ","")&amp;"Lait","")&amp;IF(L35="X",IF(COUNTIF($E35:$K35,"X")&gt;0,", ","")&amp;"Fruits à coque","")&amp;IF(M35="X",IF(COUNTIF($E35:$L35,"X")&gt;0,", ","")&amp;"Céleri","")&amp;IF(N35="X",IF(COUNTIF($E35:$M35,"X")&gt;0,", ","")&amp;"Moutarde","")&amp;IF(O35="X",IF(COUNTIF($E35:$N35,"X")&gt;0,", ","")&amp;"Sésame","")&amp;IF(P35="X",IF(COUNTIF($E35:$O35,"X")&gt;0,", ","")&amp;"Sulfites","")&amp;IF(Q35="X",IF(COUNTIF($E35:$P35,"X")&gt;0,", ","")&amp;"Lupin","")&amp;IF(R35="X",IF(COUNTIF($E35:$Q35,"X")&gt;0,", ","")&amp;"Mollusques","")),"")</f>
        <v/>
      </c>
      <c r="E35" s="1416" t="str">
        <f>IF(35=35,IF($B35="","",AF35),"")</f>
        <v/>
      </c>
      <c r="F35" s="1416" t="str">
        <f>IF(35=35,IF($B35="","",AI35),"")</f>
        <v/>
      </c>
      <c r="G35" s="1416" t="str">
        <f>IF(35=35,IF($B35="","",AM35),"")</f>
        <v/>
      </c>
      <c r="H35" s="1416" t="str">
        <f>IF(35=35,IF($B35="","",IF(ISNUMBER(SEARCH(" colin ",$AA35)),"X",AZ35)),"")</f>
        <v/>
      </c>
      <c r="I35" s="1416" t="str">
        <f>IF(35=35,IF($B35="","",BB35),"")</f>
        <v/>
      </c>
      <c r="J35" s="1416" t="str">
        <f>IF(35=35,IF($B35="","",BF35),"")</f>
        <v/>
      </c>
      <c r="K35" s="1416" t="str">
        <f>IF(35=35,IF($B35="","",BM35),"")</f>
        <v/>
      </c>
      <c r="L35" s="1416" t="str">
        <f>IF(35=35,IF($B35="","",BQ35),"")</f>
        <v/>
      </c>
      <c r="M35" s="1416" t="str">
        <f>IF(35=35,IF($B35="","",BT35),"")</f>
        <v/>
      </c>
      <c r="N35" s="1416" t="str">
        <f>IF(35=35,IF($B35="","",BW35),"")</f>
        <v/>
      </c>
      <c r="O35" s="1416" t="str">
        <f>IF(35=35,IF($B35="","",BZ35),"")</f>
        <v/>
      </c>
      <c r="P35" s="1416" t="str">
        <f>IF(35=35,IF($B35="","",CC35),"")</f>
        <v/>
      </c>
      <c r="Q35" s="1416" t="str">
        <f>IF(35=35,IF($B35="","",CF35),"")</f>
        <v/>
      </c>
      <c r="R35" s="1416" t="str">
        <f>IF(35=35,IF($B35="","",CL35),"")</f>
        <v/>
      </c>
      <c r="S35" s="1417" t="str">
        <f>IF(35=35,IF($B35="","",IF(E35="?",""&amp;"Céréales contenant du gluten","")&amp;IF(F35="?",IF(COUNTIF($E35:$E35,"~?")&gt;0,", ","")&amp;"Crustacés","")&amp;IF(G35="?",IF(COUNTIF($E35:$F35,"~?")&gt;0,", ","")&amp;"Œufs","")&amp;IF(H35="?",IF(COUNTIF($E35:$G35,"~?")&gt;0,", ","")&amp;"Poissons","")&amp;IF(I35="?",IF(COUNTIF($E35:$H35,"~?")&gt;0,", ","")&amp;"Arachides","")&amp;IF(J35="?",IF(COUNTIF($E35:$I35,"~?")&gt;0,", ","")&amp;"Soja","")&amp;IF(K35="?",IF(COUNTIF($E35:$J35,"~?")&gt;0,", ","")&amp;"Lait","")&amp;IF(L35="?",IF(COUNTIF($E35:$K35,"~?")&gt;0,", ","")&amp;"Fruits à coque","")&amp;IF(M35="?",IF(COUNTIF($E35:$L35,"~?")&gt;0,", ","")&amp;"Céleri","")&amp;IF(N35="?",IF(COUNTIF($E35:$M35,"~?")&gt;0,", ","")&amp;"Moutarde","")&amp;IF(O35="?",IF(COUNTIF($E35:$N35,"~?")&gt;0,", ","")&amp;"Sésame","")&amp;IF(P35="?",IF(COUNTIF($E35:$O35,"~?")&gt;0,", ","")&amp;"Sulfites","")&amp;IF(Q35="?",IF(COUNTIF($E35:$P35,"~?")&gt;0,", ","")&amp;"Lupin","")&amp;IF(R35="?",IF(COUNTIF($E35:$Q35,"~?")&gt;0,", ","")&amp;"Mollusques","")),"")</f>
        <v/>
      </c>
      <c r="U35" s="1368" t="str">
        <f>IF(35=35,IF($B35="","",$B35),"")</f>
        <v>Huile d’olive</v>
      </c>
      <c r="V35" s="1368" t="str">
        <f>IF(35=35,LOWER(CLEAN(SUBSTITUTE(SUBSTITUTE(SUBSTITUTE(SUBSTITUTE($U35,CHAR(160)," ")," "," "),CHAR(10)," "),CHAR(13)," "))),"")</f>
        <v>huile d’olive</v>
      </c>
      <c r="W35" s="1368" t="str">
        <f>IF(35=35,SUBSTITUTE(SUBSTITUTE(SUBSTITUTE(SUBSTITUTE(SUBSTITUTE(SUBSTITUTE(SUBSTITUTE(SUBSTITUTE(SUBSTITUTE(SUBSTITUTE(SUBSTITUTE(SUBSTITUTE($V35,"œ","oe"),"æ","ae"),"à","a"),"á","a"),"â","a"),"ä","a"),"ã","a"),"ç","c"),"è","e"),"é","e"),"ê","e"),"ë","e"),"")</f>
        <v>huile d’olive</v>
      </c>
      <c r="X35" s="1368" t="str">
        <f>IF(35=35,SUBSTITUTE(SUBSTITUTE(SUBSTITUTE(SUBSTITUTE(SUBSTITUTE(SUBSTITUTE(SUBSTITUTE(SUBSTITUTE(SUBSTITUTE(SUBSTITUTE(SUBSTITUTE(SUBSTITUTE(SUBSTITUTE(SUBSTITUTE(SUBSTITUTE(SUBSTITUTE($W35,"ì","i"),"í","i"),"î","i"),"ï","i"),"ñ","n"),"ò","o"),"ó","o"),"ô","o"),"ö","o"),"õ","o"),"ù","u"),"ú","u"),"û","u"),"ü","u"),"ý","y"),"ÿ","y"),"")</f>
        <v>huile d’olive</v>
      </c>
      <c r="Y35" s="1368" t="str">
        <f>IF(35=35,SUBSTITUTE(SUBSTITUTE(SUBSTITUTE(SUBSTITUTE(SUBSTITUTE(SUBSTITUTE(SUBSTITUTE(SUBSTITUTE(SUBSTITUTE(SUBSTITUTE(SUBSTITUTE(SUBSTITUTE(SUBSTITUTE(SUBSTITUTE($X35,"’"," "),"`"," "),"–"," "),"—"," "),"-"," "),"'"," "),"/"," "),"_"," "),","," "),"."," "),"("," "),")"," "),";"," "),":"," "),"")</f>
        <v>huile d olive</v>
      </c>
      <c r="Z35" s="1368" t="str">
        <f>IF(35=35,SUBSTITUTE(SUBSTITUTE(SUBSTITUTE(SUBSTITUTE(SUBSTITUTE(SUBSTITUTE(SUBSTITUTE(SUBSTITUTE(SUBSTITUTE(SUBSTITUTE(SUBSTITUTE(SUBSTITUTE(SUBSTITUTE(SUBSTITUTE(SUBSTITUTE($Y35,"!"," "),"?"," "),"+"," "),"*"," "),"&amp;"," "),"["," "),"]"," "),"{"," "),"}"," "),"%"," "),"="," "),"\"," "),"|"," "),"&lt;"," "),"&gt;"," "),"")</f>
        <v>huile d olive</v>
      </c>
      <c r="AA35" s="1368" t="str">
        <f>IF(35=35," "&amp;TRIM(SUBSTITUTE(SUBSTITUTE(SUBSTITUTE(SUBSTITUTE(SUBSTITUTE(SUBSTITUTE($Z35,CHAR(34)," "),"  "," "),"  "," "),"  "," "),"  "," "),"  "," "))&amp;" ","")</f>
        <v xml:space="preserve"> huile d olive </v>
      </c>
      <c r="AB35" s="1368">
        <f>IF(35=35,IF($U35="","",SUMPRODUCT(--ISNUMBER(SEARCH(" "&amp;$CR$2:$CR$101&amp;" ",$AD35)))),"")</f>
        <v>0</v>
      </c>
      <c r="AC35" s="1368">
        <f>IF(35=35,IF($U35="","",SUMPRODUCT(--ISNUMBER(SEARCH(" "&amp;$CR$102:$CR$151&amp;" ",$AD35)))),"")</f>
        <v>0</v>
      </c>
      <c r="AD35" s="1368" t="str">
        <f t="shared" si="1"/>
        <v xml:space="preserve"> huile d olive </v>
      </c>
      <c r="AE35" s="1368">
        <f t="shared" si="2"/>
        <v>0</v>
      </c>
      <c r="AF35" s="1368" t="str">
        <f>IF(35=35,IF($U35="","",IF(SUM(AB35:AC35)+SUMPRODUCT(--ISNUMBER(SEARCH(" "&amp;$CR$2418:$CR$2420&amp;" ",$AD35)))&gt;0,"X",IF(AE35&gt;0,"?",""))),"")</f>
        <v/>
      </c>
      <c r="AG35" s="1368">
        <f>IF(35=35,IF($U35="","",SUMPRODUCT(--ISNUMBER(SEARCH(" "&amp;$CR$206:$CR$305&amp;" ",$AA35)))),"")</f>
        <v>0</v>
      </c>
      <c r="AH35" s="1368">
        <f>IF(35=35,IF($U35="","",SUMPRODUCT(--ISNUMBER(SEARCH(" "&amp;$CR$306:$CR$340&amp;" ",$AA35)))),"")</f>
        <v>0</v>
      </c>
      <c r="AI35" s="1368" t="str">
        <f>IF(35=35,IF($U35="","",IF((SUM(AG35:AH35))-(0)&gt;0,"X",IF((0)-(0)&gt;0,"?",""))),"")</f>
        <v/>
      </c>
      <c r="AJ35" s="1368">
        <f>IF(35=35,IF($U35="","",SUMPRODUCT(--ISNUMBER(SEARCH(" "&amp;$CR$341:$CR$398&amp;" ",$AA35)))),"")</f>
        <v>0</v>
      </c>
      <c r="AK35" s="1368">
        <f>IF(35=35,IF($U35="","",SUMPRODUCT(--ISNUMBER(SEARCH(" "&amp;$CR$399:$CR$426&amp;" ",$AL35)))+SUMPRODUCT(--ISNUMBER(SEARCH(" "&amp;$CR$2440:$CR$2453&amp;" ",$AL35)))),"")</f>
        <v>0</v>
      </c>
      <c r="AL35" s="1368" t="str">
        <f>IF(35=35,IF($U35="","",SUBSTITUTE(SUBSTITUTE(SUBSTITUTE(SUBSTITUTE(SUBSTITUTE(SUBSTITUTE(SUBSTITUTE(SUBSTITUTE(SUBSTITUTE(SUBSTITUTE(SUBSTITUTE(SUBSTITUTE(SUBSTITUTE(SUBSTITUTE($AA35," "&amp;$CR$2455&amp;" "," ")," "&amp;$CR$433&amp;" "," ")," "&amp;$CR$431&amp;" "," ")," "&amp;$CR$2438&amp;" "," ")," "&amp;$CR$2439&amp;" "," ")," "&amp;$CR$428&amp;" "," ")," "&amp;$CR$432&amp;" "," ")," "&amp;$CR$434&amp;" "," ")," "&amp;$CR$429&amp;" "," ")," "&amp;$CR$427&amp;" "," ")," "&amp;$CR$1367&amp;" "," ")," "&amp;$CR$435&amp;" "," ")," "&amp;$CR$1366&amp;" "," ")," "&amp;$CR$430&amp;" "," ")),"")</f>
        <v xml:space="preserve"> huile d olive </v>
      </c>
      <c r="AM35" s="1368" t="str">
        <f>IF(35=35,IF($U35="","",IF(AJ35&gt;0,"X",IF(AK35&gt;0,"?",""))),"")</f>
        <v/>
      </c>
      <c r="AN35" s="1368">
        <f>IF(35=35,IF($U35="","",SUMPRODUCT(--ISNUMBER(SEARCH(" "&amp;$CR$436:$CR$535&amp;" ",$AX35)))),"")</f>
        <v>0</v>
      </c>
      <c r="AO35" s="1368">
        <f>IF(35=35,IF($U35="","",SUMPRODUCT(--ISNUMBER(SEARCH(" "&amp;$CR$536:$CR$635&amp;" ",$AX35)))),"")</f>
        <v>0</v>
      </c>
      <c r="AP35" s="1368">
        <f>IF(35=35,IF($U35="","",SUMPRODUCT(--ISNUMBER(SEARCH(" "&amp;$CR$636:$CR$735&amp;" ",$AX35)))),"")</f>
        <v>0</v>
      </c>
      <c r="AQ35" s="1368">
        <f>IF(35=35,IF($U35="","",SUMPRODUCT(--ISNUMBER(SEARCH(" "&amp;$CR$736:$CR$835&amp;" ",$AX35)))),"")</f>
        <v>0</v>
      </c>
      <c r="AR35" s="1368">
        <f>IF(35=35,IF($U35="","",SUMPRODUCT(--ISNUMBER(SEARCH(" "&amp;$CR$836:$CR$935&amp;" ",$AX35)))),"")</f>
        <v>0</v>
      </c>
      <c r="AS35" s="1368">
        <f>IF(35=35,IF($U35="","",SUMPRODUCT(--ISNUMBER(SEARCH(" "&amp;$CR$936:$CR$1035&amp;" ",$AX35)))),"")</f>
        <v>0</v>
      </c>
      <c r="AT35" s="1368">
        <f>IF(35=35,IF($U35="","",SUMPRODUCT(--ISNUMBER(SEARCH(" "&amp;$CR$1036:$CR$1135&amp;" ",$AX35)))),"")</f>
        <v>0</v>
      </c>
      <c r="AU35" s="1368">
        <f>IF(35=35,IF($U35="","",SUMPRODUCT(--ISNUMBER(SEARCH(" "&amp;$CR$1136:$CR$1235&amp;" ",$AX35)))),"")</f>
        <v>0</v>
      </c>
      <c r="AV35" s="1368">
        <f>IF(35=35,IF($U35="","",SUMPRODUCT(--ISNUMBER(SEARCH(" "&amp;$CR$1236:$CR$1335&amp;" ",$AX35)))),"")</f>
        <v>0</v>
      </c>
      <c r="AW35" s="1368">
        <f>IF(35=35,IF($U35="","",SUMPRODUCT(--ISNUMBER(SEARCH(" "&amp;$CR$1336:$CR$1363&amp;" ",$AX35)))),"")</f>
        <v>0</v>
      </c>
      <c r="AX35" s="1368" t="str">
        <f>IF(35=35,IF($U35="","",SUBSTITUTE(SUBSTITUTE(SUBSTITUTE(SUBSTITUTE(SUBSTITUTE(SUBSTITUTE(SUBSTITUTE(SUBSTITUTE(SUBSTITUTE($AA35," "&amp;$CR$1365&amp;" "," ")," "&amp;$CR$1364&amp;" "," ")," "&amp;$CR$1370&amp;" "," ")," "&amp;$CR$1371&amp;" "," ")," "&amp;$CR$1367&amp;" "," ")," "&amp;$CR$1369&amp;" "," ")," "&amp;$CR$1366&amp;" "," ")," "&amp;$CR$1368&amp;" "," ")," "&amp;$CR$1372&amp;" "," ")),"")</f>
        <v xml:space="preserve"> huile d olive </v>
      </c>
      <c r="AY35" s="1368">
        <f>IF(35=35,IF($U35="","",SUMPRODUCT(--ISNUMBER(SEARCH(" "&amp;$CR$1373:$CR$1383&amp;" ",$AX35)))),"")</f>
        <v>0</v>
      </c>
      <c r="AZ35" s="1368" t="str">
        <f>IF(35=35,IF($U35="","",IF(SUM(AN35:AW35)+SUMPRODUCT(--ISNUMBER(SEARCH(" "&amp;$CR$2421:$CR$2422&amp;" ",$AX35)))&gt;0,"X",IF(AY35&gt;0,"?",""))),"")</f>
        <v/>
      </c>
      <c r="BA35" s="1368">
        <f>IF(35=35,IF($U35="","",SUMPRODUCT(--ISNUMBER(SEARCH(" "&amp;$CR$1384:$CR$1404&amp;" ",$AA35)))),"")</f>
        <v>0</v>
      </c>
      <c r="BB35" s="1368" t="str">
        <f>IF(35=35,IF($U35="","",IF((BA35)-(0)&gt;0,"X",IF((0)-(0)&gt;0,"?",""))),"")</f>
        <v/>
      </c>
      <c r="BC35" s="1368">
        <f>IF(35=35,IF($U35="","",SUMPRODUCT(--ISNUMBER(SEARCH(" "&amp;$CR$1405:$CR$1442&amp;" ",$BD35)))),"")</f>
        <v>0</v>
      </c>
      <c r="BD35" s="1368" t="str">
        <f>IF(35=35,IF($U35="","",SUBSTITUTE(SUBSTITUTE($AA35," "&amp;$CR$1443&amp;" "," ")," "&amp;$CR$1444&amp;" "," ")),"")</f>
        <v xml:space="preserve"> huile d olive </v>
      </c>
      <c r="BE35" s="1368">
        <f>IF(35=35,IF($U35="","",SUMPRODUCT(--ISNUMBER(SEARCH(" "&amp;$CR$1445:$CR$1455&amp;" ",$BD35)))),"")</f>
        <v>0</v>
      </c>
      <c r="BF35" s="1368" t="str">
        <f>IF(35=35,IF($U35="","",IF(BC35&gt;0,"X",IF(BE35&gt;0,"?",""))),"")</f>
        <v/>
      </c>
      <c r="BG35" s="1368">
        <f>IF(35=35,IF($U35="","",SUMPRODUCT(--ISNUMBER(SEARCH(" "&amp;$CR$1456:$CR$1555&amp;" ",$BJ35)))),"")</f>
        <v>0</v>
      </c>
      <c r="BH35" s="1368">
        <f>IF(35=35,IF($U35="","",SUMPRODUCT(--ISNUMBER(SEARCH(" "&amp;$CR$1556:$CR$1655&amp;" ",$BJ35)))),"")</f>
        <v>0</v>
      </c>
      <c r="BI35" s="1368">
        <f>IF(35=35,IF($U35="","",SUMPRODUCT(--ISNUMBER(SEARCH(" "&amp;$CR$1656:$CR$1739&amp;" ",$BJ35)))),"")</f>
        <v>0</v>
      </c>
      <c r="BJ35" s="1368" t="str">
        <f>IF(35=35,IF($U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olive </v>
      </c>
      <c r="BK35" s="1368">
        <f>IF(35=35,IF($U35="","",SUMPRODUCT(--ISNUMBER(SEARCH(" "&amp;$CR$1790:$CR$1869&amp;" ",$BL35)))+SUMPRODUCT(--ISNUMBER(SEARCH(" "&amp;$CR$2440:$CR$2453&amp;" ",$BL35)))),"")</f>
        <v>0</v>
      </c>
      <c r="BL35" s="1368" t="str">
        <f>IF(35=35,IF($U35="","",SUBSTITUTE(SUBSTITUTE(SUBSTITUTE(SUBSTITUTE(SUBSTITUTE(SUBSTITUTE(SUBSTITUTE(SUBSTITUTE(SUBSTITUTE(SUBSTITUTE(SUBSTITUTE(SUBSTITUTE(SUBSTITUTE($BJ35," "&amp;$CR$1876&amp;" "," ")," "&amp;$CR$1874&amp;" "," ")," "&amp;$CR$2438&amp;" "," ")," "&amp;$CR$2439&amp;" "," ")," "&amp;$CR$1871&amp;" "," ")," "&amp;$CR$1875&amp;" "," ")," "&amp;$CR$1877&amp;" "," ")," "&amp;$CR$1872&amp;" "," ")," "&amp;$CR$1870&amp;" "," ")," "&amp;$CR$1367&amp;" "," ")," "&amp;$CR$1878&amp;" "," ")," "&amp;$CR$1366&amp;" "," ")," "&amp;$CR$1873&amp;" "," ")),"")</f>
        <v xml:space="preserve"> huile d olive </v>
      </c>
      <c r="BM35" s="1368" t="str">
        <f>IF(35=35,IF($U35="","",IF(SUM(BG35:BI35)+SUMPRODUCT(--ISNUMBER(SEARCH(" "&amp;$CR$2423:$CR$2424&amp;" ",$BJ35)))&gt;0,"X",IF(BK35&gt;0,"?",""))),"")</f>
        <v/>
      </c>
      <c r="BN35" s="1368">
        <f>IF(35=35,IF($U35="","",SUMPRODUCT(--ISNUMBER(SEARCH(" "&amp;$CR$1879:$CR$1936&amp;" ",$BO35)))),"")</f>
        <v>0</v>
      </c>
      <c r="BO35" s="1368" t="str">
        <f>IF(35=35,IF($U35="","",SUBSTITUTE(SUBSTITUTE(SUBSTITUTE(SUBSTITUTE(SUBSTITUTE(SUBSTITUTE(SUBSTITUTE(SUBSTITUTE(SUBSTITUTE(SUBSTITUTE(SUBSTITUTE(SUBSTITUTE(SUBSTITUTE(SUBSTITUTE(SUBSTITUTE(SUBSTITUTE(SUBSTITUTE(SUBSTITUTE(SUBSTITUTE(SUBSTITUTE(SUBSTITUTE(SUBSTITUTE(SUBSTITUTE($AA35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olive </v>
      </c>
      <c r="BP35" s="1368">
        <f>IF(35=35,IF($U35="","",SUMPRODUCT(--ISNUMBER(SEARCH(" "&amp;$CR$1960:$CR$1976&amp;" ",$BO35)))),"")</f>
        <v>0</v>
      </c>
      <c r="BQ35" s="1368" t="str">
        <f>IF(35=35,IF($U35="","",IF(BN35&gt;0,"X",IF(BP35&gt;0,"?",""))),"")</f>
        <v/>
      </c>
      <c r="BR35" s="1368">
        <f>IF(35=35,IF($U35="","",SUMPRODUCT(--ISNUMBER(SEARCH(" "&amp;$CR$1977:$CR$1990&amp;" ",$AA35)))),"")</f>
        <v>0</v>
      </c>
      <c r="BS35" s="1368">
        <f>IF(35=35,IF($U35="","",SUMPRODUCT(--ISNUMBER(SEARCH(" "&amp;$CR$1991:$CR$2005&amp;" ",$AA35)))),"")</f>
        <v>0</v>
      </c>
      <c r="BT35" s="1368" t="str">
        <f>IF(35=35,IF($U35="","",IF((BR35)-(0)&gt;0,"X",IF((BS35)-(0)&gt;0,"?",""))),"")</f>
        <v/>
      </c>
      <c r="BU35" s="1368">
        <f>IF(35=35,IF($U35="","",SUMPRODUCT(--ISNUMBER(SEARCH(" "&amp;$CR$2006:$CR$2023&amp;" ",$AA35)))),"")</f>
        <v>0</v>
      </c>
      <c r="BV35" s="1368">
        <f>IF(35=35,IF($U35="","",SUMPRODUCT(--ISNUMBER(SEARCH(" "&amp;$CR$2024:$CR$2038&amp;" ",$AA35)))),"")</f>
        <v>0</v>
      </c>
      <c r="BW35" s="1368" t="str">
        <f>IF(35=35,IF($U35="","",IF((BU35)-(0)&gt;0,"X",IF((BV35)-(0)&gt;0,"?",""))),"")</f>
        <v/>
      </c>
      <c r="BX35" s="1368">
        <f>IF(35=35,IF($U35="","",SUMPRODUCT(--ISNUMBER(SEARCH(" "&amp;$CR$2039:$CR$2057&amp;" ",$AA35)))),"")</f>
        <v>0</v>
      </c>
      <c r="BY35" s="1368">
        <f>IF(35=35,IF($U35="","",SUMPRODUCT(--ISNUMBER(SEARCH(" "&amp;$CR$2058:$CR$2072&amp;" ",$AA35)))),"")</f>
        <v>0</v>
      </c>
      <c r="BZ35" s="1368" t="str">
        <f>IF(35=35,IF($U35="","",IF((BX35)-(0)&gt;0,"X",IF((BY35)-(0)&gt;0,"?",""))),"")</f>
        <v/>
      </c>
      <c r="CA35" s="1368">
        <f>IF(35=35,IF($U35="","",SUMPRODUCT(--ISNUMBER(SEARCH(" "&amp;$CR$2073:$CR$2093&amp;" ",$AA35)))),"")</f>
        <v>0</v>
      </c>
      <c r="CB35" s="1368">
        <f>IF(35=35,IF($U35="","",SUMPRODUCT(--ISNUMBER(SEARCH(" "&amp;$CR$2094:$CR$2133&amp;" ",SUBSTITUTE(SUBSTITUTE($AA35," "&amp;$CR$1367&amp;" "," ")," "&amp;$CR$1366&amp;" "," "))))+--ISNUMBER(SEARCH("poiré",$V35))),"")</f>
        <v>0</v>
      </c>
      <c r="CC35" s="1368" t="str">
        <f>IF(35=35,IF($U35="","",IF(OR(CA35&gt;0,ISNUMBER(SEARCH(" vinaigre de vin ",$AA35)),ISNUMBER(SEARCH(" vinaigre au vin ",$AA35))),"X",IF(CB35&gt;0,"?",""))),"")</f>
        <v/>
      </c>
      <c r="CD35" s="1368">
        <f>IF(35=35,IF($U35="","",SUMPRODUCT(--ISNUMBER(SEARCH(" "&amp;$CR$2134:$CR$2146&amp;" ",$AA35)))),"")</f>
        <v>0</v>
      </c>
      <c r="CE35" s="1368">
        <f>IF(35=35,IF($U35="","",SUMPRODUCT(--ISNUMBER(SEARCH(" "&amp;$CR$2147:$CR$2152&amp;" ",$AA35)))),"")</f>
        <v>0</v>
      </c>
      <c r="CF35" s="1368" t="str">
        <f>IF(35=35,IF($U35="","",IF((CD35)-(0)&gt;0,"X",IF((CE35)-(0)&gt;0,"?",""))),"")</f>
        <v/>
      </c>
      <c r="CG35" s="1368">
        <f>IF(35=35,IF($U35="","",SUMPRODUCT(--ISNUMBER(SEARCH(" "&amp;$CR$2153:$CR$2252&amp;" ",$CJ35)))),"")</f>
        <v>0</v>
      </c>
      <c r="CH35" s="1368">
        <f>IF(35=35,IF($U35="","",SUMPRODUCT(--ISNUMBER(SEARCH(" "&amp;$CR$2253:$CR$2352&amp;" ",$CJ35)))),"")</f>
        <v>0</v>
      </c>
      <c r="CI35" s="1368">
        <f>IF(35=35,IF($U35="","",SUMPRODUCT(--ISNUMBER(SEARCH(" "&amp;$CR$2353:$CR$2395&amp;" ",$CJ35)))),"")</f>
        <v>0</v>
      </c>
      <c r="CJ35" s="1368" t="str">
        <f>IF(35=35,IF($U35="","",SUBSTITUTE(SUBSTITUTE(SUBSTITUTE(SUBSTITUTE(SUBSTITUTE(SUBSTITUTE(SUBSTITUTE(SUBSTITUTE(SUBSTITUTE(SUBSTITUTE(SUBSTITUTE(SUBSTITUTE(SUBSTITUTE(SUBSTITUTE(SUBSTITUTE(SUBSTITUTE($AA35," "&amp;$CR$2401&amp;" "," ")," "&amp;$CR$2400&amp;" "," ")," "&amp;$CR$2399&amp;" "," ")," "&amp;$CR$2406&amp;" "," ")," "&amp;$CR$2398&amp;" "," ")," "&amp;$CR$2410&amp;" "," ")," "&amp;$CR$2397&amp;" "," ")," "&amp;$CR$2402&amp;" "," ")," "&amp;$CR$2405&amp;" "," ")," "&amp;$CR$2396&amp;" "," ")," "&amp;$CR$2404&amp;" "," ")," "&amp;$CR$2411&amp;" "," ")," "&amp;$CR$2408&amp;" "," ")," "&amp;$CR$2403&amp;" "," ")," "&amp;$CR$2407&amp;" "," ")," "&amp;$CR$2409&amp;" "," ")),"")</f>
        <v xml:space="preserve"> huile d olive </v>
      </c>
      <c r="CK35" s="1368">
        <f>IF(35=35,IF($U35="","",SUMPRODUCT(--ISNUMBER(SEARCH(" "&amp;$CR$2412:$CR$2416&amp;" ",$CJ35)))),"")</f>
        <v>0</v>
      </c>
      <c r="CL35" s="1368" t="str">
        <f>IF(35=35,IF($U35="","",IF(SUM(CG35:CI35)&gt;0,"X",IF(CK35&gt;0,"?",""))),"")</f>
        <v/>
      </c>
      <c r="CM35" s="1377"/>
      <c r="CN35" s="1388" t="s">
        <v>8287</v>
      </c>
      <c r="CO35" s="1388" t="s">
        <v>8105</v>
      </c>
      <c r="CP35" s="1388" t="s">
        <v>8106</v>
      </c>
      <c r="CQ35" s="1388" t="s">
        <v>8288</v>
      </c>
      <c r="CR35" s="1388" t="s">
        <v>8288</v>
      </c>
      <c r="CS35" s="1388" t="s">
        <v>8108</v>
      </c>
      <c r="CT35" s="1388" t="s">
        <v>8109</v>
      </c>
      <c r="CU35" s="1388" t="s">
        <v>8110</v>
      </c>
      <c r="CV35" s="1389" t="s">
        <v>8111</v>
      </c>
      <c r="CX35" s="1379">
        <v>1</v>
      </c>
    </row>
    <row r="36" spans="1:102" ht="21" customHeight="1" x14ac:dyDescent="0.25">
      <c r="A36" s="1412">
        <v>30</v>
      </c>
      <c r="B36" s="1413" t="s">
        <v>8289</v>
      </c>
      <c r="C36" s="1414" t="str">
        <f t="shared" si="0"/>
        <v>Jaune d’œuf pasteurisé *</v>
      </c>
      <c r="D36" s="1415" t="str">
        <f>IF(36=36,IF($B36="","",IF(E36="X",""&amp;"Céréales contenant du gluten","")&amp;IF(F36="X",IF(COUNTIF($E36:$E36,"X")&gt;0,", ","")&amp;"Crustacés","")&amp;IF(G36="X",IF(COUNTIF($E36:$F36,"X")&gt;0,", ","")&amp;"Œufs","")&amp;IF(H36="X",IF(COUNTIF($E36:$G36,"X")&gt;0,", ","")&amp;"Poissons","")&amp;IF(I36="X",IF(COUNTIF($E36:$H36,"X")&gt;0,", ","")&amp;"Arachides","")&amp;IF(J36="X",IF(COUNTIF($E36:$I36,"X")&gt;0,", ","")&amp;"Soja","")&amp;IF(K36="X",IF(COUNTIF($E36:$J36,"X")&gt;0,", ","")&amp;"Lait","")&amp;IF(L36="X",IF(COUNTIF($E36:$K36,"X")&gt;0,", ","")&amp;"Fruits à coque","")&amp;IF(M36="X",IF(COUNTIF($E36:$L36,"X")&gt;0,", ","")&amp;"Céleri","")&amp;IF(N36="X",IF(COUNTIF($E36:$M36,"X")&gt;0,", ","")&amp;"Moutarde","")&amp;IF(O36="X",IF(COUNTIF($E36:$N36,"X")&gt;0,", ","")&amp;"Sésame","")&amp;IF(P36="X",IF(COUNTIF($E36:$O36,"X")&gt;0,", ","")&amp;"Sulfites","")&amp;IF(Q36="X",IF(COUNTIF($E36:$P36,"X")&gt;0,", ","")&amp;"Lupin","")&amp;IF(R36="X",IF(COUNTIF($E36:$Q36,"X")&gt;0,", ","")&amp;"Mollusques","")),"")</f>
        <v>Œufs</v>
      </c>
      <c r="E36" s="1416" t="str">
        <f>IF(36=36,IF($B36="","",AF36),"")</f>
        <v/>
      </c>
      <c r="F36" s="1416" t="str">
        <f>IF(36=36,IF($B36="","",AI36),"")</f>
        <v/>
      </c>
      <c r="G36" s="1416" t="str">
        <f>IF(36=36,IF($B36="","",AM36),"")</f>
        <v>X</v>
      </c>
      <c r="H36" s="1416" t="str">
        <f>IF(36=36,IF($B36="","",IF(ISNUMBER(SEARCH(" colin ",$AA36)),"X",AZ36)),"")</f>
        <v/>
      </c>
      <c r="I36" s="1416" t="str">
        <f>IF(36=36,IF($B36="","",BB36),"")</f>
        <v/>
      </c>
      <c r="J36" s="1416" t="str">
        <f>IF(36=36,IF($B36="","",BF36),"")</f>
        <v/>
      </c>
      <c r="K36" s="1416" t="str">
        <f>IF(36=36,IF($B36="","",BM36),"")</f>
        <v/>
      </c>
      <c r="L36" s="1416" t="str">
        <f>IF(36=36,IF($B36="","",BQ36),"")</f>
        <v/>
      </c>
      <c r="M36" s="1416" t="str">
        <f>IF(36=36,IF($B36="","",BT36),"")</f>
        <v/>
      </c>
      <c r="N36" s="1416" t="str">
        <f>IF(36=36,IF($B36="","",BW36),"")</f>
        <v/>
      </c>
      <c r="O36" s="1416" t="str">
        <f>IF(36=36,IF($B36="","",BZ36),"")</f>
        <v/>
      </c>
      <c r="P36" s="1416" t="str">
        <f>IF(36=36,IF($B36="","",CC36),"")</f>
        <v/>
      </c>
      <c r="Q36" s="1416" t="str">
        <f>IF(36=36,IF($B36="","",CF36),"")</f>
        <v/>
      </c>
      <c r="R36" s="1416" t="str">
        <f>IF(36=36,IF($B36="","",CL36),"")</f>
        <v/>
      </c>
      <c r="S36" s="1417" t="str">
        <f>IF(36=36,IF($B36="","",IF(E36="?",""&amp;"Céréales contenant du gluten","")&amp;IF(F36="?",IF(COUNTIF($E36:$E36,"~?")&gt;0,", ","")&amp;"Crustacés","")&amp;IF(G36="?",IF(COUNTIF($E36:$F36,"~?")&gt;0,", ","")&amp;"Œufs","")&amp;IF(H36="?",IF(COUNTIF($E36:$G36,"~?")&gt;0,", ","")&amp;"Poissons","")&amp;IF(I36="?",IF(COUNTIF($E36:$H36,"~?")&gt;0,", ","")&amp;"Arachides","")&amp;IF(J36="?",IF(COUNTIF($E36:$I36,"~?")&gt;0,", ","")&amp;"Soja","")&amp;IF(K36="?",IF(COUNTIF($E36:$J36,"~?")&gt;0,", ","")&amp;"Lait","")&amp;IF(L36="?",IF(COUNTIF($E36:$K36,"~?")&gt;0,", ","")&amp;"Fruits à coque","")&amp;IF(M36="?",IF(COUNTIF($E36:$L36,"~?")&gt;0,", ","")&amp;"Céleri","")&amp;IF(N36="?",IF(COUNTIF($E36:$M36,"~?")&gt;0,", ","")&amp;"Moutarde","")&amp;IF(O36="?",IF(COUNTIF($E36:$N36,"~?")&gt;0,", ","")&amp;"Sésame","")&amp;IF(P36="?",IF(COUNTIF($E36:$O36,"~?")&gt;0,", ","")&amp;"Sulfites","")&amp;IF(Q36="?",IF(COUNTIF($E36:$P36,"~?")&gt;0,", ","")&amp;"Lupin","")&amp;IF(R36="?",IF(COUNTIF($E36:$Q36,"~?")&gt;0,", ","")&amp;"Mollusques","")),"")</f>
        <v/>
      </c>
      <c r="U36" s="1368" t="str">
        <f>IF(36=36,IF($B36="","",$B36),"")</f>
        <v>Jaune d’œuf pasteurisé</v>
      </c>
      <c r="V36" s="1368" t="str">
        <f>IF(36=36,LOWER(CLEAN(SUBSTITUTE(SUBSTITUTE(SUBSTITUTE(SUBSTITUTE($U36,CHAR(160)," ")," "," "),CHAR(10)," "),CHAR(13)," "))),"")</f>
        <v>jaune d’œuf pasteurisé</v>
      </c>
      <c r="W36" s="1368" t="str">
        <f>IF(36=36,SUBSTITUTE(SUBSTITUTE(SUBSTITUTE(SUBSTITUTE(SUBSTITUTE(SUBSTITUTE(SUBSTITUTE(SUBSTITUTE(SUBSTITUTE(SUBSTITUTE(SUBSTITUTE(SUBSTITUTE($V36,"œ","oe"),"æ","ae"),"à","a"),"á","a"),"â","a"),"ä","a"),"ã","a"),"ç","c"),"è","e"),"é","e"),"ê","e"),"ë","e"),"")</f>
        <v>jaune d’oeuf pasteurise</v>
      </c>
      <c r="X36" s="1368" t="str">
        <f>IF(36=36,SUBSTITUTE(SUBSTITUTE(SUBSTITUTE(SUBSTITUTE(SUBSTITUTE(SUBSTITUTE(SUBSTITUTE(SUBSTITUTE(SUBSTITUTE(SUBSTITUTE(SUBSTITUTE(SUBSTITUTE(SUBSTITUTE(SUBSTITUTE(SUBSTITUTE(SUBSTITUTE($W36,"ì","i"),"í","i"),"î","i"),"ï","i"),"ñ","n"),"ò","o"),"ó","o"),"ô","o"),"ö","o"),"õ","o"),"ù","u"),"ú","u"),"û","u"),"ü","u"),"ý","y"),"ÿ","y"),"")</f>
        <v>jaune d’oeuf pasteurise</v>
      </c>
      <c r="Y36" s="1368" t="str">
        <f>IF(36=36,SUBSTITUTE(SUBSTITUTE(SUBSTITUTE(SUBSTITUTE(SUBSTITUTE(SUBSTITUTE(SUBSTITUTE(SUBSTITUTE(SUBSTITUTE(SUBSTITUTE(SUBSTITUTE(SUBSTITUTE(SUBSTITUTE(SUBSTITUTE($X36,"’"," "),"`"," "),"–"," "),"—"," "),"-"," "),"'"," "),"/"," "),"_"," "),","," "),"."," "),"("," "),")"," "),";"," "),":"," "),"")</f>
        <v>jaune d oeuf pasteurise</v>
      </c>
      <c r="Z36" s="1368" t="str">
        <f>IF(36=36,SUBSTITUTE(SUBSTITUTE(SUBSTITUTE(SUBSTITUTE(SUBSTITUTE(SUBSTITUTE(SUBSTITUTE(SUBSTITUTE(SUBSTITUTE(SUBSTITUTE(SUBSTITUTE(SUBSTITUTE(SUBSTITUTE(SUBSTITUTE(SUBSTITUTE($Y36,"!"," "),"?"," "),"+"," "),"*"," "),"&amp;"," "),"["," "),"]"," "),"{"," "),"}"," "),"%"," "),"="," "),"\"," "),"|"," "),"&lt;"," "),"&gt;"," "),"")</f>
        <v>jaune d oeuf pasteurise</v>
      </c>
      <c r="AA36" s="1368" t="str">
        <f>IF(36=36," "&amp;TRIM(SUBSTITUTE(SUBSTITUTE(SUBSTITUTE(SUBSTITUTE(SUBSTITUTE(SUBSTITUTE($Z36,CHAR(34)," "),"  "," "),"  "," "),"  "," "),"  "," "),"  "," "))&amp;" ","")</f>
        <v xml:space="preserve"> jaune d oeuf pasteurise </v>
      </c>
      <c r="AB36" s="1368">
        <f>IF(36=36,IF($U36="","",SUMPRODUCT(--ISNUMBER(SEARCH(" "&amp;$CR$2:$CR$101&amp;" ",$AD36)))),"")</f>
        <v>0</v>
      </c>
      <c r="AC36" s="1368">
        <f>IF(36=36,IF($U36="","",SUMPRODUCT(--ISNUMBER(SEARCH(" "&amp;$CR$102:$CR$151&amp;" ",$AD36)))),"")</f>
        <v>0</v>
      </c>
      <c r="AD36" s="1368" t="str">
        <f t="shared" si="1"/>
        <v xml:space="preserve"> jaune d oeuf pasteurise </v>
      </c>
      <c r="AE36" s="1368">
        <f t="shared" si="2"/>
        <v>0</v>
      </c>
      <c r="AF36" s="1368" t="str">
        <f>IF(36=36,IF($U36="","",IF(SUM(AB36:AC36)+SUMPRODUCT(--ISNUMBER(SEARCH(" "&amp;$CR$2418:$CR$2420&amp;" ",$AD36)))&gt;0,"X",IF(AE36&gt;0,"?",""))),"")</f>
        <v/>
      </c>
      <c r="AG36" s="1368">
        <f>IF(36=36,IF($U36="","",SUMPRODUCT(--ISNUMBER(SEARCH(" "&amp;$CR$206:$CR$305&amp;" ",$AA36)))),"")</f>
        <v>0</v>
      </c>
      <c r="AH36" s="1368">
        <f>IF(36=36,IF($U36="","",SUMPRODUCT(--ISNUMBER(SEARCH(" "&amp;$CR$306:$CR$340&amp;" ",$AA36)))),"")</f>
        <v>0</v>
      </c>
      <c r="AI36" s="1368" t="str">
        <f>IF(36=36,IF($U36="","",IF((SUM(AG36:AH36))-(0)&gt;0,"X",IF((0)-(0)&gt;0,"?",""))),"")</f>
        <v/>
      </c>
      <c r="AJ36" s="1368">
        <f>IF(36=36,IF($U36="","",SUMPRODUCT(--ISNUMBER(SEARCH(" "&amp;$CR$341:$CR$398&amp;" ",$AA36)))),"")</f>
        <v>2</v>
      </c>
      <c r="AK36" s="1368">
        <f>IF(36=36,IF($U36="","",SUMPRODUCT(--ISNUMBER(SEARCH(" "&amp;$CR$399:$CR$426&amp;" ",$AL36)))+SUMPRODUCT(--ISNUMBER(SEARCH(" "&amp;$CR$2440:$CR$2453&amp;" ",$AL36)))),"")</f>
        <v>0</v>
      </c>
      <c r="AL36" s="1368" t="str">
        <f>IF(36=36,IF($U36="","",SUBSTITUTE(SUBSTITUTE(SUBSTITUTE(SUBSTITUTE(SUBSTITUTE(SUBSTITUTE(SUBSTITUTE(SUBSTITUTE(SUBSTITUTE(SUBSTITUTE(SUBSTITUTE(SUBSTITUTE(SUBSTITUTE(SUBSTITUTE($AA36," "&amp;$CR$2455&amp;" "," ")," "&amp;$CR$433&amp;" "," ")," "&amp;$CR$431&amp;" "," ")," "&amp;$CR$2438&amp;" "," ")," "&amp;$CR$2439&amp;" "," ")," "&amp;$CR$428&amp;" "," ")," "&amp;$CR$432&amp;" "," ")," "&amp;$CR$434&amp;" "," ")," "&amp;$CR$429&amp;" "," ")," "&amp;$CR$427&amp;" "," ")," "&amp;$CR$1367&amp;" "," ")," "&amp;$CR$435&amp;" "," ")," "&amp;$CR$1366&amp;" "," ")," "&amp;$CR$430&amp;" "," ")),"")</f>
        <v xml:space="preserve"> jaune d oeuf pasteurise </v>
      </c>
      <c r="AM36" s="1368" t="str">
        <f>IF(36=36,IF($U36="","",IF(AJ36&gt;0,"X",IF(AK36&gt;0,"?",""))),"")</f>
        <v>X</v>
      </c>
      <c r="AN36" s="1368">
        <f>IF(36=36,IF($U36="","",SUMPRODUCT(--ISNUMBER(SEARCH(" "&amp;$CR$436:$CR$535&amp;" ",$AX36)))),"")</f>
        <v>0</v>
      </c>
      <c r="AO36" s="1368">
        <f>IF(36=36,IF($U36="","",SUMPRODUCT(--ISNUMBER(SEARCH(" "&amp;$CR$536:$CR$635&amp;" ",$AX36)))),"")</f>
        <v>0</v>
      </c>
      <c r="AP36" s="1368">
        <f>IF(36=36,IF($U36="","",SUMPRODUCT(--ISNUMBER(SEARCH(" "&amp;$CR$636:$CR$735&amp;" ",$AX36)))),"")</f>
        <v>0</v>
      </c>
      <c r="AQ36" s="1368">
        <f>IF(36=36,IF($U36="","",SUMPRODUCT(--ISNUMBER(SEARCH(" "&amp;$CR$736:$CR$835&amp;" ",$AX36)))),"")</f>
        <v>0</v>
      </c>
      <c r="AR36" s="1368">
        <f>IF(36=36,IF($U36="","",SUMPRODUCT(--ISNUMBER(SEARCH(" "&amp;$CR$836:$CR$935&amp;" ",$AX36)))),"")</f>
        <v>0</v>
      </c>
      <c r="AS36" s="1368">
        <f>IF(36=36,IF($U36="","",SUMPRODUCT(--ISNUMBER(SEARCH(" "&amp;$CR$936:$CR$1035&amp;" ",$AX36)))),"")</f>
        <v>0</v>
      </c>
      <c r="AT36" s="1368">
        <f>IF(36=36,IF($U36="","",SUMPRODUCT(--ISNUMBER(SEARCH(" "&amp;$CR$1036:$CR$1135&amp;" ",$AX36)))),"")</f>
        <v>0</v>
      </c>
      <c r="AU36" s="1368">
        <f>IF(36=36,IF($U36="","",SUMPRODUCT(--ISNUMBER(SEARCH(" "&amp;$CR$1136:$CR$1235&amp;" ",$AX36)))),"")</f>
        <v>0</v>
      </c>
      <c r="AV36" s="1368">
        <f>IF(36=36,IF($U36="","",SUMPRODUCT(--ISNUMBER(SEARCH(" "&amp;$CR$1236:$CR$1335&amp;" ",$AX36)))),"")</f>
        <v>0</v>
      </c>
      <c r="AW36" s="1368">
        <f>IF(36=36,IF($U36="","",SUMPRODUCT(--ISNUMBER(SEARCH(" "&amp;$CR$1336:$CR$1363&amp;" ",$AX36)))),"")</f>
        <v>0</v>
      </c>
      <c r="AX36" s="1368" t="str">
        <f>IF(36=36,IF($U36="","",SUBSTITUTE(SUBSTITUTE(SUBSTITUTE(SUBSTITUTE(SUBSTITUTE(SUBSTITUTE(SUBSTITUTE(SUBSTITUTE(SUBSTITUTE($AA36," "&amp;$CR$1365&amp;" "," ")," "&amp;$CR$1364&amp;" "," ")," "&amp;$CR$1370&amp;" "," ")," "&amp;$CR$1371&amp;" "," ")," "&amp;$CR$1367&amp;" "," ")," "&amp;$CR$1369&amp;" "," ")," "&amp;$CR$1366&amp;" "," ")," "&amp;$CR$1368&amp;" "," ")," "&amp;$CR$1372&amp;" "," ")),"")</f>
        <v xml:space="preserve"> jaune d oeuf pasteurise </v>
      </c>
      <c r="AY36" s="1368">
        <f>IF(36=36,IF($U36="","",SUMPRODUCT(--ISNUMBER(SEARCH(" "&amp;$CR$1373:$CR$1383&amp;" ",$AX36)))),"")</f>
        <v>0</v>
      </c>
      <c r="AZ36" s="1368" t="str">
        <f>IF(36=36,IF($U36="","",IF(SUM(AN36:AW36)+SUMPRODUCT(--ISNUMBER(SEARCH(" "&amp;$CR$2421:$CR$2422&amp;" ",$AX36)))&gt;0,"X",IF(AY36&gt;0,"?",""))),"")</f>
        <v/>
      </c>
      <c r="BA36" s="1368">
        <f>IF(36=36,IF($U36="","",SUMPRODUCT(--ISNUMBER(SEARCH(" "&amp;$CR$1384:$CR$1404&amp;" ",$AA36)))),"")</f>
        <v>0</v>
      </c>
      <c r="BB36" s="1368" t="str">
        <f>IF(36=36,IF($U36="","",IF((BA36)-(0)&gt;0,"X",IF((0)-(0)&gt;0,"?",""))),"")</f>
        <v/>
      </c>
      <c r="BC36" s="1368">
        <f>IF(36=36,IF($U36="","",SUMPRODUCT(--ISNUMBER(SEARCH(" "&amp;$CR$1405:$CR$1442&amp;" ",$BD36)))),"")</f>
        <v>0</v>
      </c>
      <c r="BD36" s="1368" t="str">
        <f>IF(36=36,IF($U36="","",SUBSTITUTE(SUBSTITUTE($AA36," "&amp;$CR$1443&amp;" "," ")," "&amp;$CR$1444&amp;" "," ")),"")</f>
        <v xml:space="preserve"> jaune d oeuf pasteurise </v>
      </c>
      <c r="BE36" s="1368">
        <f>IF(36=36,IF($U36="","",SUMPRODUCT(--ISNUMBER(SEARCH(" "&amp;$CR$1445:$CR$1455&amp;" ",$BD36)))),"")</f>
        <v>0</v>
      </c>
      <c r="BF36" s="1368" t="str">
        <f>IF(36=36,IF($U36="","",IF(BC36&gt;0,"X",IF(BE36&gt;0,"?",""))),"")</f>
        <v/>
      </c>
      <c r="BG36" s="1368">
        <f>IF(36=36,IF($U36="","",SUMPRODUCT(--ISNUMBER(SEARCH(" "&amp;$CR$1456:$CR$1555&amp;" ",$BJ36)))),"")</f>
        <v>0</v>
      </c>
      <c r="BH36" s="1368">
        <f>IF(36=36,IF($U36="","",SUMPRODUCT(--ISNUMBER(SEARCH(" "&amp;$CR$1556:$CR$1655&amp;" ",$BJ36)))),"")</f>
        <v>0</v>
      </c>
      <c r="BI36" s="1368">
        <f>IF(36=36,IF($U36="","",SUMPRODUCT(--ISNUMBER(SEARCH(" "&amp;$CR$1656:$CR$1739&amp;" ",$BJ36)))),"")</f>
        <v>0</v>
      </c>
      <c r="BJ36" s="1368" t="str">
        <f>IF(36=36,IF($U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jaune d oeuf pasteurise </v>
      </c>
      <c r="BK36" s="1368">
        <f>IF(36=36,IF($U36="","",SUMPRODUCT(--ISNUMBER(SEARCH(" "&amp;$CR$1790:$CR$1869&amp;" ",$BL36)))+SUMPRODUCT(--ISNUMBER(SEARCH(" "&amp;$CR$2440:$CR$2453&amp;" ",$BL36)))),"")</f>
        <v>0</v>
      </c>
      <c r="BL36" s="1368" t="str">
        <f>IF(36=36,IF($U36="","",SUBSTITUTE(SUBSTITUTE(SUBSTITUTE(SUBSTITUTE(SUBSTITUTE(SUBSTITUTE(SUBSTITUTE(SUBSTITUTE(SUBSTITUTE(SUBSTITUTE(SUBSTITUTE(SUBSTITUTE(SUBSTITUTE($BJ36," "&amp;$CR$1876&amp;" "," ")," "&amp;$CR$1874&amp;" "," ")," "&amp;$CR$2438&amp;" "," ")," "&amp;$CR$2439&amp;" "," ")," "&amp;$CR$1871&amp;" "," ")," "&amp;$CR$1875&amp;" "," ")," "&amp;$CR$1877&amp;" "," ")," "&amp;$CR$1872&amp;" "," ")," "&amp;$CR$1870&amp;" "," ")," "&amp;$CR$1367&amp;" "," ")," "&amp;$CR$1878&amp;" "," ")," "&amp;$CR$1366&amp;" "," ")," "&amp;$CR$1873&amp;" "," ")),"")</f>
        <v xml:space="preserve"> jaune d oeuf pasteurise </v>
      </c>
      <c r="BM36" s="1368" t="str">
        <f>IF(36=36,IF($U36="","",IF(SUM(BG36:BI36)+SUMPRODUCT(--ISNUMBER(SEARCH(" "&amp;$CR$2423:$CR$2424&amp;" ",$BJ36)))&gt;0,"X",IF(BK36&gt;0,"?",""))),"")</f>
        <v/>
      </c>
      <c r="BN36" s="1368">
        <f>IF(36=36,IF($U36="","",SUMPRODUCT(--ISNUMBER(SEARCH(" "&amp;$CR$1879:$CR$1936&amp;" ",$BO36)))),"")</f>
        <v>0</v>
      </c>
      <c r="BO36" s="1368" t="str">
        <f>IF(36=36,IF($U36="","",SUBSTITUTE(SUBSTITUTE(SUBSTITUTE(SUBSTITUTE(SUBSTITUTE(SUBSTITUTE(SUBSTITUTE(SUBSTITUTE(SUBSTITUTE(SUBSTITUTE(SUBSTITUTE(SUBSTITUTE(SUBSTITUTE(SUBSTITUTE(SUBSTITUTE(SUBSTITUTE(SUBSTITUTE(SUBSTITUTE(SUBSTITUTE(SUBSTITUTE(SUBSTITUTE(SUBSTITUTE(SUBSTITUTE($AA36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jaune d oeuf pasteurise </v>
      </c>
      <c r="BP36" s="1368">
        <f>IF(36=36,IF($U36="","",SUMPRODUCT(--ISNUMBER(SEARCH(" "&amp;$CR$1960:$CR$1976&amp;" ",$BO36)))),"")</f>
        <v>0</v>
      </c>
      <c r="BQ36" s="1368" t="str">
        <f>IF(36=36,IF($U36="","",IF(BN36&gt;0,"X",IF(BP36&gt;0,"?",""))),"")</f>
        <v/>
      </c>
      <c r="BR36" s="1368">
        <f>IF(36=36,IF($U36="","",SUMPRODUCT(--ISNUMBER(SEARCH(" "&amp;$CR$1977:$CR$1990&amp;" ",$AA36)))),"")</f>
        <v>0</v>
      </c>
      <c r="BS36" s="1368">
        <f>IF(36=36,IF($U36="","",SUMPRODUCT(--ISNUMBER(SEARCH(" "&amp;$CR$1991:$CR$2005&amp;" ",$AA36)))),"")</f>
        <v>0</v>
      </c>
      <c r="BT36" s="1368" t="str">
        <f>IF(36=36,IF($U36="","",IF((BR36)-(0)&gt;0,"X",IF((BS36)-(0)&gt;0,"?",""))),"")</f>
        <v/>
      </c>
      <c r="BU36" s="1368">
        <f>IF(36=36,IF($U36="","",SUMPRODUCT(--ISNUMBER(SEARCH(" "&amp;$CR$2006:$CR$2023&amp;" ",$AA36)))),"")</f>
        <v>0</v>
      </c>
      <c r="BV36" s="1368">
        <f>IF(36=36,IF($U36="","",SUMPRODUCT(--ISNUMBER(SEARCH(" "&amp;$CR$2024:$CR$2038&amp;" ",$AA36)))),"")</f>
        <v>0</v>
      </c>
      <c r="BW36" s="1368" t="str">
        <f>IF(36=36,IF($U36="","",IF((BU36)-(0)&gt;0,"X",IF((BV36)-(0)&gt;0,"?",""))),"")</f>
        <v/>
      </c>
      <c r="BX36" s="1368">
        <f>IF(36=36,IF($U36="","",SUMPRODUCT(--ISNUMBER(SEARCH(" "&amp;$CR$2039:$CR$2057&amp;" ",$AA36)))),"")</f>
        <v>0</v>
      </c>
      <c r="BY36" s="1368">
        <f>IF(36=36,IF($U36="","",SUMPRODUCT(--ISNUMBER(SEARCH(" "&amp;$CR$2058:$CR$2072&amp;" ",$AA36)))),"")</f>
        <v>0</v>
      </c>
      <c r="BZ36" s="1368" t="str">
        <f>IF(36=36,IF($U36="","",IF((BX36)-(0)&gt;0,"X",IF((BY36)-(0)&gt;0,"?",""))),"")</f>
        <v/>
      </c>
      <c r="CA36" s="1368">
        <f>IF(36=36,IF($U36="","",SUMPRODUCT(--ISNUMBER(SEARCH(" "&amp;$CR$2073:$CR$2093&amp;" ",$AA36)))),"")</f>
        <v>0</v>
      </c>
      <c r="CB36" s="1368">
        <f>IF(36=36,IF($U36="","",SUMPRODUCT(--ISNUMBER(SEARCH(" "&amp;$CR$2094:$CR$2133&amp;" ",SUBSTITUTE(SUBSTITUTE($AA36," "&amp;$CR$1367&amp;" "," ")," "&amp;$CR$1366&amp;" "," "))))+--ISNUMBER(SEARCH("poiré",$V36))),"")</f>
        <v>0</v>
      </c>
      <c r="CC36" s="1368" t="str">
        <f>IF(36=36,IF($U36="","",IF(OR(CA36&gt;0,ISNUMBER(SEARCH(" vinaigre de vin ",$AA36)),ISNUMBER(SEARCH(" vinaigre au vin ",$AA36))),"X",IF(CB36&gt;0,"?",""))),"")</f>
        <v/>
      </c>
      <c r="CD36" s="1368">
        <f>IF(36=36,IF($U36="","",SUMPRODUCT(--ISNUMBER(SEARCH(" "&amp;$CR$2134:$CR$2146&amp;" ",$AA36)))),"")</f>
        <v>0</v>
      </c>
      <c r="CE36" s="1368">
        <f>IF(36=36,IF($U36="","",SUMPRODUCT(--ISNUMBER(SEARCH(" "&amp;$CR$2147:$CR$2152&amp;" ",$AA36)))),"")</f>
        <v>0</v>
      </c>
      <c r="CF36" s="1368" t="str">
        <f>IF(36=36,IF($U36="","",IF((CD36)-(0)&gt;0,"X",IF((CE36)-(0)&gt;0,"?",""))),"")</f>
        <v/>
      </c>
      <c r="CG36" s="1368">
        <f>IF(36=36,IF($U36="","",SUMPRODUCT(--ISNUMBER(SEARCH(" "&amp;$CR$2153:$CR$2252&amp;" ",$CJ36)))),"")</f>
        <v>0</v>
      </c>
      <c r="CH36" s="1368">
        <f>IF(36=36,IF($U36="","",SUMPRODUCT(--ISNUMBER(SEARCH(" "&amp;$CR$2253:$CR$2352&amp;" ",$CJ36)))),"")</f>
        <v>0</v>
      </c>
      <c r="CI36" s="1368">
        <f>IF(36=36,IF($U36="","",SUMPRODUCT(--ISNUMBER(SEARCH(" "&amp;$CR$2353:$CR$2395&amp;" ",$CJ36)))),"")</f>
        <v>0</v>
      </c>
      <c r="CJ36" s="1368" t="str">
        <f>IF(36=36,IF($U36="","",SUBSTITUTE(SUBSTITUTE(SUBSTITUTE(SUBSTITUTE(SUBSTITUTE(SUBSTITUTE(SUBSTITUTE(SUBSTITUTE(SUBSTITUTE(SUBSTITUTE(SUBSTITUTE(SUBSTITUTE(SUBSTITUTE(SUBSTITUTE(SUBSTITUTE(SUBSTITUTE($AA36," "&amp;$CR$2401&amp;" "," ")," "&amp;$CR$2400&amp;" "," ")," "&amp;$CR$2399&amp;" "," ")," "&amp;$CR$2406&amp;" "," ")," "&amp;$CR$2398&amp;" "," ")," "&amp;$CR$2410&amp;" "," ")," "&amp;$CR$2397&amp;" "," ")," "&amp;$CR$2402&amp;" "," ")," "&amp;$CR$2405&amp;" "," ")," "&amp;$CR$2396&amp;" "," ")," "&amp;$CR$2404&amp;" "," ")," "&amp;$CR$2411&amp;" "," ")," "&amp;$CR$2408&amp;" "," ")," "&amp;$CR$2403&amp;" "," ")," "&amp;$CR$2407&amp;" "," ")," "&amp;$CR$2409&amp;" "," ")),"")</f>
        <v xml:space="preserve"> jaune d oeuf pasteurise </v>
      </c>
      <c r="CK36" s="1368">
        <f>IF(36=36,IF($U36="","",SUMPRODUCT(--ISNUMBER(SEARCH(" "&amp;$CR$2412:$CR$2416&amp;" ",$CJ36)))),"")</f>
        <v>0</v>
      </c>
      <c r="CL36" s="1368" t="str">
        <f>IF(36=36,IF($U36="","",IF(SUM(CG36:CI36)&gt;0,"X",IF(CK36&gt;0,"?",""))),"")</f>
        <v/>
      </c>
      <c r="CM36" s="1377"/>
      <c r="CN36" s="1388" t="s">
        <v>8290</v>
      </c>
      <c r="CO36" s="1388" t="s">
        <v>8105</v>
      </c>
      <c r="CP36" s="1388" t="s">
        <v>8106</v>
      </c>
      <c r="CQ36" s="1388" t="s">
        <v>8291</v>
      </c>
      <c r="CR36" s="1388" t="s">
        <v>8292</v>
      </c>
      <c r="CS36" s="1388" t="s">
        <v>8108</v>
      </c>
      <c r="CT36" s="1388" t="s">
        <v>8109</v>
      </c>
      <c r="CU36" s="1388" t="s">
        <v>8110</v>
      </c>
      <c r="CV36" s="1389" t="s">
        <v>8111</v>
      </c>
      <c r="CX36" s="1379">
        <v>1</v>
      </c>
    </row>
    <row r="37" spans="1:102" ht="21" customHeight="1" x14ac:dyDescent="0.25">
      <c r="A37" s="1412">
        <v>31</v>
      </c>
      <c r="B37" s="1413" t="s">
        <v>8293</v>
      </c>
      <c r="C37" s="1414" t="str">
        <f t="shared" si="0"/>
        <v>Jus de citron (Pulco)</v>
      </c>
      <c r="D37" s="1415" t="str">
        <f>IF(37=37,IF($B37="","",IF(E37="X",""&amp;"Céréales contenant du gluten","")&amp;IF(F37="X",IF(COUNTIF($E37:$E37,"X")&gt;0,", ","")&amp;"Crustacés","")&amp;IF(G37="X",IF(COUNTIF($E37:$F37,"X")&gt;0,", ","")&amp;"Œufs","")&amp;IF(H37="X",IF(COUNTIF($E37:$G37,"X")&gt;0,", ","")&amp;"Poissons","")&amp;IF(I37="X",IF(COUNTIF($E37:$H37,"X")&gt;0,", ","")&amp;"Arachides","")&amp;IF(J37="X",IF(COUNTIF($E37:$I37,"X")&gt;0,", ","")&amp;"Soja","")&amp;IF(K37="X",IF(COUNTIF($E37:$J37,"X")&gt;0,", ","")&amp;"Lait","")&amp;IF(L37="X",IF(COUNTIF($E37:$K37,"X")&gt;0,", ","")&amp;"Fruits à coque","")&amp;IF(M37="X",IF(COUNTIF($E37:$L37,"X")&gt;0,", ","")&amp;"Céleri","")&amp;IF(N37="X",IF(COUNTIF($E37:$M37,"X")&gt;0,", ","")&amp;"Moutarde","")&amp;IF(O37="X",IF(COUNTIF($E37:$N37,"X")&gt;0,", ","")&amp;"Sésame","")&amp;IF(P37="X",IF(COUNTIF($E37:$O37,"X")&gt;0,", ","")&amp;"Sulfites","")&amp;IF(Q37="X",IF(COUNTIF($E37:$P37,"X")&gt;0,", ","")&amp;"Lupin","")&amp;IF(R37="X",IF(COUNTIF($E37:$Q37,"X")&gt;0,", ","")&amp;"Mollusques","")),"")</f>
        <v/>
      </c>
      <c r="E37" s="1416" t="str">
        <f>IF(37=37,IF($B37="","",AF37),"")</f>
        <v/>
      </c>
      <c r="F37" s="1416" t="str">
        <f>IF(37=37,IF($B37="","",AI37),"")</f>
        <v/>
      </c>
      <c r="G37" s="1416" t="str">
        <f>IF(37=37,IF($B37="","",AM37),"")</f>
        <v/>
      </c>
      <c r="H37" s="1416" t="str">
        <f>IF(37=37,IF($B37="","",IF(ISNUMBER(SEARCH(" colin ",$AA37)),"X",AZ37)),"")</f>
        <v/>
      </c>
      <c r="I37" s="1416" t="str">
        <f>IF(37=37,IF($B37="","",BB37),"")</f>
        <v/>
      </c>
      <c r="J37" s="1416" t="str">
        <f>IF(37=37,IF($B37="","",BF37),"")</f>
        <v/>
      </c>
      <c r="K37" s="1416" t="str">
        <f>IF(37=37,IF($B37="","",BM37),"")</f>
        <v/>
      </c>
      <c r="L37" s="1416" t="str">
        <f>IF(37=37,IF($B37="","",BQ37),"")</f>
        <v/>
      </c>
      <c r="M37" s="1416" t="str">
        <f>IF(37=37,IF($B37="","",BT37),"")</f>
        <v/>
      </c>
      <c r="N37" s="1416" t="str">
        <f>IF(37=37,IF($B37="","",BW37),"")</f>
        <v/>
      </c>
      <c r="O37" s="1416" t="str">
        <f>IF(37=37,IF($B37="","",BZ37),"")</f>
        <v/>
      </c>
      <c r="P37" s="1416" t="str">
        <f>IF(37=37,IF($B37="","",CC37),"")</f>
        <v/>
      </c>
      <c r="Q37" s="1416" t="str">
        <f>IF(37=37,IF($B37="","",CF37),"")</f>
        <v/>
      </c>
      <c r="R37" s="1416" t="str">
        <f>IF(37=37,IF($B37="","",CL37),"")</f>
        <v/>
      </c>
      <c r="S37" s="1417" t="str">
        <f>IF(37=37,IF($B37="","",IF(E37="?",""&amp;"Céréales contenant du gluten","")&amp;IF(F37="?",IF(COUNTIF($E37:$E37,"~?")&gt;0,", ","")&amp;"Crustacés","")&amp;IF(G37="?",IF(COUNTIF($E37:$F37,"~?")&gt;0,", ","")&amp;"Œufs","")&amp;IF(H37="?",IF(COUNTIF($E37:$G37,"~?")&gt;0,", ","")&amp;"Poissons","")&amp;IF(I37="?",IF(COUNTIF($E37:$H37,"~?")&gt;0,", ","")&amp;"Arachides","")&amp;IF(J37="?",IF(COUNTIF($E37:$I37,"~?")&gt;0,", ","")&amp;"Soja","")&amp;IF(K37="?",IF(COUNTIF($E37:$J37,"~?")&gt;0,", ","")&amp;"Lait","")&amp;IF(L37="?",IF(COUNTIF($E37:$K37,"~?")&gt;0,", ","")&amp;"Fruits à coque","")&amp;IF(M37="?",IF(COUNTIF($E37:$L37,"~?")&gt;0,", ","")&amp;"Céleri","")&amp;IF(N37="?",IF(COUNTIF($E37:$M37,"~?")&gt;0,", ","")&amp;"Moutarde","")&amp;IF(O37="?",IF(COUNTIF($E37:$N37,"~?")&gt;0,", ","")&amp;"Sésame","")&amp;IF(P37="?",IF(COUNTIF($E37:$O37,"~?")&gt;0,", ","")&amp;"Sulfites","")&amp;IF(Q37="?",IF(COUNTIF($E37:$P37,"~?")&gt;0,", ","")&amp;"Lupin","")&amp;IF(R37="?",IF(COUNTIF($E37:$Q37,"~?")&gt;0,", ","")&amp;"Mollusques","")),"")</f>
        <v/>
      </c>
      <c r="U37" s="1368" t="str">
        <f>IF(37=37,IF($B37="","",$B37),"")</f>
        <v>Jus de citron (Pulco)</v>
      </c>
      <c r="V37" s="1368" t="str">
        <f>IF(37=37,LOWER(CLEAN(SUBSTITUTE(SUBSTITUTE(SUBSTITUTE(SUBSTITUTE($U37,CHAR(160)," ")," "," "),CHAR(10)," "),CHAR(13)," "))),"")</f>
        <v>jus de citron (pulco)</v>
      </c>
      <c r="W37" s="1368" t="str">
        <f>IF(37=37,SUBSTITUTE(SUBSTITUTE(SUBSTITUTE(SUBSTITUTE(SUBSTITUTE(SUBSTITUTE(SUBSTITUTE(SUBSTITUTE(SUBSTITUTE(SUBSTITUTE(SUBSTITUTE(SUBSTITUTE($V37,"œ","oe"),"æ","ae"),"à","a"),"á","a"),"â","a"),"ä","a"),"ã","a"),"ç","c"),"è","e"),"é","e"),"ê","e"),"ë","e"),"")</f>
        <v>jus de citron (pulco)</v>
      </c>
      <c r="X37" s="1368" t="str">
        <f>IF(37=37,SUBSTITUTE(SUBSTITUTE(SUBSTITUTE(SUBSTITUTE(SUBSTITUTE(SUBSTITUTE(SUBSTITUTE(SUBSTITUTE(SUBSTITUTE(SUBSTITUTE(SUBSTITUTE(SUBSTITUTE(SUBSTITUTE(SUBSTITUTE(SUBSTITUTE(SUBSTITUTE($W37,"ì","i"),"í","i"),"î","i"),"ï","i"),"ñ","n"),"ò","o"),"ó","o"),"ô","o"),"ö","o"),"õ","o"),"ù","u"),"ú","u"),"û","u"),"ü","u"),"ý","y"),"ÿ","y"),"")</f>
        <v>jus de citron (pulco)</v>
      </c>
      <c r="Y37" s="1368" t="str">
        <f>IF(37=37,SUBSTITUTE(SUBSTITUTE(SUBSTITUTE(SUBSTITUTE(SUBSTITUTE(SUBSTITUTE(SUBSTITUTE(SUBSTITUTE(SUBSTITUTE(SUBSTITUTE(SUBSTITUTE(SUBSTITUTE(SUBSTITUTE(SUBSTITUTE($X37,"’"," "),"`"," "),"–"," "),"—"," "),"-"," "),"'"," "),"/"," "),"_"," "),","," "),"."," "),"("," "),")"," "),";"," "),":"," "),"")</f>
        <v xml:space="preserve">jus de citron  pulco </v>
      </c>
      <c r="Z37" s="1368" t="str">
        <f>IF(37=37,SUBSTITUTE(SUBSTITUTE(SUBSTITUTE(SUBSTITUTE(SUBSTITUTE(SUBSTITUTE(SUBSTITUTE(SUBSTITUTE(SUBSTITUTE(SUBSTITUTE(SUBSTITUTE(SUBSTITUTE(SUBSTITUTE(SUBSTITUTE(SUBSTITUTE($Y37,"!"," "),"?"," "),"+"," "),"*"," "),"&amp;"," "),"["," "),"]"," "),"{"," "),"}"," "),"%"," "),"="," "),"\"," "),"|"," "),"&lt;"," "),"&gt;"," "),"")</f>
        <v xml:space="preserve">jus de citron  pulco </v>
      </c>
      <c r="AA37" s="1368" t="str">
        <f>IF(37=37," "&amp;TRIM(SUBSTITUTE(SUBSTITUTE(SUBSTITUTE(SUBSTITUTE(SUBSTITUTE(SUBSTITUTE($Z37,CHAR(34)," "),"  "," "),"  "," "),"  "," "),"  "," "),"  "," "))&amp;" ","")</f>
        <v xml:space="preserve"> jus de citron pulco </v>
      </c>
      <c r="AB37" s="1368">
        <f>IF(37=37,IF($U37="","",SUMPRODUCT(--ISNUMBER(SEARCH(" "&amp;$CR$2:$CR$101&amp;" ",$AD37)))),"")</f>
        <v>0</v>
      </c>
      <c r="AC37" s="1368">
        <f>IF(37=37,IF($U37="","",SUMPRODUCT(--ISNUMBER(SEARCH(" "&amp;$CR$102:$CR$151&amp;" ",$AD37)))),"")</f>
        <v>0</v>
      </c>
      <c r="AD37" s="1368" t="str">
        <f t="shared" si="1"/>
        <v xml:space="preserve"> jus de citron pulco </v>
      </c>
      <c r="AE37" s="1368">
        <f t="shared" si="2"/>
        <v>0</v>
      </c>
      <c r="AF37" s="1368" t="str">
        <f>IF(37=37,IF($U37="","",IF(SUM(AB37:AC37)+SUMPRODUCT(--ISNUMBER(SEARCH(" "&amp;$CR$2418:$CR$2420&amp;" ",$AD37)))&gt;0,"X",IF(AE37&gt;0,"?",""))),"")</f>
        <v/>
      </c>
      <c r="AG37" s="1368">
        <f>IF(37=37,IF($U37="","",SUMPRODUCT(--ISNUMBER(SEARCH(" "&amp;$CR$206:$CR$305&amp;" ",$AA37)))),"")</f>
        <v>0</v>
      </c>
      <c r="AH37" s="1368">
        <f>IF(37=37,IF($U37="","",SUMPRODUCT(--ISNUMBER(SEARCH(" "&amp;$CR$306:$CR$340&amp;" ",$AA37)))),"")</f>
        <v>0</v>
      </c>
      <c r="AI37" s="1368" t="str">
        <f>IF(37=37,IF($U37="","",IF((SUM(AG37:AH37))-(0)&gt;0,"X",IF((0)-(0)&gt;0,"?",""))),"")</f>
        <v/>
      </c>
      <c r="AJ37" s="1368">
        <f>IF(37=37,IF($U37="","",SUMPRODUCT(--ISNUMBER(SEARCH(" "&amp;$CR$341:$CR$398&amp;" ",$AA37)))),"")</f>
        <v>0</v>
      </c>
      <c r="AK37" s="1368">
        <f>IF(37=37,IF($U37="","",SUMPRODUCT(--ISNUMBER(SEARCH(" "&amp;$CR$399:$CR$426&amp;" ",$AL37)))+SUMPRODUCT(--ISNUMBER(SEARCH(" "&amp;$CR$2440:$CR$2453&amp;" ",$AL37)))),"")</f>
        <v>0</v>
      </c>
      <c r="AL37" s="1368" t="str">
        <f>IF(37=37,IF($U37="","",SUBSTITUTE(SUBSTITUTE(SUBSTITUTE(SUBSTITUTE(SUBSTITUTE(SUBSTITUTE(SUBSTITUTE(SUBSTITUTE(SUBSTITUTE(SUBSTITUTE(SUBSTITUTE(SUBSTITUTE(SUBSTITUTE(SUBSTITUTE($AA37," "&amp;$CR$2455&amp;" "," ")," "&amp;$CR$433&amp;" "," ")," "&amp;$CR$431&amp;" "," ")," "&amp;$CR$2438&amp;" "," ")," "&amp;$CR$2439&amp;" "," ")," "&amp;$CR$428&amp;" "," ")," "&amp;$CR$432&amp;" "," ")," "&amp;$CR$434&amp;" "," ")," "&amp;$CR$429&amp;" "," ")," "&amp;$CR$427&amp;" "," ")," "&amp;$CR$1367&amp;" "," ")," "&amp;$CR$435&amp;" "," ")," "&amp;$CR$1366&amp;" "," ")," "&amp;$CR$430&amp;" "," ")),"")</f>
        <v xml:space="preserve"> jus de citron pulco </v>
      </c>
      <c r="AM37" s="1368" t="str">
        <f>IF(37=37,IF($U37="","",IF(AJ37&gt;0,"X",IF(AK37&gt;0,"?",""))),"")</f>
        <v/>
      </c>
      <c r="AN37" s="1368">
        <f>IF(37=37,IF($U37="","",SUMPRODUCT(--ISNUMBER(SEARCH(" "&amp;$CR$436:$CR$535&amp;" ",$AX37)))),"")</f>
        <v>0</v>
      </c>
      <c r="AO37" s="1368">
        <f>IF(37=37,IF($U37="","",SUMPRODUCT(--ISNUMBER(SEARCH(" "&amp;$CR$536:$CR$635&amp;" ",$AX37)))),"")</f>
        <v>0</v>
      </c>
      <c r="AP37" s="1368">
        <f>IF(37=37,IF($U37="","",SUMPRODUCT(--ISNUMBER(SEARCH(" "&amp;$CR$636:$CR$735&amp;" ",$AX37)))),"")</f>
        <v>0</v>
      </c>
      <c r="AQ37" s="1368">
        <f>IF(37=37,IF($U37="","",SUMPRODUCT(--ISNUMBER(SEARCH(" "&amp;$CR$736:$CR$835&amp;" ",$AX37)))),"")</f>
        <v>0</v>
      </c>
      <c r="AR37" s="1368">
        <f>IF(37=37,IF($U37="","",SUMPRODUCT(--ISNUMBER(SEARCH(" "&amp;$CR$836:$CR$935&amp;" ",$AX37)))),"")</f>
        <v>0</v>
      </c>
      <c r="AS37" s="1368">
        <f>IF(37=37,IF($U37="","",SUMPRODUCT(--ISNUMBER(SEARCH(" "&amp;$CR$936:$CR$1035&amp;" ",$AX37)))),"")</f>
        <v>0</v>
      </c>
      <c r="AT37" s="1368">
        <f>IF(37=37,IF($U37="","",SUMPRODUCT(--ISNUMBER(SEARCH(" "&amp;$CR$1036:$CR$1135&amp;" ",$AX37)))),"")</f>
        <v>0</v>
      </c>
      <c r="AU37" s="1368">
        <f>IF(37=37,IF($U37="","",SUMPRODUCT(--ISNUMBER(SEARCH(" "&amp;$CR$1136:$CR$1235&amp;" ",$AX37)))),"")</f>
        <v>0</v>
      </c>
      <c r="AV37" s="1368">
        <f>IF(37=37,IF($U37="","",SUMPRODUCT(--ISNUMBER(SEARCH(" "&amp;$CR$1236:$CR$1335&amp;" ",$AX37)))),"")</f>
        <v>0</v>
      </c>
      <c r="AW37" s="1368">
        <f>IF(37=37,IF($U37="","",SUMPRODUCT(--ISNUMBER(SEARCH(" "&amp;$CR$1336:$CR$1363&amp;" ",$AX37)))),"")</f>
        <v>0</v>
      </c>
      <c r="AX37" s="1368" t="str">
        <f>IF(37=37,IF($U37="","",SUBSTITUTE(SUBSTITUTE(SUBSTITUTE(SUBSTITUTE(SUBSTITUTE(SUBSTITUTE(SUBSTITUTE(SUBSTITUTE(SUBSTITUTE($AA37," "&amp;$CR$1365&amp;" "," ")," "&amp;$CR$1364&amp;" "," ")," "&amp;$CR$1370&amp;" "," ")," "&amp;$CR$1371&amp;" "," ")," "&amp;$CR$1367&amp;" "," ")," "&amp;$CR$1369&amp;" "," ")," "&amp;$CR$1366&amp;" "," ")," "&amp;$CR$1368&amp;" "," ")," "&amp;$CR$1372&amp;" "," ")),"")</f>
        <v xml:space="preserve"> jus de citron pulco </v>
      </c>
      <c r="AY37" s="1368">
        <f>IF(37=37,IF($U37="","",SUMPRODUCT(--ISNUMBER(SEARCH(" "&amp;$CR$1373:$CR$1383&amp;" ",$AX37)))),"")</f>
        <v>0</v>
      </c>
      <c r="AZ37" s="1368" t="str">
        <f>IF(37=37,IF($U37="","",IF(SUM(AN37:AW37)+SUMPRODUCT(--ISNUMBER(SEARCH(" "&amp;$CR$2421:$CR$2422&amp;" ",$AX37)))&gt;0,"X",IF(AY37&gt;0,"?",""))),"")</f>
        <v/>
      </c>
      <c r="BA37" s="1368">
        <f>IF(37=37,IF($U37="","",SUMPRODUCT(--ISNUMBER(SEARCH(" "&amp;$CR$1384:$CR$1404&amp;" ",$AA37)))),"")</f>
        <v>0</v>
      </c>
      <c r="BB37" s="1368" t="str">
        <f>IF(37=37,IF($U37="","",IF((BA37)-(0)&gt;0,"X",IF((0)-(0)&gt;0,"?",""))),"")</f>
        <v/>
      </c>
      <c r="BC37" s="1368">
        <f>IF(37=37,IF($U37="","",SUMPRODUCT(--ISNUMBER(SEARCH(" "&amp;$CR$1405:$CR$1442&amp;" ",$BD37)))),"")</f>
        <v>0</v>
      </c>
      <c r="BD37" s="1368" t="str">
        <f>IF(37=37,IF($U37="","",SUBSTITUTE(SUBSTITUTE($AA37," "&amp;$CR$1443&amp;" "," ")," "&amp;$CR$1444&amp;" "," ")),"")</f>
        <v xml:space="preserve"> jus de citron pulco </v>
      </c>
      <c r="BE37" s="1368">
        <f>IF(37=37,IF($U37="","",SUMPRODUCT(--ISNUMBER(SEARCH(" "&amp;$CR$1445:$CR$1455&amp;" ",$BD37)))),"")</f>
        <v>0</v>
      </c>
      <c r="BF37" s="1368" t="str">
        <f>IF(37=37,IF($U37="","",IF(BC37&gt;0,"X",IF(BE37&gt;0,"?",""))),"")</f>
        <v/>
      </c>
      <c r="BG37" s="1368">
        <f>IF(37=37,IF($U37="","",SUMPRODUCT(--ISNUMBER(SEARCH(" "&amp;$CR$1456:$CR$1555&amp;" ",$BJ37)))),"")</f>
        <v>0</v>
      </c>
      <c r="BH37" s="1368">
        <f>IF(37=37,IF($U37="","",SUMPRODUCT(--ISNUMBER(SEARCH(" "&amp;$CR$1556:$CR$1655&amp;" ",$BJ37)))),"")</f>
        <v>0</v>
      </c>
      <c r="BI37" s="1368">
        <f>IF(37=37,IF($U37="","",SUMPRODUCT(--ISNUMBER(SEARCH(" "&amp;$CR$1656:$CR$1739&amp;" ",$BJ37)))),"")</f>
        <v>0</v>
      </c>
      <c r="BJ37" s="1368" t="str">
        <f>IF(37=37,IF($U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jus de citron pulco </v>
      </c>
      <c r="BK37" s="1368">
        <f>IF(37=37,IF($U37="","",SUMPRODUCT(--ISNUMBER(SEARCH(" "&amp;$CR$1790:$CR$1869&amp;" ",$BL37)))+SUMPRODUCT(--ISNUMBER(SEARCH(" "&amp;$CR$2440:$CR$2453&amp;" ",$BL37)))),"")</f>
        <v>0</v>
      </c>
      <c r="BL37" s="1368" t="str">
        <f>IF(37=37,IF($U37="","",SUBSTITUTE(SUBSTITUTE(SUBSTITUTE(SUBSTITUTE(SUBSTITUTE(SUBSTITUTE(SUBSTITUTE(SUBSTITUTE(SUBSTITUTE(SUBSTITUTE(SUBSTITUTE(SUBSTITUTE(SUBSTITUTE($BJ37," "&amp;$CR$1876&amp;" "," ")," "&amp;$CR$1874&amp;" "," ")," "&amp;$CR$2438&amp;" "," ")," "&amp;$CR$2439&amp;" "," ")," "&amp;$CR$1871&amp;" "," ")," "&amp;$CR$1875&amp;" "," ")," "&amp;$CR$1877&amp;" "," ")," "&amp;$CR$1872&amp;" "," ")," "&amp;$CR$1870&amp;" "," ")," "&amp;$CR$1367&amp;" "," ")," "&amp;$CR$1878&amp;" "," ")," "&amp;$CR$1366&amp;" "," ")," "&amp;$CR$1873&amp;" "," ")),"")</f>
        <v xml:space="preserve"> jus de citron pulco </v>
      </c>
      <c r="BM37" s="1368" t="str">
        <f>IF(37=37,IF($U37="","",IF(SUM(BG37:BI37)+SUMPRODUCT(--ISNUMBER(SEARCH(" "&amp;$CR$2423:$CR$2424&amp;" ",$BJ37)))&gt;0,"X",IF(BK37&gt;0,"?",""))),"")</f>
        <v/>
      </c>
      <c r="BN37" s="1368">
        <f>IF(37=37,IF($U37="","",SUMPRODUCT(--ISNUMBER(SEARCH(" "&amp;$CR$1879:$CR$1936&amp;" ",$BO37)))),"")</f>
        <v>0</v>
      </c>
      <c r="BO37" s="1368" t="str">
        <f>IF(37=37,IF($U37="","",SUBSTITUTE(SUBSTITUTE(SUBSTITUTE(SUBSTITUTE(SUBSTITUTE(SUBSTITUTE(SUBSTITUTE(SUBSTITUTE(SUBSTITUTE(SUBSTITUTE(SUBSTITUTE(SUBSTITUTE(SUBSTITUTE(SUBSTITUTE(SUBSTITUTE(SUBSTITUTE(SUBSTITUTE(SUBSTITUTE(SUBSTITUTE(SUBSTITUTE(SUBSTITUTE(SUBSTITUTE(SUBSTITUTE($AA37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jus de citron pulco </v>
      </c>
      <c r="BP37" s="1368">
        <f>IF(37=37,IF($U37="","",SUMPRODUCT(--ISNUMBER(SEARCH(" "&amp;$CR$1960:$CR$1976&amp;" ",$BO37)))),"")</f>
        <v>0</v>
      </c>
      <c r="BQ37" s="1368" t="str">
        <f>IF(37=37,IF($U37="","",IF(BN37&gt;0,"X",IF(BP37&gt;0,"?",""))),"")</f>
        <v/>
      </c>
      <c r="BR37" s="1368">
        <f>IF(37=37,IF($U37="","",SUMPRODUCT(--ISNUMBER(SEARCH(" "&amp;$CR$1977:$CR$1990&amp;" ",$AA37)))),"")</f>
        <v>0</v>
      </c>
      <c r="BS37" s="1368">
        <f>IF(37=37,IF($U37="","",SUMPRODUCT(--ISNUMBER(SEARCH(" "&amp;$CR$1991:$CR$2005&amp;" ",$AA37)))),"")</f>
        <v>0</v>
      </c>
      <c r="BT37" s="1368" t="str">
        <f>IF(37=37,IF($U37="","",IF((BR37)-(0)&gt;0,"X",IF((BS37)-(0)&gt;0,"?",""))),"")</f>
        <v/>
      </c>
      <c r="BU37" s="1368">
        <f>IF(37=37,IF($U37="","",SUMPRODUCT(--ISNUMBER(SEARCH(" "&amp;$CR$2006:$CR$2023&amp;" ",$AA37)))),"")</f>
        <v>0</v>
      </c>
      <c r="BV37" s="1368">
        <f>IF(37=37,IF($U37="","",SUMPRODUCT(--ISNUMBER(SEARCH(" "&amp;$CR$2024:$CR$2038&amp;" ",$AA37)))),"")</f>
        <v>0</v>
      </c>
      <c r="BW37" s="1368" t="str">
        <f>IF(37=37,IF($U37="","",IF((BU37)-(0)&gt;0,"X",IF((BV37)-(0)&gt;0,"?",""))),"")</f>
        <v/>
      </c>
      <c r="BX37" s="1368">
        <f>IF(37=37,IF($U37="","",SUMPRODUCT(--ISNUMBER(SEARCH(" "&amp;$CR$2039:$CR$2057&amp;" ",$AA37)))),"")</f>
        <v>0</v>
      </c>
      <c r="BY37" s="1368">
        <f>IF(37=37,IF($U37="","",SUMPRODUCT(--ISNUMBER(SEARCH(" "&amp;$CR$2058:$CR$2072&amp;" ",$AA37)))),"")</f>
        <v>0</v>
      </c>
      <c r="BZ37" s="1368" t="str">
        <f>IF(37=37,IF($U37="","",IF((BX37)-(0)&gt;0,"X",IF((BY37)-(0)&gt;0,"?",""))),"")</f>
        <v/>
      </c>
      <c r="CA37" s="1368">
        <f>IF(37=37,IF($U37="","",SUMPRODUCT(--ISNUMBER(SEARCH(" "&amp;$CR$2073:$CR$2093&amp;" ",$AA37)))),"")</f>
        <v>0</v>
      </c>
      <c r="CB37" s="1368">
        <f>IF(37=37,IF($U37="","",SUMPRODUCT(--ISNUMBER(SEARCH(" "&amp;$CR$2094:$CR$2133&amp;" ",SUBSTITUTE(SUBSTITUTE($AA37," "&amp;$CR$1367&amp;" "," ")," "&amp;$CR$1366&amp;" "," "))))+--ISNUMBER(SEARCH("poiré",$V37))),"")</f>
        <v>0</v>
      </c>
      <c r="CC37" s="1368" t="str">
        <f>IF(37=37,IF($U37="","",IF(OR(CA37&gt;0,ISNUMBER(SEARCH(" vinaigre de vin ",$AA37)),ISNUMBER(SEARCH(" vinaigre au vin ",$AA37))),"X",IF(CB37&gt;0,"?",""))),"")</f>
        <v/>
      </c>
      <c r="CD37" s="1368">
        <f>IF(37=37,IF($U37="","",SUMPRODUCT(--ISNUMBER(SEARCH(" "&amp;$CR$2134:$CR$2146&amp;" ",$AA37)))),"")</f>
        <v>0</v>
      </c>
      <c r="CE37" s="1368">
        <f>IF(37=37,IF($U37="","",SUMPRODUCT(--ISNUMBER(SEARCH(" "&amp;$CR$2147:$CR$2152&amp;" ",$AA37)))),"")</f>
        <v>0</v>
      </c>
      <c r="CF37" s="1368" t="str">
        <f>IF(37=37,IF($U37="","",IF((CD37)-(0)&gt;0,"X",IF((CE37)-(0)&gt;0,"?",""))),"")</f>
        <v/>
      </c>
      <c r="CG37" s="1368">
        <f>IF(37=37,IF($U37="","",SUMPRODUCT(--ISNUMBER(SEARCH(" "&amp;$CR$2153:$CR$2252&amp;" ",$CJ37)))),"")</f>
        <v>0</v>
      </c>
      <c r="CH37" s="1368">
        <f>IF(37=37,IF($U37="","",SUMPRODUCT(--ISNUMBER(SEARCH(" "&amp;$CR$2253:$CR$2352&amp;" ",$CJ37)))),"")</f>
        <v>0</v>
      </c>
      <c r="CI37" s="1368">
        <f>IF(37=37,IF($U37="","",SUMPRODUCT(--ISNUMBER(SEARCH(" "&amp;$CR$2353:$CR$2395&amp;" ",$CJ37)))),"")</f>
        <v>0</v>
      </c>
      <c r="CJ37" s="1368" t="str">
        <f>IF(37=37,IF($U37="","",SUBSTITUTE(SUBSTITUTE(SUBSTITUTE(SUBSTITUTE(SUBSTITUTE(SUBSTITUTE(SUBSTITUTE(SUBSTITUTE(SUBSTITUTE(SUBSTITUTE(SUBSTITUTE(SUBSTITUTE(SUBSTITUTE(SUBSTITUTE(SUBSTITUTE(SUBSTITUTE($AA37," "&amp;$CR$2401&amp;" "," ")," "&amp;$CR$2400&amp;" "," ")," "&amp;$CR$2399&amp;" "," ")," "&amp;$CR$2406&amp;" "," ")," "&amp;$CR$2398&amp;" "," ")," "&amp;$CR$2410&amp;" "," ")," "&amp;$CR$2397&amp;" "," ")," "&amp;$CR$2402&amp;" "," ")," "&amp;$CR$2405&amp;" "," ")," "&amp;$CR$2396&amp;" "," ")," "&amp;$CR$2404&amp;" "," ")," "&amp;$CR$2411&amp;" "," ")," "&amp;$CR$2408&amp;" "," ")," "&amp;$CR$2403&amp;" "," ")," "&amp;$CR$2407&amp;" "," ")," "&amp;$CR$2409&amp;" "," ")),"")</f>
        <v xml:space="preserve"> jus de citron pulco </v>
      </c>
      <c r="CK37" s="1368">
        <f>IF(37=37,IF($U37="","",SUMPRODUCT(--ISNUMBER(SEARCH(" "&amp;$CR$2412:$CR$2416&amp;" ",$CJ37)))),"")</f>
        <v>0</v>
      </c>
      <c r="CL37" s="1368" t="str">
        <f>IF(37=37,IF($U37="","",IF(SUM(CG37:CI37)&gt;0,"X",IF(CK37&gt;0,"?",""))),"")</f>
        <v/>
      </c>
      <c r="CM37" s="1377"/>
      <c r="CN37" s="1388" t="s">
        <v>8294</v>
      </c>
      <c r="CO37" s="1388" t="s">
        <v>8105</v>
      </c>
      <c r="CP37" s="1388" t="s">
        <v>8106</v>
      </c>
      <c r="CQ37" s="1388" t="s">
        <v>8295</v>
      </c>
      <c r="CR37" s="1388" t="s">
        <v>8296</v>
      </c>
      <c r="CS37" s="1388" t="s">
        <v>8108</v>
      </c>
      <c r="CT37" s="1388" t="s">
        <v>8109</v>
      </c>
      <c r="CU37" s="1388" t="s">
        <v>8110</v>
      </c>
      <c r="CV37" s="1389" t="s">
        <v>8111</v>
      </c>
      <c r="CX37" s="1379">
        <v>1</v>
      </c>
    </row>
    <row r="38" spans="1:102" ht="21" customHeight="1" x14ac:dyDescent="0.25">
      <c r="A38" s="1412">
        <v>32</v>
      </c>
      <c r="B38" s="1413" t="s">
        <v>8128</v>
      </c>
      <c r="C38" s="1414" t="str">
        <f t="shared" si="0"/>
        <v>Lait *</v>
      </c>
      <c r="D38" s="1415" t="str">
        <f>IF(38=38,IF($B38="","",IF(E38="X",""&amp;"Céréales contenant du gluten","")&amp;IF(F38="X",IF(COUNTIF($E38:$E38,"X")&gt;0,", ","")&amp;"Crustacés","")&amp;IF(G38="X",IF(COUNTIF($E38:$F38,"X")&gt;0,", ","")&amp;"Œufs","")&amp;IF(H38="X",IF(COUNTIF($E38:$G38,"X")&gt;0,", ","")&amp;"Poissons","")&amp;IF(I38="X",IF(COUNTIF($E38:$H38,"X")&gt;0,", ","")&amp;"Arachides","")&amp;IF(J38="X",IF(COUNTIF($E38:$I38,"X")&gt;0,", ","")&amp;"Soja","")&amp;IF(K38="X",IF(COUNTIF($E38:$J38,"X")&gt;0,", ","")&amp;"Lait","")&amp;IF(L38="X",IF(COUNTIF($E38:$K38,"X")&gt;0,", ","")&amp;"Fruits à coque","")&amp;IF(M38="X",IF(COUNTIF($E38:$L38,"X")&gt;0,", ","")&amp;"Céleri","")&amp;IF(N38="X",IF(COUNTIF($E38:$M38,"X")&gt;0,", ","")&amp;"Moutarde","")&amp;IF(O38="X",IF(COUNTIF($E38:$N38,"X")&gt;0,", ","")&amp;"Sésame","")&amp;IF(P38="X",IF(COUNTIF($E38:$O38,"X")&gt;0,", ","")&amp;"Sulfites","")&amp;IF(Q38="X",IF(COUNTIF($E38:$P38,"X")&gt;0,", ","")&amp;"Lupin","")&amp;IF(R38="X",IF(COUNTIF($E38:$Q38,"X")&gt;0,", ","")&amp;"Mollusques","")),"")</f>
        <v>Lait</v>
      </c>
      <c r="E38" s="1416" t="str">
        <f>IF(38=38,IF($B38="","",AF38),"")</f>
        <v/>
      </c>
      <c r="F38" s="1416" t="str">
        <f>IF(38=38,IF($B38="","",AI38),"")</f>
        <v/>
      </c>
      <c r="G38" s="1416" t="str">
        <f>IF(38=38,IF($B38="","",AM38),"")</f>
        <v/>
      </c>
      <c r="H38" s="1416" t="str">
        <f>IF(38=38,IF($B38="","",IF(ISNUMBER(SEARCH(" colin ",$AA38)),"X",AZ38)),"")</f>
        <v/>
      </c>
      <c r="I38" s="1416" t="str">
        <f>IF(38=38,IF($B38="","",BB38),"")</f>
        <v/>
      </c>
      <c r="J38" s="1416" t="str">
        <f>IF(38=38,IF($B38="","",BF38),"")</f>
        <v/>
      </c>
      <c r="K38" s="1416" t="str">
        <f>IF(38=38,IF($B38="","",BM38),"")</f>
        <v>X</v>
      </c>
      <c r="L38" s="1416" t="str">
        <f>IF(38=38,IF($B38="","",BQ38),"")</f>
        <v/>
      </c>
      <c r="M38" s="1416" t="str">
        <f>IF(38=38,IF($B38="","",BT38),"")</f>
        <v/>
      </c>
      <c r="N38" s="1416" t="str">
        <f>IF(38=38,IF($B38="","",BW38),"")</f>
        <v/>
      </c>
      <c r="O38" s="1416" t="str">
        <f>IF(38=38,IF($B38="","",BZ38),"")</f>
        <v/>
      </c>
      <c r="P38" s="1416" t="str">
        <f>IF(38=38,IF($B38="","",CC38),"")</f>
        <v/>
      </c>
      <c r="Q38" s="1416" t="str">
        <f>IF(38=38,IF($B38="","",CF38),"")</f>
        <v/>
      </c>
      <c r="R38" s="1416" t="str">
        <f>IF(38=38,IF($B38="","",CL38),"")</f>
        <v/>
      </c>
      <c r="S38" s="1417" t="str">
        <f>IF(38=38,IF($B38="","",IF(E38="?",""&amp;"Céréales contenant du gluten","")&amp;IF(F38="?",IF(COUNTIF($E38:$E38,"~?")&gt;0,", ","")&amp;"Crustacés","")&amp;IF(G38="?",IF(COUNTIF($E38:$F38,"~?")&gt;0,", ","")&amp;"Œufs","")&amp;IF(H38="?",IF(COUNTIF($E38:$G38,"~?")&gt;0,", ","")&amp;"Poissons","")&amp;IF(I38="?",IF(COUNTIF($E38:$H38,"~?")&gt;0,", ","")&amp;"Arachides","")&amp;IF(J38="?",IF(COUNTIF($E38:$I38,"~?")&gt;0,", ","")&amp;"Soja","")&amp;IF(K38="?",IF(COUNTIF($E38:$J38,"~?")&gt;0,", ","")&amp;"Lait","")&amp;IF(L38="?",IF(COUNTIF($E38:$K38,"~?")&gt;0,", ","")&amp;"Fruits à coque","")&amp;IF(M38="?",IF(COUNTIF($E38:$L38,"~?")&gt;0,", ","")&amp;"Céleri","")&amp;IF(N38="?",IF(COUNTIF($E38:$M38,"~?")&gt;0,", ","")&amp;"Moutarde","")&amp;IF(O38="?",IF(COUNTIF($E38:$N38,"~?")&gt;0,", ","")&amp;"Sésame","")&amp;IF(P38="?",IF(COUNTIF($E38:$O38,"~?")&gt;0,", ","")&amp;"Sulfites","")&amp;IF(Q38="?",IF(COUNTIF($E38:$P38,"~?")&gt;0,", ","")&amp;"Lupin","")&amp;IF(R38="?",IF(COUNTIF($E38:$Q38,"~?")&gt;0,", ","")&amp;"Mollusques","")),"")</f>
        <v/>
      </c>
      <c r="U38" s="1368" t="str">
        <f>IF(38=38,IF($B38="","",$B38),"")</f>
        <v>Lait</v>
      </c>
      <c r="V38" s="1368" t="str">
        <f>IF(38=38,LOWER(CLEAN(SUBSTITUTE(SUBSTITUTE(SUBSTITUTE(SUBSTITUTE($U38,CHAR(160)," ")," "," "),CHAR(10)," "),CHAR(13)," "))),"")</f>
        <v>lait</v>
      </c>
      <c r="W38" s="1368" t="str">
        <f>IF(38=38,SUBSTITUTE(SUBSTITUTE(SUBSTITUTE(SUBSTITUTE(SUBSTITUTE(SUBSTITUTE(SUBSTITUTE(SUBSTITUTE(SUBSTITUTE(SUBSTITUTE(SUBSTITUTE(SUBSTITUTE($V38,"œ","oe"),"æ","ae"),"à","a"),"á","a"),"â","a"),"ä","a"),"ã","a"),"ç","c"),"è","e"),"é","e"),"ê","e"),"ë","e"),"")</f>
        <v>lait</v>
      </c>
      <c r="X38" s="1368" t="str">
        <f>IF(38=38,SUBSTITUTE(SUBSTITUTE(SUBSTITUTE(SUBSTITUTE(SUBSTITUTE(SUBSTITUTE(SUBSTITUTE(SUBSTITUTE(SUBSTITUTE(SUBSTITUTE(SUBSTITUTE(SUBSTITUTE(SUBSTITUTE(SUBSTITUTE(SUBSTITUTE(SUBSTITUTE($W38,"ì","i"),"í","i"),"î","i"),"ï","i"),"ñ","n"),"ò","o"),"ó","o"),"ô","o"),"ö","o"),"õ","o"),"ù","u"),"ú","u"),"û","u"),"ü","u"),"ý","y"),"ÿ","y"),"")</f>
        <v>lait</v>
      </c>
      <c r="Y38" s="1368" t="str">
        <f>IF(38=38,SUBSTITUTE(SUBSTITUTE(SUBSTITUTE(SUBSTITUTE(SUBSTITUTE(SUBSTITUTE(SUBSTITUTE(SUBSTITUTE(SUBSTITUTE(SUBSTITUTE(SUBSTITUTE(SUBSTITUTE(SUBSTITUTE(SUBSTITUTE($X38,"’"," "),"`"," "),"–"," "),"—"," "),"-"," "),"'"," "),"/"," "),"_"," "),","," "),"."," "),"("," "),")"," "),";"," "),":"," "),"")</f>
        <v>lait</v>
      </c>
      <c r="Z38" s="1368" t="str">
        <f>IF(38=38,SUBSTITUTE(SUBSTITUTE(SUBSTITUTE(SUBSTITUTE(SUBSTITUTE(SUBSTITUTE(SUBSTITUTE(SUBSTITUTE(SUBSTITUTE(SUBSTITUTE(SUBSTITUTE(SUBSTITUTE(SUBSTITUTE(SUBSTITUTE(SUBSTITUTE($Y38,"!"," "),"?"," "),"+"," "),"*"," "),"&amp;"," "),"["," "),"]"," "),"{"," "),"}"," "),"%"," "),"="," "),"\"," "),"|"," "),"&lt;"," "),"&gt;"," "),"")</f>
        <v>lait</v>
      </c>
      <c r="AA38" s="1368" t="str">
        <f>IF(38=38," "&amp;TRIM(SUBSTITUTE(SUBSTITUTE(SUBSTITUTE(SUBSTITUTE(SUBSTITUTE(SUBSTITUTE($Z38,CHAR(34)," "),"  "," "),"  "," "),"  "," "),"  "," "),"  "," "))&amp;" ","")</f>
        <v xml:space="preserve"> lait </v>
      </c>
      <c r="AB38" s="1368">
        <f>IF(38=38,IF($U38="","",SUMPRODUCT(--ISNUMBER(SEARCH(" "&amp;$CR$2:$CR$101&amp;" ",$AD38)))),"")</f>
        <v>0</v>
      </c>
      <c r="AC38" s="1368">
        <f>IF(38=38,IF($U38="","",SUMPRODUCT(--ISNUMBER(SEARCH(" "&amp;$CR$102:$CR$151&amp;" ",$AD38)))),"")</f>
        <v>0</v>
      </c>
      <c r="AD38" s="1368" t="str">
        <f t="shared" si="1"/>
        <v xml:space="preserve"> lait </v>
      </c>
      <c r="AE38" s="1368">
        <f t="shared" si="2"/>
        <v>0</v>
      </c>
      <c r="AF38" s="1368" t="str">
        <f>IF(38=38,IF($U38="","",IF(SUM(AB38:AC38)+SUMPRODUCT(--ISNUMBER(SEARCH(" "&amp;$CR$2418:$CR$2420&amp;" ",$AD38)))&gt;0,"X",IF(AE38&gt;0,"?",""))),"")</f>
        <v/>
      </c>
      <c r="AG38" s="1368">
        <f>IF(38=38,IF($U38="","",SUMPRODUCT(--ISNUMBER(SEARCH(" "&amp;$CR$206:$CR$305&amp;" ",$AA38)))),"")</f>
        <v>0</v>
      </c>
      <c r="AH38" s="1368">
        <f>IF(38=38,IF($U38="","",SUMPRODUCT(--ISNUMBER(SEARCH(" "&amp;$CR$306:$CR$340&amp;" ",$AA38)))),"")</f>
        <v>0</v>
      </c>
      <c r="AI38" s="1368" t="str">
        <f>IF(38=38,IF($U38="","",IF((SUM(AG38:AH38))-(0)&gt;0,"X",IF((0)-(0)&gt;0,"?",""))),"")</f>
        <v/>
      </c>
      <c r="AJ38" s="1368">
        <f>IF(38=38,IF($U38="","",SUMPRODUCT(--ISNUMBER(SEARCH(" "&amp;$CR$341:$CR$398&amp;" ",$AA38)))),"")</f>
        <v>0</v>
      </c>
      <c r="AK38" s="1368">
        <f>IF(38=38,IF($U38="","",SUMPRODUCT(--ISNUMBER(SEARCH(" "&amp;$CR$399:$CR$426&amp;" ",$AL38)))+SUMPRODUCT(--ISNUMBER(SEARCH(" "&amp;$CR$2440:$CR$2453&amp;" ",$AL38)))),"")</f>
        <v>0</v>
      </c>
      <c r="AL38" s="1368" t="str">
        <f>IF(38=38,IF($U38="","",SUBSTITUTE(SUBSTITUTE(SUBSTITUTE(SUBSTITUTE(SUBSTITUTE(SUBSTITUTE(SUBSTITUTE(SUBSTITUTE(SUBSTITUTE(SUBSTITUTE(SUBSTITUTE(SUBSTITUTE(SUBSTITUTE(SUBSTITUTE($AA38," "&amp;$CR$2455&amp;" "," ")," "&amp;$CR$433&amp;" "," ")," "&amp;$CR$431&amp;" "," ")," "&amp;$CR$2438&amp;" "," ")," "&amp;$CR$2439&amp;" "," ")," "&amp;$CR$428&amp;" "," ")," "&amp;$CR$432&amp;" "," ")," "&amp;$CR$434&amp;" "," ")," "&amp;$CR$429&amp;" "," ")," "&amp;$CR$427&amp;" "," ")," "&amp;$CR$1367&amp;" "," ")," "&amp;$CR$435&amp;" "," ")," "&amp;$CR$1366&amp;" "," ")," "&amp;$CR$430&amp;" "," ")),"")</f>
        <v xml:space="preserve"> lait </v>
      </c>
      <c r="AM38" s="1368" t="str">
        <f>IF(38=38,IF($U38="","",IF(AJ38&gt;0,"X",IF(AK38&gt;0,"?",""))),"")</f>
        <v/>
      </c>
      <c r="AN38" s="1368">
        <f>IF(38=38,IF($U38="","",SUMPRODUCT(--ISNUMBER(SEARCH(" "&amp;$CR$436:$CR$535&amp;" ",$AX38)))),"")</f>
        <v>0</v>
      </c>
      <c r="AO38" s="1368">
        <f>IF(38=38,IF($U38="","",SUMPRODUCT(--ISNUMBER(SEARCH(" "&amp;$CR$536:$CR$635&amp;" ",$AX38)))),"")</f>
        <v>0</v>
      </c>
      <c r="AP38" s="1368">
        <f>IF(38=38,IF($U38="","",SUMPRODUCT(--ISNUMBER(SEARCH(" "&amp;$CR$636:$CR$735&amp;" ",$AX38)))),"")</f>
        <v>0</v>
      </c>
      <c r="AQ38" s="1368">
        <f>IF(38=38,IF($U38="","",SUMPRODUCT(--ISNUMBER(SEARCH(" "&amp;$CR$736:$CR$835&amp;" ",$AX38)))),"")</f>
        <v>0</v>
      </c>
      <c r="AR38" s="1368">
        <f>IF(38=38,IF($U38="","",SUMPRODUCT(--ISNUMBER(SEARCH(" "&amp;$CR$836:$CR$935&amp;" ",$AX38)))),"")</f>
        <v>0</v>
      </c>
      <c r="AS38" s="1368">
        <f>IF(38=38,IF($U38="","",SUMPRODUCT(--ISNUMBER(SEARCH(" "&amp;$CR$936:$CR$1035&amp;" ",$AX38)))),"")</f>
        <v>0</v>
      </c>
      <c r="AT38" s="1368">
        <f>IF(38=38,IF($U38="","",SUMPRODUCT(--ISNUMBER(SEARCH(" "&amp;$CR$1036:$CR$1135&amp;" ",$AX38)))),"")</f>
        <v>0</v>
      </c>
      <c r="AU38" s="1368">
        <f>IF(38=38,IF($U38="","",SUMPRODUCT(--ISNUMBER(SEARCH(" "&amp;$CR$1136:$CR$1235&amp;" ",$AX38)))),"")</f>
        <v>0</v>
      </c>
      <c r="AV38" s="1368">
        <f>IF(38=38,IF($U38="","",SUMPRODUCT(--ISNUMBER(SEARCH(" "&amp;$CR$1236:$CR$1335&amp;" ",$AX38)))),"")</f>
        <v>0</v>
      </c>
      <c r="AW38" s="1368">
        <f>IF(38=38,IF($U38="","",SUMPRODUCT(--ISNUMBER(SEARCH(" "&amp;$CR$1336:$CR$1363&amp;" ",$AX38)))),"")</f>
        <v>0</v>
      </c>
      <c r="AX38" s="1368" t="str">
        <f>IF(38=38,IF($U38="","",SUBSTITUTE(SUBSTITUTE(SUBSTITUTE(SUBSTITUTE(SUBSTITUTE(SUBSTITUTE(SUBSTITUTE(SUBSTITUTE(SUBSTITUTE($AA38," "&amp;$CR$1365&amp;" "," ")," "&amp;$CR$1364&amp;" "," ")," "&amp;$CR$1370&amp;" "," ")," "&amp;$CR$1371&amp;" "," ")," "&amp;$CR$1367&amp;" "," ")," "&amp;$CR$1369&amp;" "," ")," "&amp;$CR$1366&amp;" "," ")," "&amp;$CR$1368&amp;" "," ")," "&amp;$CR$1372&amp;" "," ")),"")</f>
        <v xml:space="preserve"> lait </v>
      </c>
      <c r="AY38" s="1368">
        <f>IF(38=38,IF($U38="","",SUMPRODUCT(--ISNUMBER(SEARCH(" "&amp;$CR$1373:$CR$1383&amp;" ",$AX38)))),"")</f>
        <v>0</v>
      </c>
      <c r="AZ38" s="1368" t="str">
        <f>IF(38=38,IF($U38="","",IF(SUM(AN38:AW38)+SUMPRODUCT(--ISNUMBER(SEARCH(" "&amp;$CR$2421:$CR$2422&amp;" ",$AX38)))&gt;0,"X",IF(AY38&gt;0,"?",""))),"")</f>
        <v/>
      </c>
      <c r="BA38" s="1368">
        <f>IF(38=38,IF($U38="","",SUMPRODUCT(--ISNUMBER(SEARCH(" "&amp;$CR$1384:$CR$1404&amp;" ",$AA38)))),"")</f>
        <v>0</v>
      </c>
      <c r="BB38" s="1368" t="str">
        <f>IF(38=38,IF($U38="","",IF((BA38)-(0)&gt;0,"X",IF((0)-(0)&gt;0,"?",""))),"")</f>
        <v/>
      </c>
      <c r="BC38" s="1368">
        <f>IF(38=38,IF($U38="","",SUMPRODUCT(--ISNUMBER(SEARCH(" "&amp;$CR$1405:$CR$1442&amp;" ",$BD38)))),"")</f>
        <v>0</v>
      </c>
      <c r="BD38" s="1368" t="str">
        <f>IF(38=38,IF($U38="","",SUBSTITUTE(SUBSTITUTE($AA38," "&amp;$CR$1443&amp;" "," ")," "&amp;$CR$1444&amp;" "," ")),"")</f>
        <v xml:space="preserve"> lait </v>
      </c>
      <c r="BE38" s="1368">
        <f>IF(38=38,IF($U38="","",SUMPRODUCT(--ISNUMBER(SEARCH(" "&amp;$CR$1445:$CR$1455&amp;" ",$BD38)))),"")</f>
        <v>0</v>
      </c>
      <c r="BF38" s="1368" t="str">
        <f>IF(38=38,IF($U38="","",IF(BC38&gt;0,"X",IF(BE38&gt;0,"?",""))),"")</f>
        <v/>
      </c>
      <c r="BG38" s="1368">
        <f>IF(38=38,IF($U38="","",SUMPRODUCT(--ISNUMBER(SEARCH(" "&amp;$CR$1456:$CR$1555&amp;" ",$BJ38)))),"")</f>
        <v>0</v>
      </c>
      <c r="BH38" s="1368">
        <f>IF(38=38,IF($U38="","",SUMPRODUCT(--ISNUMBER(SEARCH(" "&amp;$CR$1556:$CR$1655&amp;" ",$BJ38)))),"")</f>
        <v>1</v>
      </c>
      <c r="BI38" s="1368">
        <f>IF(38=38,IF($U38="","",SUMPRODUCT(--ISNUMBER(SEARCH(" "&amp;$CR$1656:$CR$1739&amp;" ",$BJ38)))),"")</f>
        <v>0</v>
      </c>
      <c r="BJ38" s="1368" t="str">
        <f>IF(38=38,IF($U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lait </v>
      </c>
      <c r="BK38" s="1368">
        <f>IF(38=38,IF($U38="","",SUMPRODUCT(--ISNUMBER(SEARCH(" "&amp;$CR$1790:$CR$1869&amp;" ",$BL38)))+SUMPRODUCT(--ISNUMBER(SEARCH(" "&amp;$CR$2440:$CR$2453&amp;" ",$BL38)))),"")</f>
        <v>0</v>
      </c>
      <c r="BL38" s="1368" t="str">
        <f>IF(38=38,IF($U38="","",SUBSTITUTE(SUBSTITUTE(SUBSTITUTE(SUBSTITUTE(SUBSTITUTE(SUBSTITUTE(SUBSTITUTE(SUBSTITUTE(SUBSTITUTE(SUBSTITUTE(SUBSTITUTE(SUBSTITUTE(SUBSTITUTE($BJ38," "&amp;$CR$1876&amp;" "," ")," "&amp;$CR$1874&amp;" "," ")," "&amp;$CR$2438&amp;" "," ")," "&amp;$CR$2439&amp;" "," ")," "&amp;$CR$1871&amp;" "," ")," "&amp;$CR$1875&amp;" "," ")," "&amp;$CR$1877&amp;" "," ")," "&amp;$CR$1872&amp;" "," ")," "&amp;$CR$1870&amp;" "," ")," "&amp;$CR$1367&amp;" "," ")," "&amp;$CR$1878&amp;" "," ")," "&amp;$CR$1366&amp;" "," ")," "&amp;$CR$1873&amp;" "," ")),"")</f>
        <v xml:space="preserve"> lait </v>
      </c>
      <c r="BM38" s="1368" t="str">
        <f>IF(38=38,IF($U38="","",IF(SUM(BG38:BI38)+SUMPRODUCT(--ISNUMBER(SEARCH(" "&amp;$CR$2423:$CR$2424&amp;" ",$BJ38)))&gt;0,"X",IF(BK38&gt;0,"?",""))),"")</f>
        <v>X</v>
      </c>
      <c r="BN38" s="1368">
        <f>IF(38=38,IF($U38="","",SUMPRODUCT(--ISNUMBER(SEARCH(" "&amp;$CR$1879:$CR$1936&amp;" ",$BO38)))),"")</f>
        <v>0</v>
      </c>
      <c r="BO38" s="1368" t="str">
        <f>IF(38=38,IF($U38="","",SUBSTITUTE(SUBSTITUTE(SUBSTITUTE(SUBSTITUTE(SUBSTITUTE(SUBSTITUTE(SUBSTITUTE(SUBSTITUTE(SUBSTITUTE(SUBSTITUTE(SUBSTITUTE(SUBSTITUTE(SUBSTITUTE(SUBSTITUTE(SUBSTITUTE(SUBSTITUTE(SUBSTITUTE(SUBSTITUTE(SUBSTITUTE(SUBSTITUTE(SUBSTITUTE(SUBSTITUTE(SUBSTITUTE($AA38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lait </v>
      </c>
      <c r="BP38" s="1368">
        <f>IF(38=38,IF($U38="","",SUMPRODUCT(--ISNUMBER(SEARCH(" "&amp;$CR$1960:$CR$1976&amp;" ",$BO38)))),"")</f>
        <v>0</v>
      </c>
      <c r="BQ38" s="1368" t="str">
        <f>IF(38=38,IF($U38="","",IF(BN38&gt;0,"X",IF(BP38&gt;0,"?",""))),"")</f>
        <v/>
      </c>
      <c r="BR38" s="1368">
        <f>IF(38=38,IF($U38="","",SUMPRODUCT(--ISNUMBER(SEARCH(" "&amp;$CR$1977:$CR$1990&amp;" ",$AA38)))),"")</f>
        <v>0</v>
      </c>
      <c r="BS38" s="1368">
        <f>IF(38=38,IF($U38="","",SUMPRODUCT(--ISNUMBER(SEARCH(" "&amp;$CR$1991:$CR$2005&amp;" ",$AA38)))),"")</f>
        <v>0</v>
      </c>
      <c r="BT38" s="1368" t="str">
        <f>IF(38=38,IF($U38="","",IF((BR38)-(0)&gt;0,"X",IF((BS38)-(0)&gt;0,"?",""))),"")</f>
        <v/>
      </c>
      <c r="BU38" s="1368">
        <f>IF(38=38,IF($U38="","",SUMPRODUCT(--ISNUMBER(SEARCH(" "&amp;$CR$2006:$CR$2023&amp;" ",$AA38)))),"")</f>
        <v>0</v>
      </c>
      <c r="BV38" s="1368">
        <f>IF(38=38,IF($U38="","",SUMPRODUCT(--ISNUMBER(SEARCH(" "&amp;$CR$2024:$CR$2038&amp;" ",$AA38)))),"")</f>
        <v>0</v>
      </c>
      <c r="BW38" s="1368" t="str">
        <f>IF(38=38,IF($U38="","",IF((BU38)-(0)&gt;0,"X",IF((BV38)-(0)&gt;0,"?",""))),"")</f>
        <v/>
      </c>
      <c r="BX38" s="1368">
        <f>IF(38=38,IF($U38="","",SUMPRODUCT(--ISNUMBER(SEARCH(" "&amp;$CR$2039:$CR$2057&amp;" ",$AA38)))),"")</f>
        <v>0</v>
      </c>
      <c r="BY38" s="1368">
        <f>IF(38=38,IF($U38="","",SUMPRODUCT(--ISNUMBER(SEARCH(" "&amp;$CR$2058:$CR$2072&amp;" ",$AA38)))),"")</f>
        <v>0</v>
      </c>
      <c r="BZ38" s="1368" t="str">
        <f>IF(38=38,IF($U38="","",IF((BX38)-(0)&gt;0,"X",IF((BY38)-(0)&gt;0,"?",""))),"")</f>
        <v/>
      </c>
      <c r="CA38" s="1368">
        <f>IF(38=38,IF($U38="","",SUMPRODUCT(--ISNUMBER(SEARCH(" "&amp;$CR$2073:$CR$2093&amp;" ",$AA38)))),"")</f>
        <v>0</v>
      </c>
      <c r="CB38" s="1368">
        <f>IF(38=38,IF($U38="","",SUMPRODUCT(--ISNUMBER(SEARCH(" "&amp;$CR$2094:$CR$2133&amp;" ",SUBSTITUTE(SUBSTITUTE($AA38," "&amp;$CR$1367&amp;" "," ")," "&amp;$CR$1366&amp;" "," "))))+--ISNUMBER(SEARCH("poiré",$V38))),"")</f>
        <v>0</v>
      </c>
      <c r="CC38" s="1368" t="str">
        <f>IF(38=38,IF($U38="","",IF(OR(CA38&gt;0,ISNUMBER(SEARCH(" vinaigre de vin ",$AA38)),ISNUMBER(SEARCH(" vinaigre au vin ",$AA38))),"X",IF(CB38&gt;0,"?",""))),"")</f>
        <v/>
      </c>
      <c r="CD38" s="1368">
        <f>IF(38=38,IF($U38="","",SUMPRODUCT(--ISNUMBER(SEARCH(" "&amp;$CR$2134:$CR$2146&amp;" ",$AA38)))),"")</f>
        <v>0</v>
      </c>
      <c r="CE38" s="1368">
        <f>IF(38=38,IF($U38="","",SUMPRODUCT(--ISNUMBER(SEARCH(" "&amp;$CR$2147:$CR$2152&amp;" ",$AA38)))),"")</f>
        <v>0</v>
      </c>
      <c r="CF38" s="1368" t="str">
        <f>IF(38=38,IF($U38="","",IF((CD38)-(0)&gt;0,"X",IF((CE38)-(0)&gt;0,"?",""))),"")</f>
        <v/>
      </c>
      <c r="CG38" s="1368">
        <f>IF(38=38,IF($U38="","",SUMPRODUCT(--ISNUMBER(SEARCH(" "&amp;$CR$2153:$CR$2252&amp;" ",$CJ38)))),"")</f>
        <v>0</v>
      </c>
      <c r="CH38" s="1368">
        <f>IF(38=38,IF($U38="","",SUMPRODUCT(--ISNUMBER(SEARCH(" "&amp;$CR$2253:$CR$2352&amp;" ",$CJ38)))),"")</f>
        <v>0</v>
      </c>
      <c r="CI38" s="1368">
        <f>IF(38=38,IF($U38="","",SUMPRODUCT(--ISNUMBER(SEARCH(" "&amp;$CR$2353:$CR$2395&amp;" ",$CJ38)))),"")</f>
        <v>0</v>
      </c>
      <c r="CJ38" s="1368" t="str">
        <f>IF(38=38,IF($U38="","",SUBSTITUTE(SUBSTITUTE(SUBSTITUTE(SUBSTITUTE(SUBSTITUTE(SUBSTITUTE(SUBSTITUTE(SUBSTITUTE(SUBSTITUTE(SUBSTITUTE(SUBSTITUTE(SUBSTITUTE(SUBSTITUTE(SUBSTITUTE(SUBSTITUTE(SUBSTITUTE($AA38," "&amp;$CR$2401&amp;" "," ")," "&amp;$CR$2400&amp;" "," ")," "&amp;$CR$2399&amp;" "," ")," "&amp;$CR$2406&amp;" "," ")," "&amp;$CR$2398&amp;" "," ")," "&amp;$CR$2410&amp;" "," ")," "&amp;$CR$2397&amp;" "," ")," "&amp;$CR$2402&amp;" "," ")," "&amp;$CR$2405&amp;" "," ")," "&amp;$CR$2396&amp;" "," ")," "&amp;$CR$2404&amp;" "," ")," "&amp;$CR$2411&amp;" "," ")," "&amp;$CR$2408&amp;" "," ")," "&amp;$CR$2403&amp;" "," ")," "&amp;$CR$2407&amp;" "," ")," "&amp;$CR$2409&amp;" "," ")),"")</f>
        <v xml:space="preserve"> lait </v>
      </c>
      <c r="CK38" s="1368">
        <f>IF(38=38,IF($U38="","",SUMPRODUCT(--ISNUMBER(SEARCH(" "&amp;$CR$2412:$CR$2416&amp;" ",$CJ38)))),"")</f>
        <v>0</v>
      </c>
      <c r="CL38" s="1368" t="str">
        <f>IF(38=38,IF($U38="","",IF(SUM(CG38:CI38)&gt;0,"X",IF(CK38&gt;0,"?",""))),"")</f>
        <v/>
      </c>
      <c r="CM38" s="1377"/>
      <c r="CN38" s="1388" t="s">
        <v>8297</v>
      </c>
      <c r="CO38" s="1388" t="s">
        <v>8105</v>
      </c>
      <c r="CP38" s="1388" t="s">
        <v>8106</v>
      </c>
      <c r="CQ38" s="1388" t="s">
        <v>8298</v>
      </c>
      <c r="CR38" s="1388" t="s">
        <v>8298</v>
      </c>
      <c r="CS38" s="1388" t="s">
        <v>8108</v>
      </c>
      <c r="CT38" s="1388" t="s">
        <v>8109</v>
      </c>
      <c r="CU38" s="1388" t="s">
        <v>8110</v>
      </c>
      <c r="CV38" s="1389" t="s">
        <v>8111</v>
      </c>
      <c r="CX38" s="1379">
        <v>1</v>
      </c>
    </row>
    <row r="39" spans="1:102" ht="21" customHeight="1" x14ac:dyDescent="0.25">
      <c r="A39" s="1412">
        <v>33</v>
      </c>
      <c r="B39" s="1413" t="s">
        <v>8299</v>
      </c>
      <c r="C39" s="1414" t="str">
        <f t="shared" si="0"/>
        <v>Laurier ou bois d’Inde</v>
      </c>
      <c r="D39" s="1415" t="str">
        <f>IF(39=39,IF($B39="","",IF(E39="X",""&amp;"Céréales contenant du gluten","")&amp;IF(F39="X",IF(COUNTIF($E39:$E39,"X")&gt;0,", ","")&amp;"Crustacés","")&amp;IF(G39="X",IF(COUNTIF($E39:$F39,"X")&gt;0,", ","")&amp;"Œufs","")&amp;IF(H39="X",IF(COUNTIF($E39:$G39,"X")&gt;0,", ","")&amp;"Poissons","")&amp;IF(I39="X",IF(COUNTIF($E39:$H39,"X")&gt;0,", ","")&amp;"Arachides","")&amp;IF(J39="X",IF(COUNTIF($E39:$I39,"X")&gt;0,", ","")&amp;"Soja","")&amp;IF(K39="X",IF(COUNTIF($E39:$J39,"X")&gt;0,", ","")&amp;"Lait","")&amp;IF(L39="X",IF(COUNTIF($E39:$K39,"X")&gt;0,", ","")&amp;"Fruits à coque","")&amp;IF(M39="X",IF(COUNTIF($E39:$L39,"X")&gt;0,", ","")&amp;"Céleri","")&amp;IF(N39="X",IF(COUNTIF($E39:$M39,"X")&gt;0,", ","")&amp;"Moutarde","")&amp;IF(O39="X",IF(COUNTIF($E39:$N39,"X")&gt;0,", ","")&amp;"Sésame","")&amp;IF(P39="X",IF(COUNTIF($E39:$O39,"X")&gt;0,", ","")&amp;"Sulfites","")&amp;IF(Q39="X",IF(COUNTIF($E39:$P39,"X")&gt;0,", ","")&amp;"Lupin","")&amp;IF(R39="X",IF(COUNTIF($E39:$Q39,"X")&gt;0,", ","")&amp;"Mollusques","")),"")</f>
        <v/>
      </c>
      <c r="E39" s="1416" t="str">
        <f>IF(39=39,IF($B39="","",AF39),"")</f>
        <v/>
      </c>
      <c r="F39" s="1416" t="str">
        <f>IF(39=39,IF($B39="","",AI39),"")</f>
        <v/>
      </c>
      <c r="G39" s="1416" t="str">
        <f>IF(39=39,IF($B39="","",AM39),"")</f>
        <v/>
      </c>
      <c r="H39" s="1416" t="str">
        <f>IF(39=39,IF($B39="","",IF(ISNUMBER(SEARCH(" colin ",$AA39)),"X",AZ39)),"")</f>
        <v/>
      </c>
      <c r="I39" s="1416" t="str">
        <f>IF(39=39,IF($B39="","",BB39),"")</f>
        <v/>
      </c>
      <c r="J39" s="1416" t="str">
        <f>IF(39=39,IF($B39="","",BF39),"")</f>
        <v/>
      </c>
      <c r="K39" s="1416" t="str">
        <f>IF(39=39,IF($B39="","",BM39),"")</f>
        <v/>
      </c>
      <c r="L39" s="1416" t="str">
        <f>IF(39=39,IF($B39="","",BQ39),"")</f>
        <v/>
      </c>
      <c r="M39" s="1416" t="str">
        <f>IF(39=39,IF($B39="","",BT39),"")</f>
        <v/>
      </c>
      <c r="N39" s="1416" t="str">
        <f>IF(39=39,IF($B39="","",BW39),"")</f>
        <v/>
      </c>
      <c r="O39" s="1416" t="str">
        <f>IF(39=39,IF($B39="","",BZ39),"")</f>
        <v/>
      </c>
      <c r="P39" s="1416" t="str">
        <f>IF(39=39,IF($B39="","",CC39),"")</f>
        <v/>
      </c>
      <c r="Q39" s="1416" t="str">
        <f>IF(39=39,IF($B39="","",CF39),"")</f>
        <v/>
      </c>
      <c r="R39" s="1416" t="str">
        <f>IF(39=39,IF($B39="","",CL39),"")</f>
        <v/>
      </c>
      <c r="S39" s="1417" t="str">
        <f>IF(39=39,IF($B39="","",IF(E39="?",""&amp;"Céréales contenant du gluten","")&amp;IF(F39="?",IF(COUNTIF($E39:$E39,"~?")&gt;0,", ","")&amp;"Crustacés","")&amp;IF(G39="?",IF(COUNTIF($E39:$F39,"~?")&gt;0,", ","")&amp;"Œufs","")&amp;IF(H39="?",IF(COUNTIF($E39:$G39,"~?")&gt;0,", ","")&amp;"Poissons","")&amp;IF(I39="?",IF(COUNTIF($E39:$H39,"~?")&gt;0,", ","")&amp;"Arachides","")&amp;IF(J39="?",IF(COUNTIF($E39:$I39,"~?")&gt;0,", ","")&amp;"Soja","")&amp;IF(K39="?",IF(COUNTIF($E39:$J39,"~?")&gt;0,", ","")&amp;"Lait","")&amp;IF(L39="?",IF(COUNTIF($E39:$K39,"~?")&gt;0,", ","")&amp;"Fruits à coque","")&amp;IF(M39="?",IF(COUNTIF($E39:$L39,"~?")&gt;0,", ","")&amp;"Céleri","")&amp;IF(N39="?",IF(COUNTIF($E39:$M39,"~?")&gt;0,", ","")&amp;"Moutarde","")&amp;IF(O39="?",IF(COUNTIF($E39:$N39,"~?")&gt;0,", ","")&amp;"Sésame","")&amp;IF(P39="?",IF(COUNTIF($E39:$O39,"~?")&gt;0,", ","")&amp;"Sulfites","")&amp;IF(Q39="?",IF(COUNTIF($E39:$P39,"~?")&gt;0,", ","")&amp;"Lupin","")&amp;IF(R39="?",IF(COUNTIF($E39:$Q39,"~?")&gt;0,", ","")&amp;"Mollusques","")),"")</f>
        <v/>
      </c>
      <c r="U39" s="1368" t="str">
        <f>IF(39=39,IF($B39="","",$B39),"")</f>
        <v>Laurier ou bois d’Inde</v>
      </c>
      <c r="V39" s="1368" t="str">
        <f>IF(39=39,LOWER(CLEAN(SUBSTITUTE(SUBSTITUTE(SUBSTITUTE(SUBSTITUTE($U39,CHAR(160)," ")," "," "),CHAR(10)," "),CHAR(13)," "))),"")</f>
        <v>laurier ou bois d’inde</v>
      </c>
      <c r="W39" s="1368" t="str">
        <f>IF(39=39,SUBSTITUTE(SUBSTITUTE(SUBSTITUTE(SUBSTITUTE(SUBSTITUTE(SUBSTITUTE(SUBSTITUTE(SUBSTITUTE(SUBSTITUTE(SUBSTITUTE(SUBSTITUTE(SUBSTITUTE($V39,"œ","oe"),"æ","ae"),"à","a"),"á","a"),"â","a"),"ä","a"),"ã","a"),"ç","c"),"è","e"),"é","e"),"ê","e"),"ë","e"),"")</f>
        <v>laurier ou bois d’inde</v>
      </c>
      <c r="X39" s="1368" t="str">
        <f>IF(39=39,SUBSTITUTE(SUBSTITUTE(SUBSTITUTE(SUBSTITUTE(SUBSTITUTE(SUBSTITUTE(SUBSTITUTE(SUBSTITUTE(SUBSTITUTE(SUBSTITUTE(SUBSTITUTE(SUBSTITUTE(SUBSTITUTE(SUBSTITUTE(SUBSTITUTE(SUBSTITUTE($W39,"ì","i"),"í","i"),"î","i"),"ï","i"),"ñ","n"),"ò","o"),"ó","o"),"ô","o"),"ö","o"),"õ","o"),"ù","u"),"ú","u"),"û","u"),"ü","u"),"ý","y"),"ÿ","y"),"")</f>
        <v>laurier ou bois d’inde</v>
      </c>
      <c r="Y39" s="1368" t="str">
        <f>IF(39=39,SUBSTITUTE(SUBSTITUTE(SUBSTITUTE(SUBSTITUTE(SUBSTITUTE(SUBSTITUTE(SUBSTITUTE(SUBSTITUTE(SUBSTITUTE(SUBSTITUTE(SUBSTITUTE(SUBSTITUTE(SUBSTITUTE(SUBSTITUTE($X39,"’"," "),"`"," "),"–"," "),"—"," "),"-"," "),"'"," "),"/"," "),"_"," "),","," "),"."," "),"("," "),")"," "),";"," "),":"," "),"")</f>
        <v>laurier ou bois d inde</v>
      </c>
      <c r="Z39" s="1368" t="str">
        <f>IF(39=39,SUBSTITUTE(SUBSTITUTE(SUBSTITUTE(SUBSTITUTE(SUBSTITUTE(SUBSTITUTE(SUBSTITUTE(SUBSTITUTE(SUBSTITUTE(SUBSTITUTE(SUBSTITUTE(SUBSTITUTE(SUBSTITUTE(SUBSTITUTE(SUBSTITUTE($Y39,"!"," "),"?"," "),"+"," "),"*"," "),"&amp;"," "),"["," "),"]"," "),"{"," "),"}"," "),"%"," "),"="," "),"\"," "),"|"," "),"&lt;"," "),"&gt;"," "),"")</f>
        <v>laurier ou bois d inde</v>
      </c>
      <c r="AA39" s="1368" t="str">
        <f>IF(39=39," "&amp;TRIM(SUBSTITUTE(SUBSTITUTE(SUBSTITUTE(SUBSTITUTE(SUBSTITUTE(SUBSTITUTE($Z39,CHAR(34)," "),"  "," "),"  "," "),"  "," "),"  "," "),"  "," "))&amp;" ","")</f>
        <v xml:space="preserve"> laurier ou bois d inde </v>
      </c>
      <c r="AB39" s="1368">
        <f>IF(39=39,IF($U39="","",SUMPRODUCT(--ISNUMBER(SEARCH(" "&amp;$CR$2:$CR$101&amp;" ",$AD39)))),"")</f>
        <v>0</v>
      </c>
      <c r="AC39" s="1368">
        <f>IF(39=39,IF($U39="","",SUMPRODUCT(--ISNUMBER(SEARCH(" "&amp;$CR$102:$CR$151&amp;" ",$AD39)))),"")</f>
        <v>0</v>
      </c>
      <c r="AD39" s="1368" t="str">
        <f t="shared" si="1"/>
        <v xml:space="preserve"> laurier ou bois d inde </v>
      </c>
      <c r="AE39" s="1368">
        <f t="shared" si="2"/>
        <v>0</v>
      </c>
      <c r="AF39" s="1368" t="str">
        <f>IF(39=39,IF($U39="","",IF(SUM(AB39:AC39)+SUMPRODUCT(--ISNUMBER(SEARCH(" "&amp;$CR$2418:$CR$2420&amp;" ",$AD39)))&gt;0,"X",IF(AE39&gt;0,"?",""))),"")</f>
        <v/>
      </c>
      <c r="AG39" s="1368">
        <f>IF(39=39,IF($U39="","",SUMPRODUCT(--ISNUMBER(SEARCH(" "&amp;$CR$206:$CR$305&amp;" ",$AA39)))),"")</f>
        <v>0</v>
      </c>
      <c r="AH39" s="1368">
        <f>IF(39=39,IF($U39="","",SUMPRODUCT(--ISNUMBER(SEARCH(" "&amp;$CR$306:$CR$340&amp;" ",$AA39)))),"")</f>
        <v>0</v>
      </c>
      <c r="AI39" s="1368" t="str">
        <f>IF(39=39,IF($U39="","",IF((SUM(AG39:AH39))-(0)&gt;0,"X",IF((0)-(0)&gt;0,"?",""))),"")</f>
        <v/>
      </c>
      <c r="AJ39" s="1368">
        <f>IF(39=39,IF($U39="","",SUMPRODUCT(--ISNUMBER(SEARCH(" "&amp;$CR$341:$CR$398&amp;" ",$AA39)))),"")</f>
        <v>0</v>
      </c>
      <c r="AK39" s="1368">
        <f>IF(39=39,IF($U39="","",SUMPRODUCT(--ISNUMBER(SEARCH(" "&amp;$CR$399:$CR$426&amp;" ",$AL39)))+SUMPRODUCT(--ISNUMBER(SEARCH(" "&amp;$CR$2440:$CR$2453&amp;" ",$AL39)))),"")</f>
        <v>0</v>
      </c>
      <c r="AL39" s="1368" t="str">
        <f>IF(39=39,IF($U39="","",SUBSTITUTE(SUBSTITUTE(SUBSTITUTE(SUBSTITUTE(SUBSTITUTE(SUBSTITUTE(SUBSTITUTE(SUBSTITUTE(SUBSTITUTE(SUBSTITUTE(SUBSTITUTE(SUBSTITUTE(SUBSTITUTE(SUBSTITUTE($AA39," "&amp;$CR$2455&amp;" "," ")," "&amp;$CR$433&amp;" "," ")," "&amp;$CR$431&amp;" "," ")," "&amp;$CR$2438&amp;" "," ")," "&amp;$CR$2439&amp;" "," ")," "&amp;$CR$428&amp;" "," ")," "&amp;$CR$432&amp;" "," ")," "&amp;$CR$434&amp;" "," ")," "&amp;$CR$429&amp;" "," ")," "&amp;$CR$427&amp;" "," ")," "&amp;$CR$1367&amp;" "," ")," "&amp;$CR$435&amp;" "," ")," "&amp;$CR$1366&amp;" "," ")," "&amp;$CR$430&amp;" "," ")),"")</f>
        <v xml:space="preserve"> laurier ou bois d inde </v>
      </c>
      <c r="AM39" s="1368" t="str">
        <f>IF(39=39,IF($U39="","",IF(AJ39&gt;0,"X",IF(AK39&gt;0,"?",""))),"")</f>
        <v/>
      </c>
      <c r="AN39" s="1368">
        <f>IF(39=39,IF($U39="","",SUMPRODUCT(--ISNUMBER(SEARCH(" "&amp;$CR$436:$CR$535&amp;" ",$AX39)))),"")</f>
        <v>0</v>
      </c>
      <c r="AO39" s="1368">
        <f>IF(39=39,IF($U39="","",SUMPRODUCT(--ISNUMBER(SEARCH(" "&amp;$CR$536:$CR$635&amp;" ",$AX39)))),"")</f>
        <v>0</v>
      </c>
      <c r="AP39" s="1368">
        <f>IF(39=39,IF($U39="","",SUMPRODUCT(--ISNUMBER(SEARCH(" "&amp;$CR$636:$CR$735&amp;" ",$AX39)))),"")</f>
        <v>0</v>
      </c>
      <c r="AQ39" s="1368">
        <f>IF(39=39,IF($U39="","",SUMPRODUCT(--ISNUMBER(SEARCH(" "&amp;$CR$736:$CR$835&amp;" ",$AX39)))),"")</f>
        <v>0</v>
      </c>
      <c r="AR39" s="1368">
        <f>IF(39=39,IF($U39="","",SUMPRODUCT(--ISNUMBER(SEARCH(" "&amp;$CR$836:$CR$935&amp;" ",$AX39)))),"")</f>
        <v>0</v>
      </c>
      <c r="AS39" s="1368">
        <f>IF(39=39,IF($U39="","",SUMPRODUCT(--ISNUMBER(SEARCH(" "&amp;$CR$936:$CR$1035&amp;" ",$AX39)))),"")</f>
        <v>0</v>
      </c>
      <c r="AT39" s="1368">
        <f>IF(39=39,IF($U39="","",SUMPRODUCT(--ISNUMBER(SEARCH(" "&amp;$CR$1036:$CR$1135&amp;" ",$AX39)))),"")</f>
        <v>0</v>
      </c>
      <c r="AU39" s="1368">
        <f>IF(39=39,IF($U39="","",SUMPRODUCT(--ISNUMBER(SEARCH(" "&amp;$CR$1136:$CR$1235&amp;" ",$AX39)))),"")</f>
        <v>0</v>
      </c>
      <c r="AV39" s="1368">
        <f>IF(39=39,IF($U39="","",SUMPRODUCT(--ISNUMBER(SEARCH(" "&amp;$CR$1236:$CR$1335&amp;" ",$AX39)))),"")</f>
        <v>0</v>
      </c>
      <c r="AW39" s="1368">
        <f>IF(39=39,IF($U39="","",SUMPRODUCT(--ISNUMBER(SEARCH(" "&amp;$CR$1336:$CR$1363&amp;" ",$AX39)))),"")</f>
        <v>0</v>
      </c>
      <c r="AX39" s="1368" t="str">
        <f>IF(39=39,IF($U39="","",SUBSTITUTE(SUBSTITUTE(SUBSTITUTE(SUBSTITUTE(SUBSTITUTE(SUBSTITUTE(SUBSTITUTE(SUBSTITUTE(SUBSTITUTE($AA39," "&amp;$CR$1365&amp;" "," ")," "&amp;$CR$1364&amp;" "," ")," "&amp;$CR$1370&amp;" "," ")," "&amp;$CR$1371&amp;" "," ")," "&amp;$CR$1367&amp;" "," ")," "&amp;$CR$1369&amp;" "," ")," "&amp;$CR$1366&amp;" "," ")," "&amp;$CR$1368&amp;" "," ")," "&amp;$CR$1372&amp;" "," ")),"")</f>
        <v xml:space="preserve"> laurier ou bois d inde </v>
      </c>
      <c r="AY39" s="1368">
        <f>IF(39=39,IF($U39="","",SUMPRODUCT(--ISNUMBER(SEARCH(" "&amp;$CR$1373:$CR$1383&amp;" ",$AX39)))),"")</f>
        <v>0</v>
      </c>
      <c r="AZ39" s="1368" t="str">
        <f>IF(39=39,IF($U39="","",IF(SUM(AN39:AW39)+SUMPRODUCT(--ISNUMBER(SEARCH(" "&amp;$CR$2421:$CR$2422&amp;" ",$AX39)))&gt;0,"X",IF(AY39&gt;0,"?",""))),"")</f>
        <v/>
      </c>
      <c r="BA39" s="1368">
        <f>IF(39=39,IF($U39="","",SUMPRODUCT(--ISNUMBER(SEARCH(" "&amp;$CR$1384:$CR$1404&amp;" ",$AA39)))),"")</f>
        <v>0</v>
      </c>
      <c r="BB39" s="1368" t="str">
        <f>IF(39=39,IF($U39="","",IF((BA39)-(0)&gt;0,"X",IF((0)-(0)&gt;0,"?",""))),"")</f>
        <v/>
      </c>
      <c r="BC39" s="1368">
        <f>IF(39=39,IF($U39="","",SUMPRODUCT(--ISNUMBER(SEARCH(" "&amp;$CR$1405:$CR$1442&amp;" ",$BD39)))),"")</f>
        <v>0</v>
      </c>
      <c r="BD39" s="1368" t="str">
        <f>IF(39=39,IF($U39="","",SUBSTITUTE(SUBSTITUTE($AA39," "&amp;$CR$1443&amp;" "," ")," "&amp;$CR$1444&amp;" "," ")),"")</f>
        <v xml:space="preserve"> laurier ou bois d inde </v>
      </c>
      <c r="BE39" s="1368">
        <f>IF(39=39,IF($U39="","",SUMPRODUCT(--ISNUMBER(SEARCH(" "&amp;$CR$1445:$CR$1455&amp;" ",$BD39)))),"")</f>
        <v>0</v>
      </c>
      <c r="BF39" s="1368" t="str">
        <f>IF(39=39,IF($U39="","",IF(BC39&gt;0,"X",IF(BE39&gt;0,"?",""))),"")</f>
        <v/>
      </c>
      <c r="BG39" s="1368">
        <f>IF(39=39,IF($U39="","",SUMPRODUCT(--ISNUMBER(SEARCH(" "&amp;$CR$1456:$CR$1555&amp;" ",$BJ39)))),"")</f>
        <v>0</v>
      </c>
      <c r="BH39" s="1368">
        <f>IF(39=39,IF($U39="","",SUMPRODUCT(--ISNUMBER(SEARCH(" "&amp;$CR$1556:$CR$1655&amp;" ",$BJ39)))),"")</f>
        <v>0</v>
      </c>
      <c r="BI39" s="1368">
        <f>IF(39=39,IF($U39="","",SUMPRODUCT(--ISNUMBER(SEARCH(" "&amp;$CR$1656:$CR$1739&amp;" ",$BJ39)))),"")</f>
        <v>0</v>
      </c>
      <c r="BJ39" s="1368" t="str">
        <f>IF(39=39,IF($U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laurier ou bois d inde </v>
      </c>
      <c r="BK39" s="1368">
        <f>IF(39=39,IF($U39="","",SUMPRODUCT(--ISNUMBER(SEARCH(" "&amp;$CR$1790:$CR$1869&amp;" ",$BL39)))+SUMPRODUCT(--ISNUMBER(SEARCH(" "&amp;$CR$2440:$CR$2453&amp;" ",$BL39)))),"")</f>
        <v>0</v>
      </c>
      <c r="BL39" s="1368" t="str">
        <f>IF(39=39,IF($U39="","",SUBSTITUTE(SUBSTITUTE(SUBSTITUTE(SUBSTITUTE(SUBSTITUTE(SUBSTITUTE(SUBSTITUTE(SUBSTITUTE(SUBSTITUTE(SUBSTITUTE(SUBSTITUTE(SUBSTITUTE(SUBSTITUTE($BJ39," "&amp;$CR$1876&amp;" "," ")," "&amp;$CR$1874&amp;" "," ")," "&amp;$CR$2438&amp;" "," ")," "&amp;$CR$2439&amp;" "," ")," "&amp;$CR$1871&amp;" "," ")," "&amp;$CR$1875&amp;" "," ")," "&amp;$CR$1877&amp;" "," ")," "&amp;$CR$1872&amp;" "," ")," "&amp;$CR$1870&amp;" "," ")," "&amp;$CR$1367&amp;" "," ")," "&amp;$CR$1878&amp;" "," ")," "&amp;$CR$1366&amp;" "," ")," "&amp;$CR$1873&amp;" "," ")),"")</f>
        <v xml:space="preserve"> laurier ou bois d inde </v>
      </c>
      <c r="BM39" s="1368" t="str">
        <f>IF(39=39,IF($U39="","",IF(SUM(BG39:BI39)+SUMPRODUCT(--ISNUMBER(SEARCH(" "&amp;$CR$2423:$CR$2424&amp;" ",$BJ39)))&gt;0,"X",IF(BK39&gt;0,"?",""))),"")</f>
        <v/>
      </c>
      <c r="BN39" s="1368">
        <f>IF(39=39,IF($U39="","",SUMPRODUCT(--ISNUMBER(SEARCH(" "&amp;$CR$1879:$CR$1936&amp;" ",$BO39)))),"")</f>
        <v>0</v>
      </c>
      <c r="BO39" s="1368" t="str">
        <f>IF(39=39,IF($U39="","",SUBSTITUTE(SUBSTITUTE(SUBSTITUTE(SUBSTITUTE(SUBSTITUTE(SUBSTITUTE(SUBSTITUTE(SUBSTITUTE(SUBSTITUTE(SUBSTITUTE(SUBSTITUTE(SUBSTITUTE(SUBSTITUTE(SUBSTITUTE(SUBSTITUTE(SUBSTITUTE(SUBSTITUTE(SUBSTITUTE(SUBSTITUTE(SUBSTITUTE(SUBSTITUTE(SUBSTITUTE(SUBSTITUTE($AA39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laurier ou bois d inde </v>
      </c>
      <c r="BP39" s="1368">
        <f>IF(39=39,IF($U39="","",SUMPRODUCT(--ISNUMBER(SEARCH(" "&amp;$CR$1960:$CR$1976&amp;" ",$BO39)))),"")</f>
        <v>0</v>
      </c>
      <c r="BQ39" s="1368" t="str">
        <f>IF(39=39,IF($U39="","",IF(BN39&gt;0,"X",IF(BP39&gt;0,"?",""))),"")</f>
        <v/>
      </c>
      <c r="BR39" s="1368">
        <f>IF(39=39,IF($U39="","",SUMPRODUCT(--ISNUMBER(SEARCH(" "&amp;$CR$1977:$CR$1990&amp;" ",$AA39)))),"")</f>
        <v>0</v>
      </c>
      <c r="BS39" s="1368">
        <f>IF(39=39,IF($U39="","",SUMPRODUCT(--ISNUMBER(SEARCH(" "&amp;$CR$1991:$CR$2005&amp;" ",$AA39)))),"")</f>
        <v>0</v>
      </c>
      <c r="BT39" s="1368" t="str">
        <f>IF(39=39,IF($U39="","",IF((BR39)-(0)&gt;0,"X",IF((BS39)-(0)&gt;0,"?",""))),"")</f>
        <v/>
      </c>
      <c r="BU39" s="1368">
        <f>IF(39=39,IF($U39="","",SUMPRODUCT(--ISNUMBER(SEARCH(" "&amp;$CR$2006:$CR$2023&amp;" ",$AA39)))),"")</f>
        <v>0</v>
      </c>
      <c r="BV39" s="1368">
        <f>IF(39=39,IF($U39="","",SUMPRODUCT(--ISNUMBER(SEARCH(" "&amp;$CR$2024:$CR$2038&amp;" ",$AA39)))),"")</f>
        <v>0</v>
      </c>
      <c r="BW39" s="1368" t="str">
        <f>IF(39=39,IF($U39="","",IF((BU39)-(0)&gt;0,"X",IF((BV39)-(0)&gt;0,"?",""))),"")</f>
        <v/>
      </c>
      <c r="BX39" s="1368">
        <f>IF(39=39,IF($U39="","",SUMPRODUCT(--ISNUMBER(SEARCH(" "&amp;$CR$2039:$CR$2057&amp;" ",$AA39)))),"")</f>
        <v>0</v>
      </c>
      <c r="BY39" s="1368">
        <f>IF(39=39,IF($U39="","",SUMPRODUCT(--ISNUMBER(SEARCH(" "&amp;$CR$2058:$CR$2072&amp;" ",$AA39)))),"")</f>
        <v>0</v>
      </c>
      <c r="BZ39" s="1368" t="str">
        <f>IF(39=39,IF($U39="","",IF((BX39)-(0)&gt;0,"X",IF((BY39)-(0)&gt;0,"?",""))),"")</f>
        <v/>
      </c>
      <c r="CA39" s="1368">
        <f>IF(39=39,IF($U39="","",SUMPRODUCT(--ISNUMBER(SEARCH(" "&amp;$CR$2073:$CR$2093&amp;" ",$AA39)))),"")</f>
        <v>0</v>
      </c>
      <c r="CB39" s="1368">
        <f>IF(39=39,IF($U39="","",SUMPRODUCT(--ISNUMBER(SEARCH(" "&amp;$CR$2094:$CR$2133&amp;" ",SUBSTITUTE(SUBSTITUTE($AA39," "&amp;$CR$1367&amp;" "," ")," "&amp;$CR$1366&amp;" "," "))))+--ISNUMBER(SEARCH("poiré",$V39))),"")</f>
        <v>0</v>
      </c>
      <c r="CC39" s="1368" t="str">
        <f>IF(39=39,IF($U39="","",IF(OR(CA39&gt;0,ISNUMBER(SEARCH(" vinaigre de vin ",$AA39)),ISNUMBER(SEARCH(" vinaigre au vin ",$AA39))),"X",IF(CB39&gt;0,"?",""))),"")</f>
        <v/>
      </c>
      <c r="CD39" s="1368">
        <f>IF(39=39,IF($U39="","",SUMPRODUCT(--ISNUMBER(SEARCH(" "&amp;$CR$2134:$CR$2146&amp;" ",$AA39)))),"")</f>
        <v>0</v>
      </c>
      <c r="CE39" s="1368">
        <f>IF(39=39,IF($U39="","",SUMPRODUCT(--ISNUMBER(SEARCH(" "&amp;$CR$2147:$CR$2152&amp;" ",$AA39)))),"")</f>
        <v>0</v>
      </c>
      <c r="CF39" s="1368" t="str">
        <f>IF(39=39,IF($U39="","",IF((CD39)-(0)&gt;0,"X",IF((CE39)-(0)&gt;0,"?",""))),"")</f>
        <v/>
      </c>
      <c r="CG39" s="1368">
        <f>IF(39=39,IF($U39="","",SUMPRODUCT(--ISNUMBER(SEARCH(" "&amp;$CR$2153:$CR$2252&amp;" ",$CJ39)))),"")</f>
        <v>0</v>
      </c>
      <c r="CH39" s="1368">
        <f>IF(39=39,IF($U39="","",SUMPRODUCT(--ISNUMBER(SEARCH(" "&amp;$CR$2253:$CR$2352&amp;" ",$CJ39)))),"")</f>
        <v>0</v>
      </c>
      <c r="CI39" s="1368">
        <f>IF(39=39,IF($U39="","",SUMPRODUCT(--ISNUMBER(SEARCH(" "&amp;$CR$2353:$CR$2395&amp;" ",$CJ39)))),"")</f>
        <v>0</v>
      </c>
      <c r="CJ39" s="1368" t="str">
        <f>IF(39=39,IF($U39="","",SUBSTITUTE(SUBSTITUTE(SUBSTITUTE(SUBSTITUTE(SUBSTITUTE(SUBSTITUTE(SUBSTITUTE(SUBSTITUTE(SUBSTITUTE(SUBSTITUTE(SUBSTITUTE(SUBSTITUTE(SUBSTITUTE(SUBSTITUTE(SUBSTITUTE(SUBSTITUTE($AA39," "&amp;$CR$2401&amp;" "," ")," "&amp;$CR$2400&amp;" "," ")," "&amp;$CR$2399&amp;" "," ")," "&amp;$CR$2406&amp;" "," ")," "&amp;$CR$2398&amp;" "," ")," "&amp;$CR$2410&amp;" "," ")," "&amp;$CR$2397&amp;" "," ")," "&amp;$CR$2402&amp;" "," ")," "&amp;$CR$2405&amp;" "," ")," "&amp;$CR$2396&amp;" "," ")," "&amp;$CR$2404&amp;" "," ")," "&amp;$CR$2411&amp;" "," ")," "&amp;$CR$2408&amp;" "," ")," "&amp;$CR$2403&amp;" "," ")," "&amp;$CR$2407&amp;" "," ")," "&amp;$CR$2409&amp;" "," ")),"")</f>
        <v xml:space="preserve"> laurier ou bois d inde </v>
      </c>
      <c r="CK39" s="1368">
        <f>IF(39=39,IF($U39="","",SUMPRODUCT(--ISNUMBER(SEARCH(" "&amp;$CR$2412:$CR$2416&amp;" ",$CJ39)))),"")</f>
        <v>0</v>
      </c>
      <c r="CL39" s="1368" t="str">
        <f>IF(39=39,IF($U39="","",IF(SUM(CG39:CI39)&gt;0,"X",IF(CK39&gt;0,"?",""))),"")</f>
        <v/>
      </c>
      <c r="CM39" s="1377"/>
      <c r="CN39" s="1388" t="s">
        <v>8300</v>
      </c>
      <c r="CO39" s="1388" t="s">
        <v>8105</v>
      </c>
      <c r="CP39" s="1388" t="s">
        <v>8106</v>
      </c>
      <c r="CQ39" s="1388" t="s">
        <v>8301</v>
      </c>
      <c r="CR39" s="1388" t="s">
        <v>3018</v>
      </c>
      <c r="CS39" s="1388" t="s">
        <v>8108</v>
      </c>
      <c r="CT39" s="1388" t="s">
        <v>8109</v>
      </c>
      <c r="CU39" s="1388" t="s">
        <v>8110</v>
      </c>
      <c r="CV39" s="1389" t="s">
        <v>8111</v>
      </c>
      <c r="CX39" s="1379">
        <v>1</v>
      </c>
    </row>
    <row r="40" spans="1:102" ht="21" customHeight="1" x14ac:dyDescent="0.25">
      <c r="A40" s="1412">
        <v>34</v>
      </c>
      <c r="B40" s="1413" t="s">
        <v>8302</v>
      </c>
      <c r="C40" s="1414" t="str">
        <f t="shared" si="0"/>
        <v>Margarine ?</v>
      </c>
      <c r="D40" s="1415" t="str">
        <f>IF(40=40,IF($B40="","",IF(E40="X",""&amp;"Céréales contenant du gluten","")&amp;IF(F40="X",IF(COUNTIF($E40:$E40,"X")&gt;0,", ","")&amp;"Crustacés","")&amp;IF(G40="X",IF(COUNTIF($E40:$F40,"X")&gt;0,", ","")&amp;"Œufs","")&amp;IF(H40="X",IF(COUNTIF($E40:$G40,"X")&gt;0,", ","")&amp;"Poissons","")&amp;IF(I40="X",IF(COUNTIF($E40:$H40,"X")&gt;0,", ","")&amp;"Arachides","")&amp;IF(J40="X",IF(COUNTIF($E40:$I40,"X")&gt;0,", ","")&amp;"Soja","")&amp;IF(K40="X",IF(COUNTIF($E40:$J40,"X")&gt;0,", ","")&amp;"Lait","")&amp;IF(L40="X",IF(COUNTIF($E40:$K40,"X")&gt;0,", ","")&amp;"Fruits à coque","")&amp;IF(M40="X",IF(COUNTIF($E40:$L40,"X")&gt;0,", ","")&amp;"Céleri","")&amp;IF(N40="X",IF(COUNTIF($E40:$M40,"X")&gt;0,", ","")&amp;"Moutarde","")&amp;IF(O40="X",IF(COUNTIF($E40:$N40,"X")&gt;0,", ","")&amp;"Sésame","")&amp;IF(P40="X",IF(COUNTIF($E40:$O40,"X")&gt;0,", ","")&amp;"Sulfites","")&amp;IF(Q40="X",IF(COUNTIF($E40:$P40,"X")&gt;0,", ","")&amp;"Lupin","")&amp;IF(R40="X",IF(COUNTIF($E40:$Q40,"X")&gt;0,", ","")&amp;"Mollusques","")),"")</f>
        <v/>
      </c>
      <c r="E40" s="1416" t="str">
        <f>IF(40=40,IF($B40="","",AF40),"")</f>
        <v/>
      </c>
      <c r="F40" s="1416" t="str">
        <f>IF(40=40,IF($B40="","",AI40),"")</f>
        <v/>
      </c>
      <c r="G40" s="1416" t="str">
        <f>IF(40=40,IF($B40="","",AM40),"")</f>
        <v/>
      </c>
      <c r="H40" s="1416" t="str">
        <f>IF(40=40,IF($B40="","",IF(ISNUMBER(SEARCH(" colin ",$AA40)),"X",AZ40)),"")</f>
        <v/>
      </c>
      <c r="I40" s="1416" t="str">
        <f>IF(40=40,IF($B40="","",BB40),"")</f>
        <v/>
      </c>
      <c r="J40" s="1416" t="str">
        <f>IF(40=40,IF($B40="","",BF40),"")</f>
        <v>?</v>
      </c>
      <c r="K40" s="1416" t="str">
        <f>IF(40=40,IF($B40="","",BM40),"")</f>
        <v>?</v>
      </c>
      <c r="L40" s="1416" t="str">
        <f>IF(40=40,IF($B40="","",BQ40),"")</f>
        <v/>
      </c>
      <c r="M40" s="1416" t="str">
        <f>IF(40=40,IF($B40="","",BT40),"")</f>
        <v/>
      </c>
      <c r="N40" s="1416" t="str">
        <f>IF(40=40,IF($B40="","",BW40),"")</f>
        <v/>
      </c>
      <c r="O40" s="1416" t="str">
        <f>IF(40=40,IF($B40="","",BZ40),"")</f>
        <v/>
      </c>
      <c r="P40" s="1416" t="str">
        <f>IF(40=40,IF($B40="","",CC40),"")</f>
        <v/>
      </c>
      <c r="Q40" s="1416" t="str">
        <f>IF(40=40,IF($B40="","",CF40),"")</f>
        <v/>
      </c>
      <c r="R40" s="1416" t="str">
        <f>IF(40=40,IF($B40="","",CL40),"")</f>
        <v/>
      </c>
      <c r="S40" s="1417" t="str">
        <f>IF(40=40,IF($B40="","",IF(E40="?",""&amp;"Céréales contenant du gluten","")&amp;IF(F40="?",IF(COUNTIF($E40:$E40,"~?")&gt;0,", ","")&amp;"Crustacés","")&amp;IF(G40="?",IF(COUNTIF($E40:$F40,"~?")&gt;0,", ","")&amp;"Œufs","")&amp;IF(H40="?",IF(COUNTIF($E40:$G40,"~?")&gt;0,", ","")&amp;"Poissons","")&amp;IF(I40="?",IF(COUNTIF($E40:$H40,"~?")&gt;0,", ","")&amp;"Arachides","")&amp;IF(J40="?",IF(COUNTIF($E40:$I40,"~?")&gt;0,", ","")&amp;"Soja","")&amp;IF(K40="?",IF(COUNTIF($E40:$J40,"~?")&gt;0,", ","")&amp;"Lait","")&amp;IF(L40="?",IF(COUNTIF($E40:$K40,"~?")&gt;0,", ","")&amp;"Fruits à coque","")&amp;IF(M40="?",IF(COUNTIF($E40:$L40,"~?")&gt;0,", ","")&amp;"Céleri","")&amp;IF(N40="?",IF(COUNTIF($E40:$M40,"~?")&gt;0,", ","")&amp;"Moutarde","")&amp;IF(O40="?",IF(COUNTIF($E40:$N40,"~?")&gt;0,", ","")&amp;"Sésame","")&amp;IF(P40="?",IF(COUNTIF($E40:$O40,"~?")&gt;0,", ","")&amp;"Sulfites","")&amp;IF(Q40="?",IF(COUNTIF($E40:$P40,"~?")&gt;0,", ","")&amp;"Lupin","")&amp;IF(R40="?",IF(COUNTIF($E40:$Q40,"~?")&gt;0,", ","")&amp;"Mollusques","")),"")</f>
        <v>Soja, Lait</v>
      </c>
      <c r="U40" s="1368" t="str">
        <f>IF(40=40,IF($B40="","",$B40),"")</f>
        <v>Margarine</v>
      </c>
      <c r="V40" s="1368" t="str">
        <f>IF(40=40,LOWER(CLEAN(SUBSTITUTE(SUBSTITUTE(SUBSTITUTE(SUBSTITUTE($U40,CHAR(160)," ")," "," "),CHAR(10)," "),CHAR(13)," "))),"")</f>
        <v>margarine</v>
      </c>
      <c r="W40" s="1368" t="str">
        <f>IF(40=40,SUBSTITUTE(SUBSTITUTE(SUBSTITUTE(SUBSTITUTE(SUBSTITUTE(SUBSTITUTE(SUBSTITUTE(SUBSTITUTE(SUBSTITUTE(SUBSTITUTE(SUBSTITUTE(SUBSTITUTE($V40,"œ","oe"),"æ","ae"),"à","a"),"á","a"),"â","a"),"ä","a"),"ã","a"),"ç","c"),"è","e"),"é","e"),"ê","e"),"ë","e"),"")</f>
        <v>margarine</v>
      </c>
      <c r="X40" s="1368" t="str">
        <f>IF(40=40,SUBSTITUTE(SUBSTITUTE(SUBSTITUTE(SUBSTITUTE(SUBSTITUTE(SUBSTITUTE(SUBSTITUTE(SUBSTITUTE(SUBSTITUTE(SUBSTITUTE(SUBSTITUTE(SUBSTITUTE(SUBSTITUTE(SUBSTITUTE(SUBSTITUTE(SUBSTITUTE($W40,"ì","i"),"í","i"),"î","i"),"ï","i"),"ñ","n"),"ò","o"),"ó","o"),"ô","o"),"ö","o"),"õ","o"),"ù","u"),"ú","u"),"û","u"),"ü","u"),"ý","y"),"ÿ","y"),"")</f>
        <v>margarine</v>
      </c>
      <c r="Y40" s="1368" t="str">
        <f>IF(40=40,SUBSTITUTE(SUBSTITUTE(SUBSTITUTE(SUBSTITUTE(SUBSTITUTE(SUBSTITUTE(SUBSTITUTE(SUBSTITUTE(SUBSTITUTE(SUBSTITUTE(SUBSTITUTE(SUBSTITUTE(SUBSTITUTE(SUBSTITUTE($X40,"’"," "),"`"," "),"–"," "),"—"," "),"-"," "),"'"," "),"/"," "),"_"," "),","," "),"."," "),"("," "),")"," "),";"," "),":"," "),"")</f>
        <v>margarine</v>
      </c>
      <c r="Z40" s="1368" t="str">
        <f>IF(40=40,SUBSTITUTE(SUBSTITUTE(SUBSTITUTE(SUBSTITUTE(SUBSTITUTE(SUBSTITUTE(SUBSTITUTE(SUBSTITUTE(SUBSTITUTE(SUBSTITUTE(SUBSTITUTE(SUBSTITUTE(SUBSTITUTE(SUBSTITUTE(SUBSTITUTE($Y40,"!"," "),"?"," "),"+"," "),"*"," "),"&amp;"," "),"["," "),"]"," "),"{"," "),"}"," "),"%"," "),"="," "),"\"," "),"|"," "),"&lt;"," "),"&gt;"," "),"")</f>
        <v>margarine</v>
      </c>
      <c r="AA40" s="1368" t="str">
        <f>IF(40=40," "&amp;TRIM(SUBSTITUTE(SUBSTITUTE(SUBSTITUTE(SUBSTITUTE(SUBSTITUTE(SUBSTITUTE($Z40,CHAR(34)," "),"  "," "),"  "," "),"  "," "),"  "," "),"  "," "))&amp;" ","")</f>
        <v xml:space="preserve"> margarine </v>
      </c>
      <c r="AB40" s="1368">
        <f>IF(40=40,IF($U40="","",SUMPRODUCT(--ISNUMBER(SEARCH(" "&amp;$CR$2:$CR$101&amp;" ",$AD40)))),"")</f>
        <v>0</v>
      </c>
      <c r="AC40" s="1368">
        <f>IF(40=40,IF($U40="","",SUMPRODUCT(--ISNUMBER(SEARCH(" "&amp;$CR$102:$CR$151&amp;" ",$AD40)))),"")</f>
        <v>0</v>
      </c>
      <c r="AD40" s="1368" t="str">
        <f t="shared" si="1"/>
        <v xml:space="preserve"> margarine </v>
      </c>
      <c r="AE40" s="1368">
        <f t="shared" si="2"/>
        <v>0</v>
      </c>
      <c r="AF40" s="1368" t="str">
        <f>IF(40=40,IF($U40="","",IF(SUM(AB40:AC40)+SUMPRODUCT(--ISNUMBER(SEARCH(" "&amp;$CR$2418:$CR$2420&amp;" ",$AD40)))&gt;0,"X",IF(AE40&gt;0,"?",""))),"")</f>
        <v/>
      </c>
      <c r="AG40" s="1368">
        <f>IF(40=40,IF($U40="","",SUMPRODUCT(--ISNUMBER(SEARCH(" "&amp;$CR$206:$CR$305&amp;" ",$AA40)))),"")</f>
        <v>0</v>
      </c>
      <c r="AH40" s="1368">
        <f>IF(40=40,IF($U40="","",SUMPRODUCT(--ISNUMBER(SEARCH(" "&amp;$CR$306:$CR$340&amp;" ",$AA40)))),"")</f>
        <v>0</v>
      </c>
      <c r="AI40" s="1368" t="str">
        <f>IF(40=40,IF($U40="","",IF((SUM(AG40:AH40))-(0)&gt;0,"X",IF((0)-(0)&gt;0,"?",""))),"")</f>
        <v/>
      </c>
      <c r="AJ40" s="1368">
        <f>IF(40=40,IF($U40="","",SUMPRODUCT(--ISNUMBER(SEARCH(" "&amp;$CR$341:$CR$398&amp;" ",$AA40)))),"")</f>
        <v>0</v>
      </c>
      <c r="AK40" s="1368">
        <f>IF(40=40,IF($U40="","",SUMPRODUCT(--ISNUMBER(SEARCH(" "&amp;$CR$399:$CR$426&amp;" ",$AL40)))+SUMPRODUCT(--ISNUMBER(SEARCH(" "&amp;$CR$2440:$CR$2453&amp;" ",$AL40)))),"")</f>
        <v>0</v>
      </c>
      <c r="AL40" s="1368" t="str">
        <f>IF(40=40,IF($U40="","",SUBSTITUTE(SUBSTITUTE(SUBSTITUTE(SUBSTITUTE(SUBSTITUTE(SUBSTITUTE(SUBSTITUTE(SUBSTITUTE(SUBSTITUTE(SUBSTITUTE(SUBSTITUTE(SUBSTITUTE(SUBSTITUTE(SUBSTITUTE($AA40," "&amp;$CR$2455&amp;" "," ")," "&amp;$CR$433&amp;" "," ")," "&amp;$CR$431&amp;" "," ")," "&amp;$CR$2438&amp;" "," ")," "&amp;$CR$2439&amp;" "," ")," "&amp;$CR$428&amp;" "," ")," "&amp;$CR$432&amp;" "," ")," "&amp;$CR$434&amp;" "," ")," "&amp;$CR$429&amp;" "," ")," "&amp;$CR$427&amp;" "," ")," "&amp;$CR$1367&amp;" "," ")," "&amp;$CR$435&amp;" "," ")," "&amp;$CR$1366&amp;" "," ")," "&amp;$CR$430&amp;" "," ")),"")</f>
        <v xml:space="preserve"> margarine </v>
      </c>
      <c r="AM40" s="1368" t="str">
        <f>IF(40=40,IF($U40="","",IF(AJ40&gt;0,"X",IF(AK40&gt;0,"?",""))),"")</f>
        <v/>
      </c>
      <c r="AN40" s="1368">
        <f>IF(40=40,IF($U40="","",SUMPRODUCT(--ISNUMBER(SEARCH(" "&amp;$CR$436:$CR$535&amp;" ",$AX40)))),"")</f>
        <v>0</v>
      </c>
      <c r="AO40" s="1368">
        <f>IF(40=40,IF($U40="","",SUMPRODUCT(--ISNUMBER(SEARCH(" "&amp;$CR$536:$CR$635&amp;" ",$AX40)))),"")</f>
        <v>0</v>
      </c>
      <c r="AP40" s="1368">
        <f>IF(40=40,IF($U40="","",SUMPRODUCT(--ISNUMBER(SEARCH(" "&amp;$CR$636:$CR$735&amp;" ",$AX40)))),"")</f>
        <v>0</v>
      </c>
      <c r="AQ40" s="1368">
        <f>IF(40=40,IF($U40="","",SUMPRODUCT(--ISNUMBER(SEARCH(" "&amp;$CR$736:$CR$835&amp;" ",$AX40)))),"")</f>
        <v>0</v>
      </c>
      <c r="AR40" s="1368">
        <f>IF(40=40,IF($U40="","",SUMPRODUCT(--ISNUMBER(SEARCH(" "&amp;$CR$836:$CR$935&amp;" ",$AX40)))),"")</f>
        <v>0</v>
      </c>
      <c r="AS40" s="1368">
        <f>IF(40=40,IF($U40="","",SUMPRODUCT(--ISNUMBER(SEARCH(" "&amp;$CR$936:$CR$1035&amp;" ",$AX40)))),"")</f>
        <v>0</v>
      </c>
      <c r="AT40" s="1368">
        <f>IF(40=40,IF($U40="","",SUMPRODUCT(--ISNUMBER(SEARCH(" "&amp;$CR$1036:$CR$1135&amp;" ",$AX40)))),"")</f>
        <v>0</v>
      </c>
      <c r="AU40" s="1368">
        <f>IF(40=40,IF($U40="","",SUMPRODUCT(--ISNUMBER(SEARCH(" "&amp;$CR$1136:$CR$1235&amp;" ",$AX40)))),"")</f>
        <v>0</v>
      </c>
      <c r="AV40" s="1368">
        <f>IF(40=40,IF($U40="","",SUMPRODUCT(--ISNUMBER(SEARCH(" "&amp;$CR$1236:$CR$1335&amp;" ",$AX40)))),"")</f>
        <v>0</v>
      </c>
      <c r="AW40" s="1368">
        <f>IF(40=40,IF($U40="","",SUMPRODUCT(--ISNUMBER(SEARCH(" "&amp;$CR$1336:$CR$1363&amp;" ",$AX40)))),"")</f>
        <v>0</v>
      </c>
      <c r="AX40" s="1368" t="str">
        <f>IF(40=40,IF($U40="","",SUBSTITUTE(SUBSTITUTE(SUBSTITUTE(SUBSTITUTE(SUBSTITUTE(SUBSTITUTE(SUBSTITUTE(SUBSTITUTE(SUBSTITUTE($AA40," "&amp;$CR$1365&amp;" "," ")," "&amp;$CR$1364&amp;" "," ")," "&amp;$CR$1370&amp;" "," ")," "&amp;$CR$1371&amp;" "," ")," "&amp;$CR$1367&amp;" "," ")," "&amp;$CR$1369&amp;" "," ")," "&amp;$CR$1366&amp;" "," ")," "&amp;$CR$1368&amp;" "," ")," "&amp;$CR$1372&amp;" "," ")),"")</f>
        <v xml:space="preserve"> margarine </v>
      </c>
      <c r="AY40" s="1368">
        <f>IF(40=40,IF($U40="","",SUMPRODUCT(--ISNUMBER(SEARCH(" "&amp;$CR$1373:$CR$1383&amp;" ",$AX40)))),"")</f>
        <v>0</v>
      </c>
      <c r="AZ40" s="1368" t="str">
        <f>IF(40=40,IF($U40="","",IF(SUM(AN40:AW40)+SUMPRODUCT(--ISNUMBER(SEARCH(" "&amp;$CR$2421:$CR$2422&amp;" ",$AX40)))&gt;0,"X",IF(AY40&gt;0,"?",""))),"")</f>
        <v/>
      </c>
      <c r="BA40" s="1368">
        <f>IF(40=40,IF($U40="","",SUMPRODUCT(--ISNUMBER(SEARCH(" "&amp;$CR$1384:$CR$1404&amp;" ",$AA40)))),"")</f>
        <v>0</v>
      </c>
      <c r="BB40" s="1368" t="str">
        <f>IF(40=40,IF($U40="","",IF((BA40)-(0)&gt;0,"X",IF((0)-(0)&gt;0,"?",""))),"")</f>
        <v/>
      </c>
      <c r="BC40" s="1368">
        <f>IF(40=40,IF($U40="","",SUMPRODUCT(--ISNUMBER(SEARCH(" "&amp;$CR$1405:$CR$1442&amp;" ",$BD40)))),"")</f>
        <v>0</v>
      </c>
      <c r="BD40" s="1368" t="str">
        <f>IF(40=40,IF($U40="","",SUBSTITUTE(SUBSTITUTE($AA40," "&amp;$CR$1443&amp;" "," ")," "&amp;$CR$1444&amp;" "," ")),"")</f>
        <v xml:space="preserve"> margarine </v>
      </c>
      <c r="BE40" s="1368">
        <f>IF(40=40,IF($U40="","",SUMPRODUCT(--ISNUMBER(SEARCH(" "&amp;$CR$1445:$CR$1455&amp;" ",$BD40)))),"")</f>
        <v>1</v>
      </c>
      <c r="BF40" s="1368" t="str">
        <f>IF(40=40,IF($U40="","",IF(BC40&gt;0,"X",IF(BE40&gt;0,"?",""))),"")</f>
        <v>?</v>
      </c>
      <c r="BG40" s="1368">
        <f>IF(40=40,IF($U40="","",SUMPRODUCT(--ISNUMBER(SEARCH(" "&amp;$CR$1456:$CR$1555&amp;" ",$BJ40)))),"")</f>
        <v>0</v>
      </c>
      <c r="BH40" s="1368">
        <f>IF(40=40,IF($U40="","",SUMPRODUCT(--ISNUMBER(SEARCH(" "&amp;$CR$1556:$CR$1655&amp;" ",$BJ40)))),"")</f>
        <v>0</v>
      </c>
      <c r="BI40" s="1368">
        <f>IF(40=40,IF($U40="","",SUMPRODUCT(--ISNUMBER(SEARCH(" "&amp;$CR$1656:$CR$1739&amp;" ",$BJ40)))),"")</f>
        <v>0</v>
      </c>
      <c r="BJ40" s="1368" t="str">
        <f>IF(40=40,IF($U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margarine </v>
      </c>
      <c r="BK40" s="1368">
        <f>IF(40=40,IF($U40="","",SUMPRODUCT(--ISNUMBER(SEARCH(" "&amp;$CR$1790:$CR$1869&amp;" ",$BL40)))+SUMPRODUCT(--ISNUMBER(SEARCH(" "&amp;$CR$2440:$CR$2453&amp;" ",$BL40)))),"")</f>
        <v>1</v>
      </c>
      <c r="BL40" s="1368" t="str">
        <f>IF(40=40,IF($U40="","",SUBSTITUTE(SUBSTITUTE(SUBSTITUTE(SUBSTITUTE(SUBSTITUTE(SUBSTITUTE(SUBSTITUTE(SUBSTITUTE(SUBSTITUTE(SUBSTITUTE(SUBSTITUTE(SUBSTITUTE(SUBSTITUTE($BJ40," "&amp;$CR$1876&amp;" "," ")," "&amp;$CR$1874&amp;" "," ")," "&amp;$CR$2438&amp;" "," ")," "&amp;$CR$2439&amp;" "," ")," "&amp;$CR$1871&amp;" "," ")," "&amp;$CR$1875&amp;" "," ")," "&amp;$CR$1877&amp;" "," ")," "&amp;$CR$1872&amp;" "," ")," "&amp;$CR$1870&amp;" "," ")," "&amp;$CR$1367&amp;" "," ")," "&amp;$CR$1878&amp;" "," ")," "&amp;$CR$1366&amp;" "," ")," "&amp;$CR$1873&amp;" "," ")),"")</f>
        <v xml:space="preserve"> margarine </v>
      </c>
      <c r="BM40" s="1368" t="str">
        <f>IF(40=40,IF($U40="","",IF(SUM(BG40:BI40)+SUMPRODUCT(--ISNUMBER(SEARCH(" "&amp;$CR$2423:$CR$2424&amp;" ",$BJ40)))&gt;0,"X",IF(BK40&gt;0,"?",""))),"")</f>
        <v>?</v>
      </c>
      <c r="BN40" s="1368">
        <f>IF(40=40,IF($U40="","",SUMPRODUCT(--ISNUMBER(SEARCH(" "&amp;$CR$1879:$CR$1936&amp;" ",$BO40)))),"")</f>
        <v>0</v>
      </c>
      <c r="BO40" s="1368" t="str">
        <f>IF(40=40,IF($U40="","",SUBSTITUTE(SUBSTITUTE(SUBSTITUTE(SUBSTITUTE(SUBSTITUTE(SUBSTITUTE(SUBSTITUTE(SUBSTITUTE(SUBSTITUTE(SUBSTITUTE(SUBSTITUTE(SUBSTITUTE(SUBSTITUTE(SUBSTITUTE(SUBSTITUTE(SUBSTITUTE(SUBSTITUTE(SUBSTITUTE(SUBSTITUTE(SUBSTITUTE(SUBSTITUTE(SUBSTITUTE(SUBSTITUTE($AA40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margarine </v>
      </c>
      <c r="BP40" s="1368">
        <f>IF(40=40,IF($U40="","",SUMPRODUCT(--ISNUMBER(SEARCH(" "&amp;$CR$1960:$CR$1976&amp;" ",$BO40)))),"")</f>
        <v>0</v>
      </c>
      <c r="BQ40" s="1368" t="str">
        <f>IF(40=40,IF($U40="","",IF(BN40&gt;0,"X",IF(BP40&gt;0,"?",""))),"")</f>
        <v/>
      </c>
      <c r="BR40" s="1368">
        <f>IF(40=40,IF($U40="","",SUMPRODUCT(--ISNUMBER(SEARCH(" "&amp;$CR$1977:$CR$1990&amp;" ",$AA40)))),"")</f>
        <v>0</v>
      </c>
      <c r="BS40" s="1368">
        <f>IF(40=40,IF($U40="","",SUMPRODUCT(--ISNUMBER(SEARCH(" "&amp;$CR$1991:$CR$2005&amp;" ",$AA40)))),"")</f>
        <v>0</v>
      </c>
      <c r="BT40" s="1368" t="str">
        <f>IF(40=40,IF($U40="","",IF((BR40)-(0)&gt;0,"X",IF((BS40)-(0)&gt;0,"?",""))),"")</f>
        <v/>
      </c>
      <c r="BU40" s="1368">
        <f>IF(40=40,IF($U40="","",SUMPRODUCT(--ISNUMBER(SEARCH(" "&amp;$CR$2006:$CR$2023&amp;" ",$AA40)))),"")</f>
        <v>0</v>
      </c>
      <c r="BV40" s="1368">
        <f>IF(40=40,IF($U40="","",SUMPRODUCT(--ISNUMBER(SEARCH(" "&amp;$CR$2024:$CR$2038&amp;" ",$AA40)))),"")</f>
        <v>0</v>
      </c>
      <c r="BW40" s="1368" t="str">
        <f>IF(40=40,IF($U40="","",IF((BU40)-(0)&gt;0,"X",IF((BV40)-(0)&gt;0,"?",""))),"")</f>
        <v/>
      </c>
      <c r="BX40" s="1368">
        <f>IF(40=40,IF($U40="","",SUMPRODUCT(--ISNUMBER(SEARCH(" "&amp;$CR$2039:$CR$2057&amp;" ",$AA40)))),"")</f>
        <v>0</v>
      </c>
      <c r="BY40" s="1368">
        <f>IF(40=40,IF($U40="","",SUMPRODUCT(--ISNUMBER(SEARCH(" "&amp;$CR$2058:$CR$2072&amp;" ",$AA40)))),"")</f>
        <v>0</v>
      </c>
      <c r="BZ40" s="1368" t="str">
        <f>IF(40=40,IF($U40="","",IF((BX40)-(0)&gt;0,"X",IF((BY40)-(0)&gt;0,"?",""))),"")</f>
        <v/>
      </c>
      <c r="CA40" s="1368">
        <f>IF(40=40,IF($U40="","",SUMPRODUCT(--ISNUMBER(SEARCH(" "&amp;$CR$2073:$CR$2093&amp;" ",$AA40)))),"")</f>
        <v>0</v>
      </c>
      <c r="CB40" s="1368">
        <f>IF(40=40,IF($U40="","",SUMPRODUCT(--ISNUMBER(SEARCH(" "&amp;$CR$2094:$CR$2133&amp;" ",SUBSTITUTE(SUBSTITUTE($AA40," "&amp;$CR$1367&amp;" "," ")," "&amp;$CR$1366&amp;" "," "))))+--ISNUMBER(SEARCH("poiré",$V40))),"")</f>
        <v>0</v>
      </c>
      <c r="CC40" s="1368" t="str">
        <f>IF(40=40,IF($U40="","",IF(OR(CA40&gt;0,ISNUMBER(SEARCH(" vinaigre de vin ",$AA40)),ISNUMBER(SEARCH(" vinaigre au vin ",$AA40))),"X",IF(CB40&gt;0,"?",""))),"")</f>
        <v/>
      </c>
      <c r="CD40" s="1368">
        <f>IF(40=40,IF($U40="","",SUMPRODUCT(--ISNUMBER(SEARCH(" "&amp;$CR$2134:$CR$2146&amp;" ",$AA40)))),"")</f>
        <v>0</v>
      </c>
      <c r="CE40" s="1368">
        <f>IF(40=40,IF($U40="","",SUMPRODUCT(--ISNUMBER(SEARCH(" "&amp;$CR$2147:$CR$2152&amp;" ",$AA40)))),"")</f>
        <v>0</v>
      </c>
      <c r="CF40" s="1368" t="str">
        <f>IF(40=40,IF($U40="","",IF((CD40)-(0)&gt;0,"X",IF((CE40)-(0)&gt;0,"?",""))),"")</f>
        <v/>
      </c>
      <c r="CG40" s="1368">
        <f>IF(40=40,IF($U40="","",SUMPRODUCT(--ISNUMBER(SEARCH(" "&amp;$CR$2153:$CR$2252&amp;" ",$CJ40)))),"")</f>
        <v>0</v>
      </c>
      <c r="CH40" s="1368">
        <f>IF(40=40,IF($U40="","",SUMPRODUCT(--ISNUMBER(SEARCH(" "&amp;$CR$2253:$CR$2352&amp;" ",$CJ40)))),"")</f>
        <v>0</v>
      </c>
      <c r="CI40" s="1368">
        <f>IF(40=40,IF($U40="","",SUMPRODUCT(--ISNUMBER(SEARCH(" "&amp;$CR$2353:$CR$2395&amp;" ",$CJ40)))),"")</f>
        <v>0</v>
      </c>
      <c r="CJ40" s="1368" t="str">
        <f>IF(40=40,IF($U40="","",SUBSTITUTE(SUBSTITUTE(SUBSTITUTE(SUBSTITUTE(SUBSTITUTE(SUBSTITUTE(SUBSTITUTE(SUBSTITUTE(SUBSTITUTE(SUBSTITUTE(SUBSTITUTE(SUBSTITUTE(SUBSTITUTE(SUBSTITUTE(SUBSTITUTE(SUBSTITUTE($AA40," "&amp;$CR$2401&amp;" "," ")," "&amp;$CR$2400&amp;" "," ")," "&amp;$CR$2399&amp;" "," ")," "&amp;$CR$2406&amp;" "," ")," "&amp;$CR$2398&amp;" "," ")," "&amp;$CR$2410&amp;" "," ")," "&amp;$CR$2397&amp;" "," ")," "&amp;$CR$2402&amp;" "," ")," "&amp;$CR$2405&amp;" "," ")," "&amp;$CR$2396&amp;" "," ")," "&amp;$CR$2404&amp;" "," ")," "&amp;$CR$2411&amp;" "," ")," "&amp;$CR$2408&amp;" "," ")," "&amp;$CR$2403&amp;" "," ")," "&amp;$CR$2407&amp;" "," ")," "&amp;$CR$2409&amp;" "," ")),"")</f>
        <v xml:space="preserve"> margarine </v>
      </c>
      <c r="CK40" s="1368">
        <f>IF(40=40,IF($U40="","",SUMPRODUCT(--ISNUMBER(SEARCH(" "&amp;$CR$2412:$CR$2416&amp;" ",$CJ40)))),"")</f>
        <v>0</v>
      </c>
      <c r="CL40" s="1368" t="str">
        <f>IF(40=40,IF($U40="","",IF(SUM(CG40:CI40)&gt;0,"X",IF(CK40&gt;0,"?",""))),"")</f>
        <v/>
      </c>
      <c r="CM40" s="1377"/>
      <c r="CN40" s="1388" t="s">
        <v>8303</v>
      </c>
      <c r="CO40" s="1388" t="s">
        <v>8105</v>
      </c>
      <c r="CP40" s="1388" t="s">
        <v>8106</v>
      </c>
      <c r="CQ40" s="1388" t="s">
        <v>8304</v>
      </c>
      <c r="CR40" s="1388" t="s">
        <v>8305</v>
      </c>
      <c r="CS40" s="1388" t="s">
        <v>8108</v>
      </c>
      <c r="CT40" s="1388" t="s">
        <v>8109</v>
      </c>
      <c r="CU40" s="1388" t="s">
        <v>8110</v>
      </c>
      <c r="CV40" s="1389" t="s">
        <v>8111</v>
      </c>
      <c r="CX40" s="1379">
        <v>1</v>
      </c>
    </row>
    <row r="41" spans="1:102" ht="21" customHeight="1" x14ac:dyDescent="0.25">
      <c r="A41" s="1412">
        <v>35</v>
      </c>
      <c r="B41" s="1413" t="s">
        <v>8306</v>
      </c>
      <c r="C41" s="1414" t="str">
        <f t="shared" si="0"/>
        <v>Morue (filets dessalés) *</v>
      </c>
      <c r="D41" s="1415" t="str">
        <f>IF(41=41,IF($B41="","",IF(E41="X",""&amp;"Céréales contenant du gluten","")&amp;IF(F41="X",IF(COUNTIF($E41:$E41,"X")&gt;0,", ","")&amp;"Crustacés","")&amp;IF(G41="X",IF(COUNTIF($E41:$F41,"X")&gt;0,", ","")&amp;"Œufs","")&amp;IF(H41="X",IF(COUNTIF($E41:$G41,"X")&gt;0,", ","")&amp;"Poissons","")&amp;IF(I41="X",IF(COUNTIF($E41:$H41,"X")&gt;0,", ","")&amp;"Arachides","")&amp;IF(J41="X",IF(COUNTIF($E41:$I41,"X")&gt;0,", ","")&amp;"Soja","")&amp;IF(K41="X",IF(COUNTIF($E41:$J41,"X")&gt;0,", ","")&amp;"Lait","")&amp;IF(L41="X",IF(COUNTIF($E41:$K41,"X")&gt;0,", ","")&amp;"Fruits à coque","")&amp;IF(M41="X",IF(COUNTIF($E41:$L41,"X")&gt;0,", ","")&amp;"Céleri","")&amp;IF(N41="X",IF(COUNTIF($E41:$M41,"X")&gt;0,", ","")&amp;"Moutarde","")&amp;IF(O41="X",IF(COUNTIF($E41:$N41,"X")&gt;0,", ","")&amp;"Sésame","")&amp;IF(P41="X",IF(COUNTIF($E41:$O41,"X")&gt;0,", ","")&amp;"Sulfites","")&amp;IF(Q41="X",IF(COUNTIF($E41:$P41,"X")&gt;0,", ","")&amp;"Lupin","")&amp;IF(R41="X",IF(COUNTIF($E41:$Q41,"X")&gt;0,", ","")&amp;"Mollusques","")),"")</f>
        <v>Poissons</v>
      </c>
      <c r="E41" s="1416" t="str">
        <f>IF(41=41,IF($B41="","",AF41),"")</f>
        <v/>
      </c>
      <c r="F41" s="1416" t="str">
        <f>IF(41=41,IF($B41="","",AI41),"")</f>
        <v/>
      </c>
      <c r="G41" s="1416" t="str">
        <f>IF(41=41,IF($B41="","",AM41),"")</f>
        <v/>
      </c>
      <c r="H41" s="1416" t="str">
        <f>IF(41=41,IF($B41="","",IF(ISNUMBER(SEARCH(" colin ",$AA41)),"X",AZ41)),"")</f>
        <v>X</v>
      </c>
      <c r="I41" s="1416" t="str">
        <f>IF(41=41,IF($B41="","",BB41),"")</f>
        <v/>
      </c>
      <c r="J41" s="1416" t="str">
        <f>IF(41=41,IF($B41="","",BF41),"")</f>
        <v/>
      </c>
      <c r="K41" s="1416" t="str">
        <f>IF(41=41,IF($B41="","",BM41),"")</f>
        <v/>
      </c>
      <c r="L41" s="1416" t="str">
        <f>IF(41=41,IF($B41="","",BQ41),"")</f>
        <v/>
      </c>
      <c r="M41" s="1416" t="str">
        <f>IF(41=41,IF($B41="","",BT41),"")</f>
        <v/>
      </c>
      <c r="N41" s="1416" t="str">
        <f>IF(41=41,IF($B41="","",BW41),"")</f>
        <v/>
      </c>
      <c r="O41" s="1416" t="str">
        <f>IF(41=41,IF($B41="","",BZ41),"")</f>
        <v/>
      </c>
      <c r="P41" s="1416" t="str">
        <f>IF(41=41,IF($B41="","",CC41),"")</f>
        <v/>
      </c>
      <c r="Q41" s="1416" t="str">
        <f>IF(41=41,IF($B41="","",CF41),"")</f>
        <v/>
      </c>
      <c r="R41" s="1416" t="str">
        <f>IF(41=41,IF($B41="","",CL41),"")</f>
        <v/>
      </c>
      <c r="S41" s="1417" t="str">
        <f>IF(41=41,IF($B41="","",IF(E41="?",""&amp;"Céréales contenant du gluten","")&amp;IF(F41="?",IF(COUNTIF($E41:$E41,"~?")&gt;0,", ","")&amp;"Crustacés","")&amp;IF(G41="?",IF(COUNTIF($E41:$F41,"~?")&gt;0,", ","")&amp;"Œufs","")&amp;IF(H41="?",IF(COUNTIF($E41:$G41,"~?")&gt;0,", ","")&amp;"Poissons","")&amp;IF(I41="?",IF(COUNTIF($E41:$H41,"~?")&gt;0,", ","")&amp;"Arachides","")&amp;IF(J41="?",IF(COUNTIF($E41:$I41,"~?")&gt;0,", ","")&amp;"Soja","")&amp;IF(K41="?",IF(COUNTIF($E41:$J41,"~?")&gt;0,", ","")&amp;"Lait","")&amp;IF(L41="?",IF(COUNTIF($E41:$K41,"~?")&gt;0,", ","")&amp;"Fruits à coque","")&amp;IF(M41="?",IF(COUNTIF($E41:$L41,"~?")&gt;0,", ","")&amp;"Céleri","")&amp;IF(N41="?",IF(COUNTIF($E41:$M41,"~?")&gt;0,", ","")&amp;"Moutarde","")&amp;IF(O41="?",IF(COUNTIF($E41:$N41,"~?")&gt;0,", ","")&amp;"Sésame","")&amp;IF(P41="?",IF(COUNTIF($E41:$O41,"~?")&gt;0,", ","")&amp;"Sulfites","")&amp;IF(Q41="?",IF(COUNTIF($E41:$P41,"~?")&gt;0,", ","")&amp;"Lupin","")&amp;IF(R41="?",IF(COUNTIF($E41:$Q41,"~?")&gt;0,", ","")&amp;"Mollusques","")),"")</f>
        <v/>
      </c>
      <c r="U41" s="1368" t="str">
        <f>IF(41=41,IF($B41="","",$B41),"")</f>
        <v>Morue (filets dessalés)</v>
      </c>
      <c r="V41" s="1368" t="str">
        <f>IF(41=41,LOWER(CLEAN(SUBSTITUTE(SUBSTITUTE(SUBSTITUTE(SUBSTITUTE($U41,CHAR(160)," ")," "," "),CHAR(10)," "),CHAR(13)," "))),"")</f>
        <v>morue (filets dessalés)</v>
      </c>
      <c r="W41" s="1368" t="str">
        <f>IF(41=41,SUBSTITUTE(SUBSTITUTE(SUBSTITUTE(SUBSTITUTE(SUBSTITUTE(SUBSTITUTE(SUBSTITUTE(SUBSTITUTE(SUBSTITUTE(SUBSTITUTE(SUBSTITUTE(SUBSTITUTE($V41,"œ","oe"),"æ","ae"),"à","a"),"á","a"),"â","a"),"ä","a"),"ã","a"),"ç","c"),"è","e"),"é","e"),"ê","e"),"ë","e"),"")</f>
        <v>morue (filets dessales)</v>
      </c>
      <c r="X41" s="1368" t="str">
        <f>IF(41=41,SUBSTITUTE(SUBSTITUTE(SUBSTITUTE(SUBSTITUTE(SUBSTITUTE(SUBSTITUTE(SUBSTITUTE(SUBSTITUTE(SUBSTITUTE(SUBSTITUTE(SUBSTITUTE(SUBSTITUTE(SUBSTITUTE(SUBSTITUTE(SUBSTITUTE(SUBSTITUTE($W41,"ì","i"),"í","i"),"î","i"),"ï","i"),"ñ","n"),"ò","o"),"ó","o"),"ô","o"),"ö","o"),"õ","o"),"ù","u"),"ú","u"),"û","u"),"ü","u"),"ý","y"),"ÿ","y"),"")</f>
        <v>morue (filets dessales)</v>
      </c>
      <c r="Y41" s="1368" t="str">
        <f>IF(41=41,SUBSTITUTE(SUBSTITUTE(SUBSTITUTE(SUBSTITUTE(SUBSTITUTE(SUBSTITUTE(SUBSTITUTE(SUBSTITUTE(SUBSTITUTE(SUBSTITUTE(SUBSTITUTE(SUBSTITUTE(SUBSTITUTE(SUBSTITUTE($X41,"’"," "),"`"," "),"–"," "),"—"," "),"-"," "),"'"," "),"/"," "),"_"," "),","," "),"."," "),"("," "),")"," "),";"," "),":"," "),"")</f>
        <v xml:space="preserve">morue  filets dessales </v>
      </c>
      <c r="Z41" s="1368" t="str">
        <f>IF(41=41,SUBSTITUTE(SUBSTITUTE(SUBSTITUTE(SUBSTITUTE(SUBSTITUTE(SUBSTITUTE(SUBSTITUTE(SUBSTITUTE(SUBSTITUTE(SUBSTITUTE(SUBSTITUTE(SUBSTITUTE(SUBSTITUTE(SUBSTITUTE(SUBSTITUTE($Y41,"!"," "),"?"," "),"+"," "),"*"," "),"&amp;"," "),"["," "),"]"," "),"{"," "),"}"," "),"%"," "),"="," "),"\"," "),"|"," "),"&lt;"," "),"&gt;"," "),"")</f>
        <v xml:space="preserve">morue  filets dessales </v>
      </c>
      <c r="AA41" s="1368" t="str">
        <f>IF(41=41," "&amp;TRIM(SUBSTITUTE(SUBSTITUTE(SUBSTITUTE(SUBSTITUTE(SUBSTITUTE(SUBSTITUTE($Z41,CHAR(34)," "),"  "," "),"  "," "),"  "," "),"  "," "),"  "," "))&amp;" ","")</f>
        <v xml:space="preserve"> morue filets dessales </v>
      </c>
      <c r="AB41" s="1368">
        <f>IF(41=41,IF($U41="","",SUMPRODUCT(--ISNUMBER(SEARCH(" "&amp;$CR$2:$CR$101&amp;" ",$AD41)))),"")</f>
        <v>0</v>
      </c>
      <c r="AC41" s="1368">
        <f>IF(41=41,IF($U41="","",SUMPRODUCT(--ISNUMBER(SEARCH(" "&amp;$CR$102:$CR$151&amp;" ",$AD41)))),"")</f>
        <v>0</v>
      </c>
      <c r="AD41" s="1368" t="str">
        <f t="shared" si="1"/>
        <v xml:space="preserve"> morue filets dessales </v>
      </c>
      <c r="AE41" s="1368">
        <f t="shared" si="2"/>
        <v>0</v>
      </c>
      <c r="AF41" s="1368" t="str">
        <f>IF(41=41,IF($U41="","",IF(SUM(AB41:AC41)+SUMPRODUCT(--ISNUMBER(SEARCH(" "&amp;$CR$2418:$CR$2420&amp;" ",$AD41)))&gt;0,"X",IF(AE41&gt;0,"?",""))),"")</f>
        <v/>
      </c>
      <c r="AG41" s="1368">
        <f>IF(41=41,IF($U41="","",SUMPRODUCT(--ISNUMBER(SEARCH(" "&amp;$CR$206:$CR$305&amp;" ",$AA41)))),"")</f>
        <v>0</v>
      </c>
      <c r="AH41" s="1368">
        <f>IF(41=41,IF($U41="","",SUMPRODUCT(--ISNUMBER(SEARCH(" "&amp;$CR$306:$CR$340&amp;" ",$AA41)))),"")</f>
        <v>0</v>
      </c>
      <c r="AI41" s="1368" t="str">
        <f>IF(41=41,IF($U41="","",IF((SUM(AG41:AH41))-(0)&gt;0,"X",IF((0)-(0)&gt;0,"?",""))),"")</f>
        <v/>
      </c>
      <c r="AJ41" s="1368">
        <f>IF(41=41,IF($U41="","",SUMPRODUCT(--ISNUMBER(SEARCH(" "&amp;$CR$341:$CR$398&amp;" ",$AA41)))),"")</f>
        <v>0</v>
      </c>
      <c r="AK41" s="1368">
        <f>IF(41=41,IF($U41="","",SUMPRODUCT(--ISNUMBER(SEARCH(" "&amp;$CR$399:$CR$426&amp;" ",$AL41)))+SUMPRODUCT(--ISNUMBER(SEARCH(" "&amp;$CR$2440:$CR$2453&amp;" ",$AL41)))),"")</f>
        <v>0</v>
      </c>
      <c r="AL41" s="1368" t="str">
        <f>IF(41=41,IF($U41="","",SUBSTITUTE(SUBSTITUTE(SUBSTITUTE(SUBSTITUTE(SUBSTITUTE(SUBSTITUTE(SUBSTITUTE(SUBSTITUTE(SUBSTITUTE(SUBSTITUTE(SUBSTITUTE(SUBSTITUTE(SUBSTITUTE(SUBSTITUTE($AA41," "&amp;$CR$2455&amp;" "," ")," "&amp;$CR$433&amp;" "," ")," "&amp;$CR$431&amp;" "," ")," "&amp;$CR$2438&amp;" "," ")," "&amp;$CR$2439&amp;" "," ")," "&amp;$CR$428&amp;" "," ")," "&amp;$CR$432&amp;" "," ")," "&amp;$CR$434&amp;" "," ")," "&amp;$CR$429&amp;" "," ")," "&amp;$CR$427&amp;" "," ")," "&amp;$CR$1367&amp;" "," ")," "&amp;$CR$435&amp;" "," ")," "&amp;$CR$1366&amp;" "," ")," "&amp;$CR$430&amp;" "," ")),"")</f>
        <v xml:space="preserve"> morue filets dessales </v>
      </c>
      <c r="AM41" s="1368" t="str">
        <f>IF(41=41,IF($U41="","",IF(AJ41&gt;0,"X",IF(AK41&gt;0,"?",""))),"")</f>
        <v/>
      </c>
      <c r="AN41" s="1368">
        <f>IF(41=41,IF($U41="","",SUMPRODUCT(--ISNUMBER(SEARCH(" "&amp;$CR$436:$CR$535&amp;" ",$AX41)))),"")</f>
        <v>0</v>
      </c>
      <c r="AO41" s="1368">
        <f>IF(41=41,IF($U41="","",SUMPRODUCT(--ISNUMBER(SEARCH(" "&amp;$CR$536:$CR$635&amp;" ",$AX41)))),"")</f>
        <v>0</v>
      </c>
      <c r="AP41" s="1368">
        <f>IF(41=41,IF($U41="","",SUMPRODUCT(--ISNUMBER(SEARCH(" "&amp;$CR$636:$CR$735&amp;" ",$AX41)))),"")</f>
        <v>0</v>
      </c>
      <c r="AQ41" s="1368">
        <f>IF(41=41,IF($U41="","",SUMPRODUCT(--ISNUMBER(SEARCH(" "&amp;$CR$736:$CR$835&amp;" ",$AX41)))),"")</f>
        <v>0</v>
      </c>
      <c r="AR41" s="1368">
        <f>IF(41=41,IF($U41="","",SUMPRODUCT(--ISNUMBER(SEARCH(" "&amp;$CR$836:$CR$935&amp;" ",$AX41)))),"")</f>
        <v>0</v>
      </c>
      <c r="AS41" s="1368">
        <f>IF(41=41,IF($U41="","",SUMPRODUCT(--ISNUMBER(SEARCH(" "&amp;$CR$936:$CR$1035&amp;" ",$AX41)))),"")</f>
        <v>1</v>
      </c>
      <c r="AT41" s="1368">
        <f>IF(41=41,IF($U41="","",SUMPRODUCT(--ISNUMBER(SEARCH(" "&amp;$CR$1036:$CR$1135&amp;" ",$AX41)))),"")</f>
        <v>0</v>
      </c>
      <c r="AU41" s="1368">
        <f>IF(41=41,IF($U41="","",SUMPRODUCT(--ISNUMBER(SEARCH(" "&amp;$CR$1136:$CR$1235&amp;" ",$AX41)))),"")</f>
        <v>0</v>
      </c>
      <c r="AV41" s="1368">
        <f>IF(41=41,IF($U41="","",SUMPRODUCT(--ISNUMBER(SEARCH(" "&amp;$CR$1236:$CR$1335&amp;" ",$AX41)))),"")</f>
        <v>0</v>
      </c>
      <c r="AW41" s="1368">
        <f>IF(41=41,IF($U41="","",SUMPRODUCT(--ISNUMBER(SEARCH(" "&amp;$CR$1336:$CR$1363&amp;" ",$AX41)))),"")</f>
        <v>0</v>
      </c>
      <c r="AX41" s="1368" t="str">
        <f>IF(41=41,IF($U41="","",SUBSTITUTE(SUBSTITUTE(SUBSTITUTE(SUBSTITUTE(SUBSTITUTE(SUBSTITUTE(SUBSTITUTE(SUBSTITUTE(SUBSTITUTE($AA41," "&amp;$CR$1365&amp;" "," ")," "&amp;$CR$1364&amp;" "," ")," "&amp;$CR$1370&amp;" "," ")," "&amp;$CR$1371&amp;" "," ")," "&amp;$CR$1367&amp;" "," ")," "&amp;$CR$1369&amp;" "," ")," "&amp;$CR$1366&amp;" "," ")," "&amp;$CR$1368&amp;" "," ")," "&amp;$CR$1372&amp;" "," ")),"")</f>
        <v xml:space="preserve"> morue filets dessales </v>
      </c>
      <c r="AY41" s="1368">
        <f>IF(41=41,IF($U41="","",SUMPRODUCT(--ISNUMBER(SEARCH(" "&amp;$CR$1373:$CR$1383&amp;" ",$AX41)))),"")</f>
        <v>0</v>
      </c>
      <c r="AZ41" s="1368" t="str">
        <f>IF(41=41,IF($U41="","",IF(SUM(AN41:AW41)+SUMPRODUCT(--ISNUMBER(SEARCH(" "&amp;$CR$2421:$CR$2422&amp;" ",$AX41)))&gt;0,"X",IF(AY41&gt;0,"?",""))),"")</f>
        <v>X</v>
      </c>
      <c r="BA41" s="1368">
        <f>IF(41=41,IF($U41="","",SUMPRODUCT(--ISNUMBER(SEARCH(" "&amp;$CR$1384:$CR$1404&amp;" ",$AA41)))),"")</f>
        <v>0</v>
      </c>
      <c r="BB41" s="1368" t="str">
        <f>IF(41=41,IF($U41="","",IF((BA41)-(0)&gt;0,"X",IF((0)-(0)&gt;0,"?",""))),"")</f>
        <v/>
      </c>
      <c r="BC41" s="1368">
        <f>IF(41=41,IF($U41="","",SUMPRODUCT(--ISNUMBER(SEARCH(" "&amp;$CR$1405:$CR$1442&amp;" ",$BD41)))),"")</f>
        <v>0</v>
      </c>
      <c r="BD41" s="1368" t="str">
        <f>IF(41=41,IF($U41="","",SUBSTITUTE(SUBSTITUTE($AA41," "&amp;$CR$1443&amp;" "," ")," "&amp;$CR$1444&amp;" "," ")),"")</f>
        <v xml:space="preserve"> morue filets dessales </v>
      </c>
      <c r="BE41" s="1368">
        <f>IF(41=41,IF($U41="","",SUMPRODUCT(--ISNUMBER(SEARCH(" "&amp;$CR$1445:$CR$1455&amp;" ",$BD41)))),"")</f>
        <v>0</v>
      </c>
      <c r="BF41" s="1368" t="str">
        <f>IF(41=41,IF($U41="","",IF(BC41&gt;0,"X",IF(BE41&gt;0,"?",""))),"")</f>
        <v/>
      </c>
      <c r="BG41" s="1368">
        <f>IF(41=41,IF($U41="","",SUMPRODUCT(--ISNUMBER(SEARCH(" "&amp;$CR$1456:$CR$1555&amp;" ",$BJ41)))),"")</f>
        <v>0</v>
      </c>
      <c r="BH41" s="1368">
        <f>IF(41=41,IF($U41="","",SUMPRODUCT(--ISNUMBER(SEARCH(" "&amp;$CR$1556:$CR$1655&amp;" ",$BJ41)))),"")</f>
        <v>0</v>
      </c>
      <c r="BI41" s="1368">
        <f>IF(41=41,IF($U41="","",SUMPRODUCT(--ISNUMBER(SEARCH(" "&amp;$CR$1656:$CR$1739&amp;" ",$BJ41)))),"")</f>
        <v>0</v>
      </c>
      <c r="BJ41" s="1368" t="str">
        <f>IF(41=41,IF($U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morue filets dessales </v>
      </c>
      <c r="BK41" s="1368">
        <f>IF(41=41,IF($U41="","",SUMPRODUCT(--ISNUMBER(SEARCH(" "&amp;$CR$1790:$CR$1869&amp;" ",$BL41)))+SUMPRODUCT(--ISNUMBER(SEARCH(" "&amp;$CR$2440:$CR$2453&amp;" ",$BL41)))),"")</f>
        <v>0</v>
      </c>
      <c r="BL41" s="1368" t="str">
        <f>IF(41=41,IF($U41="","",SUBSTITUTE(SUBSTITUTE(SUBSTITUTE(SUBSTITUTE(SUBSTITUTE(SUBSTITUTE(SUBSTITUTE(SUBSTITUTE(SUBSTITUTE(SUBSTITUTE(SUBSTITUTE(SUBSTITUTE(SUBSTITUTE($BJ41," "&amp;$CR$1876&amp;" "," ")," "&amp;$CR$1874&amp;" "," ")," "&amp;$CR$2438&amp;" "," ")," "&amp;$CR$2439&amp;" "," ")," "&amp;$CR$1871&amp;" "," ")," "&amp;$CR$1875&amp;" "," ")," "&amp;$CR$1877&amp;" "," ")," "&amp;$CR$1872&amp;" "," ")," "&amp;$CR$1870&amp;" "," ")," "&amp;$CR$1367&amp;" "," ")," "&amp;$CR$1878&amp;" "," ")," "&amp;$CR$1366&amp;" "," ")," "&amp;$CR$1873&amp;" "," ")),"")</f>
        <v xml:space="preserve"> morue filets dessales </v>
      </c>
      <c r="BM41" s="1368" t="str">
        <f>IF(41=41,IF($U41="","",IF(SUM(BG41:BI41)+SUMPRODUCT(--ISNUMBER(SEARCH(" "&amp;$CR$2423:$CR$2424&amp;" ",$BJ41)))&gt;0,"X",IF(BK41&gt;0,"?",""))),"")</f>
        <v/>
      </c>
      <c r="BN41" s="1368">
        <f>IF(41=41,IF($U41="","",SUMPRODUCT(--ISNUMBER(SEARCH(" "&amp;$CR$1879:$CR$1936&amp;" ",$BO41)))),"")</f>
        <v>0</v>
      </c>
      <c r="BO41" s="1368" t="str">
        <f>IF(41=41,IF($U41="","",SUBSTITUTE(SUBSTITUTE(SUBSTITUTE(SUBSTITUTE(SUBSTITUTE(SUBSTITUTE(SUBSTITUTE(SUBSTITUTE(SUBSTITUTE(SUBSTITUTE(SUBSTITUTE(SUBSTITUTE(SUBSTITUTE(SUBSTITUTE(SUBSTITUTE(SUBSTITUTE(SUBSTITUTE(SUBSTITUTE(SUBSTITUTE(SUBSTITUTE(SUBSTITUTE(SUBSTITUTE(SUBSTITUTE($AA41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morue filets dessales </v>
      </c>
      <c r="BP41" s="1368">
        <f>IF(41=41,IF($U41="","",SUMPRODUCT(--ISNUMBER(SEARCH(" "&amp;$CR$1960:$CR$1976&amp;" ",$BO41)))),"")</f>
        <v>0</v>
      </c>
      <c r="BQ41" s="1368" t="str">
        <f>IF(41=41,IF($U41="","",IF(BN41&gt;0,"X",IF(BP41&gt;0,"?",""))),"")</f>
        <v/>
      </c>
      <c r="BR41" s="1368">
        <f>IF(41=41,IF($U41="","",SUMPRODUCT(--ISNUMBER(SEARCH(" "&amp;$CR$1977:$CR$1990&amp;" ",$AA41)))),"")</f>
        <v>0</v>
      </c>
      <c r="BS41" s="1368">
        <f>IF(41=41,IF($U41="","",SUMPRODUCT(--ISNUMBER(SEARCH(" "&amp;$CR$1991:$CR$2005&amp;" ",$AA41)))),"")</f>
        <v>0</v>
      </c>
      <c r="BT41" s="1368" t="str">
        <f>IF(41=41,IF($U41="","",IF((BR41)-(0)&gt;0,"X",IF((BS41)-(0)&gt;0,"?",""))),"")</f>
        <v/>
      </c>
      <c r="BU41" s="1368">
        <f>IF(41=41,IF($U41="","",SUMPRODUCT(--ISNUMBER(SEARCH(" "&amp;$CR$2006:$CR$2023&amp;" ",$AA41)))),"")</f>
        <v>0</v>
      </c>
      <c r="BV41" s="1368">
        <f>IF(41=41,IF($U41="","",SUMPRODUCT(--ISNUMBER(SEARCH(" "&amp;$CR$2024:$CR$2038&amp;" ",$AA41)))),"")</f>
        <v>0</v>
      </c>
      <c r="BW41" s="1368" t="str">
        <f>IF(41=41,IF($U41="","",IF((BU41)-(0)&gt;0,"X",IF((BV41)-(0)&gt;0,"?",""))),"")</f>
        <v/>
      </c>
      <c r="BX41" s="1368">
        <f>IF(41=41,IF($U41="","",SUMPRODUCT(--ISNUMBER(SEARCH(" "&amp;$CR$2039:$CR$2057&amp;" ",$AA41)))),"")</f>
        <v>0</v>
      </c>
      <c r="BY41" s="1368">
        <f>IF(41=41,IF($U41="","",SUMPRODUCT(--ISNUMBER(SEARCH(" "&amp;$CR$2058:$CR$2072&amp;" ",$AA41)))),"")</f>
        <v>0</v>
      </c>
      <c r="BZ41" s="1368" t="str">
        <f>IF(41=41,IF($U41="","",IF((BX41)-(0)&gt;0,"X",IF((BY41)-(0)&gt;0,"?",""))),"")</f>
        <v/>
      </c>
      <c r="CA41" s="1368">
        <f>IF(41=41,IF($U41="","",SUMPRODUCT(--ISNUMBER(SEARCH(" "&amp;$CR$2073:$CR$2093&amp;" ",$AA41)))),"")</f>
        <v>0</v>
      </c>
      <c r="CB41" s="1368">
        <f>IF(41=41,IF($U41="","",SUMPRODUCT(--ISNUMBER(SEARCH(" "&amp;$CR$2094:$CR$2133&amp;" ",SUBSTITUTE(SUBSTITUTE($AA41," "&amp;$CR$1367&amp;" "," ")," "&amp;$CR$1366&amp;" "," "))))+--ISNUMBER(SEARCH("poiré",$V41))),"")</f>
        <v>0</v>
      </c>
      <c r="CC41" s="1368" t="str">
        <f>IF(41=41,IF($U41="","",IF(OR(CA41&gt;0,ISNUMBER(SEARCH(" vinaigre de vin ",$AA41)),ISNUMBER(SEARCH(" vinaigre au vin ",$AA41))),"X",IF(CB41&gt;0,"?",""))),"")</f>
        <v/>
      </c>
      <c r="CD41" s="1368">
        <f>IF(41=41,IF($U41="","",SUMPRODUCT(--ISNUMBER(SEARCH(" "&amp;$CR$2134:$CR$2146&amp;" ",$AA41)))),"")</f>
        <v>0</v>
      </c>
      <c r="CE41" s="1368">
        <f>IF(41=41,IF($U41="","",SUMPRODUCT(--ISNUMBER(SEARCH(" "&amp;$CR$2147:$CR$2152&amp;" ",$AA41)))),"")</f>
        <v>0</v>
      </c>
      <c r="CF41" s="1368" t="str">
        <f>IF(41=41,IF($U41="","",IF((CD41)-(0)&gt;0,"X",IF((CE41)-(0)&gt;0,"?",""))),"")</f>
        <v/>
      </c>
      <c r="CG41" s="1368">
        <f>IF(41=41,IF($U41="","",SUMPRODUCT(--ISNUMBER(SEARCH(" "&amp;$CR$2153:$CR$2252&amp;" ",$CJ41)))),"")</f>
        <v>0</v>
      </c>
      <c r="CH41" s="1368">
        <f>IF(41=41,IF($U41="","",SUMPRODUCT(--ISNUMBER(SEARCH(" "&amp;$CR$2253:$CR$2352&amp;" ",$CJ41)))),"")</f>
        <v>0</v>
      </c>
      <c r="CI41" s="1368">
        <f>IF(41=41,IF($U41="","",SUMPRODUCT(--ISNUMBER(SEARCH(" "&amp;$CR$2353:$CR$2395&amp;" ",$CJ41)))),"")</f>
        <v>0</v>
      </c>
      <c r="CJ41" s="1368" t="str">
        <f>IF(41=41,IF($U41="","",SUBSTITUTE(SUBSTITUTE(SUBSTITUTE(SUBSTITUTE(SUBSTITUTE(SUBSTITUTE(SUBSTITUTE(SUBSTITUTE(SUBSTITUTE(SUBSTITUTE(SUBSTITUTE(SUBSTITUTE(SUBSTITUTE(SUBSTITUTE(SUBSTITUTE(SUBSTITUTE($AA41," "&amp;$CR$2401&amp;" "," ")," "&amp;$CR$2400&amp;" "," ")," "&amp;$CR$2399&amp;" "," ")," "&amp;$CR$2406&amp;" "," ")," "&amp;$CR$2398&amp;" "," ")," "&amp;$CR$2410&amp;" "," ")," "&amp;$CR$2397&amp;" "," ")," "&amp;$CR$2402&amp;" "," ")," "&amp;$CR$2405&amp;" "," ")," "&amp;$CR$2396&amp;" "," ")," "&amp;$CR$2404&amp;" "," ")," "&amp;$CR$2411&amp;" "," ")," "&amp;$CR$2408&amp;" "," ")," "&amp;$CR$2403&amp;" "," ")," "&amp;$CR$2407&amp;" "," ")," "&amp;$CR$2409&amp;" "," ")),"")</f>
        <v xml:space="preserve"> morue filets dessales </v>
      </c>
      <c r="CK41" s="1368">
        <f>IF(41=41,IF($U41="","",SUMPRODUCT(--ISNUMBER(SEARCH(" "&amp;$CR$2412:$CR$2416&amp;" ",$CJ41)))),"")</f>
        <v>0</v>
      </c>
      <c r="CL41" s="1368" t="str">
        <f>IF(41=41,IF($U41="","",IF(SUM(CG41:CI41)&gt;0,"X",IF(CK41&gt;0,"?",""))),"")</f>
        <v/>
      </c>
      <c r="CM41" s="1377"/>
      <c r="CN41" s="1388" t="s">
        <v>8307</v>
      </c>
      <c r="CO41" s="1388" t="s">
        <v>8105</v>
      </c>
      <c r="CP41" s="1388" t="s">
        <v>8106</v>
      </c>
      <c r="CQ41" s="1388" t="s">
        <v>8308</v>
      </c>
      <c r="CR41" s="1388" t="s">
        <v>8308</v>
      </c>
      <c r="CS41" s="1388" t="s">
        <v>8108</v>
      </c>
      <c r="CT41" s="1388" t="s">
        <v>8109</v>
      </c>
      <c r="CU41" s="1388" t="s">
        <v>8110</v>
      </c>
      <c r="CV41" s="1389" t="s">
        <v>8111</v>
      </c>
      <c r="CX41" s="1379">
        <v>1</v>
      </c>
    </row>
    <row r="42" spans="1:102" ht="21" customHeight="1" x14ac:dyDescent="0.25">
      <c r="A42" s="1412">
        <v>36</v>
      </c>
      <c r="B42" s="1413" t="s">
        <v>8309</v>
      </c>
      <c r="C42" s="1414" t="str">
        <f t="shared" si="0"/>
        <v>Moules «pleine eau» *</v>
      </c>
      <c r="D42" s="1415" t="str">
        <f>IF(42=42,IF($B42="","",IF(E42="X",""&amp;"Céréales contenant du gluten","")&amp;IF(F42="X",IF(COUNTIF($E42:$E42,"X")&gt;0,", ","")&amp;"Crustacés","")&amp;IF(G42="X",IF(COUNTIF($E42:$F42,"X")&gt;0,", ","")&amp;"Œufs","")&amp;IF(H42="X",IF(COUNTIF($E42:$G42,"X")&gt;0,", ","")&amp;"Poissons","")&amp;IF(I42="X",IF(COUNTIF($E42:$H42,"X")&gt;0,", ","")&amp;"Arachides","")&amp;IF(J42="X",IF(COUNTIF($E42:$I42,"X")&gt;0,", ","")&amp;"Soja","")&amp;IF(K42="X",IF(COUNTIF($E42:$J42,"X")&gt;0,", ","")&amp;"Lait","")&amp;IF(L42="X",IF(COUNTIF($E42:$K42,"X")&gt;0,", ","")&amp;"Fruits à coque","")&amp;IF(M42="X",IF(COUNTIF($E42:$L42,"X")&gt;0,", ","")&amp;"Céleri","")&amp;IF(N42="X",IF(COUNTIF($E42:$M42,"X")&gt;0,", ","")&amp;"Moutarde","")&amp;IF(O42="X",IF(COUNTIF($E42:$N42,"X")&gt;0,", ","")&amp;"Sésame","")&amp;IF(P42="X",IF(COUNTIF($E42:$O42,"X")&gt;0,", ","")&amp;"Sulfites","")&amp;IF(Q42="X",IF(COUNTIF($E42:$P42,"X")&gt;0,", ","")&amp;"Lupin","")&amp;IF(R42="X",IF(COUNTIF($E42:$Q42,"X")&gt;0,", ","")&amp;"Mollusques","")),"")</f>
        <v>Mollusques</v>
      </c>
      <c r="E42" s="1416" t="str">
        <f>IF(42=42,IF($B42="","",AF42),"")</f>
        <v/>
      </c>
      <c r="F42" s="1416" t="str">
        <f>IF(42=42,IF($B42="","",AI42),"")</f>
        <v/>
      </c>
      <c r="G42" s="1416" t="str">
        <f>IF(42=42,IF($B42="","",AM42),"")</f>
        <v/>
      </c>
      <c r="H42" s="1416" t="str">
        <f>IF(42=42,IF($B42="","",IF(ISNUMBER(SEARCH(" colin ",$AA42)),"X",AZ42)),"")</f>
        <v/>
      </c>
      <c r="I42" s="1416" t="str">
        <f>IF(42=42,IF($B42="","",BB42),"")</f>
        <v/>
      </c>
      <c r="J42" s="1416" t="str">
        <f>IF(42=42,IF($B42="","",BF42),"")</f>
        <v/>
      </c>
      <c r="K42" s="1416" t="str">
        <f>IF(42=42,IF($B42="","",BM42),"")</f>
        <v/>
      </c>
      <c r="L42" s="1416" t="str">
        <f>IF(42=42,IF($B42="","",BQ42),"")</f>
        <v/>
      </c>
      <c r="M42" s="1416" t="str">
        <f>IF(42=42,IF($B42="","",BT42),"")</f>
        <v/>
      </c>
      <c r="N42" s="1416" t="str">
        <f>IF(42=42,IF($B42="","",BW42),"")</f>
        <v/>
      </c>
      <c r="O42" s="1416" t="str">
        <f>IF(42=42,IF($B42="","",BZ42),"")</f>
        <v/>
      </c>
      <c r="P42" s="1416" t="str">
        <f>IF(42=42,IF($B42="","",CC42),"")</f>
        <v/>
      </c>
      <c r="Q42" s="1416" t="str">
        <f>IF(42=42,IF($B42="","",CF42),"")</f>
        <v/>
      </c>
      <c r="R42" s="1416" t="str">
        <f>IF(42=42,IF($B42="","",CL42),"")</f>
        <v>X</v>
      </c>
      <c r="S42" s="1417" t="str">
        <f>IF(42=42,IF($B42="","",IF(E42="?",""&amp;"Céréales contenant du gluten","")&amp;IF(F42="?",IF(COUNTIF($E42:$E42,"~?")&gt;0,", ","")&amp;"Crustacés","")&amp;IF(G42="?",IF(COUNTIF($E42:$F42,"~?")&gt;0,", ","")&amp;"Œufs","")&amp;IF(H42="?",IF(COUNTIF($E42:$G42,"~?")&gt;0,", ","")&amp;"Poissons","")&amp;IF(I42="?",IF(COUNTIF($E42:$H42,"~?")&gt;0,", ","")&amp;"Arachides","")&amp;IF(J42="?",IF(COUNTIF($E42:$I42,"~?")&gt;0,", ","")&amp;"Soja","")&amp;IF(K42="?",IF(COUNTIF($E42:$J42,"~?")&gt;0,", ","")&amp;"Lait","")&amp;IF(L42="?",IF(COUNTIF($E42:$K42,"~?")&gt;0,", ","")&amp;"Fruits à coque","")&amp;IF(M42="?",IF(COUNTIF($E42:$L42,"~?")&gt;0,", ","")&amp;"Céleri","")&amp;IF(N42="?",IF(COUNTIF($E42:$M42,"~?")&gt;0,", ","")&amp;"Moutarde","")&amp;IF(O42="?",IF(COUNTIF($E42:$N42,"~?")&gt;0,", ","")&amp;"Sésame","")&amp;IF(P42="?",IF(COUNTIF($E42:$O42,"~?")&gt;0,", ","")&amp;"Sulfites","")&amp;IF(Q42="?",IF(COUNTIF($E42:$P42,"~?")&gt;0,", ","")&amp;"Lupin","")&amp;IF(R42="?",IF(COUNTIF($E42:$Q42,"~?")&gt;0,", ","")&amp;"Mollusques","")),"")</f>
        <v/>
      </c>
      <c r="U42" s="1368" t="str">
        <f>IF(42=42,IF($B42="","",$B42),"")</f>
        <v>Moules «pleine eau»</v>
      </c>
      <c r="V42" s="1368" t="str">
        <f>IF(42=42,LOWER(CLEAN(SUBSTITUTE(SUBSTITUTE(SUBSTITUTE(SUBSTITUTE($U42,CHAR(160)," ")," "," "),CHAR(10)," "),CHAR(13)," "))),"")</f>
        <v>moules «pleine eau»</v>
      </c>
      <c r="W42" s="1368" t="str">
        <f>IF(42=42,SUBSTITUTE(SUBSTITUTE(SUBSTITUTE(SUBSTITUTE(SUBSTITUTE(SUBSTITUTE(SUBSTITUTE(SUBSTITUTE(SUBSTITUTE(SUBSTITUTE(SUBSTITUTE(SUBSTITUTE($V42,"œ","oe"),"æ","ae"),"à","a"),"á","a"),"â","a"),"ä","a"),"ã","a"),"ç","c"),"è","e"),"é","e"),"ê","e"),"ë","e"),"")</f>
        <v>moules «pleine eau»</v>
      </c>
      <c r="X42" s="1368" t="str">
        <f>IF(42=42,SUBSTITUTE(SUBSTITUTE(SUBSTITUTE(SUBSTITUTE(SUBSTITUTE(SUBSTITUTE(SUBSTITUTE(SUBSTITUTE(SUBSTITUTE(SUBSTITUTE(SUBSTITUTE(SUBSTITUTE(SUBSTITUTE(SUBSTITUTE(SUBSTITUTE(SUBSTITUTE($W42,"ì","i"),"í","i"),"î","i"),"ï","i"),"ñ","n"),"ò","o"),"ó","o"),"ô","o"),"ö","o"),"õ","o"),"ù","u"),"ú","u"),"û","u"),"ü","u"),"ý","y"),"ÿ","y"),"")</f>
        <v>moules «pleine eau»</v>
      </c>
      <c r="Y42" s="1368" t="str">
        <f>IF(42=42,SUBSTITUTE(SUBSTITUTE(SUBSTITUTE(SUBSTITUTE(SUBSTITUTE(SUBSTITUTE(SUBSTITUTE(SUBSTITUTE(SUBSTITUTE(SUBSTITUTE(SUBSTITUTE(SUBSTITUTE(SUBSTITUTE(SUBSTITUTE($X42,"’"," "),"`"," "),"–"," "),"—"," "),"-"," "),"'"," "),"/"," "),"_"," "),","," "),"."," "),"("," "),")"," "),";"," "),":"," "),"")</f>
        <v>moules «pleine eau»</v>
      </c>
      <c r="Z42" s="1368" t="str">
        <f>IF(42=42,SUBSTITUTE(SUBSTITUTE(SUBSTITUTE(SUBSTITUTE(SUBSTITUTE(SUBSTITUTE(SUBSTITUTE(SUBSTITUTE(SUBSTITUTE(SUBSTITUTE(SUBSTITUTE(SUBSTITUTE(SUBSTITUTE(SUBSTITUTE(SUBSTITUTE($Y42,"!"," "),"?"," "),"+"," "),"*"," "),"&amp;"," "),"["," "),"]"," "),"{"," "),"}"," "),"%"," "),"="," "),"\"," "),"|"," "),"&lt;"," "),"&gt;"," "),"")</f>
        <v>moules «pleine eau»</v>
      </c>
      <c r="AA42" s="1368" t="str">
        <f>IF(42=42," "&amp;TRIM(SUBSTITUTE(SUBSTITUTE(SUBSTITUTE(SUBSTITUTE(SUBSTITUTE(SUBSTITUTE($Z42,CHAR(34)," "),"  "," "),"  "," "),"  "," "),"  "," "),"  "," "))&amp;" ","")</f>
        <v xml:space="preserve"> moules «pleine eau» </v>
      </c>
      <c r="AB42" s="1368">
        <f>IF(42=42,IF($U42="","",SUMPRODUCT(--ISNUMBER(SEARCH(" "&amp;$CR$2:$CR$101&amp;" ",$AD42)))),"")</f>
        <v>0</v>
      </c>
      <c r="AC42" s="1368">
        <f>IF(42=42,IF($U42="","",SUMPRODUCT(--ISNUMBER(SEARCH(" "&amp;$CR$102:$CR$151&amp;" ",$AD42)))),"")</f>
        <v>0</v>
      </c>
      <c r="AD42" s="1368" t="str">
        <f t="shared" si="1"/>
        <v xml:space="preserve"> moules «pleine eau» </v>
      </c>
      <c r="AE42" s="1368">
        <f t="shared" si="2"/>
        <v>0</v>
      </c>
      <c r="AF42" s="1368" t="str">
        <f>IF(42=42,IF($U42="","",IF(SUM(AB42:AC42)+SUMPRODUCT(--ISNUMBER(SEARCH(" "&amp;$CR$2418:$CR$2420&amp;" ",$AD42)))&gt;0,"X",IF(AE42&gt;0,"?",""))),"")</f>
        <v/>
      </c>
      <c r="AG42" s="1368">
        <f>IF(42=42,IF($U42="","",SUMPRODUCT(--ISNUMBER(SEARCH(" "&amp;$CR$206:$CR$305&amp;" ",$AA42)))),"")</f>
        <v>0</v>
      </c>
      <c r="AH42" s="1368">
        <f>IF(42=42,IF($U42="","",SUMPRODUCT(--ISNUMBER(SEARCH(" "&amp;$CR$306:$CR$340&amp;" ",$AA42)))),"")</f>
        <v>0</v>
      </c>
      <c r="AI42" s="1368" t="str">
        <f>IF(42=42,IF($U42="","",IF((SUM(AG42:AH42))-(0)&gt;0,"X",IF((0)-(0)&gt;0,"?",""))),"")</f>
        <v/>
      </c>
      <c r="AJ42" s="1368">
        <f>IF(42=42,IF($U42="","",SUMPRODUCT(--ISNUMBER(SEARCH(" "&amp;$CR$341:$CR$398&amp;" ",$AA42)))),"")</f>
        <v>0</v>
      </c>
      <c r="AK42" s="1368">
        <f>IF(42=42,IF($U42="","",SUMPRODUCT(--ISNUMBER(SEARCH(" "&amp;$CR$399:$CR$426&amp;" ",$AL42)))+SUMPRODUCT(--ISNUMBER(SEARCH(" "&amp;$CR$2440:$CR$2453&amp;" ",$AL42)))),"")</f>
        <v>0</v>
      </c>
      <c r="AL42" s="1368" t="str">
        <f>IF(42=42,IF($U42="","",SUBSTITUTE(SUBSTITUTE(SUBSTITUTE(SUBSTITUTE(SUBSTITUTE(SUBSTITUTE(SUBSTITUTE(SUBSTITUTE(SUBSTITUTE(SUBSTITUTE(SUBSTITUTE(SUBSTITUTE(SUBSTITUTE(SUBSTITUTE($AA42," "&amp;$CR$2455&amp;" "," ")," "&amp;$CR$433&amp;" "," ")," "&amp;$CR$431&amp;" "," ")," "&amp;$CR$2438&amp;" "," ")," "&amp;$CR$2439&amp;" "," ")," "&amp;$CR$428&amp;" "," ")," "&amp;$CR$432&amp;" "," ")," "&amp;$CR$434&amp;" "," ")," "&amp;$CR$429&amp;" "," ")," "&amp;$CR$427&amp;" "," ")," "&amp;$CR$1367&amp;" "," ")," "&amp;$CR$435&amp;" "," ")," "&amp;$CR$1366&amp;" "," ")," "&amp;$CR$430&amp;" "," ")),"")</f>
        <v xml:space="preserve"> moules «pleine eau» </v>
      </c>
      <c r="AM42" s="1368" t="str">
        <f>IF(42=42,IF($U42="","",IF(AJ42&gt;0,"X",IF(AK42&gt;0,"?",""))),"")</f>
        <v/>
      </c>
      <c r="AN42" s="1368">
        <f>IF(42=42,IF($U42="","",SUMPRODUCT(--ISNUMBER(SEARCH(" "&amp;$CR$436:$CR$535&amp;" ",$AX42)))),"")</f>
        <v>0</v>
      </c>
      <c r="AO42" s="1368">
        <f>IF(42=42,IF($U42="","",SUMPRODUCT(--ISNUMBER(SEARCH(" "&amp;$CR$536:$CR$635&amp;" ",$AX42)))),"")</f>
        <v>0</v>
      </c>
      <c r="AP42" s="1368">
        <f>IF(42=42,IF($U42="","",SUMPRODUCT(--ISNUMBER(SEARCH(" "&amp;$CR$636:$CR$735&amp;" ",$AX42)))),"")</f>
        <v>0</v>
      </c>
      <c r="AQ42" s="1368">
        <f>IF(42=42,IF($U42="","",SUMPRODUCT(--ISNUMBER(SEARCH(" "&amp;$CR$736:$CR$835&amp;" ",$AX42)))),"")</f>
        <v>0</v>
      </c>
      <c r="AR42" s="1368">
        <f>IF(42=42,IF($U42="","",SUMPRODUCT(--ISNUMBER(SEARCH(" "&amp;$CR$836:$CR$935&amp;" ",$AX42)))),"")</f>
        <v>0</v>
      </c>
      <c r="AS42" s="1368">
        <f>IF(42=42,IF($U42="","",SUMPRODUCT(--ISNUMBER(SEARCH(" "&amp;$CR$936:$CR$1035&amp;" ",$AX42)))),"")</f>
        <v>0</v>
      </c>
      <c r="AT42" s="1368">
        <f>IF(42=42,IF($U42="","",SUMPRODUCT(--ISNUMBER(SEARCH(" "&amp;$CR$1036:$CR$1135&amp;" ",$AX42)))),"")</f>
        <v>0</v>
      </c>
      <c r="AU42" s="1368">
        <f>IF(42=42,IF($U42="","",SUMPRODUCT(--ISNUMBER(SEARCH(" "&amp;$CR$1136:$CR$1235&amp;" ",$AX42)))),"")</f>
        <v>0</v>
      </c>
      <c r="AV42" s="1368">
        <f>IF(42=42,IF($U42="","",SUMPRODUCT(--ISNUMBER(SEARCH(" "&amp;$CR$1236:$CR$1335&amp;" ",$AX42)))),"")</f>
        <v>0</v>
      </c>
      <c r="AW42" s="1368">
        <f>IF(42=42,IF($U42="","",SUMPRODUCT(--ISNUMBER(SEARCH(" "&amp;$CR$1336:$CR$1363&amp;" ",$AX42)))),"")</f>
        <v>0</v>
      </c>
      <c r="AX42" s="1368" t="str">
        <f>IF(42=42,IF($U42="","",SUBSTITUTE(SUBSTITUTE(SUBSTITUTE(SUBSTITUTE(SUBSTITUTE(SUBSTITUTE(SUBSTITUTE(SUBSTITUTE(SUBSTITUTE($AA42," "&amp;$CR$1365&amp;" "," ")," "&amp;$CR$1364&amp;" "," ")," "&amp;$CR$1370&amp;" "," ")," "&amp;$CR$1371&amp;" "," ")," "&amp;$CR$1367&amp;" "," ")," "&amp;$CR$1369&amp;" "," ")," "&amp;$CR$1366&amp;" "," ")," "&amp;$CR$1368&amp;" "," ")," "&amp;$CR$1372&amp;" "," ")),"")</f>
        <v xml:space="preserve"> moules «pleine eau» </v>
      </c>
      <c r="AY42" s="1368">
        <f>IF(42=42,IF($U42="","",SUMPRODUCT(--ISNUMBER(SEARCH(" "&amp;$CR$1373:$CR$1383&amp;" ",$AX42)))),"")</f>
        <v>0</v>
      </c>
      <c r="AZ42" s="1368" t="str">
        <f>IF(42=42,IF($U42="","",IF(SUM(AN42:AW42)+SUMPRODUCT(--ISNUMBER(SEARCH(" "&amp;$CR$2421:$CR$2422&amp;" ",$AX42)))&gt;0,"X",IF(AY42&gt;0,"?",""))),"")</f>
        <v/>
      </c>
      <c r="BA42" s="1368">
        <f>IF(42=42,IF($U42="","",SUMPRODUCT(--ISNUMBER(SEARCH(" "&amp;$CR$1384:$CR$1404&amp;" ",$AA42)))),"")</f>
        <v>0</v>
      </c>
      <c r="BB42" s="1368" t="str">
        <f>IF(42=42,IF($U42="","",IF((BA42)-(0)&gt;0,"X",IF((0)-(0)&gt;0,"?",""))),"")</f>
        <v/>
      </c>
      <c r="BC42" s="1368">
        <f>IF(42=42,IF($U42="","",SUMPRODUCT(--ISNUMBER(SEARCH(" "&amp;$CR$1405:$CR$1442&amp;" ",$BD42)))),"")</f>
        <v>0</v>
      </c>
      <c r="BD42" s="1368" t="str">
        <f>IF(42=42,IF($U42="","",SUBSTITUTE(SUBSTITUTE($AA42," "&amp;$CR$1443&amp;" "," ")," "&amp;$CR$1444&amp;" "," ")),"")</f>
        <v xml:space="preserve"> moules «pleine eau» </v>
      </c>
      <c r="BE42" s="1368">
        <f>IF(42=42,IF($U42="","",SUMPRODUCT(--ISNUMBER(SEARCH(" "&amp;$CR$1445:$CR$1455&amp;" ",$BD42)))),"")</f>
        <v>0</v>
      </c>
      <c r="BF42" s="1368" t="str">
        <f>IF(42=42,IF($U42="","",IF(BC42&gt;0,"X",IF(BE42&gt;0,"?",""))),"")</f>
        <v/>
      </c>
      <c r="BG42" s="1368">
        <f>IF(42=42,IF($U42="","",SUMPRODUCT(--ISNUMBER(SEARCH(" "&amp;$CR$1456:$CR$1555&amp;" ",$BJ42)))),"")</f>
        <v>0</v>
      </c>
      <c r="BH42" s="1368">
        <f>IF(42=42,IF($U42="","",SUMPRODUCT(--ISNUMBER(SEARCH(" "&amp;$CR$1556:$CR$1655&amp;" ",$BJ42)))),"")</f>
        <v>0</v>
      </c>
      <c r="BI42" s="1368">
        <f>IF(42=42,IF($U42="","",SUMPRODUCT(--ISNUMBER(SEARCH(" "&amp;$CR$1656:$CR$1739&amp;" ",$BJ42)))),"")</f>
        <v>0</v>
      </c>
      <c r="BJ42" s="1368" t="str">
        <f>IF(42=42,IF($U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moules «pleine eau» </v>
      </c>
      <c r="BK42" s="1368">
        <f>IF(42=42,IF($U42="","",SUMPRODUCT(--ISNUMBER(SEARCH(" "&amp;$CR$1790:$CR$1869&amp;" ",$BL42)))+SUMPRODUCT(--ISNUMBER(SEARCH(" "&amp;$CR$2440:$CR$2453&amp;" ",$BL42)))),"")</f>
        <v>0</v>
      </c>
      <c r="BL42" s="1368" t="str">
        <f>IF(42=42,IF($U42="","",SUBSTITUTE(SUBSTITUTE(SUBSTITUTE(SUBSTITUTE(SUBSTITUTE(SUBSTITUTE(SUBSTITUTE(SUBSTITUTE(SUBSTITUTE(SUBSTITUTE(SUBSTITUTE(SUBSTITUTE(SUBSTITUTE($BJ42," "&amp;$CR$1876&amp;" "," ")," "&amp;$CR$1874&amp;" "," ")," "&amp;$CR$2438&amp;" "," ")," "&amp;$CR$2439&amp;" "," ")," "&amp;$CR$1871&amp;" "," ")," "&amp;$CR$1875&amp;" "," ")," "&amp;$CR$1877&amp;" "," ")," "&amp;$CR$1872&amp;" "," ")," "&amp;$CR$1870&amp;" "," ")," "&amp;$CR$1367&amp;" "," ")," "&amp;$CR$1878&amp;" "," ")," "&amp;$CR$1366&amp;" "," ")," "&amp;$CR$1873&amp;" "," ")),"")</f>
        <v xml:space="preserve"> moules «pleine eau» </v>
      </c>
      <c r="BM42" s="1368" t="str">
        <f>IF(42=42,IF($U42="","",IF(SUM(BG42:BI42)+SUMPRODUCT(--ISNUMBER(SEARCH(" "&amp;$CR$2423:$CR$2424&amp;" ",$BJ42)))&gt;0,"X",IF(BK42&gt;0,"?",""))),"")</f>
        <v/>
      </c>
      <c r="BN42" s="1368">
        <f>IF(42=42,IF($U42="","",SUMPRODUCT(--ISNUMBER(SEARCH(" "&amp;$CR$1879:$CR$1936&amp;" ",$BO42)))),"")</f>
        <v>0</v>
      </c>
      <c r="BO42" s="1368" t="str">
        <f>IF(42=42,IF($U42="","",SUBSTITUTE(SUBSTITUTE(SUBSTITUTE(SUBSTITUTE(SUBSTITUTE(SUBSTITUTE(SUBSTITUTE(SUBSTITUTE(SUBSTITUTE(SUBSTITUTE(SUBSTITUTE(SUBSTITUTE(SUBSTITUTE(SUBSTITUTE(SUBSTITUTE(SUBSTITUTE(SUBSTITUTE(SUBSTITUTE(SUBSTITUTE(SUBSTITUTE(SUBSTITUTE(SUBSTITUTE(SUBSTITUTE($AA42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moules «pleine eau» </v>
      </c>
      <c r="BP42" s="1368">
        <f>IF(42=42,IF($U42="","",SUMPRODUCT(--ISNUMBER(SEARCH(" "&amp;$CR$1960:$CR$1976&amp;" ",$BO42)))),"")</f>
        <v>0</v>
      </c>
      <c r="BQ42" s="1368" t="str">
        <f>IF(42=42,IF($U42="","",IF(BN42&gt;0,"X",IF(BP42&gt;0,"?",""))),"")</f>
        <v/>
      </c>
      <c r="BR42" s="1368">
        <f>IF(42=42,IF($U42="","",SUMPRODUCT(--ISNUMBER(SEARCH(" "&amp;$CR$1977:$CR$1990&amp;" ",$AA42)))),"")</f>
        <v>0</v>
      </c>
      <c r="BS42" s="1368">
        <f>IF(42=42,IF($U42="","",SUMPRODUCT(--ISNUMBER(SEARCH(" "&amp;$CR$1991:$CR$2005&amp;" ",$AA42)))),"")</f>
        <v>0</v>
      </c>
      <c r="BT42" s="1368" t="str">
        <f>IF(42=42,IF($U42="","",IF((BR42)-(0)&gt;0,"X",IF((BS42)-(0)&gt;0,"?",""))),"")</f>
        <v/>
      </c>
      <c r="BU42" s="1368">
        <f>IF(42=42,IF($U42="","",SUMPRODUCT(--ISNUMBER(SEARCH(" "&amp;$CR$2006:$CR$2023&amp;" ",$AA42)))),"")</f>
        <v>0</v>
      </c>
      <c r="BV42" s="1368">
        <f>IF(42=42,IF($U42="","",SUMPRODUCT(--ISNUMBER(SEARCH(" "&amp;$CR$2024:$CR$2038&amp;" ",$AA42)))),"")</f>
        <v>0</v>
      </c>
      <c r="BW42" s="1368" t="str">
        <f>IF(42=42,IF($U42="","",IF((BU42)-(0)&gt;0,"X",IF((BV42)-(0)&gt;0,"?",""))),"")</f>
        <v/>
      </c>
      <c r="BX42" s="1368">
        <f>IF(42=42,IF($U42="","",SUMPRODUCT(--ISNUMBER(SEARCH(" "&amp;$CR$2039:$CR$2057&amp;" ",$AA42)))),"")</f>
        <v>0</v>
      </c>
      <c r="BY42" s="1368">
        <f>IF(42=42,IF($U42="","",SUMPRODUCT(--ISNUMBER(SEARCH(" "&amp;$CR$2058:$CR$2072&amp;" ",$AA42)))),"")</f>
        <v>0</v>
      </c>
      <c r="BZ42" s="1368" t="str">
        <f>IF(42=42,IF($U42="","",IF((BX42)-(0)&gt;0,"X",IF((BY42)-(0)&gt;0,"?",""))),"")</f>
        <v/>
      </c>
      <c r="CA42" s="1368">
        <f>IF(42=42,IF($U42="","",SUMPRODUCT(--ISNUMBER(SEARCH(" "&amp;$CR$2073:$CR$2093&amp;" ",$AA42)))),"")</f>
        <v>0</v>
      </c>
      <c r="CB42" s="1368">
        <f>IF(42=42,IF($U42="","",SUMPRODUCT(--ISNUMBER(SEARCH(" "&amp;$CR$2094:$CR$2133&amp;" ",SUBSTITUTE(SUBSTITUTE($AA42," "&amp;$CR$1367&amp;" "," ")," "&amp;$CR$1366&amp;" "," "))))+--ISNUMBER(SEARCH("poiré",$V42))),"")</f>
        <v>0</v>
      </c>
      <c r="CC42" s="1368" t="str">
        <f>IF(42=42,IF($U42="","",IF(OR(CA42&gt;0,ISNUMBER(SEARCH(" vinaigre de vin ",$AA42)),ISNUMBER(SEARCH(" vinaigre au vin ",$AA42))),"X",IF(CB42&gt;0,"?",""))),"")</f>
        <v/>
      </c>
      <c r="CD42" s="1368">
        <f>IF(42=42,IF($U42="","",SUMPRODUCT(--ISNUMBER(SEARCH(" "&amp;$CR$2134:$CR$2146&amp;" ",$AA42)))),"")</f>
        <v>0</v>
      </c>
      <c r="CE42" s="1368">
        <f>IF(42=42,IF($U42="","",SUMPRODUCT(--ISNUMBER(SEARCH(" "&amp;$CR$2147:$CR$2152&amp;" ",$AA42)))),"")</f>
        <v>0</v>
      </c>
      <c r="CF42" s="1368" t="str">
        <f>IF(42=42,IF($U42="","",IF((CD42)-(0)&gt;0,"X",IF((CE42)-(0)&gt;0,"?",""))),"")</f>
        <v/>
      </c>
      <c r="CG42" s="1368">
        <f>IF(42=42,IF($U42="","",SUMPRODUCT(--ISNUMBER(SEARCH(" "&amp;$CR$2153:$CR$2252&amp;" ",$CJ42)))),"")</f>
        <v>0</v>
      </c>
      <c r="CH42" s="1368">
        <f>IF(42=42,IF($U42="","",SUMPRODUCT(--ISNUMBER(SEARCH(" "&amp;$CR$2253:$CR$2352&amp;" ",$CJ42)))),"")</f>
        <v>1</v>
      </c>
      <c r="CI42" s="1368">
        <f>IF(42=42,IF($U42="","",SUMPRODUCT(--ISNUMBER(SEARCH(" "&amp;$CR$2353:$CR$2395&amp;" ",$CJ42)))),"")</f>
        <v>0</v>
      </c>
      <c r="CJ42" s="1368" t="str">
        <f>IF(42=42,IF($U42="","",SUBSTITUTE(SUBSTITUTE(SUBSTITUTE(SUBSTITUTE(SUBSTITUTE(SUBSTITUTE(SUBSTITUTE(SUBSTITUTE(SUBSTITUTE(SUBSTITUTE(SUBSTITUTE(SUBSTITUTE(SUBSTITUTE(SUBSTITUTE(SUBSTITUTE(SUBSTITUTE($AA42," "&amp;$CR$2401&amp;" "," ")," "&amp;$CR$2400&amp;" "," ")," "&amp;$CR$2399&amp;" "," ")," "&amp;$CR$2406&amp;" "," ")," "&amp;$CR$2398&amp;" "," ")," "&amp;$CR$2410&amp;" "," ")," "&amp;$CR$2397&amp;" "," ")," "&amp;$CR$2402&amp;" "," ")," "&amp;$CR$2405&amp;" "," ")," "&amp;$CR$2396&amp;" "," ")," "&amp;$CR$2404&amp;" "," ")," "&amp;$CR$2411&amp;" "," ")," "&amp;$CR$2408&amp;" "," ")," "&amp;$CR$2403&amp;" "," ")," "&amp;$CR$2407&amp;" "," ")," "&amp;$CR$2409&amp;" "," ")),"")</f>
        <v xml:space="preserve"> moules «pleine eau» </v>
      </c>
      <c r="CK42" s="1368">
        <f>IF(42=42,IF($U42="","",SUMPRODUCT(--ISNUMBER(SEARCH(" "&amp;$CR$2412:$CR$2416&amp;" ",$CJ42)))),"")</f>
        <v>0</v>
      </c>
      <c r="CL42" s="1368" t="str">
        <f>IF(42=42,IF($U42="","",IF(SUM(CG42:CI42)&gt;0,"X",IF(CK42&gt;0,"?",""))),"")</f>
        <v>X</v>
      </c>
      <c r="CM42" s="1377"/>
      <c r="CN42" s="1388" t="s">
        <v>8310</v>
      </c>
      <c r="CO42" s="1388" t="s">
        <v>8105</v>
      </c>
      <c r="CP42" s="1388" t="s">
        <v>8106</v>
      </c>
      <c r="CQ42" s="1388" t="s">
        <v>8311</v>
      </c>
      <c r="CR42" s="1388" t="s">
        <v>8312</v>
      </c>
      <c r="CS42" s="1388" t="s">
        <v>8108</v>
      </c>
      <c r="CT42" s="1388" t="s">
        <v>8109</v>
      </c>
      <c r="CU42" s="1388" t="s">
        <v>8110</v>
      </c>
      <c r="CV42" s="1389" t="s">
        <v>8111</v>
      </c>
      <c r="CX42" s="1379">
        <v>1</v>
      </c>
    </row>
    <row r="43" spans="1:102" ht="21" customHeight="1" x14ac:dyDescent="0.25">
      <c r="A43" s="1412">
        <v>37</v>
      </c>
      <c r="B43" s="1413" t="s">
        <v>8313</v>
      </c>
      <c r="C43" s="1414" t="str">
        <f t="shared" si="0"/>
        <v>Muscade</v>
      </c>
      <c r="D43" s="1415" t="str">
        <f>IF(43=43,IF($B43="","",IF(E43="X",""&amp;"Céréales contenant du gluten","")&amp;IF(F43="X",IF(COUNTIF($E43:$E43,"X")&gt;0,", ","")&amp;"Crustacés","")&amp;IF(G43="X",IF(COUNTIF($E43:$F43,"X")&gt;0,", ","")&amp;"Œufs","")&amp;IF(H43="X",IF(COUNTIF($E43:$G43,"X")&gt;0,", ","")&amp;"Poissons","")&amp;IF(I43="X",IF(COUNTIF($E43:$H43,"X")&gt;0,", ","")&amp;"Arachides","")&amp;IF(J43="X",IF(COUNTIF($E43:$I43,"X")&gt;0,", ","")&amp;"Soja","")&amp;IF(K43="X",IF(COUNTIF($E43:$J43,"X")&gt;0,", ","")&amp;"Lait","")&amp;IF(L43="X",IF(COUNTIF($E43:$K43,"X")&gt;0,", ","")&amp;"Fruits à coque","")&amp;IF(M43="X",IF(COUNTIF($E43:$L43,"X")&gt;0,", ","")&amp;"Céleri","")&amp;IF(N43="X",IF(COUNTIF($E43:$M43,"X")&gt;0,", ","")&amp;"Moutarde","")&amp;IF(O43="X",IF(COUNTIF($E43:$N43,"X")&gt;0,", ","")&amp;"Sésame","")&amp;IF(P43="X",IF(COUNTIF($E43:$O43,"X")&gt;0,", ","")&amp;"Sulfites","")&amp;IF(Q43="X",IF(COUNTIF($E43:$P43,"X")&gt;0,", ","")&amp;"Lupin","")&amp;IF(R43="X",IF(COUNTIF($E43:$Q43,"X")&gt;0,", ","")&amp;"Mollusques","")),"")</f>
        <v/>
      </c>
      <c r="E43" s="1416" t="str">
        <f>IF(43=43,IF($B43="","",AF43),"")</f>
        <v/>
      </c>
      <c r="F43" s="1416" t="str">
        <f>IF(43=43,IF($B43="","",AI43),"")</f>
        <v/>
      </c>
      <c r="G43" s="1416" t="str">
        <f>IF(43=43,IF($B43="","",AM43),"")</f>
        <v/>
      </c>
      <c r="H43" s="1416" t="str">
        <f>IF(43=43,IF($B43="","",IF(ISNUMBER(SEARCH(" colin ",$AA43)),"X",AZ43)),"")</f>
        <v/>
      </c>
      <c r="I43" s="1416" t="str">
        <f>IF(43=43,IF($B43="","",BB43),"")</f>
        <v/>
      </c>
      <c r="J43" s="1416" t="str">
        <f>IF(43=43,IF($B43="","",BF43),"")</f>
        <v/>
      </c>
      <c r="K43" s="1416" t="str">
        <f>IF(43=43,IF($B43="","",BM43),"")</f>
        <v/>
      </c>
      <c r="L43" s="1416" t="str">
        <f>IF(43=43,IF($B43="","",BQ43),"")</f>
        <v/>
      </c>
      <c r="M43" s="1416" t="str">
        <f>IF(43=43,IF($B43="","",BT43),"")</f>
        <v/>
      </c>
      <c r="N43" s="1416" t="str">
        <f>IF(43=43,IF($B43="","",BW43),"")</f>
        <v/>
      </c>
      <c r="O43" s="1416" t="str">
        <f>IF(43=43,IF($B43="","",BZ43),"")</f>
        <v/>
      </c>
      <c r="P43" s="1416" t="str">
        <f>IF(43=43,IF($B43="","",CC43),"")</f>
        <v/>
      </c>
      <c r="Q43" s="1416" t="str">
        <f>IF(43=43,IF($B43="","",CF43),"")</f>
        <v/>
      </c>
      <c r="R43" s="1416" t="str">
        <f>IF(43=43,IF($B43="","",CL43),"")</f>
        <v/>
      </c>
      <c r="S43" s="1417" t="str">
        <f>IF(43=43,IF($B43="","",IF(E43="?",""&amp;"Céréales contenant du gluten","")&amp;IF(F43="?",IF(COUNTIF($E43:$E43,"~?")&gt;0,", ","")&amp;"Crustacés","")&amp;IF(G43="?",IF(COUNTIF($E43:$F43,"~?")&gt;0,", ","")&amp;"Œufs","")&amp;IF(H43="?",IF(COUNTIF($E43:$G43,"~?")&gt;0,", ","")&amp;"Poissons","")&amp;IF(I43="?",IF(COUNTIF($E43:$H43,"~?")&gt;0,", ","")&amp;"Arachides","")&amp;IF(J43="?",IF(COUNTIF($E43:$I43,"~?")&gt;0,", ","")&amp;"Soja","")&amp;IF(K43="?",IF(COUNTIF($E43:$J43,"~?")&gt;0,", ","")&amp;"Lait","")&amp;IF(L43="?",IF(COUNTIF($E43:$K43,"~?")&gt;0,", ","")&amp;"Fruits à coque","")&amp;IF(M43="?",IF(COUNTIF($E43:$L43,"~?")&gt;0,", ","")&amp;"Céleri","")&amp;IF(N43="?",IF(COUNTIF($E43:$M43,"~?")&gt;0,", ","")&amp;"Moutarde","")&amp;IF(O43="?",IF(COUNTIF($E43:$N43,"~?")&gt;0,", ","")&amp;"Sésame","")&amp;IF(P43="?",IF(COUNTIF($E43:$O43,"~?")&gt;0,", ","")&amp;"Sulfites","")&amp;IF(Q43="?",IF(COUNTIF($E43:$P43,"~?")&gt;0,", ","")&amp;"Lupin","")&amp;IF(R43="?",IF(COUNTIF($E43:$Q43,"~?")&gt;0,", ","")&amp;"Mollusques","")),"")</f>
        <v/>
      </c>
      <c r="U43" s="1368" t="str">
        <f>IF(43=43,IF($B43="","",$B43),"")</f>
        <v>Muscade</v>
      </c>
      <c r="V43" s="1368" t="str">
        <f>IF(43=43,LOWER(CLEAN(SUBSTITUTE(SUBSTITUTE(SUBSTITUTE(SUBSTITUTE($U43,CHAR(160)," ")," "," "),CHAR(10)," "),CHAR(13)," "))),"")</f>
        <v>muscade</v>
      </c>
      <c r="W43" s="1368" t="str">
        <f>IF(43=43,SUBSTITUTE(SUBSTITUTE(SUBSTITUTE(SUBSTITUTE(SUBSTITUTE(SUBSTITUTE(SUBSTITUTE(SUBSTITUTE(SUBSTITUTE(SUBSTITUTE(SUBSTITUTE(SUBSTITUTE($V43,"œ","oe"),"æ","ae"),"à","a"),"á","a"),"â","a"),"ä","a"),"ã","a"),"ç","c"),"è","e"),"é","e"),"ê","e"),"ë","e"),"")</f>
        <v>muscade</v>
      </c>
      <c r="X43" s="1368" t="str">
        <f>IF(43=43,SUBSTITUTE(SUBSTITUTE(SUBSTITUTE(SUBSTITUTE(SUBSTITUTE(SUBSTITUTE(SUBSTITUTE(SUBSTITUTE(SUBSTITUTE(SUBSTITUTE(SUBSTITUTE(SUBSTITUTE(SUBSTITUTE(SUBSTITUTE(SUBSTITUTE(SUBSTITUTE($W43,"ì","i"),"í","i"),"î","i"),"ï","i"),"ñ","n"),"ò","o"),"ó","o"),"ô","o"),"ö","o"),"õ","o"),"ù","u"),"ú","u"),"û","u"),"ü","u"),"ý","y"),"ÿ","y"),"")</f>
        <v>muscade</v>
      </c>
      <c r="Y43" s="1368" t="str">
        <f>IF(43=43,SUBSTITUTE(SUBSTITUTE(SUBSTITUTE(SUBSTITUTE(SUBSTITUTE(SUBSTITUTE(SUBSTITUTE(SUBSTITUTE(SUBSTITUTE(SUBSTITUTE(SUBSTITUTE(SUBSTITUTE(SUBSTITUTE(SUBSTITUTE($X43,"’"," "),"`"," "),"–"," "),"—"," "),"-"," "),"'"," "),"/"," "),"_"," "),","," "),"."," "),"("," "),")"," "),";"," "),":"," "),"")</f>
        <v>muscade</v>
      </c>
      <c r="Z43" s="1368" t="str">
        <f>IF(43=43,SUBSTITUTE(SUBSTITUTE(SUBSTITUTE(SUBSTITUTE(SUBSTITUTE(SUBSTITUTE(SUBSTITUTE(SUBSTITUTE(SUBSTITUTE(SUBSTITUTE(SUBSTITUTE(SUBSTITUTE(SUBSTITUTE(SUBSTITUTE(SUBSTITUTE($Y43,"!"," "),"?"," "),"+"," "),"*"," "),"&amp;"," "),"["," "),"]"," "),"{"," "),"}"," "),"%"," "),"="," "),"\"," "),"|"," "),"&lt;"," "),"&gt;"," "),"")</f>
        <v>muscade</v>
      </c>
      <c r="AA43" s="1368" t="str">
        <f>IF(43=43," "&amp;TRIM(SUBSTITUTE(SUBSTITUTE(SUBSTITUTE(SUBSTITUTE(SUBSTITUTE(SUBSTITUTE($Z43,CHAR(34)," "),"  "," "),"  "," "),"  "," "),"  "," "),"  "," "))&amp;" ","")</f>
        <v xml:space="preserve"> muscade </v>
      </c>
      <c r="AB43" s="1368">
        <f>IF(43=43,IF($U43="","",SUMPRODUCT(--ISNUMBER(SEARCH(" "&amp;$CR$2:$CR$101&amp;" ",$AD43)))),"")</f>
        <v>0</v>
      </c>
      <c r="AC43" s="1368">
        <f>IF(43=43,IF($U43="","",SUMPRODUCT(--ISNUMBER(SEARCH(" "&amp;$CR$102:$CR$151&amp;" ",$AD43)))),"")</f>
        <v>0</v>
      </c>
      <c r="AD43" s="1368" t="str">
        <f t="shared" si="1"/>
        <v xml:space="preserve"> muscade </v>
      </c>
      <c r="AE43" s="1368">
        <f t="shared" si="2"/>
        <v>0</v>
      </c>
      <c r="AF43" s="1368" t="str">
        <f>IF(43=43,IF($U43="","",IF(SUM(AB43:AC43)+SUMPRODUCT(--ISNUMBER(SEARCH(" "&amp;$CR$2418:$CR$2420&amp;" ",$AD43)))&gt;0,"X",IF(AE43&gt;0,"?",""))),"")</f>
        <v/>
      </c>
      <c r="AG43" s="1368">
        <f>IF(43=43,IF($U43="","",SUMPRODUCT(--ISNUMBER(SEARCH(" "&amp;$CR$206:$CR$305&amp;" ",$AA43)))),"")</f>
        <v>0</v>
      </c>
      <c r="AH43" s="1368">
        <f>IF(43=43,IF($U43="","",SUMPRODUCT(--ISNUMBER(SEARCH(" "&amp;$CR$306:$CR$340&amp;" ",$AA43)))),"")</f>
        <v>0</v>
      </c>
      <c r="AI43" s="1368" t="str">
        <f>IF(43=43,IF($U43="","",IF((SUM(AG43:AH43))-(0)&gt;0,"X",IF((0)-(0)&gt;0,"?",""))),"")</f>
        <v/>
      </c>
      <c r="AJ43" s="1368">
        <f>IF(43=43,IF($U43="","",SUMPRODUCT(--ISNUMBER(SEARCH(" "&amp;$CR$341:$CR$398&amp;" ",$AA43)))),"")</f>
        <v>0</v>
      </c>
      <c r="AK43" s="1368">
        <f>IF(43=43,IF($U43="","",SUMPRODUCT(--ISNUMBER(SEARCH(" "&amp;$CR$399:$CR$426&amp;" ",$AL43)))+SUMPRODUCT(--ISNUMBER(SEARCH(" "&amp;$CR$2440:$CR$2453&amp;" ",$AL43)))),"")</f>
        <v>0</v>
      </c>
      <c r="AL43" s="1368" t="str">
        <f>IF(43=43,IF($U43="","",SUBSTITUTE(SUBSTITUTE(SUBSTITUTE(SUBSTITUTE(SUBSTITUTE(SUBSTITUTE(SUBSTITUTE(SUBSTITUTE(SUBSTITUTE(SUBSTITUTE(SUBSTITUTE(SUBSTITUTE(SUBSTITUTE(SUBSTITUTE($AA43," "&amp;$CR$2455&amp;" "," ")," "&amp;$CR$433&amp;" "," ")," "&amp;$CR$431&amp;" "," ")," "&amp;$CR$2438&amp;" "," ")," "&amp;$CR$2439&amp;" "," ")," "&amp;$CR$428&amp;" "," ")," "&amp;$CR$432&amp;" "," ")," "&amp;$CR$434&amp;" "," ")," "&amp;$CR$429&amp;" "," ")," "&amp;$CR$427&amp;" "," ")," "&amp;$CR$1367&amp;" "," ")," "&amp;$CR$435&amp;" "," ")," "&amp;$CR$1366&amp;" "," ")," "&amp;$CR$430&amp;" "," ")),"")</f>
        <v xml:space="preserve"> muscade </v>
      </c>
      <c r="AM43" s="1368" t="str">
        <f>IF(43=43,IF($U43="","",IF(AJ43&gt;0,"X",IF(AK43&gt;0,"?",""))),"")</f>
        <v/>
      </c>
      <c r="AN43" s="1368">
        <f>IF(43=43,IF($U43="","",SUMPRODUCT(--ISNUMBER(SEARCH(" "&amp;$CR$436:$CR$535&amp;" ",$AX43)))),"")</f>
        <v>0</v>
      </c>
      <c r="AO43" s="1368">
        <f>IF(43=43,IF($U43="","",SUMPRODUCT(--ISNUMBER(SEARCH(" "&amp;$CR$536:$CR$635&amp;" ",$AX43)))),"")</f>
        <v>0</v>
      </c>
      <c r="AP43" s="1368">
        <f>IF(43=43,IF($U43="","",SUMPRODUCT(--ISNUMBER(SEARCH(" "&amp;$CR$636:$CR$735&amp;" ",$AX43)))),"")</f>
        <v>0</v>
      </c>
      <c r="AQ43" s="1368">
        <f>IF(43=43,IF($U43="","",SUMPRODUCT(--ISNUMBER(SEARCH(" "&amp;$CR$736:$CR$835&amp;" ",$AX43)))),"")</f>
        <v>0</v>
      </c>
      <c r="AR43" s="1368">
        <f>IF(43=43,IF($U43="","",SUMPRODUCT(--ISNUMBER(SEARCH(" "&amp;$CR$836:$CR$935&amp;" ",$AX43)))),"")</f>
        <v>0</v>
      </c>
      <c r="AS43" s="1368">
        <f>IF(43=43,IF($U43="","",SUMPRODUCT(--ISNUMBER(SEARCH(" "&amp;$CR$936:$CR$1035&amp;" ",$AX43)))),"")</f>
        <v>0</v>
      </c>
      <c r="AT43" s="1368">
        <f>IF(43=43,IF($U43="","",SUMPRODUCT(--ISNUMBER(SEARCH(" "&amp;$CR$1036:$CR$1135&amp;" ",$AX43)))),"")</f>
        <v>0</v>
      </c>
      <c r="AU43" s="1368">
        <f>IF(43=43,IF($U43="","",SUMPRODUCT(--ISNUMBER(SEARCH(" "&amp;$CR$1136:$CR$1235&amp;" ",$AX43)))),"")</f>
        <v>0</v>
      </c>
      <c r="AV43" s="1368">
        <f>IF(43=43,IF($U43="","",SUMPRODUCT(--ISNUMBER(SEARCH(" "&amp;$CR$1236:$CR$1335&amp;" ",$AX43)))),"")</f>
        <v>0</v>
      </c>
      <c r="AW43" s="1368">
        <f>IF(43=43,IF($U43="","",SUMPRODUCT(--ISNUMBER(SEARCH(" "&amp;$CR$1336:$CR$1363&amp;" ",$AX43)))),"")</f>
        <v>0</v>
      </c>
      <c r="AX43" s="1368" t="str">
        <f>IF(43=43,IF($U43="","",SUBSTITUTE(SUBSTITUTE(SUBSTITUTE(SUBSTITUTE(SUBSTITUTE(SUBSTITUTE(SUBSTITUTE(SUBSTITUTE(SUBSTITUTE($AA43," "&amp;$CR$1365&amp;" "," ")," "&amp;$CR$1364&amp;" "," ")," "&amp;$CR$1370&amp;" "," ")," "&amp;$CR$1371&amp;" "," ")," "&amp;$CR$1367&amp;" "," ")," "&amp;$CR$1369&amp;" "," ")," "&amp;$CR$1366&amp;" "," ")," "&amp;$CR$1368&amp;" "," ")," "&amp;$CR$1372&amp;" "," ")),"")</f>
        <v xml:space="preserve"> muscade </v>
      </c>
      <c r="AY43" s="1368">
        <f>IF(43=43,IF($U43="","",SUMPRODUCT(--ISNUMBER(SEARCH(" "&amp;$CR$1373:$CR$1383&amp;" ",$AX43)))),"")</f>
        <v>0</v>
      </c>
      <c r="AZ43" s="1368" t="str">
        <f>IF(43=43,IF($U43="","",IF(SUM(AN43:AW43)+SUMPRODUCT(--ISNUMBER(SEARCH(" "&amp;$CR$2421:$CR$2422&amp;" ",$AX43)))&gt;0,"X",IF(AY43&gt;0,"?",""))),"")</f>
        <v/>
      </c>
      <c r="BA43" s="1368">
        <f>IF(43=43,IF($U43="","",SUMPRODUCT(--ISNUMBER(SEARCH(" "&amp;$CR$1384:$CR$1404&amp;" ",$AA43)))),"")</f>
        <v>0</v>
      </c>
      <c r="BB43" s="1368" t="str">
        <f>IF(43=43,IF($U43="","",IF((BA43)-(0)&gt;0,"X",IF((0)-(0)&gt;0,"?",""))),"")</f>
        <v/>
      </c>
      <c r="BC43" s="1368">
        <f>IF(43=43,IF($U43="","",SUMPRODUCT(--ISNUMBER(SEARCH(" "&amp;$CR$1405:$CR$1442&amp;" ",$BD43)))),"")</f>
        <v>0</v>
      </c>
      <c r="BD43" s="1368" t="str">
        <f>IF(43=43,IF($U43="","",SUBSTITUTE(SUBSTITUTE($AA43," "&amp;$CR$1443&amp;" "," ")," "&amp;$CR$1444&amp;" "," ")),"")</f>
        <v xml:space="preserve"> muscade </v>
      </c>
      <c r="BE43" s="1368">
        <f>IF(43=43,IF($U43="","",SUMPRODUCT(--ISNUMBER(SEARCH(" "&amp;$CR$1445:$CR$1455&amp;" ",$BD43)))),"")</f>
        <v>0</v>
      </c>
      <c r="BF43" s="1368" t="str">
        <f>IF(43=43,IF($U43="","",IF(BC43&gt;0,"X",IF(BE43&gt;0,"?",""))),"")</f>
        <v/>
      </c>
      <c r="BG43" s="1368">
        <f>IF(43=43,IF($U43="","",SUMPRODUCT(--ISNUMBER(SEARCH(" "&amp;$CR$1456:$CR$1555&amp;" ",$BJ43)))),"")</f>
        <v>0</v>
      </c>
      <c r="BH43" s="1368">
        <f>IF(43=43,IF($U43="","",SUMPRODUCT(--ISNUMBER(SEARCH(" "&amp;$CR$1556:$CR$1655&amp;" ",$BJ43)))),"")</f>
        <v>0</v>
      </c>
      <c r="BI43" s="1368">
        <f>IF(43=43,IF($U43="","",SUMPRODUCT(--ISNUMBER(SEARCH(" "&amp;$CR$1656:$CR$1739&amp;" ",$BJ43)))),"")</f>
        <v>0</v>
      </c>
      <c r="BJ43" s="1368" t="str">
        <f>IF(43=43,IF($U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muscade </v>
      </c>
      <c r="BK43" s="1368">
        <f>IF(43=43,IF($U43="","",SUMPRODUCT(--ISNUMBER(SEARCH(" "&amp;$CR$1790:$CR$1869&amp;" ",$BL43)))+SUMPRODUCT(--ISNUMBER(SEARCH(" "&amp;$CR$2440:$CR$2453&amp;" ",$BL43)))),"")</f>
        <v>0</v>
      </c>
      <c r="BL43" s="1368" t="str">
        <f>IF(43=43,IF($U43="","",SUBSTITUTE(SUBSTITUTE(SUBSTITUTE(SUBSTITUTE(SUBSTITUTE(SUBSTITUTE(SUBSTITUTE(SUBSTITUTE(SUBSTITUTE(SUBSTITUTE(SUBSTITUTE(SUBSTITUTE(SUBSTITUTE($BJ43," "&amp;$CR$1876&amp;" "," ")," "&amp;$CR$1874&amp;" "," ")," "&amp;$CR$2438&amp;" "," ")," "&amp;$CR$2439&amp;" "," ")," "&amp;$CR$1871&amp;" "," ")," "&amp;$CR$1875&amp;" "," ")," "&amp;$CR$1877&amp;" "," ")," "&amp;$CR$1872&amp;" "," ")," "&amp;$CR$1870&amp;" "," ")," "&amp;$CR$1367&amp;" "," ")," "&amp;$CR$1878&amp;" "," ")," "&amp;$CR$1366&amp;" "," ")," "&amp;$CR$1873&amp;" "," ")),"")</f>
        <v xml:space="preserve"> muscade </v>
      </c>
      <c r="BM43" s="1368" t="str">
        <f>IF(43=43,IF($U43="","",IF(SUM(BG43:BI43)+SUMPRODUCT(--ISNUMBER(SEARCH(" "&amp;$CR$2423:$CR$2424&amp;" ",$BJ43)))&gt;0,"X",IF(BK43&gt;0,"?",""))),"")</f>
        <v/>
      </c>
      <c r="BN43" s="1368">
        <f>IF(43=43,IF($U43="","",SUMPRODUCT(--ISNUMBER(SEARCH(" "&amp;$CR$1879:$CR$1936&amp;" ",$BO43)))),"")</f>
        <v>0</v>
      </c>
      <c r="BO43" s="1368" t="str">
        <f>IF(43=43,IF($U43="","",SUBSTITUTE(SUBSTITUTE(SUBSTITUTE(SUBSTITUTE(SUBSTITUTE(SUBSTITUTE(SUBSTITUTE(SUBSTITUTE(SUBSTITUTE(SUBSTITUTE(SUBSTITUTE(SUBSTITUTE(SUBSTITUTE(SUBSTITUTE(SUBSTITUTE(SUBSTITUTE(SUBSTITUTE(SUBSTITUTE(SUBSTITUTE(SUBSTITUTE(SUBSTITUTE(SUBSTITUTE(SUBSTITUTE($AA43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
      </c>
      <c r="BP43" s="1368">
        <f>IF(43=43,IF($U43="","",SUMPRODUCT(--ISNUMBER(SEARCH(" "&amp;$CR$1960:$CR$1976&amp;" ",$BO43)))),"")</f>
        <v>0</v>
      </c>
      <c r="BQ43" s="1368" t="str">
        <f>IF(43=43,IF($U43="","",IF(BN43&gt;0,"X",IF(BP43&gt;0,"?",""))),"")</f>
        <v/>
      </c>
      <c r="BR43" s="1368">
        <f>IF(43=43,IF($U43="","",SUMPRODUCT(--ISNUMBER(SEARCH(" "&amp;$CR$1977:$CR$1990&amp;" ",$AA43)))),"")</f>
        <v>0</v>
      </c>
      <c r="BS43" s="1368">
        <f>IF(43=43,IF($U43="","",SUMPRODUCT(--ISNUMBER(SEARCH(" "&amp;$CR$1991:$CR$2005&amp;" ",$AA43)))),"")</f>
        <v>0</v>
      </c>
      <c r="BT43" s="1368" t="str">
        <f>IF(43=43,IF($U43="","",IF((BR43)-(0)&gt;0,"X",IF((BS43)-(0)&gt;0,"?",""))),"")</f>
        <v/>
      </c>
      <c r="BU43" s="1368">
        <f>IF(43=43,IF($U43="","",SUMPRODUCT(--ISNUMBER(SEARCH(" "&amp;$CR$2006:$CR$2023&amp;" ",$AA43)))),"")</f>
        <v>0</v>
      </c>
      <c r="BV43" s="1368">
        <f>IF(43=43,IF($U43="","",SUMPRODUCT(--ISNUMBER(SEARCH(" "&amp;$CR$2024:$CR$2038&amp;" ",$AA43)))),"")</f>
        <v>0</v>
      </c>
      <c r="BW43" s="1368" t="str">
        <f>IF(43=43,IF($U43="","",IF((BU43)-(0)&gt;0,"X",IF((BV43)-(0)&gt;0,"?",""))),"")</f>
        <v/>
      </c>
      <c r="BX43" s="1368">
        <f>IF(43=43,IF($U43="","",SUMPRODUCT(--ISNUMBER(SEARCH(" "&amp;$CR$2039:$CR$2057&amp;" ",$AA43)))),"")</f>
        <v>0</v>
      </c>
      <c r="BY43" s="1368">
        <f>IF(43=43,IF($U43="","",SUMPRODUCT(--ISNUMBER(SEARCH(" "&amp;$CR$2058:$CR$2072&amp;" ",$AA43)))),"")</f>
        <v>0</v>
      </c>
      <c r="BZ43" s="1368" t="str">
        <f>IF(43=43,IF($U43="","",IF((BX43)-(0)&gt;0,"X",IF((BY43)-(0)&gt;0,"?",""))),"")</f>
        <v/>
      </c>
      <c r="CA43" s="1368">
        <f>IF(43=43,IF($U43="","",SUMPRODUCT(--ISNUMBER(SEARCH(" "&amp;$CR$2073:$CR$2093&amp;" ",$AA43)))),"")</f>
        <v>0</v>
      </c>
      <c r="CB43" s="1368">
        <f>IF(43=43,IF($U43="","",SUMPRODUCT(--ISNUMBER(SEARCH(" "&amp;$CR$2094:$CR$2133&amp;" ",SUBSTITUTE(SUBSTITUTE($AA43," "&amp;$CR$1367&amp;" "," ")," "&amp;$CR$1366&amp;" "," "))))+--ISNUMBER(SEARCH("poiré",$V43))),"")</f>
        <v>0</v>
      </c>
      <c r="CC43" s="1368" t="str">
        <f>IF(43=43,IF($U43="","",IF(OR(CA43&gt;0,ISNUMBER(SEARCH(" vinaigre de vin ",$AA43)),ISNUMBER(SEARCH(" vinaigre au vin ",$AA43))),"X",IF(CB43&gt;0,"?",""))),"")</f>
        <v/>
      </c>
      <c r="CD43" s="1368">
        <f>IF(43=43,IF($U43="","",SUMPRODUCT(--ISNUMBER(SEARCH(" "&amp;$CR$2134:$CR$2146&amp;" ",$AA43)))),"")</f>
        <v>0</v>
      </c>
      <c r="CE43" s="1368">
        <f>IF(43=43,IF($U43="","",SUMPRODUCT(--ISNUMBER(SEARCH(" "&amp;$CR$2147:$CR$2152&amp;" ",$AA43)))),"")</f>
        <v>0</v>
      </c>
      <c r="CF43" s="1368" t="str">
        <f>IF(43=43,IF($U43="","",IF((CD43)-(0)&gt;0,"X",IF((CE43)-(0)&gt;0,"?",""))),"")</f>
        <v/>
      </c>
      <c r="CG43" s="1368">
        <f>IF(43=43,IF($U43="","",SUMPRODUCT(--ISNUMBER(SEARCH(" "&amp;$CR$2153:$CR$2252&amp;" ",$CJ43)))),"")</f>
        <v>0</v>
      </c>
      <c r="CH43" s="1368">
        <f>IF(43=43,IF($U43="","",SUMPRODUCT(--ISNUMBER(SEARCH(" "&amp;$CR$2253:$CR$2352&amp;" ",$CJ43)))),"")</f>
        <v>0</v>
      </c>
      <c r="CI43" s="1368">
        <f>IF(43=43,IF($U43="","",SUMPRODUCT(--ISNUMBER(SEARCH(" "&amp;$CR$2353:$CR$2395&amp;" ",$CJ43)))),"")</f>
        <v>0</v>
      </c>
      <c r="CJ43" s="1368" t="str">
        <f>IF(43=43,IF($U43="","",SUBSTITUTE(SUBSTITUTE(SUBSTITUTE(SUBSTITUTE(SUBSTITUTE(SUBSTITUTE(SUBSTITUTE(SUBSTITUTE(SUBSTITUTE(SUBSTITUTE(SUBSTITUTE(SUBSTITUTE(SUBSTITUTE(SUBSTITUTE(SUBSTITUTE(SUBSTITUTE($AA43," "&amp;$CR$2401&amp;" "," ")," "&amp;$CR$2400&amp;" "," ")," "&amp;$CR$2399&amp;" "," ")," "&amp;$CR$2406&amp;" "," ")," "&amp;$CR$2398&amp;" "," ")," "&amp;$CR$2410&amp;" "," ")," "&amp;$CR$2397&amp;" "," ")," "&amp;$CR$2402&amp;" "," ")," "&amp;$CR$2405&amp;" "," ")," "&amp;$CR$2396&amp;" "," ")," "&amp;$CR$2404&amp;" "," ")," "&amp;$CR$2411&amp;" "," ")," "&amp;$CR$2408&amp;" "," ")," "&amp;$CR$2403&amp;" "," ")," "&amp;$CR$2407&amp;" "," ")," "&amp;$CR$2409&amp;" "," ")),"")</f>
        <v xml:space="preserve"> muscade </v>
      </c>
      <c r="CK43" s="1368">
        <f>IF(43=43,IF($U43="","",SUMPRODUCT(--ISNUMBER(SEARCH(" "&amp;$CR$2412:$CR$2416&amp;" ",$CJ43)))),"")</f>
        <v>0</v>
      </c>
      <c r="CL43" s="1368" t="str">
        <f>IF(43=43,IF($U43="","",IF(SUM(CG43:CI43)&gt;0,"X",IF(CK43&gt;0,"?",""))),"")</f>
        <v/>
      </c>
      <c r="CM43" s="1377"/>
      <c r="CN43" s="1388" t="s">
        <v>8314</v>
      </c>
      <c r="CO43" s="1388" t="s">
        <v>8105</v>
      </c>
      <c r="CP43" s="1388" t="s">
        <v>8106</v>
      </c>
      <c r="CQ43" s="1388" t="s">
        <v>8315</v>
      </c>
      <c r="CR43" s="1388" t="s">
        <v>8315</v>
      </c>
      <c r="CS43" s="1388" t="s">
        <v>8108</v>
      </c>
      <c r="CT43" s="1388" t="s">
        <v>8109</v>
      </c>
      <c r="CU43" s="1388" t="s">
        <v>8110</v>
      </c>
      <c r="CV43" s="1389" t="s">
        <v>8111</v>
      </c>
      <c r="CX43" s="1379">
        <v>1</v>
      </c>
    </row>
    <row r="44" spans="1:102" ht="21" customHeight="1" x14ac:dyDescent="0.25">
      <c r="A44" s="1412">
        <v>38</v>
      </c>
      <c r="B44" s="1413" t="s">
        <v>7912</v>
      </c>
      <c r="C44" s="1414" t="str">
        <f t="shared" si="0"/>
        <v>Œufs *</v>
      </c>
      <c r="D44" s="1415" t="str">
        <f>IF(44=44,IF($B44="","",IF(E44="X",""&amp;"Céréales contenant du gluten","")&amp;IF(F44="X",IF(COUNTIF($E44:$E44,"X")&gt;0,", ","")&amp;"Crustacés","")&amp;IF(G44="X",IF(COUNTIF($E44:$F44,"X")&gt;0,", ","")&amp;"Œufs","")&amp;IF(H44="X",IF(COUNTIF($E44:$G44,"X")&gt;0,", ","")&amp;"Poissons","")&amp;IF(I44="X",IF(COUNTIF($E44:$H44,"X")&gt;0,", ","")&amp;"Arachides","")&amp;IF(J44="X",IF(COUNTIF($E44:$I44,"X")&gt;0,", ","")&amp;"Soja","")&amp;IF(K44="X",IF(COUNTIF($E44:$J44,"X")&gt;0,", ","")&amp;"Lait","")&amp;IF(L44="X",IF(COUNTIF($E44:$K44,"X")&gt;0,", ","")&amp;"Fruits à coque","")&amp;IF(M44="X",IF(COUNTIF($E44:$L44,"X")&gt;0,", ","")&amp;"Céleri","")&amp;IF(N44="X",IF(COUNTIF($E44:$M44,"X")&gt;0,", ","")&amp;"Moutarde","")&amp;IF(O44="X",IF(COUNTIF($E44:$N44,"X")&gt;0,", ","")&amp;"Sésame","")&amp;IF(P44="X",IF(COUNTIF($E44:$O44,"X")&gt;0,", ","")&amp;"Sulfites","")&amp;IF(Q44="X",IF(COUNTIF($E44:$P44,"X")&gt;0,", ","")&amp;"Lupin","")&amp;IF(R44="X",IF(COUNTIF($E44:$Q44,"X")&gt;0,", ","")&amp;"Mollusques","")),"")</f>
        <v>Œufs</v>
      </c>
      <c r="E44" s="1416" t="str">
        <f>IF(44=44,IF($B44="","",AF44),"")</f>
        <v/>
      </c>
      <c r="F44" s="1416" t="str">
        <f>IF(44=44,IF($B44="","",AI44),"")</f>
        <v/>
      </c>
      <c r="G44" s="1416" t="str">
        <f>IF(44=44,IF($B44="","",AM44),"")</f>
        <v>X</v>
      </c>
      <c r="H44" s="1416" t="str">
        <f>IF(44=44,IF($B44="","",IF(ISNUMBER(SEARCH(" colin ",$AA44)),"X",AZ44)),"")</f>
        <v/>
      </c>
      <c r="I44" s="1416" t="str">
        <f>IF(44=44,IF($B44="","",BB44),"")</f>
        <v/>
      </c>
      <c r="J44" s="1416" t="str">
        <f>IF(44=44,IF($B44="","",BF44),"")</f>
        <v/>
      </c>
      <c r="K44" s="1416" t="str">
        <f>IF(44=44,IF($B44="","",BM44),"")</f>
        <v/>
      </c>
      <c r="L44" s="1416" t="str">
        <f>IF(44=44,IF($B44="","",BQ44),"")</f>
        <v/>
      </c>
      <c r="M44" s="1416" t="str">
        <f>IF(44=44,IF($B44="","",BT44),"")</f>
        <v/>
      </c>
      <c r="N44" s="1416" t="str">
        <f>IF(44=44,IF($B44="","",BW44),"")</f>
        <v/>
      </c>
      <c r="O44" s="1416" t="str">
        <f>IF(44=44,IF($B44="","",BZ44),"")</f>
        <v/>
      </c>
      <c r="P44" s="1416" t="str">
        <f>IF(44=44,IF($B44="","",CC44),"")</f>
        <v/>
      </c>
      <c r="Q44" s="1416" t="str">
        <f>IF(44=44,IF($B44="","",CF44),"")</f>
        <v/>
      </c>
      <c r="R44" s="1416" t="str">
        <f>IF(44=44,IF($B44="","",CL44),"")</f>
        <v/>
      </c>
      <c r="S44" s="1417" t="str">
        <f>IF(44=44,IF($B44="","",IF(E44="?",""&amp;"Céréales contenant du gluten","")&amp;IF(F44="?",IF(COUNTIF($E44:$E44,"~?")&gt;0,", ","")&amp;"Crustacés","")&amp;IF(G44="?",IF(COUNTIF($E44:$F44,"~?")&gt;0,", ","")&amp;"Œufs","")&amp;IF(H44="?",IF(COUNTIF($E44:$G44,"~?")&gt;0,", ","")&amp;"Poissons","")&amp;IF(I44="?",IF(COUNTIF($E44:$H44,"~?")&gt;0,", ","")&amp;"Arachides","")&amp;IF(J44="?",IF(COUNTIF($E44:$I44,"~?")&gt;0,", ","")&amp;"Soja","")&amp;IF(K44="?",IF(COUNTIF($E44:$J44,"~?")&gt;0,", ","")&amp;"Lait","")&amp;IF(L44="?",IF(COUNTIF($E44:$K44,"~?")&gt;0,", ","")&amp;"Fruits à coque","")&amp;IF(M44="?",IF(COUNTIF($E44:$L44,"~?")&gt;0,", ","")&amp;"Céleri","")&amp;IF(N44="?",IF(COUNTIF($E44:$M44,"~?")&gt;0,", ","")&amp;"Moutarde","")&amp;IF(O44="?",IF(COUNTIF($E44:$N44,"~?")&gt;0,", ","")&amp;"Sésame","")&amp;IF(P44="?",IF(COUNTIF($E44:$O44,"~?")&gt;0,", ","")&amp;"Sulfites","")&amp;IF(Q44="?",IF(COUNTIF($E44:$P44,"~?")&gt;0,", ","")&amp;"Lupin","")&amp;IF(R44="?",IF(COUNTIF($E44:$Q44,"~?")&gt;0,", ","")&amp;"Mollusques","")),"")</f>
        <v/>
      </c>
      <c r="U44" s="1368" t="str">
        <f>IF(44=44,IF($B44="","",$B44),"")</f>
        <v>Œufs</v>
      </c>
      <c r="V44" s="1368" t="str">
        <f>IF(44=44,LOWER(CLEAN(SUBSTITUTE(SUBSTITUTE(SUBSTITUTE(SUBSTITUTE($U44,CHAR(160)," ")," "," "),CHAR(10)," "),CHAR(13)," "))),"")</f>
        <v>œufs</v>
      </c>
      <c r="W44" s="1368" t="str">
        <f>IF(44=44,SUBSTITUTE(SUBSTITUTE(SUBSTITUTE(SUBSTITUTE(SUBSTITUTE(SUBSTITUTE(SUBSTITUTE(SUBSTITUTE(SUBSTITUTE(SUBSTITUTE(SUBSTITUTE(SUBSTITUTE($V44,"œ","oe"),"æ","ae"),"à","a"),"á","a"),"â","a"),"ä","a"),"ã","a"),"ç","c"),"è","e"),"é","e"),"ê","e"),"ë","e"),"")</f>
        <v>oeufs</v>
      </c>
      <c r="X44" s="1368" t="str">
        <f>IF(44=44,SUBSTITUTE(SUBSTITUTE(SUBSTITUTE(SUBSTITUTE(SUBSTITUTE(SUBSTITUTE(SUBSTITUTE(SUBSTITUTE(SUBSTITUTE(SUBSTITUTE(SUBSTITUTE(SUBSTITUTE(SUBSTITUTE(SUBSTITUTE(SUBSTITUTE(SUBSTITUTE($W44,"ì","i"),"í","i"),"î","i"),"ï","i"),"ñ","n"),"ò","o"),"ó","o"),"ô","o"),"ö","o"),"õ","o"),"ù","u"),"ú","u"),"û","u"),"ü","u"),"ý","y"),"ÿ","y"),"")</f>
        <v>oeufs</v>
      </c>
      <c r="Y44" s="1368" t="str">
        <f>IF(44=44,SUBSTITUTE(SUBSTITUTE(SUBSTITUTE(SUBSTITUTE(SUBSTITUTE(SUBSTITUTE(SUBSTITUTE(SUBSTITUTE(SUBSTITUTE(SUBSTITUTE(SUBSTITUTE(SUBSTITUTE(SUBSTITUTE(SUBSTITUTE($X44,"’"," "),"`"," "),"–"," "),"—"," "),"-"," "),"'"," "),"/"," "),"_"," "),","," "),"."," "),"("," "),")"," "),";"," "),":"," "),"")</f>
        <v>oeufs</v>
      </c>
      <c r="Z44" s="1368" t="str">
        <f>IF(44=44,SUBSTITUTE(SUBSTITUTE(SUBSTITUTE(SUBSTITUTE(SUBSTITUTE(SUBSTITUTE(SUBSTITUTE(SUBSTITUTE(SUBSTITUTE(SUBSTITUTE(SUBSTITUTE(SUBSTITUTE(SUBSTITUTE(SUBSTITUTE(SUBSTITUTE($Y44,"!"," "),"?"," "),"+"," "),"*"," "),"&amp;"," "),"["," "),"]"," "),"{"," "),"}"," "),"%"," "),"="," "),"\"," "),"|"," "),"&lt;"," "),"&gt;"," "),"")</f>
        <v>oeufs</v>
      </c>
      <c r="AA44" s="1368" t="str">
        <f>IF(44=44," "&amp;TRIM(SUBSTITUTE(SUBSTITUTE(SUBSTITUTE(SUBSTITUTE(SUBSTITUTE(SUBSTITUTE($Z44,CHAR(34)," "),"  "," "),"  "," "),"  "," "),"  "," "),"  "," "))&amp;" ","")</f>
        <v xml:space="preserve"> oeufs </v>
      </c>
      <c r="AB44" s="1368">
        <f>IF(44=44,IF($U44="","",SUMPRODUCT(--ISNUMBER(SEARCH(" "&amp;$CR$2:$CR$101&amp;" ",$AD44)))),"")</f>
        <v>0</v>
      </c>
      <c r="AC44" s="1368">
        <f>IF(44=44,IF($U44="","",SUMPRODUCT(--ISNUMBER(SEARCH(" "&amp;$CR$102:$CR$151&amp;" ",$AD44)))),"")</f>
        <v>0</v>
      </c>
      <c r="AD44" s="1368" t="str">
        <f t="shared" si="1"/>
        <v xml:space="preserve"> oeufs </v>
      </c>
      <c r="AE44" s="1368">
        <f t="shared" si="2"/>
        <v>0</v>
      </c>
      <c r="AF44" s="1368" t="str">
        <f>IF(44=44,IF($U44="","",IF(SUM(AB44:AC44)+SUMPRODUCT(--ISNUMBER(SEARCH(" "&amp;$CR$2418:$CR$2420&amp;" ",$AD44)))&gt;0,"X",IF(AE44&gt;0,"?",""))),"")</f>
        <v/>
      </c>
      <c r="AG44" s="1368">
        <f>IF(44=44,IF($U44="","",SUMPRODUCT(--ISNUMBER(SEARCH(" "&amp;$CR$206:$CR$305&amp;" ",$AA44)))),"")</f>
        <v>0</v>
      </c>
      <c r="AH44" s="1368">
        <f>IF(44=44,IF($U44="","",SUMPRODUCT(--ISNUMBER(SEARCH(" "&amp;$CR$306:$CR$340&amp;" ",$AA44)))),"")</f>
        <v>0</v>
      </c>
      <c r="AI44" s="1368" t="str">
        <f>IF(44=44,IF($U44="","",IF((SUM(AG44:AH44))-(0)&gt;0,"X",IF((0)-(0)&gt;0,"?",""))),"")</f>
        <v/>
      </c>
      <c r="AJ44" s="1368">
        <f>IF(44=44,IF($U44="","",SUMPRODUCT(--ISNUMBER(SEARCH(" "&amp;$CR$341:$CR$398&amp;" ",$AA44)))),"")</f>
        <v>1</v>
      </c>
      <c r="AK44" s="1368">
        <f>IF(44=44,IF($U44="","",SUMPRODUCT(--ISNUMBER(SEARCH(" "&amp;$CR$399:$CR$426&amp;" ",$AL44)))+SUMPRODUCT(--ISNUMBER(SEARCH(" "&amp;$CR$2440:$CR$2453&amp;" ",$AL44)))),"")</f>
        <v>0</v>
      </c>
      <c r="AL44" s="1368" t="str">
        <f>IF(44=44,IF($U44="","",SUBSTITUTE(SUBSTITUTE(SUBSTITUTE(SUBSTITUTE(SUBSTITUTE(SUBSTITUTE(SUBSTITUTE(SUBSTITUTE(SUBSTITUTE(SUBSTITUTE(SUBSTITUTE(SUBSTITUTE(SUBSTITUTE(SUBSTITUTE($AA44," "&amp;$CR$2455&amp;" "," ")," "&amp;$CR$433&amp;" "," ")," "&amp;$CR$431&amp;" "," ")," "&amp;$CR$2438&amp;" "," ")," "&amp;$CR$2439&amp;" "," ")," "&amp;$CR$428&amp;" "," ")," "&amp;$CR$432&amp;" "," ")," "&amp;$CR$434&amp;" "," ")," "&amp;$CR$429&amp;" "," ")," "&amp;$CR$427&amp;" "," ")," "&amp;$CR$1367&amp;" "," ")," "&amp;$CR$435&amp;" "," ")," "&amp;$CR$1366&amp;" "," ")," "&amp;$CR$430&amp;" "," ")),"")</f>
        <v xml:space="preserve"> oeufs </v>
      </c>
      <c r="AM44" s="1368" t="str">
        <f>IF(44=44,IF($U44="","",IF(AJ44&gt;0,"X",IF(AK44&gt;0,"?",""))),"")</f>
        <v>X</v>
      </c>
      <c r="AN44" s="1368">
        <f>IF(44=44,IF($U44="","",SUMPRODUCT(--ISNUMBER(SEARCH(" "&amp;$CR$436:$CR$535&amp;" ",$AX44)))),"")</f>
        <v>0</v>
      </c>
      <c r="AO44" s="1368">
        <f>IF(44=44,IF($U44="","",SUMPRODUCT(--ISNUMBER(SEARCH(" "&amp;$CR$536:$CR$635&amp;" ",$AX44)))),"")</f>
        <v>0</v>
      </c>
      <c r="AP44" s="1368">
        <f>IF(44=44,IF($U44="","",SUMPRODUCT(--ISNUMBER(SEARCH(" "&amp;$CR$636:$CR$735&amp;" ",$AX44)))),"")</f>
        <v>0</v>
      </c>
      <c r="AQ44" s="1368">
        <f>IF(44=44,IF($U44="","",SUMPRODUCT(--ISNUMBER(SEARCH(" "&amp;$CR$736:$CR$835&amp;" ",$AX44)))),"")</f>
        <v>0</v>
      </c>
      <c r="AR44" s="1368">
        <f>IF(44=44,IF($U44="","",SUMPRODUCT(--ISNUMBER(SEARCH(" "&amp;$CR$836:$CR$935&amp;" ",$AX44)))),"")</f>
        <v>0</v>
      </c>
      <c r="AS44" s="1368">
        <f>IF(44=44,IF($U44="","",SUMPRODUCT(--ISNUMBER(SEARCH(" "&amp;$CR$936:$CR$1035&amp;" ",$AX44)))),"")</f>
        <v>0</v>
      </c>
      <c r="AT44" s="1368">
        <f>IF(44=44,IF($U44="","",SUMPRODUCT(--ISNUMBER(SEARCH(" "&amp;$CR$1036:$CR$1135&amp;" ",$AX44)))),"")</f>
        <v>0</v>
      </c>
      <c r="AU44" s="1368">
        <f>IF(44=44,IF($U44="","",SUMPRODUCT(--ISNUMBER(SEARCH(" "&amp;$CR$1136:$CR$1235&amp;" ",$AX44)))),"")</f>
        <v>0</v>
      </c>
      <c r="AV44" s="1368">
        <f>IF(44=44,IF($U44="","",SUMPRODUCT(--ISNUMBER(SEARCH(" "&amp;$CR$1236:$CR$1335&amp;" ",$AX44)))),"")</f>
        <v>0</v>
      </c>
      <c r="AW44" s="1368">
        <f>IF(44=44,IF($U44="","",SUMPRODUCT(--ISNUMBER(SEARCH(" "&amp;$CR$1336:$CR$1363&amp;" ",$AX44)))),"")</f>
        <v>0</v>
      </c>
      <c r="AX44" s="1368" t="str">
        <f>IF(44=44,IF($U44="","",SUBSTITUTE(SUBSTITUTE(SUBSTITUTE(SUBSTITUTE(SUBSTITUTE(SUBSTITUTE(SUBSTITUTE(SUBSTITUTE(SUBSTITUTE($AA44," "&amp;$CR$1365&amp;" "," ")," "&amp;$CR$1364&amp;" "," ")," "&amp;$CR$1370&amp;" "," ")," "&amp;$CR$1371&amp;" "," ")," "&amp;$CR$1367&amp;" "," ")," "&amp;$CR$1369&amp;" "," ")," "&amp;$CR$1366&amp;" "," ")," "&amp;$CR$1368&amp;" "," ")," "&amp;$CR$1372&amp;" "," ")),"")</f>
        <v xml:space="preserve"> oeufs </v>
      </c>
      <c r="AY44" s="1368">
        <f>IF(44=44,IF($U44="","",SUMPRODUCT(--ISNUMBER(SEARCH(" "&amp;$CR$1373:$CR$1383&amp;" ",$AX44)))),"")</f>
        <v>0</v>
      </c>
      <c r="AZ44" s="1368" t="str">
        <f>IF(44=44,IF($U44="","",IF(SUM(AN44:AW44)+SUMPRODUCT(--ISNUMBER(SEARCH(" "&amp;$CR$2421:$CR$2422&amp;" ",$AX44)))&gt;0,"X",IF(AY44&gt;0,"?",""))),"")</f>
        <v/>
      </c>
      <c r="BA44" s="1368">
        <f>IF(44=44,IF($U44="","",SUMPRODUCT(--ISNUMBER(SEARCH(" "&amp;$CR$1384:$CR$1404&amp;" ",$AA44)))),"")</f>
        <v>0</v>
      </c>
      <c r="BB44" s="1368" t="str">
        <f>IF(44=44,IF($U44="","",IF((BA44)-(0)&gt;0,"X",IF((0)-(0)&gt;0,"?",""))),"")</f>
        <v/>
      </c>
      <c r="BC44" s="1368">
        <f>IF(44=44,IF($U44="","",SUMPRODUCT(--ISNUMBER(SEARCH(" "&amp;$CR$1405:$CR$1442&amp;" ",$BD44)))),"")</f>
        <v>0</v>
      </c>
      <c r="BD44" s="1368" t="str">
        <f>IF(44=44,IF($U44="","",SUBSTITUTE(SUBSTITUTE($AA44," "&amp;$CR$1443&amp;" "," ")," "&amp;$CR$1444&amp;" "," ")),"")</f>
        <v xml:space="preserve"> oeufs </v>
      </c>
      <c r="BE44" s="1368">
        <f>IF(44=44,IF($U44="","",SUMPRODUCT(--ISNUMBER(SEARCH(" "&amp;$CR$1445:$CR$1455&amp;" ",$BD44)))),"")</f>
        <v>0</v>
      </c>
      <c r="BF44" s="1368" t="str">
        <f>IF(44=44,IF($U44="","",IF(BC44&gt;0,"X",IF(BE44&gt;0,"?",""))),"")</f>
        <v/>
      </c>
      <c r="BG44" s="1368">
        <f>IF(44=44,IF($U44="","",SUMPRODUCT(--ISNUMBER(SEARCH(" "&amp;$CR$1456:$CR$1555&amp;" ",$BJ44)))),"")</f>
        <v>0</v>
      </c>
      <c r="BH44" s="1368">
        <f>IF(44=44,IF($U44="","",SUMPRODUCT(--ISNUMBER(SEARCH(" "&amp;$CR$1556:$CR$1655&amp;" ",$BJ44)))),"")</f>
        <v>0</v>
      </c>
      <c r="BI44" s="1368">
        <f>IF(44=44,IF($U44="","",SUMPRODUCT(--ISNUMBER(SEARCH(" "&amp;$CR$1656:$CR$1739&amp;" ",$BJ44)))),"")</f>
        <v>0</v>
      </c>
      <c r="BJ44" s="1368" t="str">
        <f>IF(44=44,IF($U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oeufs </v>
      </c>
      <c r="BK44" s="1368">
        <f>IF(44=44,IF($U44="","",SUMPRODUCT(--ISNUMBER(SEARCH(" "&amp;$CR$1790:$CR$1869&amp;" ",$BL44)))+SUMPRODUCT(--ISNUMBER(SEARCH(" "&amp;$CR$2440:$CR$2453&amp;" ",$BL44)))),"")</f>
        <v>0</v>
      </c>
      <c r="BL44" s="1368" t="str">
        <f>IF(44=44,IF($U44="","",SUBSTITUTE(SUBSTITUTE(SUBSTITUTE(SUBSTITUTE(SUBSTITUTE(SUBSTITUTE(SUBSTITUTE(SUBSTITUTE(SUBSTITUTE(SUBSTITUTE(SUBSTITUTE(SUBSTITUTE(SUBSTITUTE($BJ44," "&amp;$CR$1876&amp;" "," ")," "&amp;$CR$1874&amp;" "," ")," "&amp;$CR$2438&amp;" "," ")," "&amp;$CR$2439&amp;" "," ")," "&amp;$CR$1871&amp;" "," ")," "&amp;$CR$1875&amp;" "," ")," "&amp;$CR$1877&amp;" "," ")," "&amp;$CR$1872&amp;" "," ")," "&amp;$CR$1870&amp;" "," ")," "&amp;$CR$1367&amp;" "," ")," "&amp;$CR$1878&amp;" "," ")," "&amp;$CR$1366&amp;" "," ")," "&amp;$CR$1873&amp;" "," ")),"")</f>
        <v xml:space="preserve"> oeufs </v>
      </c>
      <c r="BM44" s="1368" t="str">
        <f>IF(44=44,IF($U44="","",IF(SUM(BG44:BI44)+SUMPRODUCT(--ISNUMBER(SEARCH(" "&amp;$CR$2423:$CR$2424&amp;" ",$BJ44)))&gt;0,"X",IF(BK44&gt;0,"?",""))),"")</f>
        <v/>
      </c>
      <c r="BN44" s="1368">
        <f>IF(44=44,IF($U44="","",SUMPRODUCT(--ISNUMBER(SEARCH(" "&amp;$CR$1879:$CR$1936&amp;" ",$BO44)))),"")</f>
        <v>0</v>
      </c>
      <c r="BO44" s="1368" t="str">
        <f>IF(44=44,IF($U44="","",SUBSTITUTE(SUBSTITUTE(SUBSTITUTE(SUBSTITUTE(SUBSTITUTE(SUBSTITUTE(SUBSTITUTE(SUBSTITUTE(SUBSTITUTE(SUBSTITUTE(SUBSTITUTE(SUBSTITUTE(SUBSTITUTE(SUBSTITUTE(SUBSTITUTE(SUBSTITUTE(SUBSTITUTE(SUBSTITUTE(SUBSTITUTE(SUBSTITUTE(SUBSTITUTE(SUBSTITUTE(SUBSTITUTE($AA44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oeufs </v>
      </c>
      <c r="BP44" s="1368">
        <f>IF(44=44,IF($U44="","",SUMPRODUCT(--ISNUMBER(SEARCH(" "&amp;$CR$1960:$CR$1976&amp;" ",$BO44)))),"")</f>
        <v>0</v>
      </c>
      <c r="BQ44" s="1368" t="str">
        <f>IF(44=44,IF($U44="","",IF(BN44&gt;0,"X",IF(BP44&gt;0,"?",""))),"")</f>
        <v/>
      </c>
      <c r="BR44" s="1368">
        <f>IF(44=44,IF($U44="","",SUMPRODUCT(--ISNUMBER(SEARCH(" "&amp;$CR$1977:$CR$1990&amp;" ",$AA44)))),"")</f>
        <v>0</v>
      </c>
      <c r="BS44" s="1368">
        <f>IF(44=44,IF($U44="","",SUMPRODUCT(--ISNUMBER(SEARCH(" "&amp;$CR$1991:$CR$2005&amp;" ",$AA44)))),"")</f>
        <v>0</v>
      </c>
      <c r="BT44" s="1368" t="str">
        <f>IF(44=44,IF($U44="","",IF((BR44)-(0)&gt;0,"X",IF((BS44)-(0)&gt;0,"?",""))),"")</f>
        <v/>
      </c>
      <c r="BU44" s="1368">
        <f>IF(44=44,IF($U44="","",SUMPRODUCT(--ISNUMBER(SEARCH(" "&amp;$CR$2006:$CR$2023&amp;" ",$AA44)))),"")</f>
        <v>0</v>
      </c>
      <c r="BV44" s="1368">
        <f>IF(44=44,IF($U44="","",SUMPRODUCT(--ISNUMBER(SEARCH(" "&amp;$CR$2024:$CR$2038&amp;" ",$AA44)))),"")</f>
        <v>0</v>
      </c>
      <c r="BW44" s="1368" t="str">
        <f>IF(44=44,IF($U44="","",IF((BU44)-(0)&gt;0,"X",IF((BV44)-(0)&gt;0,"?",""))),"")</f>
        <v/>
      </c>
      <c r="BX44" s="1368">
        <f>IF(44=44,IF($U44="","",SUMPRODUCT(--ISNUMBER(SEARCH(" "&amp;$CR$2039:$CR$2057&amp;" ",$AA44)))),"")</f>
        <v>0</v>
      </c>
      <c r="BY44" s="1368">
        <f>IF(44=44,IF($U44="","",SUMPRODUCT(--ISNUMBER(SEARCH(" "&amp;$CR$2058:$CR$2072&amp;" ",$AA44)))),"")</f>
        <v>0</v>
      </c>
      <c r="BZ44" s="1368" t="str">
        <f>IF(44=44,IF($U44="","",IF((BX44)-(0)&gt;0,"X",IF((BY44)-(0)&gt;0,"?",""))),"")</f>
        <v/>
      </c>
      <c r="CA44" s="1368">
        <f>IF(44=44,IF($U44="","",SUMPRODUCT(--ISNUMBER(SEARCH(" "&amp;$CR$2073:$CR$2093&amp;" ",$AA44)))),"")</f>
        <v>0</v>
      </c>
      <c r="CB44" s="1368">
        <f>IF(44=44,IF($U44="","",SUMPRODUCT(--ISNUMBER(SEARCH(" "&amp;$CR$2094:$CR$2133&amp;" ",SUBSTITUTE(SUBSTITUTE($AA44," "&amp;$CR$1367&amp;" "," ")," "&amp;$CR$1366&amp;" "," "))))+--ISNUMBER(SEARCH("poiré",$V44))),"")</f>
        <v>0</v>
      </c>
      <c r="CC44" s="1368" t="str">
        <f>IF(44=44,IF($U44="","",IF(OR(CA44&gt;0,ISNUMBER(SEARCH(" vinaigre de vin ",$AA44)),ISNUMBER(SEARCH(" vinaigre au vin ",$AA44))),"X",IF(CB44&gt;0,"?",""))),"")</f>
        <v/>
      </c>
      <c r="CD44" s="1368">
        <f>IF(44=44,IF($U44="","",SUMPRODUCT(--ISNUMBER(SEARCH(" "&amp;$CR$2134:$CR$2146&amp;" ",$AA44)))),"")</f>
        <v>0</v>
      </c>
      <c r="CE44" s="1368">
        <f>IF(44=44,IF($U44="","",SUMPRODUCT(--ISNUMBER(SEARCH(" "&amp;$CR$2147:$CR$2152&amp;" ",$AA44)))),"")</f>
        <v>0</v>
      </c>
      <c r="CF44" s="1368" t="str">
        <f>IF(44=44,IF($U44="","",IF((CD44)-(0)&gt;0,"X",IF((CE44)-(0)&gt;0,"?",""))),"")</f>
        <v/>
      </c>
      <c r="CG44" s="1368">
        <f>IF(44=44,IF($U44="","",SUMPRODUCT(--ISNUMBER(SEARCH(" "&amp;$CR$2153:$CR$2252&amp;" ",$CJ44)))),"")</f>
        <v>0</v>
      </c>
      <c r="CH44" s="1368">
        <f>IF(44=44,IF($U44="","",SUMPRODUCT(--ISNUMBER(SEARCH(" "&amp;$CR$2253:$CR$2352&amp;" ",$CJ44)))),"")</f>
        <v>0</v>
      </c>
      <c r="CI44" s="1368">
        <f>IF(44=44,IF($U44="","",SUMPRODUCT(--ISNUMBER(SEARCH(" "&amp;$CR$2353:$CR$2395&amp;" ",$CJ44)))),"")</f>
        <v>0</v>
      </c>
      <c r="CJ44" s="1368" t="str">
        <f>IF(44=44,IF($U44="","",SUBSTITUTE(SUBSTITUTE(SUBSTITUTE(SUBSTITUTE(SUBSTITUTE(SUBSTITUTE(SUBSTITUTE(SUBSTITUTE(SUBSTITUTE(SUBSTITUTE(SUBSTITUTE(SUBSTITUTE(SUBSTITUTE(SUBSTITUTE(SUBSTITUTE(SUBSTITUTE($AA44," "&amp;$CR$2401&amp;" "," ")," "&amp;$CR$2400&amp;" "," ")," "&amp;$CR$2399&amp;" "," ")," "&amp;$CR$2406&amp;" "," ")," "&amp;$CR$2398&amp;" "," ")," "&amp;$CR$2410&amp;" "," ")," "&amp;$CR$2397&amp;" "," ")," "&amp;$CR$2402&amp;" "," ")," "&amp;$CR$2405&amp;" "," ")," "&amp;$CR$2396&amp;" "," ")," "&amp;$CR$2404&amp;" "," ")," "&amp;$CR$2411&amp;" "," ")," "&amp;$CR$2408&amp;" "," ")," "&amp;$CR$2403&amp;" "," ")," "&amp;$CR$2407&amp;" "," ")," "&amp;$CR$2409&amp;" "," ")),"")</f>
        <v xml:space="preserve"> oeufs </v>
      </c>
      <c r="CK44" s="1368">
        <f>IF(44=44,IF($U44="","",SUMPRODUCT(--ISNUMBER(SEARCH(" "&amp;$CR$2412:$CR$2416&amp;" ",$CJ44)))),"")</f>
        <v>0</v>
      </c>
      <c r="CL44" s="1368" t="str">
        <f>IF(44=44,IF($U44="","",IF(SUM(CG44:CI44)&gt;0,"X",IF(CK44&gt;0,"?",""))),"")</f>
        <v/>
      </c>
      <c r="CM44" s="1377"/>
      <c r="CN44" s="1388" t="s">
        <v>8316</v>
      </c>
      <c r="CO44" s="1388" t="s">
        <v>8105</v>
      </c>
      <c r="CP44" s="1388" t="s">
        <v>8106</v>
      </c>
      <c r="CQ44" s="1388" t="s">
        <v>8317</v>
      </c>
      <c r="CR44" s="1388" t="s">
        <v>8318</v>
      </c>
      <c r="CS44" s="1388" t="s">
        <v>8108</v>
      </c>
      <c r="CT44" s="1388" t="s">
        <v>8319</v>
      </c>
      <c r="CU44" s="1388" t="s">
        <v>8110</v>
      </c>
      <c r="CV44" s="1389" t="s">
        <v>8111</v>
      </c>
      <c r="CX44" s="1379">
        <v>1</v>
      </c>
    </row>
    <row r="45" spans="1:102" ht="21" customHeight="1" x14ac:dyDescent="0.25">
      <c r="A45" s="1412">
        <v>39</v>
      </c>
      <c r="B45" s="1413" t="s">
        <v>8320</v>
      </c>
      <c r="C45" s="1414" t="str">
        <f t="shared" si="0"/>
        <v>Oignons émincés surgelés</v>
      </c>
      <c r="D45" s="1415" t="str">
        <f>IF(45=45,IF($B45="","",IF(E45="X",""&amp;"Céréales contenant du gluten","")&amp;IF(F45="X",IF(COUNTIF($E45:$E45,"X")&gt;0,", ","")&amp;"Crustacés","")&amp;IF(G45="X",IF(COUNTIF($E45:$F45,"X")&gt;0,", ","")&amp;"Œufs","")&amp;IF(H45="X",IF(COUNTIF($E45:$G45,"X")&gt;0,", ","")&amp;"Poissons","")&amp;IF(I45="X",IF(COUNTIF($E45:$H45,"X")&gt;0,", ","")&amp;"Arachides","")&amp;IF(J45="X",IF(COUNTIF($E45:$I45,"X")&gt;0,", ","")&amp;"Soja","")&amp;IF(K45="X",IF(COUNTIF($E45:$J45,"X")&gt;0,", ","")&amp;"Lait","")&amp;IF(L45="X",IF(COUNTIF($E45:$K45,"X")&gt;0,", ","")&amp;"Fruits à coque","")&amp;IF(M45="X",IF(COUNTIF($E45:$L45,"X")&gt;0,", ","")&amp;"Céleri","")&amp;IF(N45="X",IF(COUNTIF($E45:$M45,"X")&gt;0,", ","")&amp;"Moutarde","")&amp;IF(O45="X",IF(COUNTIF($E45:$N45,"X")&gt;0,", ","")&amp;"Sésame","")&amp;IF(P45="X",IF(COUNTIF($E45:$O45,"X")&gt;0,", ","")&amp;"Sulfites","")&amp;IF(Q45="X",IF(COUNTIF($E45:$P45,"X")&gt;0,", ","")&amp;"Lupin","")&amp;IF(R45="X",IF(COUNTIF($E45:$Q45,"X")&gt;0,", ","")&amp;"Mollusques","")),"")</f>
        <v/>
      </c>
      <c r="E45" s="1416" t="str">
        <f>IF(45=45,IF($B45="","",AF45),"")</f>
        <v/>
      </c>
      <c r="F45" s="1416" t="str">
        <f>IF(45=45,IF($B45="","",AI45),"")</f>
        <v/>
      </c>
      <c r="G45" s="1416" t="str">
        <f>IF(45=45,IF($B45="","",AM45),"")</f>
        <v/>
      </c>
      <c r="H45" s="1416" t="str">
        <f>IF(45=45,IF($B45="","",IF(ISNUMBER(SEARCH(" colin ",$AA45)),"X",AZ45)),"")</f>
        <v/>
      </c>
      <c r="I45" s="1416" t="str">
        <f>IF(45=45,IF($B45="","",BB45),"")</f>
        <v/>
      </c>
      <c r="J45" s="1416" t="str">
        <f>IF(45=45,IF($B45="","",BF45),"")</f>
        <v/>
      </c>
      <c r="K45" s="1416" t="str">
        <f>IF(45=45,IF($B45="","",BM45),"")</f>
        <v/>
      </c>
      <c r="L45" s="1416" t="str">
        <f>IF(45=45,IF($B45="","",BQ45),"")</f>
        <v/>
      </c>
      <c r="M45" s="1416" t="str">
        <f>IF(45=45,IF($B45="","",BT45),"")</f>
        <v/>
      </c>
      <c r="N45" s="1416" t="str">
        <f>IF(45=45,IF($B45="","",BW45),"")</f>
        <v/>
      </c>
      <c r="O45" s="1416" t="str">
        <f>IF(45=45,IF($B45="","",BZ45),"")</f>
        <v/>
      </c>
      <c r="P45" s="1416" t="str">
        <f>IF(45=45,IF($B45="","",CC45),"")</f>
        <v/>
      </c>
      <c r="Q45" s="1416" t="str">
        <f>IF(45=45,IF($B45="","",CF45),"")</f>
        <v/>
      </c>
      <c r="R45" s="1416" t="str">
        <f>IF(45=45,IF($B45="","",CL45),"")</f>
        <v/>
      </c>
      <c r="S45" s="1417" t="str">
        <f>IF(45=45,IF($B45="","",IF(E45="?",""&amp;"Céréales contenant du gluten","")&amp;IF(F45="?",IF(COUNTIF($E45:$E45,"~?")&gt;0,", ","")&amp;"Crustacés","")&amp;IF(G45="?",IF(COUNTIF($E45:$F45,"~?")&gt;0,", ","")&amp;"Œufs","")&amp;IF(H45="?",IF(COUNTIF($E45:$G45,"~?")&gt;0,", ","")&amp;"Poissons","")&amp;IF(I45="?",IF(COUNTIF($E45:$H45,"~?")&gt;0,", ","")&amp;"Arachides","")&amp;IF(J45="?",IF(COUNTIF($E45:$I45,"~?")&gt;0,", ","")&amp;"Soja","")&amp;IF(K45="?",IF(COUNTIF($E45:$J45,"~?")&gt;0,", ","")&amp;"Lait","")&amp;IF(L45="?",IF(COUNTIF($E45:$K45,"~?")&gt;0,", ","")&amp;"Fruits à coque","")&amp;IF(M45="?",IF(COUNTIF($E45:$L45,"~?")&gt;0,", ","")&amp;"Céleri","")&amp;IF(N45="?",IF(COUNTIF($E45:$M45,"~?")&gt;0,", ","")&amp;"Moutarde","")&amp;IF(O45="?",IF(COUNTIF($E45:$N45,"~?")&gt;0,", ","")&amp;"Sésame","")&amp;IF(P45="?",IF(COUNTIF($E45:$O45,"~?")&gt;0,", ","")&amp;"Sulfites","")&amp;IF(Q45="?",IF(COUNTIF($E45:$P45,"~?")&gt;0,", ","")&amp;"Lupin","")&amp;IF(R45="?",IF(COUNTIF($E45:$Q45,"~?")&gt;0,", ","")&amp;"Mollusques","")),"")</f>
        <v/>
      </c>
      <c r="U45" s="1368" t="str">
        <f>IF(45=45,IF($B45="","",$B45),"")</f>
        <v>Oignons émincés surgelés</v>
      </c>
      <c r="V45" s="1368" t="str">
        <f>IF(45=45,LOWER(CLEAN(SUBSTITUTE(SUBSTITUTE(SUBSTITUTE(SUBSTITUTE($U45,CHAR(160)," ")," "," "),CHAR(10)," "),CHAR(13)," "))),"")</f>
        <v>oignons émincés surgelés</v>
      </c>
      <c r="W45" s="1368" t="str">
        <f>IF(45=45,SUBSTITUTE(SUBSTITUTE(SUBSTITUTE(SUBSTITUTE(SUBSTITUTE(SUBSTITUTE(SUBSTITUTE(SUBSTITUTE(SUBSTITUTE(SUBSTITUTE(SUBSTITUTE(SUBSTITUTE($V45,"œ","oe"),"æ","ae"),"à","a"),"á","a"),"â","a"),"ä","a"),"ã","a"),"ç","c"),"è","e"),"é","e"),"ê","e"),"ë","e"),"")</f>
        <v>oignons eminces surgeles</v>
      </c>
      <c r="X45" s="1368" t="str">
        <f>IF(45=45,SUBSTITUTE(SUBSTITUTE(SUBSTITUTE(SUBSTITUTE(SUBSTITUTE(SUBSTITUTE(SUBSTITUTE(SUBSTITUTE(SUBSTITUTE(SUBSTITUTE(SUBSTITUTE(SUBSTITUTE(SUBSTITUTE(SUBSTITUTE(SUBSTITUTE(SUBSTITUTE($W45,"ì","i"),"í","i"),"î","i"),"ï","i"),"ñ","n"),"ò","o"),"ó","o"),"ô","o"),"ö","o"),"õ","o"),"ù","u"),"ú","u"),"û","u"),"ü","u"),"ý","y"),"ÿ","y"),"")</f>
        <v>oignons eminces surgeles</v>
      </c>
      <c r="Y45" s="1368" t="str">
        <f>IF(45=45,SUBSTITUTE(SUBSTITUTE(SUBSTITUTE(SUBSTITUTE(SUBSTITUTE(SUBSTITUTE(SUBSTITUTE(SUBSTITUTE(SUBSTITUTE(SUBSTITUTE(SUBSTITUTE(SUBSTITUTE(SUBSTITUTE(SUBSTITUTE($X45,"’"," "),"`"," "),"–"," "),"—"," "),"-"," "),"'"," "),"/"," "),"_"," "),","," "),"."," "),"("," "),")"," "),";"," "),":"," "),"")</f>
        <v>oignons eminces surgeles</v>
      </c>
      <c r="Z45" s="1368" t="str">
        <f>IF(45=45,SUBSTITUTE(SUBSTITUTE(SUBSTITUTE(SUBSTITUTE(SUBSTITUTE(SUBSTITUTE(SUBSTITUTE(SUBSTITUTE(SUBSTITUTE(SUBSTITUTE(SUBSTITUTE(SUBSTITUTE(SUBSTITUTE(SUBSTITUTE(SUBSTITUTE($Y45,"!"," "),"?"," "),"+"," "),"*"," "),"&amp;"," "),"["," "),"]"," "),"{"," "),"}"," "),"%"," "),"="," "),"\"," "),"|"," "),"&lt;"," "),"&gt;"," "),"")</f>
        <v>oignons eminces surgeles</v>
      </c>
      <c r="AA45" s="1368" t="str">
        <f>IF(45=45," "&amp;TRIM(SUBSTITUTE(SUBSTITUTE(SUBSTITUTE(SUBSTITUTE(SUBSTITUTE(SUBSTITUTE($Z45,CHAR(34)," "),"  "," "),"  "," "),"  "," "),"  "," "),"  "," "))&amp;" ","")</f>
        <v xml:space="preserve"> oignons eminces surgeles </v>
      </c>
      <c r="AB45" s="1368">
        <f>IF(45=45,IF($U45="","",SUMPRODUCT(--ISNUMBER(SEARCH(" "&amp;$CR$2:$CR$101&amp;" ",$AD45)))),"")</f>
        <v>0</v>
      </c>
      <c r="AC45" s="1368">
        <f>IF(45=45,IF($U45="","",SUMPRODUCT(--ISNUMBER(SEARCH(" "&amp;$CR$102:$CR$151&amp;" ",$AD45)))),"")</f>
        <v>0</v>
      </c>
      <c r="AD45" s="1368" t="str">
        <f t="shared" si="1"/>
        <v xml:space="preserve"> oignons eminces surgeles </v>
      </c>
      <c r="AE45" s="1368">
        <f t="shared" si="2"/>
        <v>0</v>
      </c>
      <c r="AF45" s="1368" t="str">
        <f>IF(45=45,IF($U45="","",IF(SUM(AB45:AC45)+SUMPRODUCT(--ISNUMBER(SEARCH(" "&amp;$CR$2418:$CR$2420&amp;" ",$AD45)))&gt;0,"X",IF(AE45&gt;0,"?",""))),"")</f>
        <v/>
      </c>
      <c r="AG45" s="1368">
        <f>IF(45=45,IF($U45="","",SUMPRODUCT(--ISNUMBER(SEARCH(" "&amp;$CR$206:$CR$305&amp;" ",$AA45)))),"")</f>
        <v>0</v>
      </c>
      <c r="AH45" s="1368">
        <f>IF(45=45,IF($U45="","",SUMPRODUCT(--ISNUMBER(SEARCH(" "&amp;$CR$306:$CR$340&amp;" ",$AA45)))),"")</f>
        <v>0</v>
      </c>
      <c r="AI45" s="1368" t="str">
        <f>IF(45=45,IF($U45="","",IF((SUM(AG45:AH45))-(0)&gt;0,"X",IF((0)-(0)&gt;0,"?",""))),"")</f>
        <v/>
      </c>
      <c r="AJ45" s="1368">
        <f>IF(45=45,IF($U45="","",SUMPRODUCT(--ISNUMBER(SEARCH(" "&amp;$CR$341:$CR$398&amp;" ",$AA45)))),"")</f>
        <v>0</v>
      </c>
      <c r="AK45" s="1368">
        <f>IF(45=45,IF($U45="","",SUMPRODUCT(--ISNUMBER(SEARCH(" "&amp;$CR$399:$CR$426&amp;" ",$AL45)))+SUMPRODUCT(--ISNUMBER(SEARCH(" "&amp;$CR$2440:$CR$2453&amp;" ",$AL45)))),"")</f>
        <v>0</v>
      </c>
      <c r="AL45" s="1368" t="str">
        <f>IF(45=45,IF($U45="","",SUBSTITUTE(SUBSTITUTE(SUBSTITUTE(SUBSTITUTE(SUBSTITUTE(SUBSTITUTE(SUBSTITUTE(SUBSTITUTE(SUBSTITUTE(SUBSTITUTE(SUBSTITUTE(SUBSTITUTE(SUBSTITUTE(SUBSTITUTE($AA45," "&amp;$CR$2455&amp;" "," ")," "&amp;$CR$433&amp;" "," ")," "&amp;$CR$431&amp;" "," ")," "&amp;$CR$2438&amp;" "," ")," "&amp;$CR$2439&amp;" "," ")," "&amp;$CR$428&amp;" "," ")," "&amp;$CR$432&amp;" "," ")," "&amp;$CR$434&amp;" "," ")," "&amp;$CR$429&amp;" "," ")," "&amp;$CR$427&amp;" "," ")," "&amp;$CR$1367&amp;" "," ")," "&amp;$CR$435&amp;" "," ")," "&amp;$CR$1366&amp;" "," ")," "&amp;$CR$430&amp;" "," ")),"")</f>
        <v xml:space="preserve"> oignons eminces surgeles </v>
      </c>
      <c r="AM45" s="1368" t="str">
        <f>IF(45=45,IF($U45="","",IF(AJ45&gt;0,"X",IF(AK45&gt;0,"?",""))),"")</f>
        <v/>
      </c>
      <c r="AN45" s="1368">
        <f>IF(45=45,IF($U45="","",SUMPRODUCT(--ISNUMBER(SEARCH(" "&amp;$CR$436:$CR$535&amp;" ",$AX45)))),"")</f>
        <v>0</v>
      </c>
      <c r="AO45" s="1368">
        <f>IF(45=45,IF($U45="","",SUMPRODUCT(--ISNUMBER(SEARCH(" "&amp;$CR$536:$CR$635&amp;" ",$AX45)))),"")</f>
        <v>0</v>
      </c>
      <c r="AP45" s="1368">
        <f>IF(45=45,IF($U45="","",SUMPRODUCT(--ISNUMBER(SEARCH(" "&amp;$CR$636:$CR$735&amp;" ",$AX45)))),"")</f>
        <v>0</v>
      </c>
      <c r="AQ45" s="1368">
        <f>IF(45=45,IF($U45="","",SUMPRODUCT(--ISNUMBER(SEARCH(" "&amp;$CR$736:$CR$835&amp;" ",$AX45)))),"")</f>
        <v>0</v>
      </c>
      <c r="AR45" s="1368">
        <f>IF(45=45,IF($U45="","",SUMPRODUCT(--ISNUMBER(SEARCH(" "&amp;$CR$836:$CR$935&amp;" ",$AX45)))),"")</f>
        <v>0</v>
      </c>
      <c r="AS45" s="1368">
        <f>IF(45=45,IF($U45="","",SUMPRODUCT(--ISNUMBER(SEARCH(" "&amp;$CR$936:$CR$1035&amp;" ",$AX45)))),"")</f>
        <v>0</v>
      </c>
      <c r="AT45" s="1368">
        <f>IF(45=45,IF($U45="","",SUMPRODUCT(--ISNUMBER(SEARCH(" "&amp;$CR$1036:$CR$1135&amp;" ",$AX45)))),"")</f>
        <v>0</v>
      </c>
      <c r="AU45" s="1368">
        <f>IF(45=45,IF($U45="","",SUMPRODUCT(--ISNUMBER(SEARCH(" "&amp;$CR$1136:$CR$1235&amp;" ",$AX45)))),"")</f>
        <v>0</v>
      </c>
      <c r="AV45" s="1368">
        <f>IF(45=45,IF($U45="","",SUMPRODUCT(--ISNUMBER(SEARCH(" "&amp;$CR$1236:$CR$1335&amp;" ",$AX45)))),"")</f>
        <v>0</v>
      </c>
      <c r="AW45" s="1368">
        <f>IF(45=45,IF($U45="","",SUMPRODUCT(--ISNUMBER(SEARCH(" "&amp;$CR$1336:$CR$1363&amp;" ",$AX45)))),"")</f>
        <v>0</v>
      </c>
      <c r="AX45" s="1368" t="str">
        <f>IF(45=45,IF($U45="","",SUBSTITUTE(SUBSTITUTE(SUBSTITUTE(SUBSTITUTE(SUBSTITUTE(SUBSTITUTE(SUBSTITUTE(SUBSTITUTE(SUBSTITUTE($AA45," "&amp;$CR$1365&amp;" "," ")," "&amp;$CR$1364&amp;" "," ")," "&amp;$CR$1370&amp;" "," ")," "&amp;$CR$1371&amp;" "," ")," "&amp;$CR$1367&amp;" "," ")," "&amp;$CR$1369&amp;" "," ")," "&amp;$CR$1366&amp;" "," ")," "&amp;$CR$1368&amp;" "," ")," "&amp;$CR$1372&amp;" "," ")),"")</f>
        <v xml:space="preserve"> oignons eminces surgeles </v>
      </c>
      <c r="AY45" s="1368">
        <f>IF(45=45,IF($U45="","",SUMPRODUCT(--ISNUMBER(SEARCH(" "&amp;$CR$1373:$CR$1383&amp;" ",$AX45)))),"")</f>
        <v>0</v>
      </c>
      <c r="AZ45" s="1368" t="str">
        <f>IF(45=45,IF($U45="","",IF(SUM(AN45:AW45)+SUMPRODUCT(--ISNUMBER(SEARCH(" "&amp;$CR$2421:$CR$2422&amp;" ",$AX45)))&gt;0,"X",IF(AY45&gt;0,"?",""))),"")</f>
        <v/>
      </c>
      <c r="BA45" s="1368">
        <f>IF(45=45,IF($U45="","",SUMPRODUCT(--ISNUMBER(SEARCH(" "&amp;$CR$1384:$CR$1404&amp;" ",$AA45)))),"")</f>
        <v>0</v>
      </c>
      <c r="BB45" s="1368" t="str">
        <f>IF(45=45,IF($U45="","",IF((BA45)-(0)&gt;0,"X",IF((0)-(0)&gt;0,"?",""))),"")</f>
        <v/>
      </c>
      <c r="BC45" s="1368">
        <f>IF(45=45,IF($U45="","",SUMPRODUCT(--ISNUMBER(SEARCH(" "&amp;$CR$1405:$CR$1442&amp;" ",$BD45)))),"")</f>
        <v>0</v>
      </c>
      <c r="BD45" s="1368" t="str">
        <f>IF(45=45,IF($U45="","",SUBSTITUTE(SUBSTITUTE($AA45," "&amp;$CR$1443&amp;" "," ")," "&amp;$CR$1444&amp;" "," ")),"")</f>
        <v xml:space="preserve"> oignons eminces surgeles </v>
      </c>
      <c r="BE45" s="1368">
        <f>IF(45=45,IF($U45="","",SUMPRODUCT(--ISNUMBER(SEARCH(" "&amp;$CR$1445:$CR$1455&amp;" ",$BD45)))),"")</f>
        <v>0</v>
      </c>
      <c r="BF45" s="1368" t="str">
        <f>IF(45=45,IF($U45="","",IF(BC45&gt;0,"X",IF(BE45&gt;0,"?",""))),"")</f>
        <v/>
      </c>
      <c r="BG45" s="1368">
        <f>IF(45=45,IF($U45="","",SUMPRODUCT(--ISNUMBER(SEARCH(" "&amp;$CR$1456:$CR$1555&amp;" ",$BJ45)))),"")</f>
        <v>0</v>
      </c>
      <c r="BH45" s="1368">
        <f>IF(45=45,IF($U45="","",SUMPRODUCT(--ISNUMBER(SEARCH(" "&amp;$CR$1556:$CR$1655&amp;" ",$BJ45)))),"")</f>
        <v>0</v>
      </c>
      <c r="BI45" s="1368">
        <f>IF(45=45,IF($U45="","",SUMPRODUCT(--ISNUMBER(SEARCH(" "&amp;$CR$1656:$CR$1739&amp;" ",$BJ45)))),"")</f>
        <v>0</v>
      </c>
      <c r="BJ45" s="1368" t="str">
        <f>IF(45=45,IF($U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oignons eminces surgeles </v>
      </c>
      <c r="BK45" s="1368">
        <f>IF(45=45,IF($U45="","",SUMPRODUCT(--ISNUMBER(SEARCH(" "&amp;$CR$1790:$CR$1869&amp;" ",$BL45)))+SUMPRODUCT(--ISNUMBER(SEARCH(" "&amp;$CR$2440:$CR$2453&amp;" ",$BL45)))),"")</f>
        <v>0</v>
      </c>
      <c r="BL45" s="1368" t="str">
        <f>IF(45=45,IF($U45="","",SUBSTITUTE(SUBSTITUTE(SUBSTITUTE(SUBSTITUTE(SUBSTITUTE(SUBSTITUTE(SUBSTITUTE(SUBSTITUTE(SUBSTITUTE(SUBSTITUTE(SUBSTITUTE(SUBSTITUTE(SUBSTITUTE($BJ45," "&amp;$CR$1876&amp;" "," ")," "&amp;$CR$1874&amp;" "," ")," "&amp;$CR$2438&amp;" "," ")," "&amp;$CR$2439&amp;" "," ")," "&amp;$CR$1871&amp;" "," ")," "&amp;$CR$1875&amp;" "," ")," "&amp;$CR$1877&amp;" "," ")," "&amp;$CR$1872&amp;" "," ")," "&amp;$CR$1870&amp;" "," ")," "&amp;$CR$1367&amp;" "," ")," "&amp;$CR$1878&amp;" "," ")," "&amp;$CR$1366&amp;" "," ")," "&amp;$CR$1873&amp;" "," ")),"")</f>
        <v xml:space="preserve"> oignons eminces surgeles </v>
      </c>
      <c r="BM45" s="1368" t="str">
        <f>IF(45=45,IF($U45="","",IF(SUM(BG45:BI45)+SUMPRODUCT(--ISNUMBER(SEARCH(" "&amp;$CR$2423:$CR$2424&amp;" ",$BJ45)))&gt;0,"X",IF(BK45&gt;0,"?",""))),"")</f>
        <v/>
      </c>
      <c r="BN45" s="1368">
        <f>IF(45=45,IF($U45="","",SUMPRODUCT(--ISNUMBER(SEARCH(" "&amp;$CR$1879:$CR$1936&amp;" ",$BO45)))),"")</f>
        <v>0</v>
      </c>
      <c r="BO45" s="1368" t="str">
        <f>IF(45=45,IF($U45="","",SUBSTITUTE(SUBSTITUTE(SUBSTITUTE(SUBSTITUTE(SUBSTITUTE(SUBSTITUTE(SUBSTITUTE(SUBSTITUTE(SUBSTITUTE(SUBSTITUTE(SUBSTITUTE(SUBSTITUTE(SUBSTITUTE(SUBSTITUTE(SUBSTITUTE(SUBSTITUTE(SUBSTITUTE(SUBSTITUTE(SUBSTITUTE(SUBSTITUTE(SUBSTITUTE(SUBSTITUTE(SUBSTITUTE($AA45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oignons eminces surgeles </v>
      </c>
      <c r="BP45" s="1368">
        <f>IF(45=45,IF($U45="","",SUMPRODUCT(--ISNUMBER(SEARCH(" "&amp;$CR$1960:$CR$1976&amp;" ",$BO45)))),"")</f>
        <v>0</v>
      </c>
      <c r="BQ45" s="1368" t="str">
        <f>IF(45=45,IF($U45="","",IF(BN45&gt;0,"X",IF(BP45&gt;0,"?",""))),"")</f>
        <v/>
      </c>
      <c r="BR45" s="1368">
        <f>IF(45=45,IF($U45="","",SUMPRODUCT(--ISNUMBER(SEARCH(" "&amp;$CR$1977:$CR$1990&amp;" ",$AA45)))),"")</f>
        <v>0</v>
      </c>
      <c r="BS45" s="1368">
        <f>IF(45=45,IF($U45="","",SUMPRODUCT(--ISNUMBER(SEARCH(" "&amp;$CR$1991:$CR$2005&amp;" ",$AA45)))),"")</f>
        <v>0</v>
      </c>
      <c r="BT45" s="1368" t="str">
        <f>IF(45=45,IF($U45="","",IF((BR45)-(0)&gt;0,"X",IF((BS45)-(0)&gt;0,"?",""))),"")</f>
        <v/>
      </c>
      <c r="BU45" s="1368">
        <f>IF(45=45,IF($U45="","",SUMPRODUCT(--ISNUMBER(SEARCH(" "&amp;$CR$2006:$CR$2023&amp;" ",$AA45)))),"")</f>
        <v>0</v>
      </c>
      <c r="BV45" s="1368">
        <f>IF(45=45,IF($U45="","",SUMPRODUCT(--ISNUMBER(SEARCH(" "&amp;$CR$2024:$CR$2038&amp;" ",$AA45)))),"")</f>
        <v>0</v>
      </c>
      <c r="BW45" s="1368" t="str">
        <f>IF(45=45,IF($U45="","",IF((BU45)-(0)&gt;0,"X",IF((BV45)-(0)&gt;0,"?",""))),"")</f>
        <v/>
      </c>
      <c r="BX45" s="1368">
        <f>IF(45=45,IF($U45="","",SUMPRODUCT(--ISNUMBER(SEARCH(" "&amp;$CR$2039:$CR$2057&amp;" ",$AA45)))),"")</f>
        <v>0</v>
      </c>
      <c r="BY45" s="1368">
        <f>IF(45=45,IF($U45="","",SUMPRODUCT(--ISNUMBER(SEARCH(" "&amp;$CR$2058:$CR$2072&amp;" ",$AA45)))),"")</f>
        <v>0</v>
      </c>
      <c r="BZ45" s="1368" t="str">
        <f>IF(45=45,IF($U45="","",IF((BX45)-(0)&gt;0,"X",IF((BY45)-(0)&gt;0,"?",""))),"")</f>
        <v/>
      </c>
      <c r="CA45" s="1368">
        <f>IF(45=45,IF($U45="","",SUMPRODUCT(--ISNUMBER(SEARCH(" "&amp;$CR$2073:$CR$2093&amp;" ",$AA45)))),"")</f>
        <v>0</v>
      </c>
      <c r="CB45" s="1368">
        <f>IF(45=45,IF($U45="","",SUMPRODUCT(--ISNUMBER(SEARCH(" "&amp;$CR$2094:$CR$2133&amp;" ",SUBSTITUTE(SUBSTITUTE($AA45," "&amp;$CR$1367&amp;" "," ")," "&amp;$CR$1366&amp;" "," "))))+--ISNUMBER(SEARCH("poiré",$V45))),"")</f>
        <v>0</v>
      </c>
      <c r="CC45" s="1368" t="str">
        <f>IF(45=45,IF($U45="","",IF(OR(CA45&gt;0,ISNUMBER(SEARCH(" vinaigre de vin ",$AA45)),ISNUMBER(SEARCH(" vinaigre au vin ",$AA45))),"X",IF(CB45&gt;0,"?",""))),"")</f>
        <v/>
      </c>
      <c r="CD45" s="1368">
        <f>IF(45=45,IF($U45="","",SUMPRODUCT(--ISNUMBER(SEARCH(" "&amp;$CR$2134:$CR$2146&amp;" ",$AA45)))),"")</f>
        <v>0</v>
      </c>
      <c r="CE45" s="1368">
        <f>IF(45=45,IF($U45="","",SUMPRODUCT(--ISNUMBER(SEARCH(" "&amp;$CR$2147:$CR$2152&amp;" ",$AA45)))),"")</f>
        <v>0</v>
      </c>
      <c r="CF45" s="1368" t="str">
        <f>IF(45=45,IF($U45="","",IF((CD45)-(0)&gt;0,"X",IF((CE45)-(0)&gt;0,"?",""))),"")</f>
        <v/>
      </c>
      <c r="CG45" s="1368">
        <f>IF(45=45,IF($U45="","",SUMPRODUCT(--ISNUMBER(SEARCH(" "&amp;$CR$2153:$CR$2252&amp;" ",$CJ45)))),"")</f>
        <v>0</v>
      </c>
      <c r="CH45" s="1368">
        <f>IF(45=45,IF($U45="","",SUMPRODUCT(--ISNUMBER(SEARCH(" "&amp;$CR$2253:$CR$2352&amp;" ",$CJ45)))),"")</f>
        <v>0</v>
      </c>
      <c r="CI45" s="1368">
        <f>IF(45=45,IF($U45="","",SUMPRODUCT(--ISNUMBER(SEARCH(" "&amp;$CR$2353:$CR$2395&amp;" ",$CJ45)))),"")</f>
        <v>0</v>
      </c>
      <c r="CJ45" s="1368" t="str">
        <f>IF(45=45,IF($U45="","",SUBSTITUTE(SUBSTITUTE(SUBSTITUTE(SUBSTITUTE(SUBSTITUTE(SUBSTITUTE(SUBSTITUTE(SUBSTITUTE(SUBSTITUTE(SUBSTITUTE(SUBSTITUTE(SUBSTITUTE(SUBSTITUTE(SUBSTITUTE(SUBSTITUTE(SUBSTITUTE($AA45," "&amp;$CR$2401&amp;" "," ")," "&amp;$CR$2400&amp;" "," ")," "&amp;$CR$2399&amp;" "," ")," "&amp;$CR$2406&amp;" "," ")," "&amp;$CR$2398&amp;" "," ")," "&amp;$CR$2410&amp;" "," ")," "&amp;$CR$2397&amp;" "," ")," "&amp;$CR$2402&amp;" "," ")," "&amp;$CR$2405&amp;" "," ")," "&amp;$CR$2396&amp;" "," ")," "&amp;$CR$2404&amp;" "," ")," "&amp;$CR$2411&amp;" "," ")," "&amp;$CR$2408&amp;" "," ")," "&amp;$CR$2403&amp;" "," ")," "&amp;$CR$2407&amp;" "," ")," "&amp;$CR$2409&amp;" "," ")),"")</f>
        <v xml:space="preserve"> oignons eminces surgeles </v>
      </c>
      <c r="CK45" s="1368">
        <f>IF(45=45,IF($U45="","",SUMPRODUCT(--ISNUMBER(SEARCH(" "&amp;$CR$2412:$CR$2416&amp;" ",$CJ45)))),"")</f>
        <v>0</v>
      </c>
      <c r="CL45" s="1368" t="str">
        <f>IF(45=45,IF($U45="","",IF(SUM(CG45:CI45)&gt;0,"X",IF(CK45&gt;0,"?",""))),"")</f>
        <v/>
      </c>
      <c r="CM45" s="1377"/>
      <c r="CN45" s="1388" t="s">
        <v>8321</v>
      </c>
      <c r="CO45" s="1388" t="s">
        <v>8105</v>
      </c>
      <c r="CP45" s="1388" t="s">
        <v>8106</v>
      </c>
      <c r="CQ45" s="1388" t="s">
        <v>8322</v>
      </c>
      <c r="CR45" s="1388" t="s">
        <v>8322</v>
      </c>
      <c r="CS45" s="1388" t="s">
        <v>8108</v>
      </c>
      <c r="CT45" s="1388" t="s">
        <v>8109</v>
      </c>
      <c r="CU45" s="1388" t="s">
        <v>8110</v>
      </c>
      <c r="CV45" s="1389" t="s">
        <v>8111</v>
      </c>
      <c r="CX45" s="1379">
        <v>1</v>
      </c>
    </row>
    <row r="46" spans="1:102" ht="21" customHeight="1" x14ac:dyDescent="0.25">
      <c r="A46" s="1412">
        <v>40</v>
      </c>
      <c r="B46" s="1413" t="s">
        <v>8323</v>
      </c>
      <c r="C46" s="1414" t="str">
        <f t="shared" si="0"/>
        <v>Persil plat</v>
      </c>
      <c r="D46" s="1415" t="str">
        <f>IF(46=46,IF($B46="","",IF(E46="X",""&amp;"Céréales contenant du gluten","")&amp;IF(F46="X",IF(COUNTIF($E46:$E46,"X")&gt;0,", ","")&amp;"Crustacés","")&amp;IF(G46="X",IF(COUNTIF($E46:$F46,"X")&gt;0,", ","")&amp;"Œufs","")&amp;IF(H46="X",IF(COUNTIF($E46:$G46,"X")&gt;0,", ","")&amp;"Poissons","")&amp;IF(I46="X",IF(COUNTIF($E46:$H46,"X")&gt;0,", ","")&amp;"Arachides","")&amp;IF(J46="X",IF(COUNTIF($E46:$I46,"X")&gt;0,", ","")&amp;"Soja","")&amp;IF(K46="X",IF(COUNTIF($E46:$J46,"X")&gt;0,", ","")&amp;"Lait","")&amp;IF(L46="X",IF(COUNTIF($E46:$K46,"X")&gt;0,", ","")&amp;"Fruits à coque","")&amp;IF(M46="X",IF(COUNTIF($E46:$L46,"X")&gt;0,", ","")&amp;"Céleri","")&amp;IF(N46="X",IF(COUNTIF($E46:$M46,"X")&gt;0,", ","")&amp;"Moutarde","")&amp;IF(O46="X",IF(COUNTIF($E46:$N46,"X")&gt;0,", ","")&amp;"Sésame","")&amp;IF(P46="X",IF(COUNTIF($E46:$O46,"X")&gt;0,", ","")&amp;"Sulfites","")&amp;IF(Q46="X",IF(COUNTIF($E46:$P46,"X")&gt;0,", ","")&amp;"Lupin","")&amp;IF(R46="X",IF(COUNTIF($E46:$Q46,"X")&gt;0,", ","")&amp;"Mollusques","")),"")</f>
        <v/>
      </c>
      <c r="E46" s="1416" t="str">
        <f>IF(46=46,IF($B46="","",AF46),"")</f>
        <v/>
      </c>
      <c r="F46" s="1416" t="str">
        <f>IF(46=46,IF($B46="","",AI46),"")</f>
        <v/>
      </c>
      <c r="G46" s="1416" t="str">
        <f>IF(46=46,IF($B46="","",AM46),"")</f>
        <v/>
      </c>
      <c r="H46" s="1416" t="str">
        <f>IF(46=46,IF($B46="","",IF(ISNUMBER(SEARCH(" colin ",$AA46)),"X",AZ46)),"")</f>
        <v/>
      </c>
      <c r="I46" s="1416" t="str">
        <f>IF(46=46,IF($B46="","",BB46),"")</f>
        <v/>
      </c>
      <c r="J46" s="1416" t="str">
        <f>IF(46=46,IF($B46="","",BF46),"")</f>
        <v/>
      </c>
      <c r="K46" s="1416" t="str">
        <f>IF(46=46,IF($B46="","",BM46),"")</f>
        <v/>
      </c>
      <c r="L46" s="1416" t="str">
        <f>IF(46=46,IF($B46="","",BQ46),"")</f>
        <v/>
      </c>
      <c r="M46" s="1416" t="str">
        <f>IF(46=46,IF($B46="","",BT46),"")</f>
        <v/>
      </c>
      <c r="N46" s="1416" t="str">
        <f>IF(46=46,IF($B46="","",BW46),"")</f>
        <v/>
      </c>
      <c r="O46" s="1416" t="str">
        <f>IF(46=46,IF($B46="","",BZ46),"")</f>
        <v/>
      </c>
      <c r="P46" s="1416" t="str">
        <f>IF(46=46,IF($B46="","",CC46),"")</f>
        <v/>
      </c>
      <c r="Q46" s="1416" t="str">
        <f>IF(46=46,IF($B46="","",CF46),"")</f>
        <v/>
      </c>
      <c r="R46" s="1416" t="str">
        <f>IF(46=46,IF($B46="","",CL46),"")</f>
        <v/>
      </c>
      <c r="S46" s="1417" t="str">
        <f>IF(46=46,IF($B46="","",IF(E46="?",""&amp;"Céréales contenant du gluten","")&amp;IF(F46="?",IF(COUNTIF($E46:$E46,"~?")&gt;0,", ","")&amp;"Crustacés","")&amp;IF(G46="?",IF(COUNTIF($E46:$F46,"~?")&gt;0,", ","")&amp;"Œufs","")&amp;IF(H46="?",IF(COUNTIF($E46:$G46,"~?")&gt;0,", ","")&amp;"Poissons","")&amp;IF(I46="?",IF(COUNTIF($E46:$H46,"~?")&gt;0,", ","")&amp;"Arachides","")&amp;IF(J46="?",IF(COUNTIF($E46:$I46,"~?")&gt;0,", ","")&amp;"Soja","")&amp;IF(K46="?",IF(COUNTIF($E46:$J46,"~?")&gt;0,", ","")&amp;"Lait","")&amp;IF(L46="?",IF(COUNTIF($E46:$K46,"~?")&gt;0,", ","")&amp;"Fruits à coque","")&amp;IF(M46="?",IF(COUNTIF($E46:$L46,"~?")&gt;0,", ","")&amp;"Céleri","")&amp;IF(N46="?",IF(COUNTIF($E46:$M46,"~?")&gt;0,", ","")&amp;"Moutarde","")&amp;IF(O46="?",IF(COUNTIF($E46:$N46,"~?")&gt;0,", ","")&amp;"Sésame","")&amp;IF(P46="?",IF(COUNTIF($E46:$O46,"~?")&gt;0,", ","")&amp;"Sulfites","")&amp;IF(Q46="?",IF(COUNTIF($E46:$P46,"~?")&gt;0,", ","")&amp;"Lupin","")&amp;IF(R46="?",IF(COUNTIF($E46:$Q46,"~?")&gt;0,", ","")&amp;"Mollusques","")),"")</f>
        <v/>
      </c>
      <c r="U46" s="1368" t="str">
        <f>IF(46=46,IF($B46="","",$B46),"")</f>
        <v>Persil plat</v>
      </c>
      <c r="V46" s="1368" t="str">
        <f>IF(46=46,LOWER(CLEAN(SUBSTITUTE(SUBSTITUTE(SUBSTITUTE(SUBSTITUTE($U46,CHAR(160)," ")," "," "),CHAR(10)," "),CHAR(13)," "))),"")</f>
        <v>persil plat</v>
      </c>
      <c r="W46" s="1368" t="str">
        <f>IF(46=46,SUBSTITUTE(SUBSTITUTE(SUBSTITUTE(SUBSTITUTE(SUBSTITUTE(SUBSTITUTE(SUBSTITUTE(SUBSTITUTE(SUBSTITUTE(SUBSTITUTE(SUBSTITUTE(SUBSTITUTE($V46,"œ","oe"),"æ","ae"),"à","a"),"á","a"),"â","a"),"ä","a"),"ã","a"),"ç","c"),"è","e"),"é","e"),"ê","e"),"ë","e"),"")</f>
        <v>persil plat</v>
      </c>
      <c r="X46" s="1368" t="str">
        <f>IF(46=46,SUBSTITUTE(SUBSTITUTE(SUBSTITUTE(SUBSTITUTE(SUBSTITUTE(SUBSTITUTE(SUBSTITUTE(SUBSTITUTE(SUBSTITUTE(SUBSTITUTE(SUBSTITUTE(SUBSTITUTE(SUBSTITUTE(SUBSTITUTE(SUBSTITUTE(SUBSTITUTE($W46,"ì","i"),"í","i"),"î","i"),"ï","i"),"ñ","n"),"ò","o"),"ó","o"),"ô","o"),"ö","o"),"õ","o"),"ù","u"),"ú","u"),"û","u"),"ü","u"),"ý","y"),"ÿ","y"),"")</f>
        <v>persil plat</v>
      </c>
      <c r="Y46" s="1368" t="str">
        <f>IF(46=46,SUBSTITUTE(SUBSTITUTE(SUBSTITUTE(SUBSTITUTE(SUBSTITUTE(SUBSTITUTE(SUBSTITUTE(SUBSTITUTE(SUBSTITUTE(SUBSTITUTE(SUBSTITUTE(SUBSTITUTE(SUBSTITUTE(SUBSTITUTE($X46,"’"," "),"`"," "),"–"," "),"—"," "),"-"," "),"'"," "),"/"," "),"_"," "),","," "),"."," "),"("," "),")"," "),";"," "),":"," "),"")</f>
        <v>persil plat</v>
      </c>
      <c r="Z46" s="1368" t="str">
        <f>IF(46=46,SUBSTITUTE(SUBSTITUTE(SUBSTITUTE(SUBSTITUTE(SUBSTITUTE(SUBSTITUTE(SUBSTITUTE(SUBSTITUTE(SUBSTITUTE(SUBSTITUTE(SUBSTITUTE(SUBSTITUTE(SUBSTITUTE(SUBSTITUTE(SUBSTITUTE($Y46,"!"," "),"?"," "),"+"," "),"*"," "),"&amp;"," "),"["," "),"]"," "),"{"," "),"}"," "),"%"," "),"="," "),"\"," "),"|"," "),"&lt;"," "),"&gt;"," "),"")</f>
        <v>persil plat</v>
      </c>
      <c r="AA46" s="1368" t="str">
        <f>IF(46=46," "&amp;TRIM(SUBSTITUTE(SUBSTITUTE(SUBSTITUTE(SUBSTITUTE(SUBSTITUTE(SUBSTITUTE($Z46,CHAR(34)," "),"  "," "),"  "," "),"  "," "),"  "," "),"  "," "))&amp;" ","")</f>
        <v xml:space="preserve"> persil plat </v>
      </c>
      <c r="AB46" s="1368">
        <f>IF(46=46,IF($U46="","",SUMPRODUCT(--ISNUMBER(SEARCH(" "&amp;$CR$2:$CR$101&amp;" ",$AD46)))),"")</f>
        <v>0</v>
      </c>
      <c r="AC46" s="1368">
        <f>IF(46=46,IF($U46="","",SUMPRODUCT(--ISNUMBER(SEARCH(" "&amp;$CR$102:$CR$151&amp;" ",$AD46)))),"")</f>
        <v>0</v>
      </c>
      <c r="AD46" s="1368" t="str">
        <f t="shared" si="1"/>
        <v xml:space="preserve"> persil plat </v>
      </c>
      <c r="AE46" s="1368">
        <f t="shared" si="2"/>
        <v>0</v>
      </c>
      <c r="AF46" s="1368" t="str">
        <f>IF(46=46,IF($U46="","",IF(SUM(AB46:AC46)+SUMPRODUCT(--ISNUMBER(SEARCH(" "&amp;$CR$2418:$CR$2420&amp;" ",$AD46)))&gt;0,"X",IF(AE46&gt;0,"?",""))),"")</f>
        <v/>
      </c>
      <c r="AG46" s="1368">
        <f>IF(46=46,IF($U46="","",SUMPRODUCT(--ISNUMBER(SEARCH(" "&amp;$CR$206:$CR$305&amp;" ",$AA46)))),"")</f>
        <v>0</v>
      </c>
      <c r="AH46" s="1368">
        <f>IF(46=46,IF($U46="","",SUMPRODUCT(--ISNUMBER(SEARCH(" "&amp;$CR$306:$CR$340&amp;" ",$AA46)))),"")</f>
        <v>0</v>
      </c>
      <c r="AI46" s="1368" t="str">
        <f>IF(46=46,IF($U46="","",IF((SUM(AG46:AH46))-(0)&gt;0,"X",IF((0)-(0)&gt;0,"?",""))),"")</f>
        <v/>
      </c>
      <c r="AJ46" s="1368">
        <f>IF(46=46,IF($U46="","",SUMPRODUCT(--ISNUMBER(SEARCH(" "&amp;$CR$341:$CR$398&amp;" ",$AA46)))),"")</f>
        <v>0</v>
      </c>
      <c r="AK46" s="1368">
        <f>IF(46=46,IF($U46="","",SUMPRODUCT(--ISNUMBER(SEARCH(" "&amp;$CR$399:$CR$426&amp;" ",$AL46)))+SUMPRODUCT(--ISNUMBER(SEARCH(" "&amp;$CR$2440:$CR$2453&amp;" ",$AL46)))),"")</f>
        <v>0</v>
      </c>
      <c r="AL46" s="1368" t="str">
        <f>IF(46=46,IF($U46="","",SUBSTITUTE(SUBSTITUTE(SUBSTITUTE(SUBSTITUTE(SUBSTITUTE(SUBSTITUTE(SUBSTITUTE(SUBSTITUTE(SUBSTITUTE(SUBSTITUTE(SUBSTITUTE(SUBSTITUTE(SUBSTITUTE(SUBSTITUTE($AA46," "&amp;$CR$2455&amp;" "," ")," "&amp;$CR$433&amp;" "," ")," "&amp;$CR$431&amp;" "," ")," "&amp;$CR$2438&amp;" "," ")," "&amp;$CR$2439&amp;" "," ")," "&amp;$CR$428&amp;" "," ")," "&amp;$CR$432&amp;" "," ")," "&amp;$CR$434&amp;" "," ")," "&amp;$CR$429&amp;" "," ")," "&amp;$CR$427&amp;" "," ")," "&amp;$CR$1367&amp;" "," ")," "&amp;$CR$435&amp;" "," ")," "&amp;$CR$1366&amp;" "," ")," "&amp;$CR$430&amp;" "," ")),"")</f>
        <v xml:space="preserve"> persil plat </v>
      </c>
      <c r="AM46" s="1368" t="str">
        <f>IF(46=46,IF($U46="","",IF(AJ46&gt;0,"X",IF(AK46&gt;0,"?",""))),"")</f>
        <v/>
      </c>
      <c r="AN46" s="1368">
        <f>IF(46=46,IF($U46="","",SUMPRODUCT(--ISNUMBER(SEARCH(" "&amp;$CR$436:$CR$535&amp;" ",$AX46)))),"")</f>
        <v>0</v>
      </c>
      <c r="AO46" s="1368">
        <f>IF(46=46,IF($U46="","",SUMPRODUCT(--ISNUMBER(SEARCH(" "&amp;$CR$536:$CR$635&amp;" ",$AX46)))),"")</f>
        <v>0</v>
      </c>
      <c r="AP46" s="1368">
        <f>IF(46=46,IF($U46="","",SUMPRODUCT(--ISNUMBER(SEARCH(" "&amp;$CR$636:$CR$735&amp;" ",$AX46)))),"")</f>
        <v>0</v>
      </c>
      <c r="AQ46" s="1368">
        <f>IF(46=46,IF($U46="","",SUMPRODUCT(--ISNUMBER(SEARCH(" "&amp;$CR$736:$CR$835&amp;" ",$AX46)))),"")</f>
        <v>0</v>
      </c>
      <c r="AR46" s="1368">
        <f>IF(46=46,IF($U46="","",SUMPRODUCT(--ISNUMBER(SEARCH(" "&amp;$CR$836:$CR$935&amp;" ",$AX46)))),"")</f>
        <v>0</v>
      </c>
      <c r="AS46" s="1368">
        <f>IF(46=46,IF($U46="","",SUMPRODUCT(--ISNUMBER(SEARCH(" "&amp;$CR$936:$CR$1035&amp;" ",$AX46)))),"")</f>
        <v>0</v>
      </c>
      <c r="AT46" s="1368">
        <f>IF(46=46,IF($U46="","",SUMPRODUCT(--ISNUMBER(SEARCH(" "&amp;$CR$1036:$CR$1135&amp;" ",$AX46)))),"")</f>
        <v>0</v>
      </c>
      <c r="AU46" s="1368">
        <f>IF(46=46,IF($U46="","",SUMPRODUCT(--ISNUMBER(SEARCH(" "&amp;$CR$1136:$CR$1235&amp;" ",$AX46)))),"")</f>
        <v>0</v>
      </c>
      <c r="AV46" s="1368">
        <f>IF(46=46,IF($U46="","",SUMPRODUCT(--ISNUMBER(SEARCH(" "&amp;$CR$1236:$CR$1335&amp;" ",$AX46)))),"")</f>
        <v>0</v>
      </c>
      <c r="AW46" s="1368">
        <f>IF(46=46,IF($U46="","",SUMPRODUCT(--ISNUMBER(SEARCH(" "&amp;$CR$1336:$CR$1363&amp;" ",$AX46)))),"")</f>
        <v>0</v>
      </c>
      <c r="AX46" s="1368" t="str">
        <f>IF(46=46,IF($U46="","",SUBSTITUTE(SUBSTITUTE(SUBSTITUTE(SUBSTITUTE(SUBSTITUTE(SUBSTITUTE(SUBSTITUTE(SUBSTITUTE(SUBSTITUTE($AA46," "&amp;$CR$1365&amp;" "," ")," "&amp;$CR$1364&amp;" "," ")," "&amp;$CR$1370&amp;" "," ")," "&amp;$CR$1371&amp;" "," ")," "&amp;$CR$1367&amp;" "," ")," "&amp;$CR$1369&amp;" "," ")," "&amp;$CR$1366&amp;" "," ")," "&amp;$CR$1368&amp;" "," ")," "&amp;$CR$1372&amp;" "," ")),"")</f>
        <v xml:space="preserve"> persil plat </v>
      </c>
      <c r="AY46" s="1368">
        <f>IF(46=46,IF($U46="","",SUMPRODUCT(--ISNUMBER(SEARCH(" "&amp;$CR$1373:$CR$1383&amp;" ",$AX46)))),"")</f>
        <v>0</v>
      </c>
      <c r="AZ46" s="1368" t="str">
        <f>IF(46=46,IF($U46="","",IF(SUM(AN46:AW46)+SUMPRODUCT(--ISNUMBER(SEARCH(" "&amp;$CR$2421:$CR$2422&amp;" ",$AX46)))&gt;0,"X",IF(AY46&gt;0,"?",""))),"")</f>
        <v/>
      </c>
      <c r="BA46" s="1368">
        <f>IF(46=46,IF($U46="","",SUMPRODUCT(--ISNUMBER(SEARCH(" "&amp;$CR$1384:$CR$1404&amp;" ",$AA46)))),"")</f>
        <v>0</v>
      </c>
      <c r="BB46" s="1368" t="str">
        <f>IF(46=46,IF($U46="","",IF((BA46)-(0)&gt;0,"X",IF((0)-(0)&gt;0,"?",""))),"")</f>
        <v/>
      </c>
      <c r="BC46" s="1368">
        <f>IF(46=46,IF($U46="","",SUMPRODUCT(--ISNUMBER(SEARCH(" "&amp;$CR$1405:$CR$1442&amp;" ",$BD46)))),"")</f>
        <v>0</v>
      </c>
      <c r="BD46" s="1368" t="str">
        <f>IF(46=46,IF($U46="","",SUBSTITUTE(SUBSTITUTE($AA46," "&amp;$CR$1443&amp;" "," ")," "&amp;$CR$1444&amp;" "," ")),"")</f>
        <v xml:space="preserve"> persil plat </v>
      </c>
      <c r="BE46" s="1368">
        <f>IF(46=46,IF($U46="","",SUMPRODUCT(--ISNUMBER(SEARCH(" "&amp;$CR$1445:$CR$1455&amp;" ",$BD46)))),"")</f>
        <v>0</v>
      </c>
      <c r="BF46" s="1368" t="str">
        <f>IF(46=46,IF($U46="","",IF(BC46&gt;0,"X",IF(BE46&gt;0,"?",""))),"")</f>
        <v/>
      </c>
      <c r="BG46" s="1368">
        <f>IF(46=46,IF($U46="","",SUMPRODUCT(--ISNUMBER(SEARCH(" "&amp;$CR$1456:$CR$1555&amp;" ",$BJ46)))),"")</f>
        <v>0</v>
      </c>
      <c r="BH46" s="1368">
        <f>IF(46=46,IF($U46="","",SUMPRODUCT(--ISNUMBER(SEARCH(" "&amp;$CR$1556:$CR$1655&amp;" ",$BJ46)))),"")</f>
        <v>0</v>
      </c>
      <c r="BI46" s="1368">
        <f>IF(46=46,IF($U46="","",SUMPRODUCT(--ISNUMBER(SEARCH(" "&amp;$CR$1656:$CR$1739&amp;" ",$BJ46)))),"")</f>
        <v>0</v>
      </c>
      <c r="BJ46" s="1368" t="str">
        <f>IF(46=46,IF($U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persil plat </v>
      </c>
      <c r="BK46" s="1368">
        <f>IF(46=46,IF($U46="","",SUMPRODUCT(--ISNUMBER(SEARCH(" "&amp;$CR$1790:$CR$1869&amp;" ",$BL46)))+SUMPRODUCT(--ISNUMBER(SEARCH(" "&amp;$CR$2440:$CR$2453&amp;" ",$BL46)))),"")</f>
        <v>0</v>
      </c>
      <c r="BL46" s="1368" t="str">
        <f>IF(46=46,IF($U46="","",SUBSTITUTE(SUBSTITUTE(SUBSTITUTE(SUBSTITUTE(SUBSTITUTE(SUBSTITUTE(SUBSTITUTE(SUBSTITUTE(SUBSTITUTE(SUBSTITUTE(SUBSTITUTE(SUBSTITUTE(SUBSTITUTE($BJ46," "&amp;$CR$1876&amp;" "," ")," "&amp;$CR$1874&amp;" "," ")," "&amp;$CR$2438&amp;" "," ")," "&amp;$CR$2439&amp;" "," ")," "&amp;$CR$1871&amp;" "," ")," "&amp;$CR$1875&amp;" "," ")," "&amp;$CR$1877&amp;" "," ")," "&amp;$CR$1872&amp;" "," ")," "&amp;$CR$1870&amp;" "," ")," "&amp;$CR$1367&amp;" "," ")," "&amp;$CR$1878&amp;" "," ")," "&amp;$CR$1366&amp;" "," ")," "&amp;$CR$1873&amp;" "," ")),"")</f>
        <v xml:space="preserve"> persil plat </v>
      </c>
      <c r="BM46" s="1368" t="str">
        <f>IF(46=46,IF($U46="","",IF(SUM(BG46:BI46)+SUMPRODUCT(--ISNUMBER(SEARCH(" "&amp;$CR$2423:$CR$2424&amp;" ",$BJ46)))&gt;0,"X",IF(BK46&gt;0,"?",""))),"")</f>
        <v/>
      </c>
      <c r="BN46" s="1368">
        <f>IF(46=46,IF($U46="","",SUMPRODUCT(--ISNUMBER(SEARCH(" "&amp;$CR$1879:$CR$1936&amp;" ",$BO46)))),"")</f>
        <v>0</v>
      </c>
      <c r="BO46" s="1368" t="str">
        <f>IF(46=46,IF($U46="","",SUBSTITUTE(SUBSTITUTE(SUBSTITUTE(SUBSTITUTE(SUBSTITUTE(SUBSTITUTE(SUBSTITUTE(SUBSTITUTE(SUBSTITUTE(SUBSTITUTE(SUBSTITUTE(SUBSTITUTE(SUBSTITUTE(SUBSTITUTE(SUBSTITUTE(SUBSTITUTE(SUBSTITUTE(SUBSTITUTE(SUBSTITUTE(SUBSTITUTE(SUBSTITUTE(SUBSTITUTE(SUBSTITUTE($AA46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persil plat </v>
      </c>
      <c r="BP46" s="1368">
        <f>IF(46=46,IF($U46="","",SUMPRODUCT(--ISNUMBER(SEARCH(" "&amp;$CR$1960:$CR$1976&amp;" ",$BO46)))),"")</f>
        <v>0</v>
      </c>
      <c r="BQ46" s="1368" t="str">
        <f>IF(46=46,IF($U46="","",IF(BN46&gt;0,"X",IF(BP46&gt;0,"?",""))),"")</f>
        <v/>
      </c>
      <c r="BR46" s="1368">
        <f>IF(46=46,IF($U46="","",SUMPRODUCT(--ISNUMBER(SEARCH(" "&amp;$CR$1977:$CR$1990&amp;" ",$AA46)))),"")</f>
        <v>0</v>
      </c>
      <c r="BS46" s="1368">
        <f>IF(46=46,IF($U46="","",SUMPRODUCT(--ISNUMBER(SEARCH(" "&amp;$CR$1991:$CR$2005&amp;" ",$AA46)))),"")</f>
        <v>0</v>
      </c>
      <c r="BT46" s="1368" t="str">
        <f>IF(46=46,IF($U46="","",IF((BR46)-(0)&gt;0,"X",IF((BS46)-(0)&gt;0,"?",""))),"")</f>
        <v/>
      </c>
      <c r="BU46" s="1368">
        <f>IF(46=46,IF($U46="","",SUMPRODUCT(--ISNUMBER(SEARCH(" "&amp;$CR$2006:$CR$2023&amp;" ",$AA46)))),"")</f>
        <v>0</v>
      </c>
      <c r="BV46" s="1368">
        <f>IF(46=46,IF($U46="","",SUMPRODUCT(--ISNUMBER(SEARCH(" "&amp;$CR$2024:$CR$2038&amp;" ",$AA46)))),"")</f>
        <v>0</v>
      </c>
      <c r="BW46" s="1368" t="str">
        <f>IF(46=46,IF($U46="","",IF((BU46)-(0)&gt;0,"X",IF((BV46)-(0)&gt;0,"?",""))),"")</f>
        <v/>
      </c>
      <c r="BX46" s="1368">
        <f>IF(46=46,IF($U46="","",SUMPRODUCT(--ISNUMBER(SEARCH(" "&amp;$CR$2039:$CR$2057&amp;" ",$AA46)))),"")</f>
        <v>0</v>
      </c>
      <c r="BY46" s="1368">
        <f>IF(46=46,IF($U46="","",SUMPRODUCT(--ISNUMBER(SEARCH(" "&amp;$CR$2058:$CR$2072&amp;" ",$AA46)))),"")</f>
        <v>0</v>
      </c>
      <c r="BZ46" s="1368" t="str">
        <f>IF(46=46,IF($U46="","",IF((BX46)-(0)&gt;0,"X",IF((BY46)-(0)&gt;0,"?",""))),"")</f>
        <v/>
      </c>
      <c r="CA46" s="1368">
        <f>IF(46=46,IF($U46="","",SUMPRODUCT(--ISNUMBER(SEARCH(" "&amp;$CR$2073:$CR$2093&amp;" ",$AA46)))),"")</f>
        <v>0</v>
      </c>
      <c r="CB46" s="1368">
        <f>IF(46=46,IF($U46="","",SUMPRODUCT(--ISNUMBER(SEARCH(" "&amp;$CR$2094:$CR$2133&amp;" ",SUBSTITUTE(SUBSTITUTE($AA46," "&amp;$CR$1367&amp;" "," ")," "&amp;$CR$1366&amp;" "," "))))+--ISNUMBER(SEARCH("poiré",$V46))),"")</f>
        <v>0</v>
      </c>
      <c r="CC46" s="1368" t="str">
        <f>IF(46=46,IF($U46="","",IF(OR(CA46&gt;0,ISNUMBER(SEARCH(" vinaigre de vin ",$AA46)),ISNUMBER(SEARCH(" vinaigre au vin ",$AA46))),"X",IF(CB46&gt;0,"?",""))),"")</f>
        <v/>
      </c>
      <c r="CD46" s="1368">
        <f>IF(46=46,IF($U46="","",SUMPRODUCT(--ISNUMBER(SEARCH(" "&amp;$CR$2134:$CR$2146&amp;" ",$AA46)))),"")</f>
        <v>0</v>
      </c>
      <c r="CE46" s="1368">
        <f>IF(46=46,IF($U46="","",SUMPRODUCT(--ISNUMBER(SEARCH(" "&amp;$CR$2147:$CR$2152&amp;" ",$AA46)))),"")</f>
        <v>0</v>
      </c>
      <c r="CF46" s="1368" t="str">
        <f>IF(46=46,IF($U46="","",IF((CD46)-(0)&gt;0,"X",IF((CE46)-(0)&gt;0,"?",""))),"")</f>
        <v/>
      </c>
      <c r="CG46" s="1368">
        <f>IF(46=46,IF($U46="","",SUMPRODUCT(--ISNUMBER(SEARCH(" "&amp;$CR$2153:$CR$2252&amp;" ",$CJ46)))),"")</f>
        <v>0</v>
      </c>
      <c r="CH46" s="1368">
        <f>IF(46=46,IF($U46="","",SUMPRODUCT(--ISNUMBER(SEARCH(" "&amp;$CR$2253:$CR$2352&amp;" ",$CJ46)))),"")</f>
        <v>0</v>
      </c>
      <c r="CI46" s="1368">
        <f>IF(46=46,IF($U46="","",SUMPRODUCT(--ISNUMBER(SEARCH(" "&amp;$CR$2353:$CR$2395&amp;" ",$CJ46)))),"")</f>
        <v>0</v>
      </c>
      <c r="CJ46" s="1368" t="str">
        <f>IF(46=46,IF($U46="","",SUBSTITUTE(SUBSTITUTE(SUBSTITUTE(SUBSTITUTE(SUBSTITUTE(SUBSTITUTE(SUBSTITUTE(SUBSTITUTE(SUBSTITUTE(SUBSTITUTE(SUBSTITUTE(SUBSTITUTE(SUBSTITUTE(SUBSTITUTE(SUBSTITUTE(SUBSTITUTE($AA46," "&amp;$CR$2401&amp;" "," ")," "&amp;$CR$2400&amp;" "," ")," "&amp;$CR$2399&amp;" "," ")," "&amp;$CR$2406&amp;" "," ")," "&amp;$CR$2398&amp;" "," ")," "&amp;$CR$2410&amp;" "," ")," "&amp;$CR$2397&amp;" "," ")," "&amp;$CR$2402&amp;" "," ")," "&amp;$CR$2405&amp;" "," ")," "&amp;$CR$2396&amp;" "," ")," "&amp;$CR$2404&amp;" "," ")," "&amp;$CR$2411&amp;" "," ")," "&amp;$CR$2408&amp;" "," ")," "&amp;$CR$2403&amp;" "," ")," "&amp;$CR$2407&amp;" "," ")," "&amp;$CR$2409&amp;" "," ")),"")</f>
        <v xml:space="preserve"> persil plat </v>
      </c>
      <c r="CK46" s="1368">
        <f>IF(46=46,IF($U46="","",SUMPRODUCT(--ISNUMBER(SEARCH(" "&amp;$CR$2412:$CR$2416&amp;" ",$CJ46)))),"")</f>
        <v>0</v>
      </c>
      <c r="CL46" s="1368" t="str">
        <f>IF(46=46,IF($U46="","",IF(SUM(CG46:CI46)&gt;0,"X",IF(CK46&gt;0,"?",""))),"")</f>
        <v/>
      </c>
      <c r="CM46" s="1377"/>
      <c r="CN46" s="1388" t="s">
        <v>8324</v>
      </c>
      <c r="CO46" s="1388" t="s">
        <v>8105</v>
      </c>
      <c r="CP46" s="1388" t="s">
        <v>8106</v>
      </c>
      <c r="CQ46" s="1388" t="s">
        <v>8325</v>
      </c>
      <c r="CR46" s="1388" t="s">
        <v>8325</v>
      </c>
      <c r="CS46" s="1388" t="s">
        <v>8108</v>
      </c>
      <c r="CT46" s="1388" t="s">
        <v>8109</v>
      </c>
      <c r="CU46" s="1388" t="s">
        <v>8110</v>
      </c>
      <c r="CV46" s="1389" t="s">
        <v>8111</v>
      </c>
      <c r="CX46" s="1379">
        <v>1</v>
      </c>
    </row>
    <row r="47" spans="1:102" ht="21" customHeight="1" x14ac:dyDescent="0.25">
      <c r="A47" s="1412">
        <v>41</v>
      </c>
      <c r="B47" s="1413" t="s">
        <v>8326</v>
      </c>
      <c r="C47" s="1414" t="str">
        <f t="shared" si="0"/>
        <v>Petits pois surgelés</v>
      </c>
      <c r="D47" s="1415" t="str">
        <f>IF(47=47,IF($B47="","",IF(E47="X",""&amp;"Céréales contenant du gluten","")&amp;IF(F47="X",IF(COUNTIF($E47:$E47,"X")&gt;0,", ","")&amp;"Crustacés","")&amp;IF(G47="X",IF(COUNTIF($E47:$F47,"X")&gt;0,", ","")&amp;"Œufs","")&amp;IF(H47="X",IF(COUNTIF($E47:$G47,"X")&gt;0,", ","")&amp;"Poissons","")&amp;IF(I47="X",IF(COUNTIF($E47:$H47,"X")&gt;0,", ","")&amp;"Arachides","")&amp;IF(J47="X",IF(COUNTIF($E47:$I47,"X")&gt;0,", ","")&amp;"Soja","")&amp;IF(K47="X",IF(COUNTIF($E47:$J47,"X")&gt;0,", ","")&amp;"Lait","")&amp;IF(L47="X",IF(COUNTIF($E47:$K47,"X")&gt;0,", ","")&amp;"Fruits à coque","")&amp;IF(M47="X",IF(COUNTIF($E47:$L47,"X")&gt;0,", ","")&amp;"Céleri","")&amp;IF(N47="X",IF(COUNTIF($E47:$M47,"X")&gt;0,", ","")&amp;"Moutarde","")&amp;IF(O47="X",IF(COUNTIF($E47:$N47,"X")&gt;0,", ","")&amp;"Sésame","")&amp;IF(P47="X",IF(COUNTIF($E47:$O47,"X")&gt;0,", ","")&amp;"Sulfites","")&amp;IF(Q47="X",IF(COUNTIF($E47:$P47,"X")&gt;0,", ","")&amp;"Lupin","")&amp;IF(R47="X",IF(COUNTIF($E47:$Q47,"X")&gt;0,", ","")&amp;"Mollusques","")),"")</f>
        <v/>
      </c>
      <c r="E47" s="1416" t="str">
        <f>IF(47=47,IF($B47="","",AF47),"")</f>
        <v/>
      </c>
      <c r="F47" s="1416" t="str">
        <f>IF(47=47,IF($B47="","",AI47),"")</f>
        <v/>
      </c>
      <c r="G47" s="1416" t="str">
        <f>IF(47=47,IF($B47="","",AM47),"")</f>
        <v/>
      </c>
      <c r="H47" s="1416" t="str">
        <f>IF(47=47,IF($B47="","",IF(ISNUMBER(SEARCH(" colin ",$AA47)),"X",AZ47)),"")</f>
        <v/>
      </c>
      <c r="I47" s="1416" t="str">
        <f>IF(47=47,IF($B47="","",BB47),"")</f>
        <v/>
      </c>
      <c r="J47" s="1416" t="str">
        <f>IF(47=47,IF($B47="","",BF47),"")</f>
        <v/>
      </c>
      <c r="K47" s="1416" t="str">
        <f>IF(47=47,IF($B47="","",BM47),"")</f>
        <v/>
      </c>
      <c r="L47" s="1416" t="str">
        <f>IF(47=47,IF($B47="","",BQ47),"")</f>
        <v/>
      </c>
      <c r="M47" s="1416" t="str">
        <f>IF(47=47,IF($B47="","",BT47),"")</f>
        <v/>
      </c>
      <c r="N47" s="1416" t="str">
        <f>IF(47=47,IF($B47="","",BW47),"")</f>
        <v/>
      </c>
      <c r="O47" s="1416" t="str">
        <f>IF(47=47,IF($B47="","",BZ47),"")</f>
        <v/>
      </c>
      <c r="P47" s="1416" t="str">
        <f>IF(47=47,IF($B47="","",CC47),"")</f>
        <v/>
      </c>
      <c r="Q47" s="1416" t="str">
        <f>IF(47=47,IF($B47="","",CF47),"")</f>
        <v/>
      </c>
      <c r="R47" s="1416" t="str">
        <f>IF(47=47,IF($B47="","",CL47),"")</f>
        <v/>
      </c>
      <c r="S47" s="1417" t="str">
        <f>IF(47=47,IF($B47="","",IF(E47="?",""&amp;"Céréales contenant du gluten","")&amp;IF(F47="?",IF(COUNTIF($E47:$E47,"~?")&gt;0,", ","")&amp;"Crustacés","")&amp;IF(G47="?",IF(COUNTIF($E47:$F47,"~?")&gt;0,", ","")&amp;"Œufs","")&amp;IF(H47="?",IF(COUNTIF($E47:$G47,"~?")&gt;0,", ","")&amp;"Poissons","")&amp;IF(I47="?",IF(COUNTIF($E47:$H47,"~?")&gt;0,", ","")&amp;"Arachides","")&amp;IF(J47="?",IF(COUNTIF($E47:$I47,"~?")&gt;0,", ","")&amp;"Soja","")&amp;IF(K47="?",IF(COUNTIF($E47:$J47,"~?")&gt;0,", ","")&amp;"Lait","")&amp;IF(L47="?",IF(COUNTIF($E47:$K47,"~?")&gt;0,", ","")&amp;"Fruits à coque","")&amp;IF(M47="?",IF(COUNTIF($E47:$L47,"~?")&gt;0,", ","")&amp;"Céleri","")&amp;IF(N47="?",IF(COUNTIF($E47:$M47,"~?")&gt;0,", ","")&amp;"Moutarde","")&amp;IF(O47="?",IF(COUNTIF($E47:$N47,"~?")&gt;0,", ","")&amp;"Sésame","")&amp;IF(P47="?",IF(COUNTIF($E47:$O47,"~?")&gt;0,", ","")&amp;"Sulfites","")&amp;IF(Q47="?",IF(COUNTIF($E47:$P47,"~?")&gt;0,", ","")&amp;"Lupin","")&amp;IF(R47="?",IF(COUNTIF($E47:$Q47,"~?")&gt;0,", ","")&amp;"Mollusques","")),"")</f>
        <v/>
      </c>
      <c r="U47" s="1368" t="str">
        <f>IF(47=47,IF($B47="","",$B47),"")</f>
        <v>Petits pois surgelés</v>
      </c>
      <c r="V47" s="1368" t="str">
        <f>IF(47=47,LOWER(CLEAN(SUBSTITUTE(SUBSTITUTE(SUBSTITUTE(SUBSTITUTE($U47,CHAR(160)," ")," "," "),CHAR(10)," "),CHAR(13)," "))),"")</f>
        <v>petits pois surgelés</v>
      </c>
      <c r="W47" s="1368" t="str">
        <f>IF(47=47,SUBSTITUTE(SUBSTITUTE(SUBSTITUTE(SUBSTITUTE(SUBSTITUTE(SUBSTITUTE(SUBSTITUTE(SUBSTITUTE(SUBSTITUTE(SUBSTITUTE(SUBSTITUTE(SUBSTITUTE($V47,"œ","oe"),"æ","ae"),"à","a"),"á","a"),"â","a"),"ä","a"),"ã","a"),"ç","c"),"è","e"),"é","e"),"ê","e"),"ë","e"),"")</f>
        <v>petits pois surgeles</v>
      </c>
      <c r="X47" s="1368" t="str">
        <f>IF(47=47,SUBSTITUTE(SUBSTITUTE(SUBSTITUTE(SUBSTITUTE(SUBSTITUTE(SUBSTITUTE(SUBSTITUTE(SUBSTITUTE(SUBSTITUTE(SUBSTITUTE(SUBSTITUTE(SUBSTITUTE(SUBSTITUTE(SUBSTITUTE(SUBSTITUTE(SUBSTITUTE($W47,"ì","i"),"í","i"),"î","i"),"ï","i"),"ñ","n"),"ò","o"),"ó","o"),"ô","o"),"ö","o"),"õ","o"),"ù","u"),"ú","u"),"û","u"),"ü","u"),"ý","y"),"ÿ","y"),"")</f>
        <v>petits pois surgeles</v>
      </c>
      <c r="Y47" s="1368" t="str">
        <f>IF(47=47,SUBSTITUTE(SUBSTITUTE(SUBSTITUTE(SUBSTITUTE(SUBSTITUTE(SUBSTITUTE(SUBSTITUTE(SUBSTITUTE(SUBSTITUTE(SUBSTITUTE(SUBSTITUTE(SUBSTITUTE(SUBSTITUTE(SUBSTITUTE($X47,"’"," "),"`"," "),"–"," "),"—"," "),"-"," "),"'"," "),"/"," "),"_"," "),","," "),"."," "),"("," "),")"," "),";"," "),":"," "),"")</f>
        <v>petits pois surgeles</v>
      </c>
      <c r="Z47" s="1368" t="str">
        <f>IF(47=47,SUBSTITUTE(SUBSTITUTE(SUBSTITUTE(SUBSTITUTE(SUBSTITUTE(SUBSTITUTE(SUBSTITUTE(SUBSTITUTE(SUBSTITUTE(SUBSTITUTE(SUBSTITUTE(SUBSTITUTE(SUBSTITUTE(SUBSTITUTE(SUBSTITUTE($Y47,"!"," "),"?"," "),"+"," "),"*"," "),"&amp;"," "),"["," "),"]"," "),"{"," "),"}"," "),"%"," "),"="," "),"\"," "),"|"," "),"&lt;"," "),"&gt;"," "),"")</f>
        <v>petits pois surgeles</v>
      </c>
      <c r="AA47" s="1368" t="str">
        <f>IF(47=47," "&amp;TRIM(SUBSTITUTE(SUBSTITUTE(SUBSTITUTE(SUBSTITUTE(SUBSTITUTE(SUBSTITUTE($Z47,CHAR(34)," "),"  "," "),"  "," "),"  "," "),"  "," "),"  "," "))&amp;" ","")</f>
        <v xml:space="preserve"> petits pois surgeles </v>
      </c>
      <c r="AB47" s="1368">
        <f>IF(47=47,IF($U47="","",SUMPRODUCT(--ISNUMBER(SEARCH(" "&amp;$CR$2:$CR$101&amp;" ",$AD47)))),"")</f>
        <v>0</v>
      </c>
      <c r="AC47" s="1368">
        <f>IF(47=47,IF($U47="","",SUMPRODUCT(--ISNUMBER(SEARCH(" "&amp;$CR$102:$CR$151&amp;" ",$AD47)))),"")</f>
        <v>0</v>
      </c>
      <c r="AD47" s="1368" t="str">
        <f t="shared" si="1"/>
        <v xml:space="preserve"> petits pois surgeles </v>
      </c>
      <c r="AE47" s="1368">
        <f t="shared" si="2"/>
        <v>0</v>
      </c>
      <c r="AF47" s="1368" t="str">
        <f>IF(47=47,IF($U47="","",IF(SUM(AB47:AC47)+SUMPRODUCT(--ISNUMBER(SEARCH(" "&amp;$CR$2418:$CR$2420&amp;" ",$AD47)))&gt;0,"X",IF(AE47&gt;0,"?",""))),"")</f>
        <v/>
      </c>
      <c r="AG47" s="1368">
        <f>IF(47=47,IF($U47="","",SUMPRODUCT(--ISNUMBER(SEARCH(" "&amp;$CR$206:$CR$305&amp;" ",$AA47)))),"")</f>
        <v>0</v>
      </c>
      <c r="AH47" s="1368">
        <f>IF(47=47,IF($U47="","",SUMPRODUCT(--ISNUMBER(SEARCH(" "&amp;$CR$306:$CR$340&amp;" ",$AA47)))),"")</f>
        <v>0</v>
      </c>
      <c r="AI47" s="1368" t="str">
        <f>IF(47=47,IF($U47="","",IF((SUM(AG47:AH47))-(0)&gt;0,"X",IF((0)-(0)&gt;0,"?",""))),"")</f>
        <v/>
      </c>
      <c r="AJ47" s="1368">
        <f>IF(47=47,IF($U47="","",SUMPRODUCT(--ISNUMBER(SEARCH(" "&amp;$CR$341:$CR$398&amp;" ",$AA47)))),"")</f>
        <v>0</v>
      </c>
      <c r="AK47" s="1368">
        <f>IF(47=47,IF($U47="","",SUMPRODUCT(--ISNUMBER(SEARCH(" "&amp;$CR$399:$CR$426&amp;" ",$AL47)))+SUMPRODUCT(--ISNUMBER(SEARCH(" "&amp;$CR$2440:$CR$2453&amp;" ",$AL47)))),"")</f>
        <v>0</v>
      </c>
      <c r="AL47" s="1368" t="str">
        <f>IF(47=47,IF($U47="","",SUBSTITUTE(SUBSTITUTE(SUBSTITUTE(SUBSTITUTE(SUBSTITUTE(SUBSTITUTE(SUBSTITUTE(SUBSTITUTE(SUBSTITUTE(SUBSTITUTE(SUBSTITUTE(SUBSTITUTE(SUBSTITUTE(SUBSTITUTE($AA47," "&amp;$CR$2455&amp;" "," ")," "&amp;$CR$433&amp;" "," ")," "&amp;$CR$431&amp;" "," ")," "&amp;$CR$2438&amp;" "," ")," "&amp;$CR$2439&amp;" "," ")," "&amp;$CR$428&amp;" "," ")," "&amp;$CR$432&amp;" "," ")," "&amp;$CR$434&amp;" "," ")," "&amp;$CR$429&amp;" "," ")," "&amp;$CR$427&amp;" "," ")," "&amp;$CR$1367&amp;" "," ")," "&amp;$CR$435&amp;" "," ")," "&amp;$CR$1366&amp;" "," ")," "&amp;$CR$430&amp;" "," ")),"")</f>
        <v xml:space="preserve"> petits pois surgeles </v>
      </c>
      <c r="AM47" s="1368" t="str">
        <f>IF(47=47,IF($U47="","",IF(AJ47&gt;0,"X",IF(AK47&gt;0,"?",""))),"")</f>
        <v/>
      </c>
      <c r="AN47" s="1368">
        <f>IF(47=47,IF($U47="","",SUMPRODUCT(--ISNUMBER(SEARCH(" "&amp;$CR$436:$CR$535&amp;" ",$AX47)))),"")</f>
        <v>0</v>
      </c>
      <c r="AO47" s="1368">
        <f>IF(47=47,IF($U47="","",SUMPRODUCT(--ISNUMBER(SEARCH(" "&amp;$CR$536:$CR$635&amp;" ",$AX47)))),"")</f>
        <v>0</v>
      </c>
      <c r="AP47" s="1368">
        <f>IF(47=47,IF($U47="","",SUMPRODUCT(--ISNUMBER(SEARCH(" "&amp;$CR$636:$CR$735&amp;" ",$AX47)))),"")</f>
        <v>0</v>
      </c>
      <c r="AQ47" s="1368">
        <f>IF(47=47,IF($U47="","",SUMPRODUCT(--ISNUMBER(SEARCH(" "&amp;$CR$736:$CR$835&amp;" ",$AX47)))),"")</f>
        <v>0</v>
      </c>
      <c r="AR47" s="1368">
        <f>IF(47=47,IF($U47="","",SUMPRODUCT(--ISNUMBER(SEARCH(" "&amp;$CR$836:$CR$935&amp;" ",$AX47)))),"")</f>
        <v>0</v>
      </c>
      <c r="AS47" s="1368">
        <f>IF(47=47,IF($U47="","",SUMPRODUCT(--ISNUMBER(SEARCH(" "&amp;$CR$936:$CR$1035&amp;" ",$AX47)))),"")</f>
        <v>0</v>
      </c>
      <c r="AT47" s="1368">
        <f>IF(47=47,IF($U47="","",SUMPRODUCT(--ISNUMBER(SEARCH(" "&amp;$CR$1036:$CR$1135&amp;" ",$AX47)))),"")</f>
        <v>0</v>
      </c>
      <c r="AU47" s="1368">
        <f>IF(47=47,IF($U47="","",SUMPRODUCT(--ISNUMBER(SEARCH(" "&amp;$CR$1136:$CR$1235&amp;" ",$AX47)))),"")</f>
        <v>0</v>
      </c>
      <c r="AV47" s="1368">
        <f>IF(47=47,IF($U47="","",SUMPRODUCT(--ISNUMBER(SEARCH(" "&amp;$CR$1236:$CR$1335&amp;" ",$AX47)))),"")</f>
        <v>0</v>
      </c>
      <c r="AW47" s="1368">
        <f>IF(47=47,IF($U47="","",SUMPRODUCT(--ISNUMBER(SEARCH(" "&amp;$CR$1336:$CR$1363&amp;" ",$AX47)))),"")</f>
        <v>0</v>
      </c>
      <c r="AX47" s="1368" t="str">
        <f>IF(47=47,IF($U47="","",SUBSTITUTE(SUBSTITUTE(SUBSTITUTE(SUBSTITUTE(SUBSTITUTE(SUBSTITUTE(SUBSTITUTE(SUBSTITUTE(SUBSTITUTE($AA47," "&amp;$CR$1365&amp;" "," ")," "&amp;$CR$1364&amp;" "," ")," "&amp;$CR$1370&amp;" "," ")," "&amp;$CR$1371&amp;" "," ")," "&amp;$CR$1367&amp;" "," ")," "&amp;$CR$1369&amp;" "," ")," "&amp;$CR$1366&amp;" "," ")," "&amp;$CR$1368&amp;" "," ")," "&amp;$CR$1372&amp;" "," ")),"")</f>
        <v xml:space="preserve"> petits pois surgeles </v>
      </c>
      <c r="AY47" s="1368">
        <f>IF(47=47,IF($U47="","",SUMPRODUCT(--ISNUMBER(SEARCH(" "&amp;$CR$1373:$CR$1383&amp;" ",$AX47)))),"")</f>
        <v>0</v>
      </c>
      <c r="AZ47" s="1368" t="str">
        <f>IF(47=47,IF($U47="","",IF(SUM(AN47:AW47)+SUMPRODUCT(--ISNUMBER(SEARCH(" "&amp;$CR$2421:$CR$2422&amp;" ",$AX47)))&gt;0,"X",IF(AY47&gt;0,"?",""))),"")</f>
        <v/>
      </c>
      <c r="BA47" s="1368">
        <f>IF(47=47,IF($U47="","",SUMPRODUCT(--ISNUMBER(SEARCH(" "&amp;$CR$1384:$CR$1404&amp;" ",$AA47)))),"")</f>
        <v>0</v>
      </c>
      <c r="BB47" s="1368" t="str">
        <f>IF(47=47,IF($U47="","",IF((BA47)-(0)&gt;0,"X",IF((0)-(0)&gt;0,"?",""))),"")</f>
        <v/>
      </c>
      <c r="BC47" s="1368">
        <f>IF(47=47,IF($U47="","",SUMPRODUCT(--ISNUMBER(SEARCH(" "&amp;$CR$1405:$CR$1442&amp;" ",$BD47)))),"")</f>
        <v>0</v>
      </c>
      <c r="BD47" s="1368" t="str">
        <f>IF(47=47,IF($U47="","",SUBSTITUTE(SUBSTITUTE($AA47," "&amp;$CR$1443&amp;" "," ")," "&amp;$CR$1444&amp;" "," ")),"")</f>
        <v xml:space="preserve"> petits pois surgeles </v>
      </c>
      <c r="BE47" s="1368">
        <f>IF(47=47,IF($U47="","",SUMPRODUCT(--ISNUMBER(SEARCH(" "&amp;$CR$1445:$CR$1455&amp;" ",$BD47)))),"")</f>
        <v>0</v>
      </c>
      <c r="BF47" s="1368" t="str">
        <f>IF(47=47,IF($U47="","",IF(BC47&gt;0,"X",IF(BE47&gt;0,"?",""))),"")</f>
        <v/>
      </c>
      <c r="BG47" s="1368">
        <f>IF(47=47,IF($U47="","",SUMPRODUCT(--ISNUMBER(SEARCH(" "&amp;$CR$1456:$CR$1555&amp;" ",$BJ47)))),"")</f>
        <v>0</v>
      </c>
      <c r="BH47" s="1368">
        <f>IF(47=47,IF($U47="","",SUMPRODUCT(--ISNUMBER(SEARCH(" "&amp;$CR$1556:$CR$1655&amp;" ",$BJ47)))),"")</f>
        <v>0</v>
      </c>
      <c r="BI47" s="1368">
        <f>IF(47=47,IF($U47="","",SUMPRODUCT(--ISNUMBER(SEARCH(" "&amp;$CR$1656:$CR$1739&amp;" ",$BJ47)))),"")</f>
        <v>0</v>
      </c>
      <c r="BJ47" s="1368" t="str">
        <f>IF(47=47,IF($U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petits pois surgeles </v>
      </c>
      <c r="BK47" s="1368">
        <f>IF(47=47,IF($U47="","",SUMPRODUCT(--ISNUMBER(SEARCH(" "&amp;$CR$1790:$CR$1869&amp;" ",$BL47)))+SUMPRODUCT(--ISNUMBER(SEARCH(" "&amp;$CR$2440:$CR$2453&amp;" ",$BL47)))),"")</f>
        <v>0</v>
      </c>
      <c r="BL47" s="1368" t="str">
        <f>IF(47=47,IF($U47="","",SUBSTITUTE(SUBSTITUTE(SUBSTITUTE(SUBSTITUTE(SUBSTITUTE(SUBSTITUTE(SUBSTITUTE(SUBSTITUTE(SUBSTITUTE(SUBSTITUTE(SUBSTITUTE(SUBSTITUTE(SUBSTITUTE($BJ47," "&amp;$CR$1876&amp;" "," ")," "&amp;$CR$1874&amp;" "," ")," "&amp;$CR$2438&amp;" "," ")," "&amp;$CR$2439&amp;" "," ")," "&amp;$CR$1871&amp;" "," ")," "&amp;$CR$1875&amp;" "," ")," "&amp;$CR$1877&amp;" "," ")," "&amp;$CR$1872&amp;" "," ")," "&amp;$CR$1870&amp;" "," ")," "&amp;$CR$1367&amp;" "," ")," "&amp;$CR$1878&amp;" "," ")," "&amp;$CR$1366&amp;" "," ")," "&amp;$CR$1873&amp;" "," ")),"")</f>
        <v xml:space="preserve"> petits pois surgeles </v>
      </c>
      <c r="BM47" s="1368" t="str">
        <f>IF(47=47,IF($U47="","",IF(SUM(BG47:BI47)+SUMPRODUCT(--ISNUMBER(SEARCH(" "&amp;$CR$2423:$CR$2424&amp;" ",$BJ47)))&gt;0,"X",IF(BK47&gt;0,"?",""))),"")</f>
        <v/>
      </c>
      <c r="BN47" s="1368">
        <f>IF(47=47,IF($U47="","",SUMPRODUCT(--ISNUMBER(SEARCH(" "&amp;$CR$1879:$CR$1936&amp;" ",$BO47)))),"")</f>
        <v>0</v>
      </c>
      <c r="BO47" s="1368" t="str">
        <f>IF(47=47,IF($U47="","",SUBSTITUTE(SUBSTITUTE(SUBSTITUTE(SUBSTITUTE(SUBSTITUTE(SUBSTITUTE(SUBSTITUTE(SUBSTITUTE(SUBSTITUTE(SUBSTITUTE(SUBSTITUTE(SUBSTITUTE(SUBSTITUTE(SUBSTITUTE(SUBSTITUTE(SUBSTITUTE(SUBSTITUTE(SUBSTITUTE(SUBSTITUTE(SUBSTITUTE(SUBSTITUTE(SUBSTITUTE(SUBSTITUTE($AA47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petits pois surgeles </v>
      </c>
      <c r="BP47" s="1368">
        <f>IF(47=47,IF($U47="","",SUMPRODUCT(--ISNUMBER(SEARCH(" "&amp;$CR$1960:$CR$1976&amp;" ",$BO47)))),"")</f>
        <v>0</v>
      </c>
      <c r="BQ47" s="1368" t="str">
        <f>IF(47=47,IF($U47="","",IF(BN47&gt;0,"X",IF(BP47&gt;0,"?",""))),"")</f>
        <v/>
      </c>
      <c r="BR47" s="1368">
        <f>IF(47=47,IF($U47="","",SUMPRODUCT(--ISNUMBER(SEARCH(" "&amp;$CR$1977:$CR$1990&amp;" ",$AA47)))),"")</f>
        <v>0</v>
      </c>
      <c r="BS47" s="1368">
        <f>IF(47=47,IF($U47="","",SUMPRODUCT(--ISNUMBER(SEARCH(" "&amp;$CR$1991:$CR$2005&amp;" ",$AA47)))),"")</f>
        <v>0</v>
      </c>
      <c r="BT47" s="1368" t="str">
        <f>IF(47=47,IF($U47="","",IF((BR47)-(0)&gt;0,"X",IF((BS47)-(0)&gt;0,"?",""))),"")</f>
        <v/>
      </c>
      <c r="BU47" s="1368">
        <f>IF(47=47,IF($U47="","",SUMPRODUCT(--ISNUMBER(SEARCH(" "&amp;$CR$2006:$CR$2023&amp;" ",$AA47)))),"")</f>
        <v>0</v>
      </c>
      <c r="BV47" s="1368">
        <f>IF(47=47,IF($U47="","",SUMPRODUCT(--ISNUMBER(SEARCH(" "&amp;$CR$2024:$CR$2038&amp;" ",$AA47)))),"")</f>
        <v>0</v>
      </c>
      <c r="BW47" s="1368" t="str">
        <f>IF(47=47,IF($U47="","",IF((BU47)-(0)&gt;0,"X",IF((BV47)-(0)&gt;0,"?",""))),"")</f>
        <v/>
      </c>
      <c r="BX47" s="1368">
        <f>IF(47=47,IF($U47="","",SUMPRODUCT(--ISNUMBER(SEARCH(" "&amp;$CR$2039:$CR$2057&amp;" ",$AA47)))),"")</f>
        <v>0</v>
      </c>
      <c r="BY47" s="1368">
        <f>IF(47=47,IF($U47="","",SUMPRODUCT(--ISNUMBER(SEARCH(" "&amp;$CR$2058:$CR$2072&amp;" ",$AA47)))),"")</f>
        <v>0</v>
      </c>
      <c r="BZ47" s="1368" t="str">
        <f>IF(47=47,IF($U47="","",IF((BX47)-(0)&gt;0,"X",IF((BY47)-(0)&gt;0,"?",""))),"")</f>
        <v/>
      </c>
      <c r="CA47" s="1368">
        <f>IF(47=47,IF($U47="","",SUMPRODUCT(--ISNUMBER(SEARCH(" "&amp;$CR$2073:$CR$2093&amp;" ",$AA47)))),"")</f>
        <v>0</v>
      </c>
      <c r="CB47" s="1368">
        <f>IF(47=47,IF($U47="","",SUMPRODUCT(--ISNUMBER(SEARCH(" "&amp;$CR$2094:$CR$2133&amp;" ",SUBSTITUTE(SUBSTITUTE($AA47," "&amp;$CR$1367&amp;" "," ")," "&amp;$CR$1366&amp;" "," "))))+--ISNUMBER(SEARCH("poiré",$V47))),"")</f>
        <v>0</v>
      </c>
      <c r="CC47" s="1368" t="str">
        <f>IF(47=47,IF($U47="","",IF(OR(CA47&gt;0,ISNUMBER(SEARCH(" vinaigre de vin ",$AA47)),ISNUMBER(SEARCH(" vinaigre au vin ",$AA47))),"X",IF(CB47&gt;0,"?",""))),"")</f>
        <v/>
      </c>
      <c r="CD47" s="1368">
        <f>IF(47=47,IF($U47="","",SUMPRODUCT(--ISNUMBER(SEARCH(" "&amp;$CR$2134:$CR$2146&amp;" ",$AA47)))),"")</f>
        <v>0</v>
      </c>
      <c r="CE47" s="1368">
        <f>IF(47=47,IF($U47="","",SUMPRODUCT(--ISNUMBER(SEARCH(" "&amp;$CR$2147:$CR$2152&amp;" ",$AA47)))),"")</f>
        <v>0</v>
      </c>
      <c r="CF47" s="1368" t="str">
        <f>IF(47=47,IF($U47="","",IF((CD47)-(0)&gt;0,"X",IF((CE47)-(0)&gt;0,"?",""))),"")</f>
        <v/>
      </c>
      <c r="CG47" s="1368">
        <f>IF(47=47,IF($U47="","",SUMPRODUCT(--ISNUMBER(SEARCH(" "&amp;$CR$2153:$CR$2252&amp;" ",$CJ47)))),"")</f>
        <v>0</v>
      </c>
      <c r="CH47" s="1368">
        <f>IF(47=47,IF($U47="","",SUMPRODUCT(--ISNUMBER(SEARCH(" "&amp;$CR$2253:$CR$2352&amp;" ",$CJ47)))),"")</f>
        <v>0</v>
      </c>
      <c r="CI47" s="1368">
        <f>IF(47=47,IF($U47="","",SUMPRODUCT(--ISNUMBER(SEARCH(" "&amp;$CR$2353:$CR$2395&amp;" ",$CJ47)))),"")</f>
        <v>0</v>
      </c>
      <c r="CJ47" s="1368" t="str">
        <f>IF(47=47,IF($U47="","",SUBSTITUTE(SUBSTITUTE(SUBSTITUTE(SUBSTITUTE(SUBSTITUTE(SUBSTITUTE(SUBSTITUTE(SUBSTITUTE(SUBSTITUTE(SUBSTITUTE(SUBSTITUTE(SUBSTITUTE(SUBSTITUTE(SUBSTITUTE(SUBSTITUTE(SUBSTITUTE($AA47," "&amp;$CR$2401&amp;" "," ")," "&amp;$CR$2400&amp;" "," ")," "&amp;$CR$2399&amp;" "," ")," "&amp;$CR$2406&amp;" "," ")," "&amp;$CR$2398&amp;" "," ")," "&amp;$CR$2410&amp;" "," ")," "&amp;$CR$2397&amp;" "," ")," "&amp;$CR$2402&amp;" "," ")," "&amp;$CR$2405&amp;" "," ")," "&amp;$CR$2396&amp;" "," ")," "&amp;$CR$2404&amp;" "," ")," "&amp;$CR$2411&amp;" "," ")," "&amp;$CR$2408&amp;" "," ")," "&amp;$CR$2403&amp;" "," ")," "&amp;$CR$2407&amp;" "," ")," "&amp;$CR$2409&amp;" "," ")),"")</f>
        <v xml:space="preserve"> petits pois surgeles </v>
      </c>
      <c r="CK47" s="1368">
        <f>IF(47=47,IF($U47="","",SUMPRODUCT(--ISNUMBER(SEARCH(" "&amp;$CR$2412:$CR$2416&amp;" ",$CJ47)))),"")</f>
        <v>0</v>
      </c>
      <c r="CL47" s="1368" t="str">
        <f>IF(47=47,IF($U47="","",IF(SUM(CG47:CI47)&gt;0,"X",IF(CK47&gt;0,"?",""))),"")</f>
        <v/>
      </c>
      <c r="CM47" s="1377"/>
      <c r="CN47" s="1388" t="s">
        <v>8327</v>
      </c>
      <c r="CO47" s="1388" t="s">
        <v>8105</v>
      </c>
      <c r="CP47" s="1388" t="s">
        <v>8106</v>
      </c>
      <c r="CQ47" s="1388" t="s">
        <v>8328</v>
      </c>
      <c r="CR47" s="1388" t="s">
        <v>8329</v>
      </c>
      <c r="CS47" s="1388" t="s">
        <v>8108</v>
      </c>
      <c r="CT47" s="1388" t="s">
        <v>8109</v>
      </c>
      <c r="CU47" s="1388" t="s">
        <v>8110</v>
      </c>
      <c r="CV47" s="1389" t="s">
        <v>8111</v>
      </c>
      <c r="CX47" s="1379">
        <v>1</v>
      </c>
    </row>
    <row r="48" spans="1:102" ht="21" customHeight="1" x14ac:dyDescent="0.25">
      <c r="A48" s="1412">
        <v>42</v>
      </c>
      <c r="B48" s="1413" t="s">
        <v>8330</v>
      </c>
      <c r="C48" s="1414" t="str">
        <f t="shared" si="0"/>
        <v>Piment (man jack)</v>
      </c>
      <c r="D48" s="1415" t="str">
        <f>IF(48=48,IF($B48="","",IF(E48="X",""&amp;"Céréales contenant du gluten","")&amp;IF(F48="X",IF(COUNTIF($E48:$E48,"X")&gt;0,", ","")&amp;"Crustacés","")&amp;IF(G48="X",IF(COUNTIF($E48:$F48,"X")&gt;0,", ","")&amp;"Œufs","")&amp;IF(H48="X",IF(COUNTIF($E48:$G48,"X")&gt;0,", ","")&amp;"Poissons","")&amp;IF(I48="X",IF(COUNTIF($E48:$H48,"X")&gt;0,", ","")&amp;"Arachides","")&amp;IF(J48="X",IF(COUNTIF($E48:$I48,"X")&gt;0,", ","")&amp;"Soja","")&amp;IF(K48="X",IF(COUNTIF($E48:$J48,"X")&gt;0,", ","")&amp;"Lait","")&amp;IF(L48="X",IF(COUNTIF($E48:$K48,"X")&gt;0,", ","")&amp;"Fruits à coque","")&amp;IF(M48="X",IF(COUNTIF($E48:$L48,"X")&gt;0,", ","")&amp;"Céleri","")&amp;IF(N48="X",IF(COUNTIF($E48:$M48,"X")&gt;0,", ","")&amp;"Moutarde","")&amp;IF(O48="X",IF(COUNTIF($E48:$N48,"X")&gt;0,", ","")&amp;"Sésame","")&amp;IF(P48="X",IF(COUNTIF($E48:$O48,"X")&gt;0,", ","")&amp;"Sulfites","")&amp;IF(Q48="X",IF(COUNTIF($E48:$P48,"X")&gt;0,", ","")&amp;"Lupin","")&amp;IF(R48="X",IF(COUNTIF($E48:$Q48,"X")&gt;0,", ","")&amp;"Mollusques","")),"")</f>
        <v/>
      </c>
      <c r="E48" s="1416" t="str">
        <f>IF(48=48,IF($B48="","",AF48),"")</f>
        <v/>
      </c>
      <c r="F48" s="1416" t="str">
        <f>IF(48=48,IF($B48="","",AI48),"")</f>
        <v/>
      </c>
      <c r="G48" s="1416" t="str">
        <f>IF(48=48,IF($B48="","",AM48),"")</f>
        <v/>
      </c>
      <c r="H48" s="1416" t="str">
        <f>IF(48=48,IF($B48="","",IF(ISNUMBER(SEARCH(" colin ",$AA48)),"X",AZ48)),"")</f>
        <v/>
      </c>
      <c r="I48" s="1416" t="str">
        <f>IF(48=48,IF($B48="","",BB48),"")</f>
        <v/>
      </c>
      <c r="J48" s="1416" t="str">
        <f>IF(48=48,IF($B48="","",BF48),"")</f>
        <v/>
      </c>
      <c r="K48" s="1416" t="str">
        <f>IF(48=48,IF($B48="","",BM48),"")</f>
        <v/>
      </c>
      <c r="L48" s="1416" t="str">
        <f>IF(48=48,IF($B48="","",BQ48),"")</f>
        <v/>
      </c>
      <c r="M48" s="1416" t="str">
        <f>IF(48=48,IF($B48="","",BT48),"")</f>
        <v/>
      </c>
      <c r="N48" s="1416" t="str">
        <f>IF(48=48,IF($B48="","",BW48),"")</f>
        <v/>
      </c>
      <c r="O48" s="1416" t="str">
        <f>IF(48=48,IF($B48="","",BZ48),"")</f>
        <v/>
      </c>
      <c r="P48" s="1416" t="str">
        <f>IF(48=48,IF($B48="","",CC48),"")</f>
        <v/>
      </c>
      <c r="Q48" s="1416" t="str">
        <f>IF(48=48,IF($B48="","",CF48),"")</f>
        <v/>
      </c>
      <c r="R48" s="1416" t="str">
        <f>IF(48=48,IF($B48="","",CL48),"")</f>
        <v/>
      </c>
      <c r="S48" s="1417" t="str">
        <f>IF(48=48,IF($B48="","",IF(E48="?",""&amp;"Céréales contenant du gluten","")&amp;IF(F48="?",IF(COUNTIF($E48:$E48,"~?")&gt;0,", ","")&amp;"Crustacés","")&amp;IF(G48="?",IF(COUNTIF($E48:$F48,"~?")&gt;0,", ","")&amp;"Œufs","")&amp;IF(H48="?",IF(COUNTIF($E48:$G48,"~?")&gt;0,", ","")&amp;"Poissons","")&amp;IF(I48="?",IF(COUNTIF($E48:$H48,"~?")&gt;0,", ","")&amp;"Arachides","")&amp;IF(J48="?",IF(COUNTIF($E48:$I48,"~?")&gt;0,", ","")&amp;"Soja","")&amp;IF(K48="?",IF(COUNTIF($E48:$J48,"~?")&gt;0,", ","")&amp;"Lait","")&amp;IF(L48="?",IF(COUNTIF($E48:$K48,"~?")&gt;0,", ","")&amp;"Fruits à coque","")&amp;IF(M48="?",IF(COUNTIF($E48:$L48,"~?")&gt;0,", ","")&amp;"Céleri","")&amp;IF(N48="?",IF(COUNTIF($E48:$M48,"~?")&gt;0,", ","")&amp;"Moutarde","")&amp;IF(O48="?",IF(COUNTIF($E48:$N48,"~?")&gt;0,", ","")&amp;"Sésame","")&amp;IF(P48="?",IF(COUNTIF($E48:$O48,"~?")&gt;0,", ","")&amp;"Sulfites","")&amp;IF(Q48="?",IF(COUNTIF($E48:$P48,"~?")&gt;0,", ","")&amp;"Lupin","")&amp;IF(R48="?",IF(COUNTIF($E48:$Q48,"~?")&gt;0,", ","")&amp;"Mollusques","")),"")</f>
        <v/>
      </c>
      <c r="U48" s="1368" t="str">
        <f>IF(48=48,IF($B48="","",$B48),"")</f>
        <v>Piment (man jack)</v>
      </c>
      <c r="V48" s="1368" t="str">
        <f>IF(48=48,LOWER(CLEAN(SUBSTITUTE(SUBSTITUTE(SUBSTITUTE(SUBSTITUTE($U48,CHAR(160)," ")," "," "),CHAR(10)," "),CHAR(13)," "))),"")</f>
        <v>piment (man jack)</v>
      </c>
      <c r="W48" s="1368" t="str">
        <f>IF(48=48,SUBSTITUTE(SUBSTITUTE(SUBSTITUTE(SUBSTITUTE(SUBSTITUTE(SUBSTITUTE(SUBSTITUTE(SUBSTITUTE(SUBSTITUTE(SUBSTITUTE(SUBSTITUTE(SUBSTITUTE($V48,"œ","oe"),"æ","ae"),"à","a"),"á","a"),"â","a"),"ä","a"),"ã","a"),"ç","c"),"è","e"),"é","e"),"ê","e"),"ë","e"),"")</f>
        <v>piment (man jack)</v>
      </c>
      <c r="X48" s="1368" t="str">
        <f>IF(48=48,SUBSTITUTE(SUBSTITUTE(SUBSTITUTE(SUBSTITUTE(SUBSTITUTE(SUBSTITUTE(SUBSTITUTE(SUBSTITUTE(SUBSTITUTE(SUBSTITUTE(SUBSTITUTE(SUBSTITUTE(SUBSTITUTE(SUBSTITUTE(SUBSTITUTE(SUBSTITUTE($W48,"ì","i"),"í","i"),"î","i"),"ï","i"),"ñ","n"),"ò","o"),"ó","o"),"ô","o"),"ö","o"),"õ","o"),"ù","u"),"ú","u"),"û","u"),"ü","u"),"ý","y"),"ÿ","y"),"")</f>
        <v>piment (man jack)</v>
      </c>
      <c r="Y48" s="1368" t="str">
        <f>IF(48=48,SUBSTITUTE(SUBSTITUTE(SUBSTITUTE(SUBSTITUTE(SUBSTITUTE(SUBSTITUTE(SUBSTITUTE(SUBSTITUTE(SUBSTITUTE(SUBSTITUTE(SUBSTITUTE(SUBSTITUTE(SUBSTITUTE(SUBSTITUTE($X48,"’"," "),"`"," "),"–"," "),"—"," "),"-"," "),"'"," "),"/"," "),"_"," "),","," "),"."," "),"("," "),")"," "),";"," "),":"," "),"")</f>
        <v xml:space="preserve">piment  man jack </v>
      </c>
      <c r="Z48" s="1368" t="str">
        <f>IF(48=48,SUBSTITUTE(SUBSTITUTE(SUBSTITUTE(SUBSTITUTE(SUBSTITUTE(SUBSTITUTE(SUBSTITUTE(SUBSTITUTE(SUBSTITUTE(SUBSTITUTE(SUBSTITUTE(SUBSTITUTE(SUBSTITUTE(SUBSTITUTE(SUBSTITUTE($Y48,"!"," "),"?"," "),"+"," "),"*"," "),"&amp;"," "),"["," "),"]"," "),"{"," "),"}"," "),"%"," "),"="," "),"\"," "),"|"," "),"&lt;"," "),"&gt;"," "),"")</f>
        <v xml:space="preserve">piment  man jack </v>
      </c>
      <c r="AA48" s="1368" t="str">
        <f>IF(48=48," "&amp;TRIM(SUBSTITUTE(SUBSTITUTE(SUBSTITUTE(SUBSTITUTE(SUBSTITUTE(SUBSTITUTE($Z48,CHAR(34)," "),"  "," "),"  "," "),"  "," "),"  "," "),"  "," "))&amp;" ","")</f>
        <v xml:space="preserve"> piment man jack </v>
      </c>
      <c r="AB48" s="1368">
        <f>IF(48=48,IF($U48="","",SUMPRODUCT(--ISNUMBER(SEARCH(" "&amp;$CR$2:$CR$101&amp;" ",$AD48)))),"")</f>
        <v>0</v>
      </c>
      <c r="AC48" s="1368">
        <f>IF(48=48,IF($U48="","",SUMPRODUCT(--ISNUMBER(SEARCH(" "&amp;$CR$102:$CR$151&amp;" ",$AD48)))),"")</f>
        <v>0</v>
      </c>
      <c r="AD48" s="1368" t="str">
        <f t="shared" si="1"/>
        <v xml:space="preserve"> piment man jack </v>
      </c>
      <c r="AE48" s="1368">
        <f t="shared" si="2"/>
        <v>0</v>
      </c>
      <c r="AF48" s="1368" t="str">
        <f>IF(48=48,IF($U48="","",IF(SUM(AB48:AC48)+SUMPRODUCT(--ISNUMBER(SEARCH(" "&amp;$CR$2418:$CR$2420&amp;" ",$AD48)))&gt;0,"X",IF(AE48&gt;0,"?",""))),"")</f>
        <v/>
      </c>
      <c r="AG48" s="1368">
        <f>IF(48=48,IF($U48="","",SUMPRODUCT(--ISNUMBER(SEARCH(" "&amp;$CR$206:$CR$305&amp;" ",$AA48)))),"")</f>
        <v>0</v>
      </c>
      <c r="AH48" s="1368">
        <f>IF(48=48,IF($U48="","",SUMPRODUCT(--ISNUMBER(SEARCH(" "&amp;$CR$306:$CR$340&amp;" ",$AA48)))),"")</f>
        <v>0</v>
      </c>
      <c r="AI48" s="1368" t="str">
        <f>IF(48=48,IF($U48="","",IF((SUM(AG48:AH48))-(0)&gt;0,"X",IF((0)-(0)&gt;0,"?",""))),"")</f>
        <v/>
      </c>
      <c r="AJ48" s="1368">
        <f>IF(48=48,IF($U48="","",SUMPRODUCT(--ISNUMBER(SEARCH(" "&amp;$CR$341:$CR$398&amp;" ",$AA48)))),"")</f>
        <v>0</v>
      </c>
      <c r="AK48" s="1368">
        <f>IF(48=48,IF($U48="","",SUMPRODUCT(--ISNUMBER(SEARCH(" "&amp;$CR$399:$CR$426&amp;" ",$AL48)))+SUMPRODUCT(--ISNUMBER(SEARCH(" "&amp;$CR$2440:$CR$2453&amp;" ",$AL48)))),"")</f>
        <v>0</v>
      </c>
      <c r="AL48" s="1368" t="str">
        <f>IF(48=48,IF($U48="","",SUBSTITUTE(SUBSTITUTE(SUBSTITUTE(SUBSTITUTE(SUBSTITUTE(SUBSTITUTE(SUBSTITUTE(SUBSTITUTE(SUBSTITUTE(SUBSTITUTE(SUBSTITUTE(SUBSTITUTE(SUBSTITUTE(SUBSTITUTE($AA48," "&amp;$CR$2455&amp;" "," ")," "&amp;$CR$433&amp;" "," ")," "&amp;$CR$431&amp;" "," ")," "&amp;$CR$2438&amp;" "," ")," "&amp;$CR$2439&amp;" "," ")," "&amp;$CR$428&amp;" "," ")," "&amp;$CR$432&amp;" "," ")," "&amp;$CR$434&amp;" "," ")," "&amp;$CR$429&amp;" "," ")," "&amp;$CR$427&amp;" "," ")," "&amp;$CR$1367&amp;" "," ")," "&amp;$CR$435&amp;" "," ")," "&amp;$CR$1366&amp;" "," ")," "&amp;$CR$430&amp;" "," ")),"")</f>
        <v xml:space="preserve"> piment man jack </v>
      </c>
      <c r="AM48" s="1368" t="str">
        <f>IF(48=48,IF($U48="","",IF(AJ48&gt;0,"X",IF(AK48&gt;0,"?",""))),"")</f>
        <v/>
      </c>
      <c r="AN48" s="1368">
        <f>IF(48=48,IF($U48="","",SUMPRODUCT(--ISNUMBER(SEARCH(" "&amp;$CR$436:$CR$535&amp;" ",$AX48)))),"")</f>
        <v>0</v>
      </c>
      <c r="AO48" s="1368">
        <f>IF(48=48,IF($U48="","",SUMPRODUCT(--ISNUMBER(SEARCH(" "&amp;$CR$536:$CR$635&amp;" ",$AX48)))),"")</f>
        <v>0</v>
      </c>
      <c r="AP48" s="1368">
        <f>IF(48=48,IF($U48="","",SUMPRODUCT(--ISNUMBER(SEARCH(" "&amp;$CR$636:$CR$735&amp;" ",$AX48)))),"")</f>
        <v>0</v>
      </c>
      <c r="AQ48" s="1368">
        <f>IF(48=48,IF($U48="","",SUMPRODUCT(--ISNUMBER(SEARCH(" "&amp;$CR$736:$CR$835&amp;" ",$AX48)))),"")</f>
        <v>0</v>
      </c>
      <c r="AR48" s="1368">
        <f>IF(48=48,IF($U48="","",SUMPRODUCT(--ISNUMBER(SEARCH(" "&amp;$CR$836:$CR$935&amp;" ",$AX48)))),"")</f>
        <v>0</v>
      </c>
      <c r="AS48" s="1368">
        <f>IF(48=48,IF($U48="","",SUMPRODUCT(--ISNUMBER(SEARCH(" "&amp;$CR$936:$CR$1035&amp;" ",$AX48)))),"")</f>
        <v>0</v>
      </c>
      <c r="AT48" s="1368">
        <f>IF(48=48,IF($U48="","",SUMPRODUCT(--ISNUMBER(SEARCH(" "&amp;$CR$1036:$CR$1135&amp;" ",$AX48)))),"")</f>
        <v>0</v>
      </c>
      <c r="AU48" s="1368">
        <f>IF(48=48,IF($U48="","",SUMPRODUCT(--ISNUMBER(SEARCH(" "&amp;$CR$1136:$CR$1235&amp;" ",$AX48)))),"")</f>
        <v>0</v>
      </c>
      <c r="AV48" s="1368">
        <f>IF(48=48,IF($U48="","",SUMPRODUCT(--ISNUMBER(SEARCH(" "&amp;$CR$1236:$CR$1335&amp;" ",$AX48)))),"")</f>
        <v>0</v>
      </c>
      <c r="AW48" s="1368">
        <f>IF(48=48,IF($U48="","",SUMPRODUCT(--ISNUMBER(SEARCH(" "&amp;$CR$1336:$CR$1363&amp;" ",$AX48)))),"")</f>
        <v>0</v>
      </c>
      <c r="AX48" s="1368" t="str">
        <f>IF(48=48,IF($U48="","",SUBSTITUTE(SUBSTITUTE(SUBSTITUTE(SUBSTITUTE(SUBSTITUTE(SUBSTITUTE(SUBSTITUTE(SUBSTITUTE(SUBSTITUTE($AA48," "&amp;$CR$1365&amp;" "," ")," "&amp;$CR$1364&amp;" "," ")," "&amp;$CR$1370&amp;" "," ")," "&amp;$CR$1371&amp;" "," ")," "&amp;$CR$1367&amp;" "," ")," "&amp;$CR$1369&amp;" "," ")," "&amp;$CR$1366&amp;" "," ")," "&amp;$CR$1368&amp;" "," ")," "&amp;$CR$1372&amp;" "," ")),"")</f>
        <v xml:space="preserve"> piment man jack </v>
      </c>
      <c r="AY48" s="1368">
        <f>IF(48=48,IF($U48="","",SUMPRODUCT(--ISNUMBER(SEARCH(" "&amp;$CR$1373:$CR$1383&amp;" ",$AX48)))),"")</f>
        <v>0</v>
      </c>
      <c r="AZ48" s="1368" t="str">
        <f>IF(48=48,IF($U48="","",IF(SUM(AN48:AW48)+SUMPRODUCT(--ISNUMBER(SEARCH(" "&amp;$CR$2421:$CR$2422&amp;" ",$AX48)))&gt;0,"X",IF(AY48&gt;0,"?",""))),"")</f>
        <v/>
      </c>
      <c r="BA48" s="1368">
        <f>IF(48=48,IF($U48="","",SUMPRODUCT(--ISNUMBER(SEARCH(" "&amp;$CR$1384:$CR$1404&amp;" ",$AA48)))),"")</f>
        <v>0</v>
      </c>
      <c r="BB48" s="1368" t="str">
        <f>IF(48=48,IF($U48="","",IF((BA48)-(0)&gt;0,"X",IF((0)-(0)&gt;0,"?",""))),"")</f>
        <v/>
      </c>
      <c r="BC48" s="1368">
        <f>IF(48=48,IF($U48="","",SUMPRODUCT(--ISNUMBER(SEARCH(" "&amp;$CR$1405:$CR$1442&amp;" ",$BD48)))),"")</f>
        <v>0</v>
      </c>
      <c r="BD48" s="1368" t="str">
        <f>IF(48=48,IF($U48="","",SUBSTITUTE(SUBSTITUTE($AA48," "&amp;$CR$1443&amp;" "," ")," "&amp;$CR$1444&amp;" "," ")),"")</f>
        <v xml:space="preserve"> piment man jack </v>
      </c>
      <c r="BE48" s="1368">
        <f>IF(48=48,IF($U48="","",SUMPRODUCT(--ISNUMBER(SEARCH(" "&amp;$CR$1445:$CR$1455&amp;" ",$BD48)))),"")</f>
        <v>0</v>
      </c>
      <c r="BF48" s="1368" t="str">
        <f>IF(48=48,IF($U48="","",IF(BC48&gt;0,"X",IF(BE48&gt;0,"?",""))),"")</f>
        <v/>
      </c>
      <c r="BG48" s="1368">
        <f>IF(48=48,IF($U48="","",SUMPRODUCT(--ISNUMBER(SEARCH(" "&amp;$CR$1456:$CR$1555&amp;" ",$BJ48)))),"")</f>
        <v>0</v>
      </c>
      <c r="BH48" s="1368">
        <f>IF(48=48,IF($U48="","",SUMPRODUCT(--ISNUMBER(SEARCH(" "&amp;$CR$1556:$CR$1655&amp;" ",$BJ48)))),"")</f>
        <v>0</v>
      </c>
      <c r="BI48" s="1368">
        <f>IF(48=48,IF($U48="","",SUMPRODUCT(--ISNUMBER(SEARCH(" "&amp;$CR$1656:$CR$1739&amp;" ",$BJ48)))),"")</f>
        <v>0</v>
      </c>
      <c r="BJ48" s="1368" t="str">
        <f>IF(48=48,IF($U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piment man jack </v>
      </c>
      <c r="BK48" s="1368">
        <f>IF(48=48,IF($U48="","",SUMPRODUCT(--ISNUMBER(SEARCH(" "&amp;$CR$1790:$CR$1869&amp;" ",$BL48)))+SUMPRODUCT(--ISNUMBER(SEARCH(" "&amp;$CR$2440:$CR$2453&amp;" ",$BL48)))),"")</f>
        <v>0</v>
      </c>
      <c r="BL48" s="1368" t="str">
        <f>IF(48=48,IF($U48="","",SUBSTITUTE(SUBSTITUTE(SUBSTITUTE(SUBSTITUTE(SUBSTITUTE(SUBSTITUTE(SUBSTITUTE(SUBSTITUTE(SUBSTITUTE(SUBSTITUTE(SUBSTITUTE(SUBSTITUTE(SUBSTITUTE($BJ48," "&amp;$CR$1876&amp;" "," ")," "&amp;$CR$1874&amp;" "," ")," "&amp;$CR$2438&amp;" "," ")," "&amp;$CR$2439&amp;" "," ")," "&amp;$CR$1871&amp;" "," ")," "&amp;$CR$1875&amp;" "," ")," "&amp;$CR$1877&amp;" "," ")," "&amp;$CR$1872&amp;" "," ")," "&amp;$CR$1870&amp;" "," ")," "&amp;$CR$1367&amp;" "," ")," "&amp;$CR$1878&amp;" "," ")," "&amp;$CR$1366&amp;" "," ")," "&amp;$CR$1873&amp;" "," ")),"")</f>
        <v xml:space="preserve"> piment man jack </v>
      </c>
      <c r="BM48" s="1368" t="str">
        <f>IF(48=48,IF($U48="","",IF(SUM(BG48:BI48)+SUMPRODUCT(--ISNUMBER(SEARCH(" "&amp;$CR$2423:$CR$2424&amp;" ",$BJ48)))&gt;0,"X",IF(BK48&gt;0,"?",""))),"")</f>
        <v/>
      </c>
      <c r="BN48" s="1368">
        <f>IF(48=48,IF($U48="","",SUMPRODUCT(--ISNUMBER(SEARCH(" "&amp;$CR$1879:$CR$1936&amp;" ",$BO48)))),"")</f>
        <v>0</v>
      </c>
      <c r="BO48" s="1368" t="str">
        <f>IF(48=48,IF($U48="","",SUBSTITUTE(SUBSTITUTE(SUBSTITUTE(SUBSTITUTE(SUBSTITUTE(SUBSTITUTE(SUBSTITUTE(SUBSTITUTE(SUBSTITUTE(SUBSTITUTE(SUBSTITUTE(SUBSTITUTE(SUBSTITUTE(SUBSTITUTE(SUBSTITUTE(SUBSTITUTE(SUBSTITUTE(SUBSTITUTE(SUBSTITUTE(SUBSTITUTE(SUBSTITUTE(SUBSTITUTE(SUBSTITUTE($AA48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piment man jack </v>
      </c>
      <c r="BP48" s="1368">
        <f>IF(48=48,IF($U48="","",SUMPRODUCT(--ISNUMBER(SEARCH(" "&amp;$CR$1960:$CR$1976&amp;" ",$BO48)))),"")</f>
        <v>0</v>
      </c>
      <c r="BQ48" s="1368" t="str">
        <f>IF(48=48,IF($U48="","",IF(BN48&gt;0,"X",IF(BP48&gt;0,"?",""))),"")</f>
        <v/>
      </c>
      <c r="BR48" s="1368">
        <f>IF(48=48,IF($U48="","",SUMPRODUCT(--ISNUMBER(SEARCH(" "&amp;$CR$1977:$CR$1990&amp;" ",$AA48)))),"")</f>
        <v>0</v>
      </c>
      <c r="BS48" s="1368">
        <f>IF(48=48,IF($U48="","",SUMPRODUCT(--ISNUMBER(SEARCH(" "&amp;$CR$1991:$CR$2005&amp;" ",$AA48)))),"")</f>
        <v>0</v>
      </c>
      <c r="BT48" s="1368" t="str">
        <f>IF(48=48,IF($U48="","",IF((BR48)-(0)&gt;0,"X",IF((BS48)-(0)&gt;0,"?",""))),"")</f>
        <v/>
      </c>
      <c r="BU48" s="1368">
        <f>IF(48=48,IF($U48="","",SUMPRODUCT(--ISNUMBER(SEARCH(" "&amp;$CR$2006:$CR$2023&amp;" ",$AA48)))),"")</f>
        <v>0</v>
      </c>
      <c r="BV48" s="1368">
        <f>IF(48=48,IF($U48="","",SUMPRODUCT(--ISNUMBER(SEARCH(" "&amp;$CR$2024:$CR$2038&amp;" ",$AA48)))),"")</f>
        <v>0</v>
      </c>
      <c r="BW48" s="1368" t="str">
        <f>IF(48=48,IF($U48="","",IF((BU48)-(0)&gt;0,"X",IF((BV48)-(0)&gt;0,"?",""))),"")</f>
        <v/>
      </c>
      <c r="BX48" s="1368">
        <f>IF(48=48,IF($U48="","",SUMPRODUCT(--ISNUMBER(SEARCH(" "&amp;$CR$2039:$CR$2057&amp;" ",$AA48)))),"")</f>
        <v>0</v>
      </c>
      <c r="BY48" s="1368">
        <f>IF(48=48,IF($U48="","",SUMPRODUCT(--ISNUMBER(SEARCH(" "&amp;$CR$2058:$CR$2072&amp;" ",$AA48)))),"")</f>
        <v>0</v>
      </c>
      <c r="BZ48" s="1368" t="str">
        <f>IF(48=48,IF($U48="","",IF((BX48)-(0)&gt;0,"X",IF((BY48)-(0)&gt;0,"?",""))),"")</f>
        <v/>
      </c>
      <c r="CA48" s="1368">
        <f>IF(48=48,IF($U48="","",SUMPRODUCT(--ISNUMBER(SEARCH(" "&amp;$CR$2073:$CR$2093&amp;" ",$AA48)))),"")</f>
        <v>0</v>
      </c>
      <c r="CB48" s="1368">
        <f>IF(48=48,IF($U48="","",SUMPRODUCT(--ISNUMBER(SEARCH(" "&amp;$CR$2094:$CR$2133&amp;" ",SUBSTITUTE(SUBSTITUTE($AA48," "&amp;$CR$1367&amp;" "," ")," "&amp;$CR$1366&amp;" "," "))))+--ISNUMBER(SEARCH("poiré",$V48))),"")</f>
        <v>0</v>
      </c>
      <c r="CC48" s="1368" t="str">
        <f>IF(48=48,IF($U48="","",IF(OR(CA48&gt;0,ISNUMBER(SEARCH(" vinaigre de vin ",$AA48)),ISNUMBER(SEARCH(" vinaigre au vin ",$AA48))),"X",IF(CB48&gt;0,"?",""))),"")</f>
        <v/>
      </c>
      <c r="CD48" s="1368">
        <f>IF(48=48,IF($U48="","",SUMPRODUCT(--ISNUMBER(SEARCH(" "&amp;$CR$2134:$CR$2146&amp;" ",$AA48)))),"")</f>
        <v>0</v>
      </c>
      <c r="CE48" s="1368">
        <f>IF(48=48,IF($U48="","",SUMPRODUCT(--ISNUMBER(SEARCH(" "&amp;$CR$2147:$CR$2152&amp;" ",$AA48)))),"")</f>
        <v>0</v>
      </c>
      <c r="CF48" s="1368" t="str">
        <f>IF(48=48,IF($U48="","",IF((CD48)-(0)&gt;0,"X",IF((CE48)-(0)&gt;0,"?",""))),"")</f>
        <v/>
      </c>
      <c r="CG48" s="1368">
        <f>IF(48=48,IF($U48="","",SUMPRODUCT(--ISNUMBER(SEARCH(" "&amp;$CR$2153:$CR$2252&amp;" ",$CJ48)))),"")</f>
        <v>0</v>
      </c>
      <c r="CH48" s="1368">
        <f>IF(48=48,IF($U48="","",SUMPRODUCT(--ISNUMBER(SEARCH(" "&amp;$CR$2253:$CR$2352&amp;" ",$CJ48)))),"")</f>
        <v>0</v>
      </c>
      <c r="CI48" s="1368">
        <f>IF(48=48,IF($U48="","",SUMPRODUCT(--ISNUMBER(SEARCH(" "&amp;$CR$2353:$CR$2395&amp;" ",$CJ48)))),"")</f>
        <v>0</v>
      </c>
      <c r="CJ48" s="1368" t="str">
        <f>IF(48=48,IF($U48="","",SUBSTITUTE(SUBSTITUTE(SUBSTITUTE(SUBSTITUTE(SUBSTITUTE(SUBSTITUTE(SUBSTITUTE(SUBSTITUTE(SUBSTITUTE(SUBSTITUTE(SUBSTITUTE(SUBSTITUTE(SUBSTITUTE(SUBSTITUTE(SUBSTITUTE(SUBSTITUTE($AA48," "&amp;$CR$2401&amp;" "," ")," "&amp;$CR$2400&amp;" "," ")," "&amp;$CR$2399&amp;" "," ")," "&amp;$CR$2406&amp;" "," ")," "&amp;$CR$2398&amp;" "," ")," "&amp;$CR$2410&amp;" "," ")," "&amp;$CR$2397&amp;" "," ")," "&amp;$CR$2402&amp;" "," ")," "&amp;$CR$2405&amp;" "," ")," "&amp;$CR$2396&amp;" "," ")," "&amp;$CR$2404&amp;" "," ")," "&amp;$CR$2411&amp;" "," ")," "&amp;$CR$2408&amp;" "," ")," "&amp;$CR$2403&amp;" "," ")," "&amp;$CR$2407&amp;" "," ")," "&amp;$CR$2409&amp;" "," ")),"")</f>
        <v xml:space="preserve"> piment man jack </v>
      </c>
      <c r="CK48" s="1368">
        <f>IF(48=48,IF($U48="","",SUMPRODUCT(--ISNUMBER(SEARCH(" "&amp;$CR$2412:$CR$2416&amp;" ",$CJ48)))),"")</f>
        <v>0</v>
      </c>
      <c r="CL48" s="1368" t="str">
        <f>IF(48=48,IF($U48="","",IF(SUM(CG48:CI48)&gt;0,"X",IF(CK48&gt;0,"?",""))),"")</f>
        <v/>
      </c>
      <c r="CM48" s="1377"/>
      <c r="CN48" s="1388" t="s">
        <v>8331</v>
      </c>
      <c r="CO48" s="1388" t="s">
        <v>8105</v>
      </c>
      <c r="CP48" s="1388" t="s">
        <v>8106</v>
      </c>
      <c r="CQ48" s="1388" t="s">
        <v>8332</v>
      </c>
      <c r="CR48" s="1388" t="s">
        <v>8332</v>
      </c>
      <c r="CS48" s="1388" t="s">
        <v>8108</v>
      </c>
      <c r="CT48" s="1388" t="s">
        <v>8109</v>
      </c>
      <c r="CU48" s="1388" t="s">
        <v>8110</v>
      </c>
      <c r="CV48" s="1389" t="s">
        <v>8111</v>
      </c>
      <c r="CX48" s="1379">
        <v>1</v>
      </c>
    </row>
    <row r="49" spans="1:102" ht="21" customHeight="1" x14ac:dyDescent="0.25">
      <c r="A49" s="1412">
        <v>43</v>
      </c>
      <c r="B49" s="1413" t="s">
        <v>8333</v>
      </c>
      <c r="C49" s="1414" t="str">
        <f t="shared" si="0"/>
        <v>Poivre blanc moulu</v>
      </c>
      <c r="D49" s="1415" t="str">
        <f>IF(49=49,IF($B49="","",IF(E49="X",""&amp;"Céréales contenant du gluten","")&amp;IF(F49="X",IF(COUNTIF($E49:$E49,"X")&gt;0,", ","")&amp;"Crustacés","")&amp;IF(G49="X",IF(COUNTIF($E49:$F49,"X")&gt;0,", ","")&amp;"Œufs","")&amp;IF(H49="X",IF(COUNTIF($E49:$G49,"X")&gt;0,", ","")&amp;"Poissons","")&amp;IF(I49="X",IF(COUNTIF($E49:$H49,"X")&gt;0,", ","")&amp;"Arachides","")&amp;IF(J49="X",IF(COUNTIF($E49:$I49,"X")&gt;0,", ","")&amp;"Soja","")&amp;IF(K49="X",IF(COUNTIF($E49:$J49,"X")&gt;0,", ","")&amp;"Lait","")&amp;IF(L49="X",IF(COUNTIF($E49:$K49,"X")&gt;0,", ","")&amp;"Fruits à coque","")&amp;IF(M49="X",IF(COUNTIF($E49:$L49,"X")&gt;0,", ","")&amp;"Céleri","")&amp;IF(N49="X",IF(COUNTIF($E49:$M49,"X")&gt;0,", ","")&amp;"Moutarde","")&amp;IF(O49="X",IF(COUNTIF($E49:$N49,"X")&gt;0,", ","")&amp;"Sésame","")&amp;IF(P49="X",IF(COUNTIF($E49:$O49,"X")&gt;0,", ","")&amp;"Sulfites","")&amp;IF(Q49="X",IF(COUNTIF($E49:$P49,"X")&gt;0,", ","")&amp;"Lupin","")&amp;IF(R49="X",IF(COUNTIF($E49:$Q49,"X")&gt;0,", ","")&amp;"Mollusques","")),"")</f>
        <v/>
      </c>
      <c r="E49" s="1416" t="str">
        <f>IF(49=49,IF($B49="","",AF49),"")</f>
        <v/>
      </c>
      <c r="F49" s="1416" t="str">
        <f>IF(49=49,IF($B49="","",AI49),"")</f>
        <v/>
      </c>
      <c r="G49" s="1416" t="str">
        <f>IF(49=49,IF($B49="","",AM49),"")</f>
        <v/>
      </c>
      <c r="H49" s="1416" t="str">
        <f>IF(49=49,IF($B49="","",IF(ISNUMBER(SEARCH(" colin ",$AA49)),"X",AZ49)),"")</f>
        <v/>
      </c>
      <c r="I49" s="1416" t="str">
        <f>IF(49=49,IF($B49="","",BB49),"")</f>
        <v/>
      </c>
      <c r="J49" s="1416" t="str">
        <f>IF(49=49,IF($B49="","",BF49),"")</f>
        <v/>
      </c>
      <c r="K49" s="1416" t="str">
        <f>IF(49=49,IF($B49="","",BM49),"")</f>
        <v/>
      </c>
      <c r="L49" s="1416" t="str">
        <f>IF(49=49,IF($B49="","",BQ49),"")</f>
        <v/>
      </c>
      <c r="M49" s="1416" t="str">
        <f>IF(49=49,IF($B49="","",BT49),"")</f>
        <v/>
      </c>
      <c r="N49" s="1416" t="str">
        <f>IF(49=49,IF($B49="","",BW49),"")</f>
        <v/>
      </c>
      <c r="O49" s="1416" t="str">
        <f>IF(49=49,IF($B49="","",BZ49),"")</f>
        <v/>
      </c>
      <c r="P49" s="1416" t="str">
        <f>IF(49=49,IF($B49="","",CC49),"")</f>
        <v/>
      </c>
      <c r="Q49" s="1416" t="str">
        <f>IF(49=49,IF($B49="","",CF49),"")</f>
        <v/>
      </c>
      <c r="R49" s="1416" t="str">
        <f>IF(49=49,IF($B49="","",CL49),"")</f>
        <v/>
      </c>
      <c r="S49" s="1417" t="str">
        <f>IF(49=49,IF($B49="","",IF(E49="?",""&amp;"Céréales contenant du gluten","")&amp;IF(F49="?",IF(COUNTIF($E49:$E49,"~?")&gt;0,", ","")&amp;"Crustacés","")&amp;IF(G49="?",IF(COUNTIF($E49:$F49,"~?")&gt;0,", ","")&amp;"Œufs","")&amp;IF(H49="?",IF(COUNTIF($E49:$G49,"~?")&gt;0,", ","")&amp;"Poissons","")&amp;IF(I49="?",IF(COUNTIF($E49:$H49,"~?")&gt;0,", ","")&amp;"Arachides","")&amp;IF(J49="?",IF(COUNTIF($E49:$I49,"~?")&gt;0,", ","")&amp;"Soja","")&amp;IF(K49="?",IF(COUNTIF($E49:$J49,"~?")&gt;0,", ","")&amp;"Lait","")&amp;IF(L49="?",IF(COUNTIF($E49:$K49,"~?")&gt;0,", ","")&amp;"Fruits à coque","")&amp;IF(M49="?",IF(COUNTIF($E49:$L49,"~?")&gt;0,", ","")&amp;"Céleri","")&amp;IF(N49="?",IF(COUNTIF($E49:$M49,"~?")&gt;0,", ","")&amp;"Moutarde","")&amp;IF(O49="?",IF(COUNTIF($E49:$N49,"~?")&gt;0,", ","")&amp;"Sésame","")&amp;IF(P49="?",IF(COUNTIF($E49:$O49,"~?")&gt;0,", ","")&amp;"Sulfites","")&amp;IF(Q49="?",IF(COUNTIF($E49:$P49,"~?")&gt;0,", ","")&amp;"Lupin","")&amp;IF(R49="?",IF(COUNTIF($E49:$Q49,"~?")&gt;0,", ","")&amp;"Mollusques","")),"")</f>
        <v/>
      </c>
      <c r="U49" s="1368" t="str">
        <f>IF(49=49,IF($B49="","",$B49),"")</f>
        <v>Poivre blanc moulu</v>
      </c>
      <c r="V49" s="1368" t="str">
        <f>IF(49=49,LOWER(CLEAN(SUBSTITUTE(SUBSTITUTE(SUBSTITUTE(SUBSTITUTE($U49,CHAR(160)," ")," "," "),CHAR(10)," "),CHAR(13)," "))),"")</f>
        <v>poivre blanc moulu</v>
      </c>
      <c r="W49" s="1368" t="str">
        <f>IF(49=49,SUBSTITUTE(SUBSTITUTE(SUBSTITUTE(SUBSTITUTE(SUBSTITUTE(SUBSTITUTE(SUBSTITUTE(SUBSTITUTE(SUBSTITUTE(SUBSTITUTE(SUBSTITUTE(SUBSTITUTE($V49,"œ","oe"),"æ","ae"),"à","a"),"á","a"),"â","a"),"ä","a"),"ã","a"),"ç","c"),"è","e"),"é","e"),"ê","e"),"ë","e"),"")</f>
        <v>poivre blanc moulu</v>
      </c>
      <c r="X49" s="1368" t="str">
        <f>IF(49=49,SUBSTITUTE(SUBSTITUTE(SUBSTITUTE(SUBSTITUTE(SUBSTITUTE(SUBSTITUTE(SUBSTITUTE(SUBSTITUTE(SUBSTITUTE(SUBSTITUTE(SUBSTITUTE(SUBSTITUTE(SUBSTITUTE(SUBSTITUTE(SUBSTITUTE(SUBSTITUTE($W49,"ì","i"),"í","i"),"î","i"),"ï","i"),"ñ","n"),"ò","o"),"ó","o"),"ô","o"),"ö","o"),"õ","o"),"ù","u"),"ú","u"),"û","u"),"ü","u"),"ý","y"),"ÿ","y"),"")</f>
        <v>poivre blanc moulu</v>
      </c>
      <c r="Y49" s="1368" t="str">
        <f>IF(49=49,SUBSTITUTE(SUBSTITUTE(SUBSTITUTE(SUBSTITUTE(SUBSTITUTE(SUBSTITUTE(SUBSTITUTE(SUBSTITUTE(SUBSTITUTE(SUBSTITUTE(SUBSTITUTE(SUBSTITUTE(SUBSTITUTE(SUBSTITUTE($X49,"’"," "),"`"," "),"–"," "),"—"," "),"-"," "),"'"," "),"/"," "),"_"," "),","," "),"."," "),"("," "),")"," "),";"," "),":"," "),"")</f>
        <v>poivre blanc moulu</v>
      </c>
      <c r="Z49" s="1368" t="str">
        <f>IF(49=49,SUBSTITUTE(SUBSTITUTE(SUBSTITUTE(SUBSTITUTE(SUBSTITUTE(SUBSTITUTE(SUBSTITUTE(SUBSTITUTE(SUBSTITUTE(SUBSTITUTE(SUBSTITUTE(SUBSTITUTE(SUBSTITUTE(SUBSTITUTE(SUBSTITUTE($Y49,"!"," "),"?"," "),"+"," "),"*"," "),"&amp;"," "),"["," "),"]"," "),"{"," "),"}"," "),"%"," "),"="," "),"\"," "),"|"," "),"&lt;"," "),"&gt;"," "),"")</f>
        <v>poivre blanc moulu</v>
      </c>
      <c r="AA49" s="1368" t="str">
        <f>IF(49=49," "&amp;TRIM(SUBSTITUTE(SUBSTITUTE(SUBSTITUTE(SUBSTITUTE(SUBSTITUTE(SUBSTITUTE($Z49,CHAR(34)," "),"  "," "),"  "," "),"  "," "),"  "," "),"  "," "))&amp;" ","")</f>
        <v xml:space="preserve"> poivre blanc moulu </v>
      </c>
      <c r="AB49" s="1368">
        <f>IF(49=49,IF($U49="","",SUMPRODUCT(--ISNUMBER(SEARCH(" "&amp;$CR$2:$CR$101&amp;" ",$AD49)))),"")</f>
        <v>0</v>
      </c>
      <c r="AC49" s="1368">
        <f>IF(49=49,IF($U49="","",SUMPRODUCT(--ISNUMBER(SEARCH(" "&amp;$CR$102:$CR$151&amp;" ",$AD49)))),"")</f>
        <v>0</v>
      </c>
      <c r="AD49" s="1368" t="str">
        <f t="shared" si="1"/>
        <v xml:space="preserve"> poivre blanc moulu </v>
      </c>
      <c r="AE49" s="1368">
        <f t="shared" si="2"/>
        <v>0</v>
      </c>
      <c r="AF49" s="1368" t="str">
        <f>IF(49=49,IF($U49="","",IF(SUM(AB49:AC49)+SUMPRODUCT(--ISNUMBER(SEARCH(" "&amp;$CR$2418:$CR$2420&amp;" ",$AD49)))&gt;0,"X",IF(AE49&gt;0,"?",""))),"")</f>
        <v/>
      </c>
      <c r="AG49" s="1368">
        <f>IF(49=49,IF($U49="","",SUMPRODUCT(--ISNUMBER(SEARCH(" "&amp;$CR$206:$CR$305&amp;" ",$AA49)))),"")</f>
        <v>0</v>
      </c>
      <c r="AH49" s="1368">
        <f>IF(49=49,IF($U49="","",SUMPRODUCT(--ISNUMBER(SEARCH(" "&amp;$CR$306:$CR$340&amp;" ",$AA49)))),"")</f>
        <v>0</v>
      </c>
      <c r="AI49" s="1368" t="str">
        <f>IF(49=49,IF($U49="","",IF((SUM(AG49:AH49))-(0)&gt;0,"X",IF((0)-(0)&gt;0,"?",""))),"")</f>
        <v/>
      </c>
      <c r="AJ49" s="1368">
        <f>IF(49=49,IF($U49="","",SUMPRODUCT(--ISNUMBER(SEARCH(" "&amp;$CR$341:$CR$398&amp;" ",$AA49)))),"")</f>
        <v>0</v>
      </c>
      <c r="AK49" s="1368">
        <f>IF(49=49,IF($U49="","",SUMPRODUCT(--ISNUMBER(SEARCH(" "&amp;$CR$399:$CR$426&amp;" ",$AL49)))+SUMPRODUCT(--ISNUMBER(SEARCH(" "&amp;$CR$2440:$CR$2453&amp;" ",$AL49)))),"")</f>
        <v>0</v>
      </c>
      <c r="AL49" s="1368" t="str">
        <f>IF(49=49,IF($U49="","",SUBSTITUTE(SUBSTITUTE(SUBSTITUTE(SUBSTITUTE(SUBSTITUTE(SUBSTITUTE(SUBSTITUTE(SUBSTITUTE(SUBSTITUTE(SUBSTITUTE(SUBSTITUTE(SUBSTITUTE(SUBSTITUTE(SUBSTITUTE($AA49," "&amp;$CR$2455&amp;" "," ")," "&amp;$CR$433&amp;" "," ")," "&amp;$CR$431&amp;" "," ")," "&amp;$CR$2438&amp;" "," ")," "&amp;$CR$2439&amp;" "," ")," "&amp;$CR$428&amp;" "," ")," "&amp;$CR$432&amp;" "," ")," "&amp;$CR$434&amp;" "," ")," "&amp;$CR$429&amp;" "," ")," "&amp;$CR$427&amp;" "," ")," "&amp;$CR$1367&amp;" "," ")," "&amp;$CR$435&amp;" "," ")," "&amp;$CR$1366&amp;" "," ")," "&amp;$CR$430&amp;" "," ")),"")</f>
        <v xml:space="preserve"> poivre blanc moulu </v>
      </c>
      <c r="AM49" s="1368" t="str">
        <f>IF(49=49,IF($U49="","",IF(AJ49&gt;0,"X",IF(AK49&gt;0,"?",""))),"")</f>
        <v/>
      </c>
      <c r="AN49" s="1368">
        <f>IF(49=49,IF($U49="","",SUMPRODUCT(--ISNUMBER(SEARCH(" "&amp;$CR$436:$CR$535&amp;" ",$AX49)))),"")</f>
        <v>0</v>
      </c>
      <c r="AO49" s="1368">
        <f>IF(49=49,IF($U49="","",SUMPRODUCT(--ISNUMBER(SEARCH(" "&amp;$CR$536:$CR$635&amp;" ",$AX49)))),"")</f>
        <v>0</v>
      </c>
      <c r="AP49" s="1368">
        <f>IF(49=49,IF($U49="","",SUMPRODUCT(--ISNUMBER(SEARCH(" "&amp;$CR$636:$CR$735&amp;" ",$AX49)))),"")</f>
        <v>0</v>
      </c>
      <c r="AQ49" s="1368">
        <f>IF(49=49,IF($U49="","",SUMPRODUCT(--ISNUMBER(SEARCH(" "&amp;$CR$736:$CR$835&amp;" ",$AX49)))),"")</f>
        <v>0</v>
      </c>
      <c r="AR49" s="1368">
        <f>IF(49=49,IF($U49="","",SUMPRODUCT(--ISNUMBER(SEARCH(" "&amp;$CR$836:$CR$935&amp;" ",$AX49)))),"")</f>
        <v>0</v>
      </c>
      <c r="AS49" s="1368">
        <f>IF(49=49,IF($U49="","",SUMPRODUCT(--ISNUMBER(SEARCH(" "&amp;$CR$936:$CR$1035&amp;" ",$AX49)))),"")</f>
        <v>0</v>
      </c>
      <c r="AT49" s="1368">
        <f>IF(49=49,IF($U49="","",SUMPRODUCT(--ISNUMBER(SEARCH(" "&amp;$CR$1036:$CR$1135&amp;" ",$AX49)))),"")</f>
        <v>0</v>
      </c>
      <c r="AU49" s="1368">
        <f>IF(49=49,IF($U49="","",SUMPRODUCT(--ISNUMBER(SEARCH(" "&amp;$CR$1136:$CR$1235&amp;" ",$AX49)))),"")</f>
        <v>0</v>
      </c>
      <c r="AV49" s="1368">
        <f>IF(49=49,IF($U49="","",SUMPRODUCT(--ISNUMBER(SEARCH(" "&amp;$CR$1236:$CR$1335&amp;" ",$AX49)))),"")</f>
        <v>0</v>
      </c>
      <c r="AW49" s="1368">
        <f>IF(49=49,IF($U49="","",SUMPRODUCT(--ISNUMBER(SEARCH(" "&amp;$CR$1336:$CR$1363&amp;" ",$AX49)))),"")</f>
        <v>0</v>
      </c>
      <c r="AX49" s="1368" t="str">
        <f>IF(49=49,IF($U49="","",SUBSTITUTE(SUBSTITUTE(SUBSTITUTE(SUBSTITUTE(SUBSTITUTE(SUBSTITUTE(SUBSTITUTE(SUBSTITUTE(SUBSTITUTE($AA49," "&amp;$CR$1365&amp;" "," ")," "&amp;$CR$1364&amp;" "," ")," "&amp;$CR$1370&amp;" "," ")," "&amp;$CR$1371&amp;" "," ")," "&amp;$CR$1367&amp;" "," ")," "&amp;$CR$1369&amp;" "," ")," "&amp;$CR$1366&amp;" "," ")," "&amp;$CR$1368&amp;" "," ")," "&amp;$CR$1372&amp;" "," ")),"")</f>
        <v xml:space="preserve"> poivre blanc moulu </v>
      </c>
      <c r="AY49" s="1368">
        <f>IF(49=49,IF($U49="","",SUMPRODUCT(--ISNUMBER(SEARCH(" "&amp;$CR$1373:$CR$1383&amp;" ",$AX49)))),"")</f>
        <v>0</v>
      </c>
      <c r="AZ49" s="1368" t="str">
        <f>IF(49=49,IF($U49="","",IF(SUM(AN49:AW49)+SUMPRODUCT(--ISNUMBER(SEARCH(" "&amp;$CR$2421:$CR$2422&amp;" ",$AX49)))&gt;0,"X",IF(AY49&gt;0,"?",""))),"")</f>
        <v/>
      </c>
      <c r="BA49" s="1368">
        <f>IF(49=49,IF($U49="","",SUMPRODUCT(--ISNUMBER(SEARCH(" "&amp;$CR$1384:$CR$1404&amp;" ",$AA49)))),"")</f>
        <v>0</v>
      </c>
      <c r="BB49" s="1368" t="str">
        <f>IF(49=49,IF($U49="","",IF((BA49)-(0)&gt;0,"X",IF((0)-(0)&gt;0,"?",""))),"")</f>
        <v/>
      </c>
      <c r="BC49" s="1368">
        <f>IF(49=49,IF($U49="","",SUMPRODUCT(--ISNUMBER(SEARCH(" "&amp;$CR$1405:$CR$1442&amp;" ",$BD49)))),"")</f>
        <v>0</v>
      </c>
      <c r="BD49" s="1368" t="str">
        <f>IF(49=49,IF($U49="","",SUBSTITUTE(SUBSTITUTE($AA49," "&amp;$CR$1443&amp;" "," ")," "&amp;$CR$1444&amp;" "," ")),"")</f>
        <v xml:space="preserve"> poivre blanc moulu </v>
      </c>
      <c r="BE49" s="1368">
        <f>IF(49=49,IF($U49="","",SUMPRODUCT(--ISNUMBER(SEARCH(" "&amp;$CR$1445:$CR$1455&amp;" ",$BD49)))),"")</f>
        <v>0</v>
      </c>
      <c r="BF49" s="1368" t="str">
        <f>IF(49=49,IF($U49="","",IF(BC49&gt;0,"X",IF(BE49&gt;0,"?",""))),"")</f>
        <v/>
      </c>
      <c r="BG49" s="1368">
        <f>IF(49=49,IF($U49="","",SUMPRODUCT(--ISNUMBER(SEARCH(" "&amp;$CR$1456:$CR$1555&amp;" ",$BJ49)))),"")</f>
        <v>0</v>
      </c>
      <c r="BH49" s="1368">
        <f>IF(49=49,IF($U49="","",SUMPRODUCT(--ISNUMBER(SEARCH(" "&amp;$CR$1556:$CR$1655&amp;" ",$BJ49)))),"")</f>
        <v>0</v>
      </c>
      <c r="BI49" s="1368">
        <f>IF(49=49,IF($U49="","",SUMPRODUCT(--ISNUMBER(SEARCH(" "&amp;$CR$1656:$CR$1739&amp;" ",$BJ49)))),"")</f>
        <v>0</v>
      </c>
      <c r="BJ49" s="1368" t="str">
        <f>IF(49=49,IF($U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blanc moulu </v>
      </c>
      <c r="BK49" s="1368">
        <f>IF(49=49,IF($U49="","",SUMPRODUCT(--ISNUMBER(SEARCH(" "&amp;$CR$1790:$CR$1869&amp;" ",$BL49)))+SUMPRODUCT(--ISNUMBER(SEARCH(" "&amp;$CR$2440:$CR$2453&amp;" ",$BL49)))),"")</f>
        <v>0</v>
      </c>
      <c r="BL49" s="1368" t="str">
        <f>IF(49=49,IF($U49="","",SUBSTITUTE(SUBSTITUTE(SUBSTITUTE(SUBSTITUTE(SUBSTITUTE(SUBSTITUTE(SUBSTITUTE(SUBSTITUTE(SUBSTITUTE(SUBSTITUTE(SUBSTITUTE(SUBSTITUTE(SUBSTITUTE($BJ49," "&amp;$CR$1876&amp;" "," ")," "&amp;$CR$1874&amp;" "," ")," "&amp;$CR$2438&amp;" "," ")," "&amp;$CR$2439&amp;" "," ")," "&amp;$CR$1871&amp;" "," ")," "&amp;$CR$1875&amp;" "," ")," "&amp;$CR$1877&amp;" "," ")," "&amp;$CR$1872&amp;" "," ")," "&amp;$CR$1870&amp;" "," ")," "&amp;$CR$1367&amp;" "," ")," "&amp;$CR$1878&amp;" "," ")," "&amp;$CR$1366&amp;" "," ")," "&amp;$CR$1873&amp;" "," ")),"")</f>
        <v xml:space="preserve"> poivre blanc moulu </v>
      </c>
      <c r="BM49" s="1368" t="str">
        <f>IF(49=49,IF($U49="","",IF(SUM(BG49:BI49)+SUMPRODUCT(--ISNUMBER(SEARCH(" "&amp;$CR$2423:$CR$2424&amp;" ",$BJ49)))&gt;0,"X",IF(BK49&gt;0,"?",""))),"")</f>
        <v/>
      </c>
      <c r="BN49" s="1368">
        <f>IF(49=49,IF($U49="","",SUMPRODUCT(--ISNUMBER(SEARCH(" "&amp;$CR$1879:$CR$1936&amp;" ",$BO49)))),"")</f>
        <v>0</v>
      </c>
      <c r="BO49" s="1368" t="str">
        <f>IF(49=49,IF($U49="","",SUBSTITUTE(SUBSTITUTE(SUBSTITUTE(SUBSTITUTE(SUBSTITUTE(SUBSTITUTE(SUBSTITUTE(SUBSTITUTE(SUBSTITUTE(SUBSTITUTE(SUBSTITUTE(SUBSTITUTE(SUBSTITUTE(SUBSTITUTE(SUBSTITUTE(SUBSTITUTE(SUBSTITUTE(SUBSTITUTE(SUBSTITUTE(SUBSTITUTE(SUBSTITUTE(SUBSTITUTE(SUBSTITUTE($AA49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blanc moulu </v>
      </c>
      <c r="BP49" s="1368">
        <f>IF(49=49,IF($U49="","",SUMPRODUCT(--ISNUMBER(SEARCH(" "&amp;$CR$1960:$CR$1976&amp;" ",$BO49)))),"")</f>
        <v>0</v>
      </c>
      <c r="BQ49" s="1368" t="str">
        <f>IF(49=49,IF($U49="","",IF(BN49&gt;0,"X",IF(BP49&gt;0,"?",""))),"")</f>
        <v/>
      </c>
      <c r="BR49" s="1368">
        <f>IF(49=49,IF($U49="","",SUMPRODUCT(--ISNUMBER(SEARCH(" "&amp;$CR$1977:$CR$1990&amp;" ",$AA49)))),"")</f>
        <v>0</v>
      </c>
      <c r="BS49" s="1368">
        <f>IF(49=49,IF($U49="","",SUMPRODUCT(--ISNUMBER(SEARCH(" "&amp;$CR$1991:$CR$2005&amp;" ",$AA49)))),"")</f>
        <v>0</v>
      </c>
      <c r="BT49" s="1368" t="str">
        <f>IF(49=49,IF($U49="","",IF((BR49)-(0)&gt;0,"X",IF((BS49)-(0)&gt;0,"?",""))),"")</f>
        <v/>
      </c>
      <c r="BU49" s="1368">
        <f>IF(49=49,IF($U49="","",SUMPRODUCT(--ISNUMBER(SEARCH(" "&amp;$CR$2006:$CR$2023&amp;" ",$AA49)))),"")</f>
        <v>0</v>
      </c>
      <c r="BV49" s="1368">
        <f>IF(49=49,IF($U49="","",SUMPRODUCT(--ISNUMBER(SEARCH(" "&amp;$CR$2024:$CR$2038&amp;" ",$AA49)))),"")</f>
        <v>0</v>
      </c>
      <c r="BW49" s="1368" t="str">
        <f>IF(49=49,IF($U49="","",IF((BU49)-(0)&gt;0,"X",IF((BV49)-(0)&gt;0,"?",""))),"")</f>
        <v/>
      </c>
      <c r="BX49" s="1368">
        <f>IF(49=49,IF($U49="","",SUMPRODUCT(--ISNUMBER(SEARCH(" "&amp;$CR$2039:$CR$2057&amp;" ",$AA49)))),"")</f>
        <v>0</v>
      </c>
      <c r="BY49" s="1368">
        <f>IF(49=49,IF($U49="","",SUMPRODUCT(--ISNUMBER(SEARCH(" "&amp;$CR$2058:$CR$2072&amp;" ",$AA49)))),"")</f>
        <v>0</v>
      </c>
      <c r="BZ49" s="1368" t="str">
        <f>IF(49=49,IF($U49="","",IF((BX49)-(0)&gt;0,"X",IF((BY49)-(0)&gt;0,"?",""))),"")</f>
        <v/>
      </c>
      <c r="CA49" s="1368">
        <f>IF(49=49,IF($U49="","",SUMPRODUCT(--ISNUMBER(SEARCH(" "&amp;$CR$2073:$CR$2093&amp;" ",$AA49)))),"")</f>
        <v>0</v>
      </c>
      <c r="CB49" s="1368">
        <f>IF(49=49,IF($U49="","",SUMPRODUCT(--ISNUMBER(SEARCH(" "&amp;$CR$2094:$CR$2133&amp;" ",SUBSTITUTE(SUBSTITUTE($AA49," "&amp;$CR$1367&amp;" "," ")," "&amp;$CR$1366&amp;" "," "))))+--ISNUMBER(SEARCH("poiré",$V49))),"")</f>
        <v>0</v>
      </c>
      <c r="CC49" s="1368" t="str">
        <f>IF(49=49,IF($U49="","",IF(OR(CA49&gt;0,ISNUMBER(SEARCH(" vinaigre de vin ",$AA49)),ISNUMBER(SEARCH(" vinaigre au vin ",$AA49))),"X",IF(CB49&gt;0,"?",""))),"")</f>
        <v/>
      </c>
      <c r="CD49" s="1368">
        <f>IF(49=49,IF($U49="","",SUMPRODUCT(--ISNUMBER(SEARCH(" "&amp;$CR$2134:$CR$2146&amp;" ",$AA49)))),"")</f>
        <v>0</v>
      </c>
      <c r="CE49" s="1368">
        <f>IF(49=49,IF($U49="","",SUMPRODUCT(--ISNUMBER(SEARCH(" "&amp;$CR$2147:$CR$2152&amp;" ",$AA49)))),"")</f>
        <v>0</v>
      </c>
      <c r="CF49" s="1368" t="str">
        <f>IF(49=49,IF($U49="","",IF((CD49)-(0)&gt;0,"X",IF((CE49)-(0)&gt;0,"?",""))),"")</f>
        <v/>
      </c>
      <c r="CG49" s="1368">
        <f>IF(49=49,IF($U49="","",SUMPRODUCT(--ISNUMBER(SEARCH(" "&amp;$CR$2153:$CR$2252&amp;" ",$CJ49)))),"")</f>
        <v>0</v>
      </c>
      <c r="CH49" s="1368">
        <f>IF(49=49,IF($U49="","",SUMPRODUCT(--ISNUMBER(SEARCH(" "&amp;$CR$2253:$CR$2352&amp;" ",$CJ49)))),"")</f>
        <v>0</v>
      </c>
      <c r="CI49" s="1368">
        <f>IF(49=49,IF($U49="","",SUMPRODUCT(--ISNUMBER(SEARCH(" "&amp;$CR$2353:$CR$2395&amp;" ",$CJ49)))),"")</f>
        <v>0</v>
      </c>
      <c r="CJ49" s="1368" t="str">
        <f>IF(49=49,IF($U49="","",SUBSTITUTE(SUBSTITUTE(SUBSTITUTE(SUBSTITUTE(SUBSTITUTE(SUBSTITUTE(SUBSTITUTE(SUBSTITUTE(SUBSTITUTE(SUBSTITUTE(SUBSTITUTE(SUBSTITUTE(SUBSTITUTE(SUBSTITUTE(SUBSTITUTE(SUBSTITUTE($AA49," "&amp;$CR$2401&amp;" "," ")," "&amp;$CR$2400&amp;" "," ")," "&amp;$CR$2399&amp;" "," ")," "&amp;$CR$2406&amp;" "," ")," "&amp;$CR$2398&amp;" "," ")," "&amp;$CR$2410&amp;" "," ")," "&amp;$CR$2397&amp;" "," ")," "&amp;$CR$2402&amp;" "," ")," "&amp;$CR$2405&amp;" "," ")," "&amp;$CR$2396&amp;" "," ")," "&amp;$CR$2404&amp;" "," ")," "&amp;$CR$2411&amp;" "," ")," "&amp;$CR$2408&amp;" "," ")," "&amp;$CR$2403&amp;" "," ")," "&amp;$CR$2407&amp;" "," ")," "&amp;$CR$2409&amp;" "," ")),"")</f>
        <v xml:space="preserve"> poivre blanc moulu </v>
      </c>
      <c r="CK49" s="1368">
        <f>IF(49=49,IF($U49="","",SUMPRODUCT(--ISNUMBER(SEARCH(" "&amp;$CR$2412:$CR$2416&amp;" ",$CJ49)))),"")</f>
        <v>0</v>
      </c>
      <c r="CL49" s="1368" t="str">
        <f>IF(49=49,IF($U49="","",IF(SUM(CG49:CI49)&gt;0,"X",IF(CK49&gt;0,"?",""))),"")</f>
        <v/>
      </c>
      <c r="CM49" s="1377"/>
      <c r="CN49" s="1388" t="s">
        <v>8334</v>
      </c>
      <c r="CO49" s="1388" t="s">
        <v>8105</v>
      </c>
      <c r="CP49" s="1388" t="s">
        <v>8106</v>
      </c>
      <c r="CQ49" s="1388" t="s">
        <v>8335</v>
      </c>
      <c r="CR49" s="1388" t="s">
        <v>8336</v>
      </c>
      <c r="CS49" s="1388" t="s">
        <v>8108</v>
      </c>
      <c r="CT49" s="1388" t="s">
        <v>8109</v>
      </c>
      <c r="CU49" s="1388" t="s">
        <v>8110</v>
      </c>
      <c r="CV49" s="1389" t="s">
        <v>8111</v>
      </c>
      <c r="CX49" s="1379">
        <v>1</v>
      </c>
    </row>
    <row r="50" spans="1:102" ht="21" customHeight="1" x14ac:dyDescent="0.25">
      <c r="A50" s="1412">
        <v>44</v>
      </c>
      <c r="B50" s="1413" t="s">
        <v>8337</v>
      </c>
      <c r="C50" s="1414" t="str">
        <f t="shared" si="0"/>
        <v>Poivre de Cayenne</v>
      </c>
      <c r="D50" s="1415" t="str">
        <f>IF(50=50,IF($B50="","",IF(E50="X",""&amp;"Céréales contenant du gluten","")&amp;IF(F50="X",IF(COUNTIF($E50:$E50,"X")&gt;0,", ","")&amp;"Crustacés","")&amp;IF(G50="X",IF(COUNTIF($E50:$F50,"X")&gt;0,", ","")&amp;"Œufs","")&amp;IF(H50="X",IF(COUNTIF($E50:$G50,"X")&gt;0,", ","")&amp;"Poissons","")&amp;IF(I50="X",IF(COUNTIF($E50:$H50,"X")&gt;0,", ","")&amp;"Arachides","")&amp;IF(J50="X",IF(COUNTIF($E50:$I50,"X")&gt;0,", ","")&amp;"Soja","")&amp;IF(K50="X",IF(COUNTIF($E50:$J50,"X")&gt;0,", ","")&amp;"Lait","")&amp;IF(L50="X",IF(COUNTIF($E50:$K50,"X")&gt;0,", ","")&amp;"Fruits à coque","")&amp;IF(M50="X",IF(COUNTIF($E50:$L50,"X")&gt;0,", ","")&amp;"Céleri","")&amp;IF(N50="X",IF(COUNTIF($E50:$M50,"X")&gt;0,", ","")&amp;"Moutarde","")&amp;IF(O50="X",IF(COUNTIF($E50:$N50,"X")&gt;0,", ","")&amp;"Sésame","")&amp;IF(P50="X",IF(COUNTIF($E50:$O50,"X")&gt;0,", ","")&amp;"Sulfites","")&amp;IF(Q50="X",IF(COUNTIF($E50:$P50,"X")&gt;0,", ","")&amp;"Lupin","")&amp;IF(R50="X",IF(COUNTIF($E50:$Q50,"X")&gt;0,", ","")&amp;"Mollusques","")),"")</f>
        <v/>
      </c>
      <c r="E50" s="1416" t="str">
        <f>IF(50=50,IF($B50="","",AF50),"")</f>
        <v/>
      </c>
      <c r="F50" s="1416" t="str">
        <f>IF(50=50,IF($B50="","",AI50),"")</f>
        <v/>
      </c>
      <c r="G50" s="1416" t="str">
        <f>IF(50=50,IF($B50="","",AM50),"")</f>
        <v/>
      </c>
      <c r="H50" s="1416" t="str">
        <f>IF(50=50,IF($B50="","",IF(ISNUMBER(SEARCH(" colin ",$AA50)),"X",AZ50)),"")</f>
        <v/>
      </c>
      <c r="I50" s="1416" t="str">
        <f>IF(50=50,IF($B50="","",BB50),"")</f>
        <v/>
      </c>
      <c r="J50" s="1416" t="str">
        <f>IF(50=50,IF($B50="","",BF50),"")</f>
        <v/>
      </c>
      <c r="K50" s="1416" t="str">
        <f>IF(50=50,IF($B50="","",BM50),"")</f>
        <v/>
      </c>
      <c r="L50" s="1416" t="str">
        <f>IF(50=50,IF($B50="","",BQ50),"")</f>
        <v/>
      </c>
      <c r="M50" s="1416" t="str">
        <f>IF(50=50,IF($B50="","",BT50),"")</f>
        <v/>
      </c>
      <c r="N50" s="1416" t="str">
        <f>IF(50=50,IF($B50="","",BW50),"")</f>
        <v/>
      </c>
      <c r="O50" s="1416" t="str">
        <f>IF(50=50,IF($B50="","",BZ50),"")</f>
        <v/>
      </c>
      <c r="P50" s="1416" t="str">
        <f>IF(50=50,IF($B50="","",CC50),"")</f>
        <v/>
      </c>
      <c r="Q50" s="1416" t="str">
        <f>IF(50=50,IF($B50="","",CF50),"")</f>
        <v/>
      </c>
      <c r="R50" s="1416" t="str">
        <f>IF(50=50,IF($B50="","",CL50),"")</f>
        <v/>
      </c>
      <c r="S50" s="1417" t="str">
        <f>IF(50=50,IF($B50="","",IF(E50="?",""&amp;"Céréales contenant du gluten","")&amp;IF(F50="?",IF(COUNTIF($E50:$E50,"~?")&gt;0,", ","")&amp;"Crustacés","")&amp;IF(G50="?",IF(COUNTIF($E50:$F50,"~?")&gt;0,", ","")&amp;"Œufs","")&amp;IF(H50="?",IF(COUNTIF($E50:$G50,"~?")&gt;0,", ","")&amp;"Poissons","")&amp;IF(I50="?",IF(COUNTIF($E50:$H50,"~?")&gt;0,", ","")&amp;"Arachides","")&amp;IF(J50="?",IF(COUNTIF($E50:$I50,"~?")&gt;0,", ","")&amp;"Soja","")&amp;IF(K50="?",IF(COUNTIF($E50:$J50,"~?")&gt;0,", ","")&amp;"Lait","")&amp;IF(L50="?",IF(COUNTIF($E50:$K50,"~?")&gt;0,", ","")&amp;"Fruits à coque","")&amp;IF(M50="?",IF(COUNTIF($E50:$L50,"~?")&gt;0,", ","")&amp;"Céleri","")&amp;IF(N50="?",IF(COUNTIF($E50:$M50,"~?")&gt;0,", ","")&amp;"Moutarde","")&amp;IF(O50="?",IF(COUNTIF($E50:$N50,"~?")&gt;0,", ","")&amp;"Sésame","")&amp;IF(P50="?",IF(COUNTIF($E50:$O50,"~?")&gt;0,", ","")&amp;"Sulfites","")&amp;IF(Q50="?",IF(COUNTIF($E50:$P50,"~?")&gt;0,", ","")&amp;"Lupin","")&amp;IF(R50="?",IF(COUNTIF($E50:$Q50,"~?")&gt;0,", ","")&amp;"Mollusques","")),"")</f>
        <v/>
      </c>
      <c r="U50" s="1368" t="str">
        <f>IF(50=50,IF($B50="","",$B50),"")</f>
        <v>Poivre de Cayenne</v>
      </c>
      <c r="V50" s="1368" t="str">
        <f>IF(50=50,LOWER(CLEAN(SUBSTITUTE(SUBSTITUTE(SUBSTITUTE(SUBSTITUTE($U50,CHAR(160)," ")," "," "),CHAR(10)," "),CHAR(13)," "))),"")</f>
        <v>poivre de cayenne</v>
      </c>
      <c r="W50" s="1368" t="str">
        <f>IF(50=50,SUBSTITUTE(SUBSTITUTE(SUBSTITUTE(SUBSTITUTE(SUBSTITUTE(SUBSTITUTE(SUBSTITUTE(SUBSTITUTE(SUBSTITUTE(SUBSTITUTE(SUBSTITUTE(SUBSTITUTE($V50,"œ","oe"),"æ","ae"),"à","a"),"á","a"),"â","a"),"ä","a"),"ã","a"),"ç","c"),"è","e"),"é","e"),"ê","e"),"ë","e"),"")</f>
        <v>poivre de cayenne</v>
      </c>
      <c r="X50" s="1368" t="str">
        <f>IF(50=50,SUBSTITUTE(SUBSTITUTE(SUBSTITUTE(SUBSTITUTE(SUBSTITUTE(SUBSTITUTE(SUBSTITUTE(SUBSTITUTE(SUBSTITUTE(SUBSTITUTE(SUBSTITUTE(SUBSTITUTE(SUBSTITUTE(SUBSTITUTE(SUBSTITUTE(SUBSTITUTE($W50,"ì","i"),"í","i"),"î","i"),"ï","i"),"ñ","n"),"ò","o"),"ó","o"),"ô","o"),"ö","o"),"õ","o"),"ù","u"),"ú","u"),"û","u"),"ü","u"),"ý","y"),"ÿ","y"),"")</f>
        <v>poivre de cayenne</v>
      </c>
      <c r="Y50" s="1368" t="str">
        <f>IF(50=50,SUBSTITUTE(SUBSTITUTE(SUBSTITUTE(SUBSTITUTE(SUBSTITUTE(SUBSTITUTE(SUBSTITUTE(SUBSTITUTE(SUBSTITUTE(SUBSTITUTE(SUBSTITUTE(SUBSTITUTE(SUBSTITUTE(SUBSTITUTE($X50,"’"," "),"`"," "),"–"," "),"—"," "),"-"," "),"'"," "),"/"," "),"_"," "),","," "),"."," "),"("," "),")"," "),";"," "),":"," "),"")</f>
        <v>poivre de cayenne</v>
      </c>
      <c r="Z50" s="1368" t="str">
        <f>IF(50=50,SUBSTITUTE(SUBSTITUTE(SUBSTITUTE(SUBSTITUTE(SUBSTITUTE(SUBSTITUTE(SUBSTITUTE(SUBSTITUTE(SUBSTITUTE(SUBSTITUTE(SUBSTITUTE(SUBSTITUTE(SUBSTITUTE(SUBSTITUTE(SUBSTITUTE($Y50,"!"," "),"?"," "),"+"," "),"*"," "),"&amp;"," "),"["," "),"]"," "),"{"," "),"}"," "),"%"," "),"="," "),"\"," "),"|"," "),"&lt;"," "),"&gt;"," "),"")</f>
        <v>poivre de cayenne</v>
      </c>
      <c r="AA50" s="1368" t="str">
        <f>IF(50=50," "&amp;TRIM(SUBSTITUTE(SUBSTITUTE(SUBSTITUTE(SUBSTITUTE(SUBSTITUTE(SUBSTITUTE($Z50,CHAR(34)," "),"  "," "),"  "," "),"  "," "),"  "," "),"  "," "))&amp;" ","")</f>
        <v xml:space="preserve"> poivre de cayenne </v>
      </c>
      <c r="AB50" s="1368">
        <f>IF(50=50,IF($U50="","",SUMPRODUCT(--ISNUMBER(SEARCH(" "&amp;$CR$2:$CR$101&amp;" ",$AD50)))),"")</f>
        <v>0</v>
      </c>
      <c r="AC50" s="1368">
        <f>IF(50=50,IF($U50="","",SUMPRODUCT(--ISNUMBER(SEARCH(" "&amp;$CR$102:$CR$151&amp;" ",$AD50)))),"")</f>
        <v>0</v>
      </c>
      <c r="AD50" s="1368" t="str">
        <f t="shared" si="1"/>
        <v xml:space="preserve"> poivre de cayenne </v>
      </c>
      <c r="AE50" s="1368">
        <f t="shared" si="2"/>
        <v>0</v>
      </c>
      <c r="AF50" s="1368" t="str">
        <f>IF(50=50,IF($U50="","",IF(SUM(AB50:AC50)+SUMPRODUCT(--ISNUMBER(SEARCH(" "&amp;$CR$2418:$CR$2420&amp;" ",$AD50)))&gt;0,"X",IF(AE50&gt;0,"?",""))),"")</f>
        <v/>
      </c>
      <c r="AG50" s="1368">
        <f>IF(50=50,IF($U50="","",SUMPRODUCT(--ISNUMBER(SEARCH(" "&amp;$CR$206:$CR$305&amp;" ",$AA50)))),"")</f>
        <v>0</v>
      </c>
      <c r="AH50" s="1368">
        <f>IF(50=50,IF($U50="","",SUMPRODUCT(--ISNUMBER(SEARCH(" "&amp;$CR$306:$CR$340&amp;" ",$AA50)))),"")</f>
        <v>0</v>
      </c>
      <c r="AI50" s="1368" t="str">
        <f>IF(50=50,IF($U50="","",IF((SUM(AG50:AH50))-(0)&gt;0,"X",IF((0)-(0)&gt;0,"?",""))),"")</f>
        <v/>
      </c>
      <c r="AJ50" s="1368">
        <f>IF(50=50,IF($U50="","",SUMPRODUCT(--ISNUMBER(SEARCH(" "&amp;$CR$341:$CR$398&amp;" ",$AA50)))),"")</f>
        <v>0</v>
      </c>
      <c r="AK50" s="1368">
        <f>IF(50=50,IF($U50="","",SUMPRODUCT(--ISNUMBER(SEARCH(" "&amp;$CR$399:$CR$426&amp;" ",$AL50)))+SUMPRODUCT(--ISNUMBER(SEARCH(" "&amp;$CR$2440:$CR$2453&amp;" ",$AL50)))),"")</f>
        <v>0</v>
      </c>
      <c r="AL50" s="1368" t="str">
        <f>IF(50=50,IF($U50="","",SUBSTITUTE(SUBSTITUTE(SUBSTITUTE(SUBSTITUTE(SUBSTITUTE(SUBSTITUTE(SUBSTITUTE(SUBSTITUTE(SUBSTITUTE(SUBSTITUTE(SUBSTITUTE(SUBSTITUTE(SUBSTITUTE(SUBSTITUTE($AA50," "&amp;$CR$2455&amp;" "," ")," "&amp;$CR$433&amp;" "," ")," "&amp;$CR$431&amp;" "," ")," "&amp;$CR$2438&amp;" "," ")," "&amp;$CR$2439&amp;" "," ")," "&amp;$CR$428&amp;" "," ")," "&amp;$CR$432&amp;" "," ")," "&amp;$CR$434&amp;" "," ")," "&amp;$CR$429&amp;" "," ")," "&amp;$CR$427&amp;" "," ")," "&amp;$CR$1367&amp;" "," ")," "&amp;$CR$435&amp;" "," ")," "&amp;$CR$1366&amp;" "," ")," "&amp;$CR$430&amp;" "," ")),"")</f>
        <v xml:space="preserve"> poivre de cayenne </v>
      </c>
      <c r="AM50" s="1368" t="str">
        <f>IF(50=50,IF($U50="","",IF(AJ50&gt;0,"X",IF(AK50&gt;0,"?",""))),"")</f>
        <v/>
      </c>
      <c r="AN50" s="1368">
        <f>IF(50=50,IF($U50="","",SUMPRODUCT(--ISNUMBER(SEARCH(" "&amp;$CR$436:$CR$535&amp;" ",$AX50)))),"")</f>
        <v>0</v>
      </c>
      <c r="AO50" s="1368">
        <f>IF(50=50,IF($U50="","",SUMPRODUCT(--ISNUMBER(SEARCH(" "&amp;$CR$536:$CR$635&amp;" ",$AX50)))),"")</f>
        <v>0</v>
      </c>
      <c r="AP50" s="1368">
        <f>IF(50=50,IF($U50="","",SUMPRODUCT(--ISNUMBER(SEARCH(" "&amp;$CR$636:$CR$735&amp;" ",$AX50)))),"")</f>
        <v>0</v>
      </c>
      <c r="AQ50" s="1368">
        <f>IF(50=50,IF($U50="","",SUMPRODUCT(--ISNUMBER(SEARCH(" "&amp;$CR$736:$CR$835&amp;" ",$AX50)))),"")</f>
        <v>0</v>
      </c>
      <c r="AR50" s="1368">
        <f>IF(50=50,IF($U50="","",SUMPRODUCT(--ISNUMBER(SEARCH(" "&amp;$CR$836:$CR$935&amp;" ",$AX50)))),"")</f>
        <v>0</v>
      </c>
      <c r="AS50" s="1368">
        <f>IF(50=50,IF($U50="","",SUMPRODUCT(--ISNUMBER(SEARCH(" "&amp;$CR$936:$CR$1035&amp;" ",$AX50)))),"")</f>
        <v>0</v>
      </c>
      <c r="AT50" s="1368">
        <f>IF(50=50,IF($U50="","",SUMPRODUCT(--ISNUMBER(SEARCH(" "&amp;$CR$1036:$CR$1135&amp;" ",$AX50)))),"")</f>
        <v>0</v>
      </c>
      <c r="AU50" s="1368">
        <f>IF(50=50,IF($U50="","",SUMPRODUCT(--ISNUMBER(SEARCH(" "&amp;$CR$1136:$CR$1235&amp;" ",$AX50)))),"")</f>
        <v>0</v>
      </c>
      <c r="AV50" s="1368">
        <f>IF(50=50,IF($U50="","",SUMPRODUCT(--ISNUMBER(SEARCH(" "&amp;$CR$1236:$CR$1335&amp;" ",$AX50)))),"")</f>
        <v>0</v>
      </c>
      <c r="AW50" s="1368">
        <f>IF(50=50,IF($U50="","",SUMPRODUCT(--ISNUMBER(SEARCH(" "&amp;$CR$1336:$CR$1363&amp;" ",$AX50)))),"")</f>
        <v>0</v>
      </c>
      <c r="AX50" s="1368" t="str">
        <f>IF(50=50,IF($U50="","",SUBSTITUTE(SUBSTITUTE(SUBSTITUTE(SUBSTITUTE(SUBSTITUTE(SUBSTITUTE(SUBSTITUTE(SUBSTITUTE(SUBSTITUTE($AA50," "&amp;$CR$1365&amp;" "," ")," "&amp;$CR$1364&amp;" "," ")," "&amp;$CR$1370&amp;" "," ")," "&amp;$CR$1371&amp;" "," ")," "&amp;$CR$1367&amp;" "," ")," "&amp;$CR$1369&amp;" "," ")," "&amp;$CR$1366&amp;" "," ")," "&amp;$CR$1368&amp;" "," ")," "&amp;$CR$1372&amp;" "," ")),"")</f>
        <v xml:space="preserve"> poivre de cayenne </v>
      </c>
      <c r="AY50" s="1368">
        <f>IF(50=50,IF($U50="","",SUMPRODUCT(--ISNUMBER(SEARCH(" "&amp;$CR$1373:$CR$1383&amp;" ",$AX50)))),"")</f>
        <v>0</v>
      </c>
      <c r="AZ50" s="1368" t="str">
        <f>IF(50=50,IF($U50="","",IF(SUM(AN50:AW50)+SUMPRODUCT(--ISNUMBER(SEARCH(" "&amp;$CR$2421:$CR$2422&amp;" ",$AX50)))&gt;0,"X",IF(AY50&gt;0,"?",""))),"")</f>
        <v/>
      </c>
      <c r="BA50" s="1368">
        <f>IF(50=50,IF($U50="","",SUMPRODUCT(--ISNUMBER(SEARCH(" "&amp;$CR$1384:$CR$1404&amp;" ",$AA50)))),"")</f>
        <v>0</v>
      </c>
      <c r="BB50" s="1368" t="str">
        <f>IF(50=50,IF($U50="","",IF((BA50)-(0)&gt;0,"X",IF((0)-(0)&gt;0,"?",""))),"")</f>
        <v/>
      </c>
      <c r="BC50" s="1368">
        <f>IF(50=50,IF($U50="","",SUMPRODUCT(--ISNUMBER(SEARCH(" "&amp;$CR$1405:$CR$1442&amp;" ",$BD50)))),"")</f>
        <v>0</v>
      </c>
      <c r="BD50" s="1368" t="str">
        <f>IF(50=50,IF($U50="","",SUBSTITUTE(SUBSTITUTE($AA50," "&amp;$CR$1443&amp;" "," ")," "&amp;$CR$1444&amp;" "," ")),"")</f>
        <v xml:space="preserve"> poivre de cayenne </v>
      </c>
      <c r="BE50" s="1368">
        <f>IF(50=50,IF($U50="","",SUMPRODUCT(--ISNUMBER(SEARCH(" "&amp;$CR$1445:$CR$1455&amp;" ",$BD50)))),"")</f>
        <v>0</v>
      </c>
      <c r="BF50" s="1368" t="str">
        <f>IF(50=50,IF($U50="","",IF(BC50&gt;0,"X",IF(BE50&gt;0,"?",""))),"")</f>
        <v/>
      </c>
      <c r="BG50" s="1368">
        <f>IF(50=50,IF($U50="","",SUMPRODUCT(--ISNUMBER(SEARCH(" "&amp;$CR$1456:$CR$1555&amp;" ",$BJ50)))),"")</f>
        <v>0</v>
      </c>
      <c r="BH50" s="1368">
        <f>IF(50=50,IF($U50="","",SUMPRODUCT(--ISNUMBER(SEARCH(" "&amp;$CR$1556:$CR$1655&amp;" ",$BJ50)))),"")</f>
        <v>0</v>
      </c>
      <c r="BI50" s="1368">
        <f>IF(50=50,IF($U50="","",SUMPRODUCT(--ISNUMBER(SEARCH(" "&amp;$CR$1656:$CR$1739&amp;" ",$BJ50)))),"")</f>
        <v>0</v>
      </c>
      <c r="BJ50" s="1368" t="str">
        <f>IF(50=50,IF($U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de cayenne </v>
      </c>
      <c r="BK50" s="1368">
        <f>IF(50=50,IF($U50="","",SUMPRODUCT(--ISNUMBER(SEARCH(" "&amp;$CR$1790:$CR$1869&amp;" ",$BL50)))+SUMPRODUCT(--ISNUMBER(SEARCH(" "&amp;$CR$2440:$CR$2453&amp;" ",$BL50)))),"")</f>
        <v>0</v>
      </c>
      <c r="BL50" s="1368" t="str">
        <f>IF(50=50,IF($U50="","",SUBSTITUTE(SUBSTITUTE(SUBSTITUTE(SUBSTITUTE(SUBSTITUTE(SUBSTITUTE(SUBSTITUTE(SUBSTITUTE(SUBSTITUTE(SUBSTITUTE(SUBSTITUTE(SUBSTITUTE(SUBSTITUTE($BJ50," "&amp;$CR$1876&amp;" "," ")," "&amp;$CR$1874&amp;" "," ")," "&amp;$CR$2438&amp;" "," ")," "&amp;$CR$2439&amp;" "," ")," "&amp;$CR$1871&amp;" "," ")," "&amp;$CR$1875&amp;" "," ")," "&amp;$CR$1877&amp;" "," ")," "&amp;$CR$1872&amp;" "," ")," "&amp;$CR$1870&amp;" "," ")," "&amp;$CR$1367&amp;" "," ")," "&amp;$CR$1878&amp;" "," ")," "&amp;$CR$1366&amp;" "," ")," "&amp;$CR$1873&amp;" "," ")),"")</f>
        <v xml:space="preserve"> poivre de cayenne </v>
      </c>
      <c r="BM50" s="1368" t="str">
        <f>IF(50=50,IF($U50="","",IF(SUM(BG50:BI50)+SUMPRODUCT(--ISNUMBER(SEARCH(" "&amp;$CR$2423:$CR$2424&amp;" ",$BJ50)))&gt;0,"X",IF(BK50&gt;0,"?",""))),"")</f>
        <v/>
      </c>
      <c r="BN50" s="1368">
        <f>IF(50=50,IF($U50="","",SUMPRODUCT(--ISNUMBER(SEARCH(" "&amp;$CR$1879:$CR$1936&amp;" ",$BO50)))),"")</f>
        <v>0</v>
      </c>
      <c r="BO50" s="1368" t="str">
        <f>IF(50=50,IF($U50="","",SUBSTITUTE(SUBSTITUTE(SUBSTITUTE(SUBSTITUTE(SUBSTITUTE(SUBSTITUTE(SUBSTITUTE(SUBSTITUTE(SUBSTITUTE(SUBSTITUTE(SUBSTITUTE(SUBSTITUTE(SUBSTITUTE(SUBSTITUTE(SUBSTITUTE(SUBSTITUTE(SUBSTITUTE(SUBSTITUTE(SUBSTITUTE(SUBSTITUTE(SUBSTITUTE(SUBSTITUTE(SUBSTITUTE($AA50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de cayenne </v>
      </c>
      <c r="BP50" s="1368">
        <f>IF(50=50,IF($U50="","",SUMPRODUCT(--ISNUMBER(SEARCH(" "&amp;$CR$1960:$CR$1976&amp;" ",$BO50)))),"")</f>
        <v>0</v>
      </c>
      <c r="BQ50" s="1368" t="str">
        <f>IF(50=50,IF($U50="","",IF(BN50&gt;0,"X",IF(BP50&gt;0,"?",""))),"")</f>
        <v/>
      </c>
      <c r="BR50" s="1368">
        <f>IF(50=50,IF($U50="","",SUMPRODUCT(--ISNUMBER(SEARCH(" "&amp;$CR$1977:$CR$1990&amp;" ",$AA50)))),"")</f>
        <v>0</v>
      </c>
      <c r="BS50" s="1368">
        <f>IF(50=50,IF($U50="","",SUMPRODUCT(--ISNUMBER(SEARCH(" "&amp;$CR$1991:$CR$2005&amp;" ",$AA50)))),"")</f>
        <v>0</v>
      </c>
      <c r="BT50" s="1368" t="str">
        <f>IF(50=50,IF($U50="","",IF((BR50)-(0)&gt;0,"X",IF((BS50)-(0)&gt;0,"?",""))),"")</f>
        <v/>
      </c>
      <c r="BU50" s="1368">
        <f>IF(50=50,IF($U50="","",SUMPRODUCT(--ISNUMBER(SEARCH(" "&amp;$CR$2006:$CR$2023&amp;" ",$AA50)))),"")</f>
        <v>0</v>
      </c>
      <c r="BV50" s="1368">
        <f>IF(50=50,IF($U50="","",SUMPRODUCT(--ISNUMBER(SEARCH(" "&amp;$CR$2024:$CR$2038&amp;" ",$AA50)))),"")</f>
        <v>0</v>
      </c>
      <c r="BW50" s="1368" t="str">
        <f>IF(50=50,IF($U50="","",IF((BU50)-(0)&gt;0,"X",IF((BV50)-(0)&gt;0,"?",""))),"")</f>
        <v/>
      </c>
      <c r="BX50" s="1368">
        <f>IF(50=50,IF($U50="","",SUMPRODUCT(--ISNUMBER(SEARCH(" "&amp;$CR$2039:$CR$2057&amp;" ",$AA50)))),"")</f>
        <v>0</v>
      </c>
      <c r="BY50" s="1368">
        <f>IF(50=50,IF($U50="","",SUMPRODUCT(--ISNUMBER(SEARCH(" "&amp;$CR$2058:$CR$2072&amp;" ",$AA50)))),"")</f>
        <v>0</v>
      </c>
      <c r="BZ50" s="1368" t="str">
        <f>IF(50=50,IF($U50="","",IF((BX50)-(0)&gt;0,"X",IF((BY50)-(0)&gt;0,"?",""))),"")</f>
        <v/>
      </c>
      <c r="CA50" s="1368">
        <f>IF(50=50,IF($U50="","",SUMPRODUCT(--ISNUMBER(SEARCH(" "&amp;$CR$2073:$CR$2093&amp;" ",$AA50)))),"")</f>
        <v>0</v>
      </c>
      <c r="CB50" s="1368">
        <f>IF(50=50,IF($U50="","",SUMPRODUCT(--ISNUMBER(SEARCH(" "&amp;$CR$2094:$CR$2133&amp;" ",SUBSTITUTE(SUBSTITUTE($AA50," "&amp;$CR$1367&amp;" "," ")," "&amp;$CR$1366&amp;" "," "))))+--ISNUMBER(SEARCH("poiré",$V50))),"")</f>
        <v>0</v>
      </c>
      <c r="CC50" s="1368" t="str">
        <f>IF(50=50,IF($U50="","",IF(OR(CA50&gt;0,ISNUMBER(SEARCH(" vinaigre de vin ",$AA50)),ISNUMBER(SEARCH(" vinaigre au vin ",$AA50))),"X",IF(CB50&gt;0,"?",""))),"")</f>
        <v/>
      </c>
      <c r="CD50" s="1368">
        <f>IF(50=50,IF($U50="","",SUMPRODUCT(--ISNUMBER(SEARCH(" "&amp;$CR$2134:$CR$2146&amp;" ",$AA50)))),"")</f>
        <v>0</v>
      </c>
      <c r="CE50" s="1368">
        <f>IF(50=50,IF($U50="","",SUMPRODUCT(--ISNUMBER(SEARCH(" "&amp;$CR$2147:$CR$2152&amp;" ",$AA50)))),"")</f>
        <v>0</v>
      </c>
      <c r="CF50" s="1368" t="str">
        <f>IF(50=50,IF($U50="","",IF((CD50)-(0)&gt;0,"X",IF((CE50)-(0)&gt;0,"?",""))),"")</f>
        <v/>
      </c>
      <c r="CG50" s="1368">
        <f>IF(50=50,IF($U50="","",SUMPRODUCT(--ISNUMBER(SEARCH(" "&amp;$CR$2153:$CR$2252&amp;" ",$CJ50)))),"")</f>
        <v>0</v>
      </c>
      <c r="CH50" s="1368">
        <f>IF(50=50,IF($U50="","",SUMPRODUCT(--ISNUMBER(SEARCH(" "&amp;$CR$2253:$CR$2352&amp;" ",$CJ50)))),"")</f>
        <v>0</v>
      </c>
      <c r="CI50" s="1368">
        <f>IF(50=50,IF($U50="","",SUMPRODUCT(--ISNUMBER(SEARCH(" "&amp;$CR$2353:$CR$2395&amp;" ",$CJ50)))),"")</f>
        <v>0</v>
      </c>
      <c r="CJ50" s="1368" t="str">
        <f>IF(50=50,IF($U50="","",SUBSTITUTE(SUBSTITUTE(SUBSTITUTE(SUBSTITUTE(SUBSTITUTE(SUBSTITUTE(SUBSTITUTE(SUBSTITUTE(SUBSTITUTE(SUBSTITUTE(SUBSTITUTE(SUBSTITUTE(SUBSTITUTE(SUBSTITUTE(SUBSTITUTE(SUBSTITUTE($AA50," "&amp;$CR$2401&amp;" "," ")," "&amp;$CR$2400&amp;" "," ")," "&amp;$CR$2399&amp;" "," ")," "&amp;$CR$2406&amp;" "," ")," "&amp;$CR$2398&amp;" "," ")," "&amp;$CR$2410&amp;" "," ")," "&amp;$CR$2397&amp;" "," ")," "&amp;$CR$2402&amp;" "," ")," "&amp;$CR$2405&amp;" "," ")," "&amp;$CR$2396&amp;" "," ")," "&amp;$CR$2404&amp;" "," ")," "&amp;$CR$2411&amp;" "," ")," "&amp;$CR$2408&amp;" "," ")," "&amp;$CR$2403&amp;" "," ")," "&amp;$CR$2407&amp;" "," ")," "&amp;$CR$2409&amp;" "," ")),"")</f>
        <v xml:space="preserve"> poivre de cayenne </v>
      </c>
      <c r="CK50" s="1368">
        <f>IF(50=50,IF($U50="","",SUMPRODUCT(--ISNUMBER(SEARCH(" "&amp;$CR$2412:$CR$2416&amp;" ",$CJ50)))),"")</f>
        <v>0</v>
      </c>
      <c r="CL50" s="1368" t="str">
        <f>IF(50=50,IF($U50="","",IF(SUM(CG50:CI50)&gt;0,"X",IF(CK50&gt;0,"?",""))),"")</f>
        <v/>
      </c>
      <c r="CM50" s="1377"/>
      <c r="CN50" s="1388" t="s">
        <v>8338</v>
      </c>
      <c r="CO50" s="1388" t="s">
        <v>8105</v>
      </c>
      <c r="CP50" s="1388" t="s">
        <v>8106</v>
      </c>
      <c r="CQ50" s="1388" t="s">
        <v>8339</v>
      </c>
      <c r="CR50" s="1388" t="s">
        <v>8339</v>
      </c>
      <c r="CS50" s="1388" t="s">
        <v>8108</v>
      </c>
      <c r="CT50" s="1388" t="s">
        <v>8109</v>
      </c>
      <c r="CU50" s="1388" t="s">
        <v>8110</v>
      </c>
      <c r="CV50" s="1389" t="s">
        <v>8111</v>
      </c>
      <c r="CX50" s="1379">
        <v>1</v>
      </c>
    </row>
    <row r="51" spans="1:102" ht="21" customHeight="1" x14ac:dyDescent="0.25">
      <c r="A51" s="1412">
        <v>45</v>
      </c>
      <c r="B51" s="1413" t="s">
        <v>8340</v>
      </c>
      <c r="C51" s="1414" t="str">
        <f t="shared" si="0"/>
        <v>Poivrons en lanières surgelés</v>
      </c>
      <c r="D51" s="1415" t="str">
        <f>IF(51=51,IF($B51="","",IF(E51="X",""&amp;"Céréales contenant du gluten","")&amp;IF(F51="X",IF(COUNTIF($E51:$E51,"X")&gt;0,", ","")&amp;"Crustacés","")&amp;IF(G51="X",IF(COUNTIF($E51:$F51,"X")&gt;0,", ","")&amp;"Œufs","")&amp;IF(H51="X",IF(COUNTIF($E51:$G51,"X")&gt;0,", ","")&amp;"Poissons","")&amp;IF(I51="X",IF(COUNTIF($E51:$H51,"X")&gt;0,", ","")&amp;"Arachides","")&amp;IF(J51="X",IF(COUNTIF($E51:$I51,"X")&gt;0,", ","")&amp;"Soja","")&amp;IF(K51="X",IF(COUNTIF($E51:$J51,"X")&gt;0,", ","")&amp;"Lait","")&amp;IF(L51="X",IF(COUNTIF($E51:$K51,"X")&gt;0,", ","")&amp;"Fruits à coque","")&amp;IF(M51="X",IF(COUNTIF($E51:$L51,"X")&gt;0,", ","")&amp;"Céleri","")&amp;IF(N51="X",IF(COUNTIF($E51:$M51,"X")&gt;0,", ","")&amp;"Moutarde","")&amp;IF(O51="X",IF(COUNTIF($E51:$N51,"X")&gt;0,", ","")&amp;"Sésame","")&amp;IF(P51="X",IF(COUNTIF($E51:$O51,"X")&gt;0,", ","")&amp;"Sulfites","")&amp;IF(Q51="X",IF(COUNTIF($E51:$P51,"X")&gt;0,", ","")&amp;"Lupin","")&amp;IF(R51="X",IF(COUNTIF($E51:$Q51,"X")&gt;0,", ","")&amp;"Mollusques","")),"")</f>
        <v/>
      </c>
      <c r="E51" s="1416" t="str">
        <f>IF(51=51,IF($B51="","",AF51),"")</f>
        <v/>
      </c>
      <c r="F51" s="1416" t="str">
        <f>IF(51=51,IF($B51="","",AI51),"")</f>
        <v/>
      </c>
      <c r="G51" s="1416" t="str">
        <f>IF(51=51,IF($B51="","",AM51),"")</f>
        <v/>
      </c>
      <c r="H51" s="1416" t="str">
        <f>IF(51=51,IF($B51="","",IF(ISNUMBER(SEARCH(" colin ",$AA51)),"X",AZ51)),"")</f>
        <v/>
      </c>
      <c r="I51" s="1416" t="str">
        <f>IF(51=51,IF($B51="","",BB51),"")</f>
        <v/>
      </c>
      <c r="J51" s="1416" t="str">
        <f>IF(51=51,IF($B51="","",BF51),"")</f>
        <v/>
      </c>
      <c r="K51" s="1416" t="str">
        <f>IF(51=51,IF($B51="","",BM51),"")</f>
        <v/>
      </c>
      <c r="L51" s="1416" t="str">
        <f>IF(51=51,IF($B51="","",BQ51),"")</f>
        <v/>
      </c>
      <c r="M51" s="1416" t="str">
        <f>IF(51=51,IF($B51="","",BT51),"")</f>
        <v/>
      </c>
      <c r="N51" s="1416" t="str">
        <f>IF(51=51,IF($B51="","",BW51),"")</f>
        <v/>
      </c>
      <c r="O51" s="1416" t="str">
        <f>IF(51=51,IF($B51="","",BZ51),"")</f>
        <v/>
      </c>
      <c r="P51" s="1416" t="str">
        <f>IF(51=51,IF($B51="","",CC51),"")</f>
        <v/>
      </c>
      <c r="Q51" s="1416" t="str">
        <f>IF(51=51,IF($B51="","",CF51),"")</f>
        <v/>
      </c>
      <c r="R51" s="1416" t="str">
        <f>IF(51=51,IF($B51="","",CL51),"")</f>
        <v/>
      </c>
      <c r="S51" s="1417" t="str">
        <f>IF(51=51,IF($B51="","",IF(E51="?",""&amp;"Céréales contenant du gluten","")&amp;IF(F51="?",IF(COUNTIF($E51:$E51,"~?")&gt;0,", ","")&amp;"Crustacés","")&amp;IF(G51="?",IF(COUNTIF($E51:$F51,"~?")&gt;0,", ","")&amp;"Œufs","")&amp;IF(H51="?",IF(COUNTIF($E51:$G51,"~?")&gt;0,", ","")&amp;"Poissons","")&amp;IF(I51="?",IF(COUNTIF($E51:$H51,"~?")&gt;0,", ","")&amp;"Arachides","")&amp;IF(J51="?",IF(COUNTIF($E51:$I51,"~?")&gt;0,", ","")&amp;"Soja","")&amp;IF(K51="?",IF(COUNTIF($E51:$J51,"~?")&gt;0,", ","")&amp;"Lait","")&amp;IF(L51="?",IF(COUNTIF($E51:$K51,"~?")&gt;0,", ","")&amp;"Fruits à coque","")&amp;IF(M51="?",IF(COUNTIF($E51:$L51,"~?")&gt;0,", ","")&amp;"Céleri","")&amp;IF(N51="?",IF(COUNTIF($E51:$M51,"~?")&gt;0,", ","")&amp;"Moutarde","")&amp;IF(O51="?",IF(COUNTIF($E51:$N51,"~?")&gt;0,", ","")&amp;"Sésame","")&amp;IF(P51="?",IF(COUNTIF($E51:$O51,"~?")&gt;0,", ","")&amp;"Sulfites","")&amp;IF(Q51="?",IF(COUNTIF($E51:$P51,"~?")&gt;0,", ","")&amp;"Lupin","")&amp;IF(R51="?",IF(COUNTIF($E51:$Q51,"~?")&gt;0,", ","")&amp;"Mollusques","")),"")</f>
        <v/>
      </c>
      <c r="U51" s="1368" t="str">
        <f>IF(51=51,IF($B51="","",$B51),"")</f>
        <v>Poivrons en lanières surgelés</v>
      </c>
      <c r="V51" s="1368" t="str">
        <f>IF(51=51,LOWER(CLEAN(SUBSTITUTE(SUBSTITUTE(SUBSTITUTE(SUBSTITUTE($U51,CHAR(160)," ")," "," "),CHAR(10)," "),CHAR(13)," "))),"")</f>
        <v>poivrons en lanières surgelés</v>
      </c>
      <c r="W51" s="1368" t="str">
        <f>IF(51=51,SUBSTITUTE(SUBSTITUTE(SUBSTITUTE(SUBSTITUTE(SUBSTITUTE(SUBSTITUTE(SUBSTITUTE(SUBSTITUTE(SUBSTITUTE(SUBSTITUTE(SUBSTITUTE(SUBSTITUTE($V51,"œ","oe"),"æ","ae"),"à","a"),"á","a"),"â","a"),"ä","a"),"ã","a"),"ç","c"),"è","e"),"é","e"),"ê","e"),"ë","e"),"")</f>
        <v>poivrons en lanieres surgeles</v>
      </c>
      <c r="X51" s="1368" t="str">
        <f>IF(51=51,SUBSTITUTE(SUBSTITUTE(SUBSTITUTE(SUBSTITUTE(SUBSTITUTE(SUBSTITUTE(SUBSTITUTE(SUBSTITUTE(SUBSTITUTE(SUBSTITUTE(SUBSTITUTE(SUBSTITUTE(SUBSTITUTE(SUBSTITUTE(SUBSTITUTE(SUBSTITUTE($W51,"ì","i"),"í","i"),"î","i"),"ï","i"),"ñ","n"),"ò","o"),"ó","o"),"ô","o"),"ö","o"),"õ","o"),"ù","u"),"ú","u"),"û","u"),"ü","u"),"ý","y"),"ÿ","y"),"")</f>
        <v>poivrons en lanieres surgeles</v>
      </c>
      <c r="Y51" s="1368" t="str">
        <f>IF(51=51,SUBSTITUTE(SUBSTITUTE(SUBSTITUTE(SUBSTITUTE(SUBSTITUTE(SUBSTITUTE(SUBSTITUTE(SUBSTITUTE(SUBSTITUTE(SUBSTITUTE(SUBSTITUTE(SUBSTITUTE(SUBSTITUTE(SUBSTITUTE($X51,"’"," "),"`"," "),"–"," "),"—"," "),"-"," "),"'"," "),"/"," "),"_"," "),","," "),"."," "),"("," "),")"," "),";"," "),":"," "),"")</f>
        <v>poivrons en lanieres surgeles</v>
      </c>
      <c r="Z51" s="1368" t="str">
        <f>IF(51=51,SUBSTITUTE(SUBSTITUTE(SUBSTITUTE(SUBSTITUTE(SUBSTITUTE(SUBSTITUTE(SUBSTITUTE(SUBSTITUTE(SUBSTITUTE(SUBSTITUTE(SUBSTITUTE(SUBSTITUTE(SUBSTITUTE(SUBSTITUTE(SUBSTITUTE($Y51,"!"," "),"?"," "),"+"," "),"*"," "),"&amp;"," "),"["," "),"]"," "),"{"," "),"}"," "),"%"," "),"="," "),"\"," "),"|"," "),"&lt;"," "),"&gt;"," "),"")</f>
        <v>poivrons en lanieres surgeles</v>
      </c>
      <c r="AA51" s="1368" t="str">
        <f>IF(51=51," "&amp;TRIM(SUBSTITUTE(SUBSTITUTE(SUBSTITUTE(SUBSTITUTE(SUBSTITUTE(SUBSTITUTE($Z51,CHAR(34)," "),"  "," "),"  "," "),"  "," "),"  "," "),"  "," "))&amp;" ","")</f>
        <v xml:space="preserve"> poivrons en lanieres surgeles </v>
      </c>
      <c r="AB51" s="1368">
        <f>IF(51=51,IF($U51="","",SUMPRODUCT(--ISNUMBER(SEARCH(" "&amp;$CR$2:$CR$101&amp;" ",$AD51)))),"")</f>
        <v>0</v>
      </c>
      <c r="AC51" s="1368">
        <f>IF(51=51,IF($U51="","",SUMPRODUCT(--ISNUMBER(SEARCH(" "&amp;$CR$102:$CR$151&amp;" ",$AD51)))),"")</f>
        <v>0</v>
      </c>
      <c r="AD51" s="1368" t="str">
        <f t="shared" si="1"/>
        <v xml:space="preserve"> poivrons en lanieres surgeles </v>
      </c>
      <c r="AE51" s="1368">
        <f t="shared" si="2"/>
        <v>0</v>
      </c>
      <c r="AF51" s="1368" t="str">
        <f>IF(51=51,IF($U51="","",IF(SUM(AB51:AC51)+SUMPRODUCT(--ISNUMBER(SEARCH(" "&amp;$CR$2418:$CR$2420&amp;" ",$AD51)))&gt;0,"X",IF(AE51&gt;0,"?",""))),"")</f>
        <v/>
      </c>
      <c r="AG51" s="1368">
        <f>IF(51=51,IF($U51="","",SUMPRODUCT(--ISNUMBER(SEARCH(" "&amp;$CR$206:$CR$305&amp;" ",$AA51)))),"")</f>
        <v>0</v>
      </c>
      <c r="AH51" s="1368">
        <f>IF(51=51,IF($U51="","",SUMPRODUCT(--ISNUMBER(SEARCH(" "&amp;$CR$306:$CR$340&amp;" ",$AA51)))),"")</f>
        <v>0</v>
      </c>
      <c r="AI51" s="1368" t="str">
        <f>IF(51=51,IF($U51="","",IF((SUM(AG51:AH51))-(0)&gt;0,"X",IF((0)-(0)&gt;0,"?",""))),"")</f>
        <v/>
      </c>
      <c r="AJ51" s="1368">
        <f>IF(51=51,IF($U51="","",SUMPRODUCT(--ISNUMBER(SEARCH(" "&amp;$CR$341:$CR$398&amp;" ",$AA51)))),"")</f>
        <v>0</v>
      </c>
      <c r="AK51" s="1368">
        <f>IF(51=51,IF($U51="","",SUMPRODUCT(--ISNUMBER(SEARCH(" "&amp;$CR$399:$CR$426&amp;" ",$AL51)))+SUMPRODUCT(--ISNUMBER(SEARCH(" "&amp;$CR$2440:$CR$2453&amp;" ",$AL51)))),"")</f>
        <v>0</v>
      </c>
      <c r="AL51" s="1368" t="str">
        <f>IF(51=51,IF($U51="","",SUBSTITUTE(SUBSTITUTE(SUBSTITUTE(SUBSTITUTE(SUBSTITUTE(SUBSTITUTE(SUBSTITUTE(SUBSTITUTE(SUBSTITUTE(SUBSTITUTE(SUBSTITUTE(SUBSTITUTE(SUBSTITUTE(SUBSTITUTE($AA51," "&amp;$CR$2455&amp;" "," ")," "&amp;$CR$433&amp;" "," ")," "&amp;$CR$431&amp;" "," ")," "&amp;$CR$2438&amp;" "," ")," "&amp;$CR$2439&amp;" "," ")," "&amp;$CR$428&amp;" "," ")," "&amp;$CR$432&amp;" "," ")," "&amp;$CR$434&amp;" "," ")," "&amp;$CR$429&amp;" "," ")," "&amp;$CR$427&amp;" "," ")," "&amp;$CR$1367&amp;" "," ")," "&amp;$CR$435&amp;" "," ")," "&amp;$CR$1366&amp;" "," ")," "&amp;$CR$430&amp;" "," ")),"")</f>
        <v xml:space="preserve"> poivrons en lanieres surgeles </v>
      </c>
      <c r="AM51" s="1368" t="str">
        <f>IF(51=51,IF($U51="","",IF(AJ51&gt;0,"X",IF(AK51&gt;0,"?",""))),"")</f>
        <v/>
      </c>
      <c r="AN51" s="1368">
        <f>IF(51=51,IF($U51="","",SUMPRODUCT(--ISNUMBER(SEARCH(" "&amp;$CR$436:$CR$535&amp;" ",$AX51)))),"")</f>
        <v>0</v>
      </c>
      <c r="AO51" s="1368">
        <f>IF(51=51,IF($U51="","",SUMPRODUCT(--ISNUMBER(SEARCH(" "&amp;$CR$536:$CR$635&amp;" ",$AX51)))),"")</f>
        <v>0</v>
      </c>
      <c r="AP51" s="1368">
        <f>IF(51=51,IF($U51="","",SUMPRODUCT(--ISNUMBER(SEARCH(" "&amp;$CR$636:$CR$735&amp;" ",$AX51)))),"")</f>
        <v>0</v>
      </c>
      <c r="AQ51" s="1368">
        <f>IF(51=51,IF($U51="","",SUMPRODUCT(--ISNUMBER(SEARCH(" "&amp;$CR$736:$CR$835&amp;" ",$AX51)))),"")</f>
        <v>0</v>
      </c>
      <c r="AR51" s="1368">
        <f>IF(51=51,IF($U51="","",SUMPRODUCT(--ISNUMBER(SEARCH(" "&amp;$CR$836:$CR$935&amp;" ",$AX51)))),"")</f>
        <v>0</v>
      </c>
      <c r="AS51" s="1368">
        <f>IF(51=51,IF($U51="","",SUMPRODUCT(--ISNUMBER(SEARCH(" "&amp;$CR$936:$CR$1035&amp;" ",$AX51)))),"")</f>
        <v>0</v>
      </c>
      <c r="AT51" s="1368">
        <f>IF(51=51,IF($U51="","",SUMPRODUCT(--ISNUMBER(SEARCH(" "&amp;$CR$1036:$CR$1135&amp;" ",$AX51)))),"")</f>
        <v>0</v>
      </c>
      <c r="AU51" s="1368">
        <f>IF(51=51,IF($U51="","",SUMPRODUCT(--ISNUMBER(SEARCH(" "&amp;$CR$1136:$CR$1235&amp;" ",$AX51)))),"")</f>
        <v>0</v>
      </c>
      <c r="AV51" s="1368">
        <f>IF(51=51,IF($U51="","",SUMPRODUCT(--ISNUMBER(SEARCH(" "&amp;$CR$1236:$CR$1335&amp;" ",$AX51)))),"")</f>
        <v>0</v>
      </c>
      <c r="AW51" s="1368">
        <f>IF(51=51,IF($U51="","",SUMPRODUCT(--ISNUMBER(SEARCH(" "&amp;$CR$1336:$CR$1363&amp;" ",$AX51)))),"")</f>
        <v>0</v>
      </c>
      <c r="AX51" s="1368" t="str">
        <f>IF(51=51,IF($U51="","",SUBSTITUTE(SUBSTITUTE(SUBSTITUTE(SUBSTITUTE(SUBSTITUTE(SUBSTITUTE(SUBSTITUTE(SUBSTITUTE(SUBSTITUTE($AA51," "&amp;$CR$1365&amp;" "," ")," "&amp;$CR$1364&amp;" "," ")," "&amp;$CR$1370&amp;" "," ")," "&amp;$CR$1371&amp;" "," ")," "&amp;$CR$1367&amp;" "," ")," "&amp;$CR$1369&amp;" "," ")," "&amp;$CR$1366&amp;" "," ")," "&amp;$CR$1368&amp;" "," ")," "&amp;$CR$1372&amp;" "," ")),"")</f>
        <v xml:space="preserve"> poivrons en lanieres surgeles </v>
      </c>
      <c r="AY51" s="1368">
        <f>IF(51=51,IF($U51="","",SUMPRODUCT(--ISNUMBER(SEARCH(" "&amp;$CR$1373:$CR$1383&amp;" ",$AX51)))),"")</f>
        <v>0</v>
      </c>
      <c r="AZ51" s="1368" t="str">
        <f>IF(51=51,IF($U51="","",IF(SUM(AN51:AW51)+SUMPRODUCT(--ISNUMBER(SEARCH(" "&amp;$CR$2421:$CR$2422&amp;" ",$AX51)))&gt;0,"X",IF(AY51&gt;0,"?",""))),"")</f>
        <v/>
      </c>
      <c r="BA51" s="1368">
        <f>IF(51=51,IF($U51="","",SUMPRODUCT(--ISNUMBER(SEARCH(" "&amp;$CR$1384:$CR$1404&amp;" ",$AA51)))),"")</f>
        <v>0</v>
      </c>
      <c r="BB51" s="1368" t="str">
        <f>IF(51=51,IF($U51="","",IF((BA51)-(0)&gt;0,"X",IF((0)-(0)&gt;0,"?",""))),"")</f>
        <v/>
      </c>
      <c r="BC51" s="1368">
        <f>IF(51=51,IF($U51="","",SUMPRODUCT(--ISNUMBER(SEARCH(" "&amp;$CR$1405:$CR$1442&amp;" ",$BD51)))),"")</f>
        <v>0</v>
      </c>
      <c r="BD51" s="1368" t="str">
        <f>IF(51=51,IF($U51="","",SUBSTITUTE(SUBSTITUTE($AA51," "&amp;$CR$1443&amp;" "," ")," "&amp;$CR$1444&amp;" "," ")),"")</f>
        <v xml:space="preserve"> poivrons en lanieres surgeles </v>
      </c>
      <c r="BE51" s="1368">
        <f>IF(51=51,IF($U51="","",SUMPRODUCT(--ISNUMBER(SEARCH(" "&amp;$CR$1445:$CR$1455&amp;" ",$BD51)))),"")</f>
        <v>0</v>
      </c>
      <c r="BF51" s="1368" t="str">
        <f>IF(51=51,IF($U51="","",IF(BC51&gt;0,"X",IF(BE51&gt;0,"?",""))),"")</f>
        <v/>
      </c>
      <c r="BG51" s="1368">
        <f>IF(51=51,IF($U51="","",SUMPRODUCT(--ISNUMBER(SEARCH(" "&amp;$CR$1456:$CR$1555&amp;" ",$BJ51)))),"")</f>
        <v>0</v>
      </c>
      <c r="BH51" s="1368">
        <f>IF(51=51,IF($U51="","",SUMPRODUCT(--ISNUMBER(SEARCH(" "&amp;$CR$1556:$CR$1655&amp;" ",$BJ51)))),"")</f>
        <v>0</v>
      </c>
      <c r="BI51" s="1368">
        <f>IF(51=51,IF($U51="","",SUMPRODUCT(--ISNUMBER(SEARCH(" "&amp;$CR$1656:$CR$1739&amp;" ",$BJ51)))),"")</f>
        <v>0</v>
      </c>
      <c r="BJ51" s="1368" t="str">
        <f>IF(51=51,IF($U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poivrons en lanieres surgeles </v>
      </c>
      <c r="BK51" s="1368">
        <f>IF(51=51,IF($U51="","",SUMPRODUCT(--ISNUMBER(SEARCH(" "&amp;$CR$1790:$CR$1869&amp;" ",$BL51)))+SUMPRODUCT(--ISNUMBER(SEARCH(" "&amp;$CR$2440:$CR$2453&amp;" ",$BL51)))),"")</f>
        <v>0</v>
      </c>
      <c r="BL51" s="1368" t="str">
        <f>IF(51=51,IF($U51="","",SUBSTITUTE(SUBSTITUTE(SUBSTITUTE(SUBSTITUTE(SUBSTITUTE(SUBSTITUTE(SUBSTITUTE(SUBSTITUTE(SUBSTITUTE(SUBSTITUTE(SUBSTITUTE(SUBSTITUTE(SUBSTITUTE($BJ51," "&amp;$CR$1876&amp;" "," ")," "&amp;$CR$1874&amp;" "," ")," "&amp;$CR$2438&amp;" "," ")," "&amp;$CR$2439&amp;" "," ")," "&amp;$CR$1871&amp;" "," ")," "&amp;$CR$1875&amp;" "," ")," "&amp;$CR$1877&amp;" "," ")," "&amp;$CR$1872&amp;" "," ")," "&amp;$CR$1870&amp;" "," ")," "&amp;$CR$1367&amp;" "," ")," "&amp;$CR$1878&amp;" "," ")," "&amp;$CR$1366&amp;" "," ")," "&amp;$CR$1873&amp;" "," ")),"")</f>
        <v xml:space="preserve"> poivrons en lanieres surgeles </v>
      </c>
      <c r="BM51" s="1368" t="str">
        <f>IF(51=51,IF($U51="","",IF(SUM(BG51:BI51)+SUMPRODUCT(--ISNUMBER(SEARCH(" "&amp;$CR$2423:$CR$2424&amp;" ",$BJ51)))&gt;0,"X",IF(BK51&gt;0,"?",""))),"")</f>
        <v/>
      </c>
      <c r="BN51" s="1368">
        <f>IF(51=51,IF($U51="","",SUMPRODUCT(--ISNUMBER(SEARCH(" "&amp;$CR$1879:$CR$1936&amp;" ",$BO51)))),"")</f>
        <v>0</v>
      </c>
      <c r="BO51" s="1368" t="str">
        <f>IF(51=51,IF($U51="","",SUBSTITUTE(SUBSTITUTE(SUBSTITUTE(SUBSTITUTE(SUBSTITUTE(SUBSTITUTE(SUBSTITUTE(SUBSTITUTE(SUBSTITUTE(SUBSTITUTE(SUBSTITUTE(SUBSTITUTE(SUBSTITUTE(SUBSTITUTE(SUBSTITUTE(SUBSTITUTE(SUBSTITUTE(SUBSTITUTE(SUBSTITUTE(SUBSTITUTE(SUBSTITUTE(SUBSTITUTE(SUBSTITUTE($AA51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poivrons en lanieres surgeles </v>
      </c>
      <c r="BP51" s="1368">
        <f>IF(51=51,IF($U51="","",SUMPRODUCT(--ISNUMBER(SEARCH(" "&amp;$CR$1960:$CR$1976&amp;" ",$BO51)))),"")</f>
        <v>0</v>
      </c>
      <c r="BQ51" s="1368" t="str">
        <f>IF(51=51,IF($U51="","",IF(BN51&gt;0,"X",IF(BP51&gt;0,"?",""))),"")</f>
        <v/>
      </c>
      <c r="BR51" s="1368">
        <f>IF(51=51,IF($U51="","",SUMPRODUCT(--ISNUMBER(SEARCH(" "&amp;$CR$1977:$CR$1990&amp;" ",$AA51)))),"")</f>
        <v>0</v>
      </c>
      <c r="BS51" s="1368">
        <f>IF(51=51,IF($U51="","",SUMPRODUCT(--ISNUMBER(SEARCH(" "&amp;$CR$1991:$CR$2005&amp;" ",$AA51)))),"")</f>
        <v>0</v>
      </c>
      <c r="BT51" s="1368" t="str">
        <f>IF(51=51,IF($U51="","",IF((BR51)-(0)&gt;0,"X",IF((BS51)-(0)&gt;0,"?",""))),"")</f>
        <v/>
      </c>
      <c r="BU51" s="1368">
        <f>IF(51=51,IF($U51="","",SUMPRODUCT(--ISNUMBER(SEARCH(" "&amp;$CR$2006:$CR$2023&amp;" ",$AA51)))),"")</f>
        <v>0</v>
      </c>
      <c r="BV51" s="1368">
        <f>IF(51=51,IF($U51="","",SUMPRODUCT(--ISNUMBER(SEARCH(" "&amp;$CR$2024:$CR$2038&amp;" ",$AA51)))),"")</f>
        <v>0</v>
      </c>
      <c r="BW51" s="1368" t="str">
        <f>IF(51=51,IF($U51="","",IF((BU51)-(0)&gt;0,"X",IF((BV51)-(0)&gt;0,"?",""))),"")</f>
        <v/>
      </c>
      <c r="BX51" s="1368">
        <f>IF(51=51,IF($U51="","",SUMPRODUCT(--ISNUMBER(SEARCH(" "&amp;$CR$2039:$CR$2057&amp;" ",$AA51)))),"")</f>
        <v>0</v>
      </c>
      <c r="BY51" s="1368">
        <f>IF(51=51,IF($U51="","",SUMPRODUCT(--ISNUMBER(SEARCH(" "&amp;$CR$2058:$CR$2072&amp;" ",$AA51)))),"")</f>
        <v>0</v>
      </c>
      <c r="BZ51" s="1368" t="str">
        <f>IF(51=51,IF($U51="","",IF((BX51)-(0)&gt;0,"X",IF((BY51)-(0)&gt;0,"?",""))),"")</f>
        <v/>
      </c>
      <c r="CA51" s="1368">
        <f>IF(51=51,IF($U51="","",SUMPRODUCT(--ISNUMBER(SEARCH(" "&amp;$CR$2073:$CR$2093&amp;" ",$AA51)))),"")</f>
        <v>0</v>
      </c>
      <c r="CB51" s="1368">
        <f>IF(51=51,IF($U51="","",SUMPRODUCT(--ISNUMBER(SEARCH(" "&amp;$CR$2094:$CR$2133&amp;" ",SUBSTITUTE(SUBSTITUTE($AA51," "&amp;$CR$1367&amp;" "," ")," "&amp;$CR$1366&amp;" "," "))))+--ISNUMBER(SEARCH("poiré",$V51))),"")</f>
        <v>0</v>
      </c>
      <c r="CC51" s="1368" t="str">
        <f>IF(51=51,IF($U51="","",IF(OR(CA51&gt;0,ISNUMBER(SEARCH(" vinaigre de vin ",$AA51)),ISNUMBER(SEARCH(" vinaigre au vin ",$AA51))),"X",IF(CB51&gt;0,"?",""))),"")</f>
        <v/>
      </c>
      <c r="CD51" s="1368">
        <f>IF(51=51,IF($U51="","",SUMPRODUCT(--ISNUMBER(SEARCH(" "&amp;$CR$2134:$CR$2146&amp;" ",$AA51)))),"")</f>
        <v>0</v>
      </c>
      <c r="CE51" s="1368">
        <f>IF(51=51,IF($U51="","",SUMPRODUCT(--ISNUMBER(SEARCH(" "&amp;$CR$2147:$CR$2152&amp;" ",$AA51)))),"")</f>
        <v>0</v>
      </c>
      <c r="CF51" s="1368" t="str">
        <f>IF(51=51,IF($U51="","",IF((CD51)-(0)&gt;0,"X",IF((CE51)-(0)&gt;0,"?",""))),"")</f>
        <v/>
      </c>
      <c r="CG51" s="1368">
        <f>IF(51=51,IF($U51="","",SUMPRODUCT(--ISNUMBER(SEARCH(" "&amp;$CR$2153:$CR$2252&amp;" ",$CJ51)))),"")</f>
        <v>0</v>
      </c>
      <c r="CH51" s="1368">
        <f>IF(51=51,IF($U51="","",SUMPRODUCT(--ISNUMBER(SEARCH(" "&amp;$CR$2253:$CR$2352&amp;" ",$CJ51)))),"")</f>
        <v>0</v>
      </c>
      <c r="CI51" s="1368">
        <f>IF(51=51,IF($U51="","",SUMPRODUCT(--ISNUMBER(SEARCH(" "&amp;$CR$2353:$CR$2395&amp;" ",$CJ51)))),"")</f>
        <v>0</v>
      </c>
      <c r="CJ51" s="1368" t="str">
        <f>IF(51=51,IF($U51="","",SUBSTITUTE(SUBSTITUTE(SUBSTITUTE(SUBSTITUTE(SUBSTITUTE(SUBSTITUTE(SUBSTITUTE(SUBSTITUTE(SUBSTITUTE(SUBSTITUTE(SUBSTITUTE(SUBSTITUTE(SUBSTITUTE(SUBSTITUTE(SUBSTITUTE(SUBSTITUTE($AA51," "&amp;$CR$2401&amp;" "," ")," "&amp;$CR$2400&amp;" "," ")," "&amp;$CR$2399&amp;" "," ")," "&amp;$CR$2406&amp;" "," ")," "&amp;$CR$2398&amp;" "," ")," "&amp;$CR$2410&amp;" "," ")," "&amp;$CR$2397&amp;" "," ")," "&amp;$CR$2402&amp;" "," ")," "&amp;$CR$2405&amp;" "," ")," "&amp;$CR$2396&amp;" "," ")," "&amp;$CR$2404&amp;" "," ")," "&amp;$CR$2411&amp;" "," ")," "&amp;$CR$2408&amp;" "," ")," "&amp;$CR$2403&amp;" "," ")," "&amp;$CR$2407&amp;" "," ")," "&amp;$CR$2409&amp;" "," ")),"")</f>
        <v xml:space="preserve"> poivrons en lanieres surgeles </v>
      </c>
      <c r="CK51" s="1368">
        <f>IF(51=51,IF($U51="","",SUMPRODUCT(--ISNUMBER(SEARCH(" "&amp;$CR$2412:$CR$2416&amp;" ",$CJ51)))),"")</f>
        <v>0</v>
      </c>
      <c r="CL51" s="1368" t="str">
        <f>IF(51=51,IF($U51="","",IF(SUM(CG51:CI51)&gt;0,"X",IF(CK51&gt;0,"?",""))),"")</f>
        <v/>
      </c>
      <c r="CM51" s="1377"/>
      <c r="CN51" s="1388" t="s">
        <v>8341</v>
      </c>
      <c r="CO51" s="1388" t="s">
        <v>8105</v>
      </c>
      <c r="CP51" s="1388" t="s">
        <v>8106</v>
      </c>
      <c r="CQ51" s="1388" t="s">
        <v>8342</v>
      </c>
      <c r="CR51" s="1388" t="s">
        <v>8343</v>
      </c>
      <c r="CS51" s="1388" t="s">
        <v>8108</v>
      </c>
      <c r="CT51" s="1388" t="s">
        <v>8109</v>
      </c>
      <c r="CU51" s="1388" t="s">
        <v>8110</v>
      </c>
      <c r="CV51" s="1389" t="s">
        <v>8111</v>
      </c>
      <c r="CX51" s="1379">
        <v>1</v>
      </c>
    </row>
    <row r="52" spans="1:102" ht="21" customHeight="1" x14ac:dyDescent="0.25">
      <c r="A52" s="1412">
        <v>46</v>
      </c>
      <c r="B52" s="1413" t="s">
        <v>8344</v>
      </c>
      <c r="C52" s="1414" t="str">
        <f t="shared" si="0"/>
        <v>Pommes de terre BF 15</v>
      </c>
      <c r="D52" s="1415" t="str">
        <f>IF(52=52,IF($B52="","",IF(E52="X",""&amp;"Céréales contenant du gluten","")&amp;IF(F52="X",IF(COUNTIF($E52:$E52,"X")&gt;0,", ","")&amp;"Crustacés","")&amp;IF(G52="X",IF(COUNTIF($E52:$F52,"X")&gt;0,", ","")&amp;"Œufs","")&amp;IF(H52="X",IF(COUNTIF($E52:$G52,"X")&gt;0,", ","")&amp;"Poissons","")&amp;IF(I52="X",IF(COUNTIF($E52:$H52,"X")&gt;0,", ","")&amp;"Arachides","")&amp;IF(J52="X",IF(COUNTIF($E52:$I52,"X")&gt;0,", ","")&amp;"Soja","")&amp;IF(K52="X",IF(COUNTIF($E52:$J52,"X")&gt;0,", ","")&amp;"Lait","")&amp;IF(L52="X",IF(COUNTIF($E52:$K52,"X")&gt;0,", ","")&amp;"Fruits à coque","")&amp;IF(M52="X",IF(COUNTIF($E52:$L52,"X")&gt;0,", ","")&amp;"Céleri","")&amp;IF(N52="X",IF(COUNTIF($E52:$M52,"X")&gt;0,", ","")&amp;"Moutarde","")&amp;IF(O52="X",IF(COUNTIF($E52:$N52,"X")&gt;0,", ","")&amp;"Sésame","")&amp;IF(P52="X",IF(COUNTIF($E52:$O52,"X")&gt;0,", ","")&amp;"Sulfites","")&amp;IF(Q52="X",IF(COUNTIF($E52:$P52,"X")&gt;0,", ","")&amp;"Lupin","")&amp;IF(R52="X",IF(COUNTIF($E52:$Q52,"X")&gt;0,", ","")&amp;"Mollusques","")),"")</f>
        <v/>
      </c>
      <c r="E52" s="1416" t="str">
        <f>IF(52=52,IF($B52="","",AF52),"")</f>
        <v/>
      </c>
      <c r="F52" s="1416" t="str">
        <f>IF(52=52,IF($B52="","",AI52),"")</f>
        <v/>
      </c>
      <c r="G52" s="1416" t="str">
        <f>IF(52=52,IF($B52="","",AM52),"")</f>
        <v/>
      </c>
      <c r="H52" s="1416" t="str">
        <f>IF(52=52,IF($B52="","",IF(ISNUMBER(SEARCH(" colin ",$AA52)),"X",AZ52)),"")</f>
        <v/>
      </c>
      <c r="I52" s="1416" t="str">
        <f>IF(52=52,IF($B52="","",BB52),"")</f>
        <v/>
      </c>
      <c r="J52" s="1416" t="str">
        <f>IF(52=52,IF($B52="","",BF52),"")</f>
        <v/>
      </c>
      <c r="K52" s="1416" t="str">
        <f>IF(52=52,IF($B52="","",BM52),"")</f>
        <v/>
      </c>
      <c r="L52" s="1416" t="str">
        <f>IF(52=52,IF($B52="","",BQ52),"")</f>
        <v/>
      </c>
      <c r="M52" s="1416" t="str">
        <f>IF(52=52,IF($B52="","",BT52),"")</f>
        <v/>
      </c>
      <c r="N52" s="1416" t="str">
        <f>IF(52=52,IF($B52="","",BW52),"")</f>
        <v/>
      </c>
      <c r="O52" s="1416" t="str">
        <f>IF(52=52,IF($B52="","",BZ52),"")</f>
        <v/>
      </c>
      <c r="P52" s="1416" t="str">
        <f>IF(52=52,IF($B52="","",CC52),"")</f>
        <v/>
      </c>
      <c r="Q52" s="1416" t="str">
        <f>IF(52=52,IF($B52="","",CF52),"")</f>
        <v/>
      </c>
      <c r="R52" s="1416" t="str">
        <f>IF(52=52,IF($B52="","",CL52),"")</f>
        <v/>
      </c>
      <c r="S52" s="1417" t="str">
        <f>IF(52=52,IF($B52="","",IF(E52="?",""&amp;"Céréales contenant du gluten","")&amp;IF(F52="?",IF(COUNTIF($E52:$E52,"~?")&gt;0,", ","")&amp;"Crustacés","")&amp;IF(G52="?",IF(COUNTIF($E52:$F52,"~?")&gt;0,", ","")&amp;"Œufs","")&amp;IF(H52="?",IF(COUNTIF($E52:$G52,"~?")&gt;0,", ","")&amp;"Poissons","")&amp;IF(I52="?",IF(COUNTIF($E52:$H52,"~?")&gt;0,", ","")&amp;"Arachides","")&amp;IF(J52="?",IF(COUNTIF($E52:$I52,"~?")&gt;0,", ","")&amp;"Soja","")&amp;IF(K52="?",IF(COUNTIF($E52:$J52,"~?")&gt;0,", ","")&amp;"Lait","")&amp;IF(L52="?",IF(COUNTIF($E52:$K52,"~?")&gt;0,", ","")&amp;"Fruits à coque","")&amp;IF(M52="?",IF(COUNTIF($E52:$L52,"~?")&gt;0,", ","")&amp;"Céleri","")&amp;IF(N52="?",IF(COUNTIF($E52:$M52,"~?")&gt;0,", ","")&amp;"Moutarde","")&amp;IF(O52="?",IF(COUNTIF($E52:$N52,"~?")&gt;0,", ","")&amp;"Sésame","")&amp;IF(P52="?",IF(COUNTIF($E52:$O52,"~?")&gt;0,", ","")&amp;"Sulfites","")&amp;IF(Q52="?",IF(COUNTIF($E52:$P52,"~?")&gt;0,", ","")&amp;"Lupin","")&amp;IF(R52="?",IF(COUNTIF($E52:$Q52,"~?")&gt;0,", ","")&amp;"Mollusques","")),"")</f>
        <v/>
      </c>
      <c r="U52" s="1368" t="str">
        <f>IF(52=52,IF($B52="","",$B52),"")</f>
        <v>Pommes de terre BF 15</v>
      </c>
      <c r="V52" s="1368" t="str">
        <f>IF(52=52,LOWER(CLEAN(SUBSTITUTE(SUBSTITUTE(SUBSTITUTE(SUBSTITUTE($U52,CHAR(160)," ")," "," "),CHAR(10)," "),CHAR(13)," "))),"")</f>
        <v>pommes de terre bf 15</v>
      </c>
      <c r="W52" s="1368" t="str">
        <f>IF(52=52,SUBSTITUTE(SUBSTITUTE(SUBSTITUTE(SUBSTITUTE(SUBSTITUTE(SUBSTITUTE(SUBSTITUTE(SUBSTITUTE(SUBSTITUTE(SUBSTITUTE(SUBSTITUTE(SUBSTITUTE($V52,"œ","oe"),"æ","ae"),"à","a"),"á","a"),"â","a"),"ä","a"),"ã","a"),"ç","c"),"è","e"),"é","e"),"ê","e"),"ë","e"),"")</f>
        <v>pommes de terre bf 15</v>
      </c>
      <c r="X52" s="1368" t="str">
        <f>IF(52=52,SUBSTITUTE(SUBSTITUTE(SUBSTITUTE(SUBSTITUTE(SUBSTITUTE(SUBSTITUTE(SUBSTITUTE(SUBSTITUTE(SUBSTITUTE(SUBSTITUTE(SUBSTITUTE(SUBSTITUTE(SUBSTITUTE(SUBSTITUTE(SUBSTITUTE(SUBSTITUTE($W52,"ì","i"),"í","i"),"î","i"),"ï","i"),"ñ","n"),"ò","o"),"ó","o"),"ô","o"),"ö","o"),"õ","o"),"ù","u"),"ú","u"),"û","u"),"ü","u"),"ý","y"),"ÿ","y"),"")</f>
        <v>pommes de terre bf 15</v>
      </c>
      <c r="Y52" s="1368" t="str">
        <f>IF(52=52,SUBSTITUTE(SUBSTITUTE(SUBSTITUTE(SUBSTITUTE(SUBSTITUTE(SUBSTITUTE(SUBSTITUTE(SUBSTITUTE(SUBSTITUTE(SUBSTITUTE(SUBSTITUTE(SUBSTITUTE(SUBSTITUTE(SUBSTITUTE($X52,"’"," "),"`"," "),"–"," "),"—"," "),"-"," "),"'"," "),"/"," "),"_"," "),","," "),"."," "),"("," "),")"," "),";"," "),":"," "),"")</f>
        <v>pommes de terre bf 15</v>
      </c>
      <c r="Z52" s="1368" t="str">
        <f>IF(52=52,SUBSTITUTE(SUBSTITUTE(SUBSTITUTE(SUBSTITUTE(SUBSTITUTE(SUBSTITUTE(SUBSTITUTE(SUBSTITUTE(SUBSTITUTE(SUBSTITUTE(SUBSTITUTE(SUBSTITUTE(SUBSTITUTE(SUBSTITUTE(SUBSTITUTE($Y52,"!"," "),"?"," "),"+"," "),"*"," "),"&amp;"," "),"["," "),"]"," "),"{"," "),"}"," "),"%"," "),"="," "),"\"," "),"|"," "),"&lt;"," "),"&gt;"," "),"")</f>
        <v>pommes de terre bf 15</v>
      </c>
      <c r="AA52" s="1368" t="str">
        <f>IF(52=52," "&amp;TRIM(SUBSTITUTE(SUBSTITUTE(SUBSTITUTE(SUBSTITUTE(SUBSTITUTE(SUBSTITUTE($Z52,CHAR(34)," "),"  "," "),"  "," "),"  "," "),"  "," "),"  "," "))&amp;" ","")</f>
        <v xml:space="preserve"> pommes de terre bf 15 </v>
      </c>
      <c r="AB52" s="1368">
        <f>IF(52=52,IF($U52="","",SUMPRODUCT(--ISNUMBER(SEARCH(" "&amp;$CR$2:$CR$101&amp;" ",$AD52)))),"")</f>
        <v>0</v>
      </c>
      <c r="AC52" s="1368">
        <f>IF(52=52,IF($U52="","",SUMPRODUCT(--ISNUMBER(SEARCH(" "&amp;$CR$102:$CR$151&amp;" ",$AD52)))),"")</f>
        <v>0</v>
      </c>
      <c r="AD52" s="1368" t="str">
        <f t="shared" si="1"/>
        <v xml:space="preserve"> pommes de terre bf 15 </v>
      </c>
      <c r="AE52" s="1368">
        <f t="shared" si="2"/>
        <v>0</v>
      </c>
      <c r="AF52" s="1368" t="str">
        <f>IF(52=52,IF($U52="","",IF(SUM(AB52:AC52)+SUMPRODUCT(--ISNUMBER(SEARCH(" "&amp;$CR$2418:$CR$2420&amp;" ",$AD52)))&gt;0,"X",IF(AE52&gt;0,"?",""))),"")</f>
        <v/>
      </c>
      <c r="AG52" s="1368">
        <f>IF(52=52,IF($U52="","",SUMPRODUCT(--ISNUMBER(SEARCH(" "&amp;$CR$206:$CR$305&amp;" ",$AA52)))),"")</f>
        <v>0</v>
      </c>
      <c r="AH52" s="1368">
        <f>IF(52=52,IF($U52="","",SUMPRODUCT(--ISNUMBER(SEARCH(" "&amp;$CR$306:$CR$340&amp;" ",$AA52)))),"")</f>
        <v>0</v>
      </c>
      <c r="AI52" s="1368" t="str">
        <f>IF(52=52,IF($U52="","",IF((SUM(AG52:AH52))-(0)&gt;0,"X",IF((0)-(0)&gt;0,"?",""))),"")</f>
        <v/>
      </c>
      <c r="AJ52" s="1368">
        <f>IF(52=52,IF($U52="","",SUMPRODUCT(--ISNUMBER(SEARCH(" "&amp;$CR$341:$CR$398&amp;" ",$AA52)))),"")</f>
        <v>0</v>
      </c>
      <c r="AK52" s="1368">
        <f>IF(52=52,IF($U52="","",SUMPRODUCT(--ISNUMBER(SEARCH(" "&amp;$CR$399:$CR$426&amp;" ",$AL52)))+SUMPRODUCT(--ISNUMBER(SEARCH(" "&amp;$CR$2440:$CR$2453&amp;" ",$AL52)))),"")</f>
        <v>0</v>
      </c>
      <c r="AL52" s="1368" t="str">
        <f>IF(52=52,IF($U52="","",SUBSTITUTE(SUBSTITUTE(SUBSTITUTE(SUBSTITUTE(SUBSTITUTE(SUBSTITUTE(SUBSTITUTE(SUBSTITUTE(SUBSTITUTE(SUBSTITUTE(SUBSTITUTE(SUBSTITUTE(SUBSTITUTE(SUBSTITUTE($AA52," "&amp;$CR$2455&amp;" "," ")," "&amp;$CR$433&amp;" "," ")," "&amp;$CR$431&amp;" "," ")," "&amp;$CR$2438&amp;" "," ")," "&amp;$CR$2439&amp;" "," ")," "&amp;$CR$428&amp;" "," ")," "&amp;$CR$432&amp;" "," ")," "&amp;$CR$434&amp;" "," ")," "&amp;$CR$429&amp;" "," ")," "&amp;$CR$427&amp;" "," ")," "&amp;$CR$1367&amp;" "," ")," "&amp;$CR$435&amp;" "," ")," "&amp;$CR$1366&amp;" "," ")," "&amp;$CR$430&amp;" "," ")),"")</f>
        <v xml:space="preserve"> pommes de terre bf 15 </v>
      </c>
      <c r="AM52" s="1368" t="str">
        <f>IF(52=52,IF($U52="","",IF(AJ52&gt;0,"X",IF(AK52&gt;0,"?",""))),"")</f>
        <v/>
      </c>
      <c r="AN52" s="1368">
        <f>IF(52=52,IF($U52="","",SUMPRODUCT(--ISNUMBER(SEARCH(" "&amp;$CR$436:$CR$535&amp;" ",$AX52)))),"")</f>
        <v>0</v>
      </c>
      <c r="AO52" s="1368">
        <f>IF(52=52,IF($U52="","",SUMPRODUCT(--ISNUMBER(SEARCH(" "&amp;$CR$536:$CR$635&amp;" ",$AX52)))),"")</f>
        <v>0</v>
      </c>
      <c r="AP52" s="1368">
        <f>IF(52=52,IF($U52="","",SUMPRODUCT(--ISNUMBER(SEARCH(" "&amp;$CR$636:$CR$735&amp;" ",$AX52)))),"")</f>
        <v>0</v>
      </c>
      <c r="AQ52" s="1368">
        <f>IF(52=52,IF($U52="","",SUMPRODUCT(--ISNUMBER(SEARCH(" "&amp;$CR$736:$CR$835&amp;" ",$AX52)))),"")</f>
        <v>0</v>
      </c>
      <c r="AR52" s="1368">
        <f>IF(52=52,IF($U52="","",SUMPRODUCT(--ISNUMBER(SEARCH(" "&amp;$CR$836:$CR$935&amp;" ",$AX52)))),"")</f>
        <v>0</v>
      </c>
      <c r="AS52" s="1368">
        <f>IF(52=52,IF($U52="","",SUMPRODUCT(--ISNUMBER(SEARCH(" "&amp;$CR$936:$CR$1035&amp;" ",$AX52)))),"")</f>
        <v>0</v>
      </c>
      <c r="AT52" s="1368">
        <f>IF(52=52,IF($U52="","",SUMPRODUCT(--ISNUMBER(SEARCH(" "&amp;$CR$1036:$CR$1135&amp;" ",$AX52)))),"")</f>
        <v>0</v>
      </c>
      <c r="AU52" s="1368">
        <f>IF(52=52,IF($U52="","",SUMPRODUCT(--ISNUMBER(SEARCH(" "&amp;$CR$1136:$CR$1235&amp;" ",$AX52)))),"")</f>
        <v>0</v>
      </c>
      <c r="AV52" s="1368">
        <f>IF(52=52,IF($U52="","",SUMPRODUCT(--ISNUMBER(SEARCH(" "&amp;$CR$1236:$CR$1335&amp;" ",$AX52)))),"")</f>
        <v>0</v>
      </c>
      <c r="AW52" s="1368">
        <f>IF(52=52,IF($U52="","",SUMPRODUCT(--ISNUMBER(SEARCH(" "&amp;$CR$1336:$CR$1363&amp;" ",$AX52)))),"")</f>
        <v>0</v>
      </c>
      <c r="AX52" s="1368" t="str">
        <f>IF(52=52,IF($U52="","",SUBSTITUTE(SUBSTITUTE(SUBSTITUTE(SUBSTITUTE(SUBSTITUTE(SUBSTITUTE(SUBSTITUTE(SUBSTITUTE(SUBSTITUTE($AA52," "&amp;$CR$1365&amp;" "," ")," "&amp;$CR$1364&amp;" "," ")," "&amp;$CR$1370&amp;" "," ")," "&amp;$CR$1371&amp;" "," ")," "&amp;$CR$1367&amp;" "," ")," "&amp;$CR$1369&amp;" "," ")," "&amp;$CR$1366&amp;" "," ")," "&amp;$CR$1368&amp;" "," ")," "&amp;$CR$1372&amp;" "," ")),"")</f>
        <v xml:space="preserve"> pommes de terre bf 15 </v>
      </c>
      <c r="AY52" s="1368">
        <f>IF(52=52,IF($U52="","",SUMPRODUCT(--ISNUMBER(SEARCH(" "&amp;$CR$1373:$CR$1383&amp;" ",$AX52)))),"")</f>
        <v>0</v>
      </c>
      <c r="AZ52" s="1368" t="str">
        <f>IF(52=52,IF($U52="","",IF(SUM(AN52:AW52)+SUMPRODUCT(--ISNUMBER(SEARCH(" "&amp;$CR$2421:$CR$2422&amp;" ",$AX52)))&gt;0,"X",IF(AY52&gt;0,"?",""))),"")</f>
        <v/>
      </c>
      <c r="BA52" s="1368">
        <f>IF(52=52,IF($U52="","",SUMPRODUCT(--ISNUMBER(SEARCH(" "&amp;$CR$1384:$CR$1404&amp;" ",$AA52)))),"")</f>
        <v>0</v>
      </c>
      <c r="BB52" s="1368" t="str">
        <f>IF(52=52,IF($U52="","",IF((BA52)-(0)&gt;0,"X",IF((0)-(0)&gt;0,"?",""))),"")</f>
        <v/>
      </c>
      <c r="BC52" s="1368">
        <f>IF(52=52,IF($U52="","",SUMPRODUCT(--ISNUMBER(SEARCH(" "&amp;$CR$1405:$CR$1442&amp;" ",$BD52)))),"")</f>
        <v>0</v>
      </c>
      <c r="BD52" s="1368" t="str">
        <f>IF(52=52,IF($U52="","",SUBSTITUTE(SUBSTITUTE($AA52," "&amp;$CR$1443&amp;" "," ")," "&amp;$CR$1444&amp;" "," ")),"")</f>
        <v xml:space="preserve"> pommes de terre bf 15 </v>
      </c>
      <c r="BE52" s="1368">
        <f>IF(52=52,IF($U52="","",SUMPRODUCT(--ISNUMBER(SEARCH(" "&amp;$CR$1445:$CR$1455&amp;" ",$BD52)))),"")</f>
        <v>0</v>
      </c>
      <c r="BF52" s="1368" t="str">
        <f>IF(52=52,IF($U52="","",IF(BC52&gt;0,"X",IF(BE52&gt;0,"?",""))),"")</f>
        <v/>
      </c>
      <c r="BG52" s="1368">
        <f>IF(52=52,IF($U52="","",SUMPRODUCT(--ISNUMBER(SEARCH(" "&amp;$CR$1456:$CR$1555&amp;" ",$BJ52)))),"")</f>
        <v>0</v>
      </c>
      <c r="BH52" s="1368">
        <f>IF(52=52,IF($U52="","",SUMPRODUCT(--ISNUMBER(SEARCH(" "&amp;$CR$1556:$CR$1655&amp;" ",$BJ52)))),"")</f>
        <v>0</v>
      </c>
      <c r="BI52" s="1368">
        <f>IF(52=52,IF($U52="","",SUMPRODUCT(--ISNUMBER(SEARCH(" "&amp;$CR$1656:$CR$1739&amp;" ",$BJ52)))),"")</f>
        <v>0</v>
      </c>
      <c r="BJ52" s="1368" t="str">
        <f>IF(52=52,IF($U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bf 15 </v>
      </c>
      <c r="BK52" s="1368">
        <f>IF(52=52,IF($U52="","",SUMPRODUCT(--ISNUMBER(SEARCH(" "&amp;$CR$1790:$CR$1869&amp;" ",$BL52)))+SUMPRODUCT(--ISNUMBER(SEARCH(" "&amp;$CR$2440:$CR$2453&amp;" ",$BL52)))),"")</f>
        <v>0</v>
      </c>
      <c r="BL52" s="1368" t="str">
        <f>IF(52=52,IF($U52="","",SUBSTITUTE(SUBSTITUTE(SUBSTITUTE(SUBSTITUTE(SUBSTITUTE(SUBSTITUTE(SUBSTITUTE(SUBSTITUTE(SUBSTITUTE(SUBSTITUTE(SUBSTITUTE(SUBSTITUTE(SUBSTITUTE($BJ52," "&amp;$CR$1876&amp;" "," ")," "&amp;$CR$1874&amp;" "," ")," "&amp;$CR$2438&amp;" "," ")," "&amp;$CR$2439&amp;" "," ")," "&amp;$CR$1871&amp;" "," ")," "&amp;$CR$1875&amp;" "," ")," "&amp;$CR$1877&amp;" "," ")," "&amp;$CR$1872&amp;" "," ")," "&amp;$CR$1870&amp;" "," ")," "&amp;$CR$1367&amp;" "," ")," "&amp;$CR$1878&amp;" "," ")," "&amp;$CR$1366&amp;" "," ")," "&amp;$CR$1873&amp;" "," ")),"")</f>
        <v xml:space="preserve"> pommes de terre bf 15 </v>
      </c>
      <c r="BM52" s="1368" t="str">
        <f>IF(52=52,IF($U52="","",IF(SUM(BG52:BI52)+SUMPRODUCT(--ISNUMBER(SEARCH(" "&amp;$CR$2423:$CR$2424&amp;" ",$BJ52)))&gt;0,"X",IF(BK52&gt;0,"?",""))),"")</f>
        <v/>
      </c>
      <c r="BN52" s="1368">
        <f>IF(52=52,IF($U52="","",SUMPRODUCT(--ISNUMBER(SEARCH(" "&amp;$CR$1879:$CR$1936&amp;" ",$BO52)))),"")</f>
        <v>0</v>
      </c>
      <c r="BO52" s="1368" t="str">
        <f>IF(52=52,IF($U52="","",SUBSTITUTE(SUBSTITUTE(SUBSTITUTE(SUBSTITUTE(SUBSTITUTE(SUBSTITUTE(SUBSTITUTE(SUBSTITUTE(SUBSTITUTE(SUBSTITUTE(SUBSTITUTE(SUBSTITUTE(SUBSTITUTE(SUBSTITUTE(SUBSTITUTE(SUBSTITUTE(SUBSTITUTE(SUBSTITUTE(SUBSTITUTE(SUBSTITUTE(SUBSTITUTE(SUBSTITUTE(SUBSTITUTE($AA52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bf 15 </v>
      </c>
      <c r="BP52" s="1368">
        <f>IF(52=52,IF($U52="","",SUMPRODUCT(--ISNUMBER(SEARCH(" "&amp;$CR$1960:$CR$1976&amp;" ",$BO52)))),"")</f>
        <v>0</v>
      </c>
      <c r="BQ52" s="1368" t="str">
        <f>IF(52=52,IF($U52="","",IF(BN52&gt;0,"X",IF(BP52&gt;0,"?",""))),"")</f>
        <v/>
      </c>
      <c r="BR52" s="1368">
        <f>IF(52=52,IF($U52="","",SUMPRODUCT(--ISNUMBER(SEARCH(" "&amp;$CR$1977:$CR$1990&amp;" ",$AA52)))),"")</f>
        <v>0</v>
      </c>
      <c r="BS52" s="1368">
        <f>IF(52=52,IF($U52="","",SUMPRODUCT(--ISNUMBER(SEARCH(" "&amp;$CR$1991:$CR$2005&amp;" ",$AA52)))),"")</f>
        <v>0</v>
      </c>
      <c r="BT52" s="1368" t="str">
        <f>IF(52=52,IF($U52="","",IF((BR52)-(0)&gt;0,"X",IF((BS52)-(0)&gt;0,"?",""))),"")</f>
        <v/>
      </c>
      <c r="BU52" s="1368">
        <f>IF(52=52,IF($U52="","",SUMPRODUCT(--ISNUMBER(SEARCH(" "&amp;$CR$2006:$CR$2023&amp;" ",$AA52)))),"")</f>
        <v>0</v>
      </c>
      <c r="BV52" s="1368">
        <f>IF(52=52,IF($U52="","",SUMPRODUCT(--ISNUMBER(SEARCH(" "&amp;$CR$2024:$CR$2038&amp;" ",$AA52)))),"")</f>
        <v>0</v>
      </c>
      <c r="BW52" s="1368" t="str">
        <f>IF(52=52,IF($U52="","",IF((BU52)-(0)&gt;0,"X",IF((BV52)-(0)&gt;0,"?",""))),"")</f>
        <v/>
      </c>
      <c r="BX52" s="1368">
        <f>IF(52=52,IF($U52="","",SUMPRODUCT(--ISNUMBER(SEARCH(" "&amp;$CR$2039:$CR$2057&amp;" ",$AA52)))),"")</f>
        <v>0</v>
      </c>
      <c r="BY52" s="1368">
        <f>IF(52=52,IF($U52="","",SUMPRODUCT(--ISNUMBER(SEARCH(" "&amp;$CR$2058:$CR$2072&amp;" ",$AA52)))),"")</f>
        <v>0</v>
      </c>
      <c r="BZ52" s="1368" t="str">
        <f>IF(52=52,IF($U52="","",IF((BX52)-(0)&gt;0,"X",IF((BY52)-(0)&gt;0,"?",""))),"")</f>
        <v/>
      </c>
      <c r="CA52" s="1368">
        <f>IF(52=52,IF($U52="","",SUMPRODUCT(--ISNUMBER(SEARCH(" "&amp;$CR$2073:$CR$2093&amp;" ",$AA52)))),"")</f>
        <v>0</v>
      </c>
      <c r="CB52" s="1368">
        <f>IF(52=52,IF($U52="","",SUMPRODUCT(--ISNUMBER(SEARCH(" "&amp;$CR$2094:$CR$2133&amp;" ",SUBSTITUTE(SUBSTITUTE($AA52," "&amp;$CR$1367&amp;" "," ")," "&amp;$CR$1366&amp;" "," "))))+--ISNUMBER(SEARCH("poiré",$V52))),"")</f>
        <v>0</v>
      </c>
      <c r="CC52" s="1368" t="str">
        <f>IF(52=52,IF($U52="","",IF(OR(CA52&gt;0,ISNUMBER(SEARCH(" vinaigre de vin ",$AA52)),ISNUMBER(SEARCH(" vinaigre au vin ",$AA52))),"X",IF(CB52&gt;0,"?",""))),"")</f>
        <v/>
      </c>
      <c r="CD52" s="1368">
        <f>IF(52=52,IF($U52="","",SUMPRODUCT(--ISNUMBER(SEARCH(" "&amp;$CR$2134:$CR$2146&amp;" ",$AA52)))),"")</f>
        <v>0</v>
      </c>
      <c r="CE52" s="1368">
        <f>IF(52=52,IF($U52="","",SUMPRODUCT(--ISNUMBER(SEARCH(" "&amp;$CR$2147:$CR$2152&amp;" ",$AA52)))),"")</f>
        <v>0</v>
      </c>
      <c r="CF52" s="1368" t="str">
        <f>IF(52=52,IF($U52="","",IF((CD52)-(0)&gt;0,"X",IF((CE52)-(0)&gt;0,"?",""))),"")</f>
        <v/>
      </c>
      <c r="CG52" s="1368">
        <f>IF(52=52,IF($U52="","",SUMPRODUCT(--ISNUMBER(SEARCH(" "&amp;$CR$2153:$CR$2252&amp;" ",$CJ52)))),"")</f>
        <v>0</v>
      </c>
      <c r="CH52" s="1368">
        <f>IF(52=52,IF($U52="","",SUMPRODUCT(--ISNUMBER(SEARCH(" "&amp;$CR$2253:$CR$2352&amp;" ",$CJ52)))),"")</f>
        <v>0</v>
      </c>
      <c r="CI52" s="1368">
        <f>IF(52=52,IF($U52="","",SUMPRODUCT(--ISNUMBER(SEARCH(" "&amp;$CR$2353:$CR$2395&amp;" ",$CJ52)))),"")</f>
        <v>0</v>
      </c>
      <c r="CJ52" s="1368" t="str">
        <f>IF(52=52,IF($U52="","",SUBSTITUTE(SUBSTITUTE(SUBSTITUTE(SUBSTITUTE(SUBSTITUTE(SUBSTITUTE(SUBSTITUTE(SUBSTITUTE(SUBSTITUTE(SUBSTITUTE(SUBSTITUTE(SUBSTITUTE(SUBSTITUTE(SUBSTITUTE(SUBSTITUTE(SUBSTITUTE($AA52," "&amp;$CR$2401&amp;" "," ")," "&amp;$CR$2400&amp;" "," ")," "&amp;$CR$2399&amp;" "," ")," "&amp;$CR$2406&amp;" "," ")," "&amp;$CR$2398&amp;" "," ")," "&amp;$CR$2410&amp;" "," ")," "&amp;$CR$2397&amp;" "," ")," "&amp;$CR$2402&amp;" "," ")," "&amp;$CR$2405&amp;" "," ")," "&amp;$CR$2396&amp;" "," ")," "&amp;$CR$2404&amp;" "," ")," "&amp;$CR$2411&amp;" "," ")," "&amp;$CR$2408&amp;" "," ")," "&amp;$CR$2403&amp;" "," ")," "&amp;$CR$2407&amp;" "," ")," "&amp;$CR$2409&amp;" "," ")),"")</f>
        <v xml:space="preserve"> pommes de terre bf 15 </v>
      </c>
      <c r="CK52" s="1368">
        <f>IF(52=52,IF($U52="","",SUMPRODUCT(--ISNUMBER(SEARCH(" "&amp;$CR$2412:$CR$2416&amp;" ",$CJ52)))),"")</f>
        <v>0</v>
      </c>
      <c r="CL52" s="1368" t="str">
        <f>IF(52=52,IF($U52="","",IF(SUM(CG52:CI52)&gt;0,"X",IF(CK52&gt;0,"?",""))),"")</f>
        <v/>
      </c>
      <c r="CM52" s="1377"/>
      <c r="CN52" s="1388" t="s">
        <v>8345</v>
      </c>
      <c r="CO52" s="1388" t="s">
        <v>8105</v>
      </c>
      <c r="CP52" s="1388" t="s">
        <v>8106</v>
      </c>
      <c r="CQ52" s="1388" t="s">
        <v>8346</v>
      </c>
      <c r="CR52" s="1388" t="s">
        <v>8346</v>
      </c>
      <c r="CS52" s="1388" t="s">
        <v>8108</v>
      </c>
      <c r="CT52" s="1388" t="s">
        <v>8109</v>
      </c>
      <c r="CU52" s="1388" t="s">
        <v>8110</v>
      </c>
      <c r="CV52" s="1389" t="s">
        <v>8111</v>
      </c>
      <c r="CX52" s="1379">
        <v>1</v>
      </c>
    </row>
    <row r="53" spans="1:102" ht="21" customHeight="1" x14ac:dyDescent="0.25">
      <c r="A53" s="1412">
        <v>47</v>
      </c>
      <c r="B53" s="1413" t="s">
        <v>8347</v>
      </c>
      <c r="C53" s="1414" t="str">
        <f t="shared" si="0"/>
        <v>Pommes de terre sautées en rondelles précuites surgelées</v>
      </c>
      <c r="D53" s="1415" t="str">
        <f>IF(53=53,IF($B53="","",IF(E53="X",""&amp;"Céréales contenant du gluten","")&amp;IF(F53="X",IF(COUNTIF($E53:$E53,"X")&gt;0,", ","")&amp;"Crustacés","")&amp;IF(G53="X",IF(COUNTIF($E53:$F53,"X")&gt;0,", ","")&amp;"Œufs","")&amp;IF(H53="X",IF(COUNTIF($E53:$G53,"X")&gt;0,", ","")&amp;"Poissons","")&amp;IF(I53="X",IF(COUNTIF($E53:$H53,"X")&gt;0,", ","")&amp;"Arachides","")&amp;IF(J53="X",IF(COUNTIF($E53:$I53,"X")&gt;0,", ","")&amp;"Soja","")&amp;IF(K53="X",IF(COUNTIF($E53:$J53,"X")&gt;0,", ","")&amp;"Lait","")&amp;IF(L53="X",IF(COUNTIF($E53:$K53,"X")&gt;0,", ","")&amp;"Fruits à coque","")&amp;IF(M53="X",IF(COUNTIF($E53:$L53,"X")&gt;0,", ","")&amp;"Céleri","")&amp;IF(N53="X",IF(COUNTIF($E53:$M53,"X")&gt;0,", ","")&amp;"Moutarde","")&amp;IF(O53="X",IF(COUNTIF($E53:$N53,"X")&gt;0,", ","")&amp;"Sésame","")&amp;IF(P53="X",IF(COUNTIF($E53:$O53,"X")&gt;0,", ","")&amp;"Sulfites","")&amp;IF(Q53="X",IF(COUNTIF($E53:$P53,"X")&gt;0,", ","")&amp;"Lupin","")&amp;IF(R53="X",IF(COUNTIF($E53:$Q53,"X")&gt;0,", ","")&amp;"Mollusques","")),"")</f>
        <v/>
      </c>
      <c r="E53" s="1416" t="str">
        <f>IF(53=53,IF($B53="","",AF53),"")</f>
        <v/>
      </c>
      <c r="F53" s="1416" t="str">
        <f>IF(53=53,IF($B53="","",AI53),"")</f>
        <v/>
      </c>
      <c r="G53" s="1416" t="str">
        <f>IF(53=53,IF($B53="","",AM53),"")</f>
        <v/>
      </c>
      <c r="H53" s="1416" t="str">
        <f>IF(53=53,IF($B53="","",IF(ISNUMBER(SEARCH(" colin ",$AA53)),"X",AZ53)),"")</f>
        <v/>
      </c>
      <c r="I53" s="1416" t="str">
        <f>IF(53=53,IF($B53="","",BB53),"")</f>
        <v/>
      </c>
      <c r="J53" s="1416" t="str">
        <f>IF(53=53,IF($B53="","",BF53),"")</f>
        <v/>
      </c>
      <c r="K53" s="1416" t="str">
        <f>IF(53=53,IF($B53="","",BM53),"")</f>
        <v/>
      </c>
      <c r="L53" s="1416" t="str">
        <f>IF(53=53,IF($B53="","",BQ53),"")</f>
        <v/>
      </c>
      <c r="M53" s="1416" t="str">
        <f>IF(53=53,IF($B53="","",BT53),"")</f>
        <v/>
      </c>
      <c r="N53" s="1416" t="str">
        <f>IF(53=53,IF($B53="","",BW53),"")</f>
        <v/>
      </c>
      <c r="O53" s="1416" t="str">
        <f>IF(53=53,IF($B53="","",BZ53),"")</f>
        <v/>
      </c>
      <c r="P53" s="1416" t="str">
        <f>IF(53=53,IF($B53="","",CC53),"")</f>
        <v/>
      </c>
      <c r="Q53" s="1416" t="str">
        <f>IF(53=53,IF($B53="","",CF53),"")</f>
        <v/>
      </c>
      <c r="R53" s="1416" t="str">
        <f>IF(53=53,IF($B53="","",CL53),"")</f>
        <v/>
      </c>
      <c r="S53" s="1417" t="str">
        <f>IF(53=53,IF($B53="","",IF(E53="?",""&amp;"Céréales contenant du gluten","")&amp;IF(F53="?",IF(COUNTIF($E53:$E53,"~?")&gt;0,", ","")&amp;"Crustacés","")&amp;IF(G53="?",IF(COUNTIF($E53:$F53,"~?")&gt;0,", ","")&amp;"Œufs","")&amp;IF(H53="?",IF(COUNTIF($E53:$G53,"~?")&gt;0,", ","")&amp;"Poissons","")&amp;IF(I53="?",IF(COUNTIF($E53:$H53,"~?")&gt;0,", ","")&amp;"Arachides","")&amp;IF(J53="?",IF(COUNTIF($E53:$I53,"~?")&gt;0,", ","")&amp;"Soja","")&amp;IF(K53="?",IF(COUNTIF($E53:$J53,"~?")&gt;0,", ","")&amp;"Lait","")&amp;IF(L53="?",IF(COUNTIF($E53:$K53,"~?")&gt;0,", ","")&amp;"Fruits à coque","")&amp;IF(M53="?",IF(COUNTIF($E53:$L53,"~?")&gt;0,", ","")&amp;"Céleri","")&amp;IF(N53="?",IF(COUNTIF($E53:$M53,"~?")&gt;0,", ","")&amp;"Moutarde","")&amp;IF(O53="?",IF(COUNTIF($E53:$N53,"~?")&gt;0,", ","")&amp;"Sésame","")&amp;IF(P53="?",IF(COUNTIF($E53:$O53,"~?")&gt;0,", ","")&amp;"Sulfites","")&amp;IF(Q53="?",IF(COUNTIF($E53:$P53,"~?")&gt;0,", ","")&amp;"Lupin","")&amp;IF(R53="?",IF(COUNTIF($E53:$Q53,"~?")&gt;0,", ","")&amp;"Mollusques","")),"")</f>
        <v/>
      </c>
      <c r="U53" s="1368" t="str">
        <f>IF(53=53,IF($B53="","",$B53),"")</f>
        <v>Pommes de terre sautées en rondelles précuites surgelées</v>
      </c>
      <c r="V53" s="1368" t="str">
        <f>IF(53=53,LOWER(CLEAN(SUBSTITUTE(SUBSTITUTE(SUBSTITUTE(SUBSTITUTE($U53,CHAR(160)," ")," "," "),CHAR(10)," "),CHAR(13)," "))),"")</f>
        <v>pommes de terre sautées en rondelles précuites surgelées</v>
      </c>
      <c r="W53" s="1368" t="str">
        <f>IF(53=53,SUBSTITUTE(SUBSTITUTE(SUBSTITUTE(SUBSTITUTE(SUBSTITUTE(SUBSTITUTE(SUBSTITUTE(SUBSTITUTE(SUBSTITUTE(SUBSTITUTE(SUBSTITUTE(SUBSTITUTE($V53,"œ","oe"),"æ","ae"),"à","a"),"á","a"),"â","a"),"ä","a"),"ã","a"),"ç","c"),"è","e"),"é","e"),"ê","e"),"ë","e"),"")</f>
        <v>pommes de terre sautees en rondelles precuites surgelees</v>
      </c>
      <c r="X53" s="1368" t="str">
        <f>IF(53=53,SUBSTITUTE(SUBSTITUTE(SUBSTITUTE(SUBSTITUTE(SUBSTITUTE(SUBSTITUTE(SUBSTITUTE(SUBSTITUTE(SUBSTITUTE(SUBSTITUTE(SUBSTITUTE(SUBSTITUTE(SUBSTITUTE(SUBSTITUTE(SUBSTITUTE(SUBSTITUTE($W53,"ì","i"),"í","i"),"î","i"),"ï","i"),"ñ","n"),"ò","o"),"ó","o"),"ô","o"),"ö","o"),"õ","o"),"ù","u"),"ú","u"),"û","u"),"ü","u"),"ý","y"),"ÿ","y"),"")</f>
        <v>pommes de terre sautees en rondelles precuites surgelees</v>
      </c>
      <c r="Y53" s="1368" t="str">
        <f>IF(53=53,SUBSTITUTE(SUBSTITUTE(SUBSTITUTE(SUBSTITUTE(SUBSTITUTE(SUBSTITUTE(SUBSTITUTE(SUBSTITUTE(SUBSTITUTE(SUBSTITUTE(SUBSTITUTE(SUBSTITUTE(SUBSTITUTE(SUBSTITUTE($X53,"’"," "),"`"," "),"–"," "),"—"," "),"-"," "),"'"," "),"/"," "),"_"," "),","," "),"."," "),"("," "),")"," "),";"," "),":"," "),"")</f>
        <v>pommes de terre sautees en rondelles precuites surgelees</v>
      </c>
      <c r="Z53" s="1368" t="str">
        <f>IF(53=53,SUBSTITUTE(SUBSTITUTE(SUBSTITUTE(SUBSTITUTE(SUBSTITUTE(SUBSTITUTE(SUBSTITUTE(SUBSTITUTE(SUBSTITUTE(SUBSTITUTE(SUBSTITUTE(SUBSTITUTE(SUBSTITUTE(SUBSTITUTE(SUBSTITUTE($Y53,"!"," "),"?"," "),"+"," "),"*"," "),"&amp;"," "),"["," "),"]"," "),"{"," "),"}"," "),"%"," "),"="," "),"\"," "),"|"," "),"&lt;"," "),"&gt;"," "),"")</f>
        <v>pommes de terre sautees en rondelles precuites surgelees</v>
      </c>
      <c r="AA53" s="1368" t="str">
        <f>IF(53=53," "&amp;TRIM(SUBSTITUTE(SUBSTITUTE(SUBSTITUTE(SUBSTITUTE(SUBSTITUTE(SUBSTITUTE($Z53,CHAR(34)," "),"  "," "),"  "," "),"  "," "),"  "," "),"  "," "))&amp;" ","")</f>
        <v xml:space="preserve"> pommes de terre sautees en rondelles precuites surgelees </v>
      </c>
      <c r="AB53" s="1368">
        <f>IF(53=53,IF($U53="","",SUMPRODUCT(--ISNUMBER(SEARCH(" "&amp;$CR$2:$CR$101&amp;" ",$AD53)))),"")</f>
        <v>0</v>
      </c>
      <c r="AC53" s="1368">
        <f>IF(53=53,IF($U53="","",SUMPRODUCT(--ISNUMBER(SEARCH(" "&amp;$CR$102:$CR$151&amp;" ",$AD53)))),"")</f>
        <v>0</v>
      </c>
      <c r="AD53" s="1368" t="str">
        <f t="shared" si="1"/>
        <v xml:space="preserve"> pommes de terre sautees en rondelles precuites surgelees </v>
      </c>
      <c r="AE53" s="1368">
        <f t="shared" si="2"/>
        <v>0</v>
      </c>
      <c r="AF53" s="1368" t="str">
        <f>IF(53=53,IF($U53="","",IF(SUM(AB53:AC53)+SUMPRODUCT(--ISNUMBER(SEARCH(" "&amp;$CR$2418:$CR$2420&amp;" ",$AD53)))&gt;0,"X",IF(AE53&gt;0,"?",""))),"")</f>
        <v/>
      </c>
      <c r="AG53" s="1368">
        <f>IF(53=53,IF($U53="","",SUMPRODUCT(--ISNUMBER(SEARCH(" "&amp;$CR$206:$CR$305&amp;" ",$AA53)))),"")</f>
        <v>0</v>
      </c>
      <c r="AH53" s="1368">
        <f>IF(53=53,IF($U53="","",SUMPRODUCT(--ISNUMBER(SEARCH(" "&amp;$CR$306:$CR$340&amp;" ",$AA53)))),"")</f>
        <v>0</v>
      </c>
      <c r="AI53" s="1368" t="str">
        <f>IF(53=53,IF($U53="","",IF((SUM(AG53:AH53))-(0)&gt;0,"X",IF((0)-(0)&gt;0,"?",""))),"")</f>
        <v/>
      </c>
      <c r="AJ53" s="1368">
        <f>IF(53=53,IF($U53="","",SUMPRODUCT(--ISNUMBER(SEARCH(" "&amp;$CR$341:$CR$398&amp;" ",$AA53)))),"")</f>
        <v>0</v>
      </c>
      <c r="AK53" s="1368">
        <f>IF(53=53,IF($U53="","",SUMPRODUCT(--ISNUMBER(SEARCH(" "&amp;$CR$399:$CR$426&amp;" ",$AL53)))+SUMPRODUCT(--ISNUMBER(SEARCH(" "&amp;$CR$2440:$CR$2453&amp;" ",$AL53)))),"")</f>
        <v>0</v>
      </c>
      <c r="AL53" s="1368" t="str">
        <f>IF(53=53,IF($U53="","",SUBSTITUTE(SUBSTITUTE(SUBSTITUTE(SUBSTITUTE(SUBSTITUTE(SUBSTITUTE(SUBSTITUTE(SUBSTITUTE(SUBSTITUTE(SUBSTITUTE(SUBSTITUTE(SUBSTITUTE(SUBSTITUTE(SUBSTITUTE($AA53," "&amp;$CR$2455&amp;" "," ")," "&amp;$CR$433&amp;" "," ")," "&amp;$CR$431&amp;" "," ")," "&amp;$CR$2438&amp;" "," ")," "&amp;$CR$2439&amp;" "," ")," "&amp;$CR$428&amp;" "," ")," "&amp;$CR$432&amp;" "," ")," "&amp;$CR$434&amp;" "," ")," "&amp;$CR$429&amp;" "," ")," "&amp;$CR$427&amp;" "," ")," "&amp;$CR$1367&amp;" "," ")," "&amp;$CR$435&amp;" "," ")," "&amp;$CR$1366&amp;" "," ")," "&amp;$CR$430&amp;" "," ")),"")</f>
        <v xml:space="preserve"> pommes de terre sautees en rondelles precuites surgelees </v>
      </c>
      <c r="AM53" s="1368" t="str">
        <f>IF(53=53,IF($U53="","",IF(AJ53&gt;0,"X",IF(AK53&gt;0,"?",""))),"")</f>
        <v/>
      </c>
      <c r="AN53" s="1368">
        <f>IF(53=53,IF($U53="","",SUMPRODUCT(--ISNUMBER(SEARCH(" "&amp;$CR$436:$CR$535&amp;" ",$AX53)))),"")</f>
        <v>0</v>
      </c>
      <c r="AO53" s="1368">
        <f>IF(53=53,IF($U53="","",SUMPRODUCT(--ISNUMBER(SEARCH(" "&amp;$CR$536:$CR$635&amp;" ",$AX53)))),"")</f>
        <v>0</v>
      </c>
      <c r="AP53" s="1368">
        <f>IF(53=53,IF($U53="","",SUMPRODUCT(--ISNUMBER(SEARCH(" "&amp;$CR$636:$CR$735&amp;" ",$AX53)))),"")</f>
        <v>0</v>
      </c>
      <c r="AQ53" s="1368">
        <f>IF(53=53,IF($U53="","",SUMPRODUCT(--ISNUMBER(SEARCH(" "&amp;$CR$736:$CR$835&amp;" ",$AX53)))),"")</f>
        <v>0</v>
      </c>
      <c r="AR53" s="1368">
        <f>IF(53=53,IF($U53="","",SUMPRODUCT(--ISNUMBER(SEARCH(" "&amp;$CR$836:$CR$935&amp;" ",$AX53)))),"")</f>
        <v>0</v>
      </c>
      <c r="AS53" s="1368">
        <f>IF(53=53,IF($U53="","",SUMPRODUCT(--ISNUMBER(SEARCH(" "&amp;$CR$936:$CR$1035&amp;" ",$AX53)))),"")</f>
        <v>0</v>
      </c>
      <c r="AT53" s="1368">
        <f>IF(53=53,IF($U53="","",SUMPRODUCT(--ISNUMBER(SEARCH(" "&amp;$CR$1036:$CR$1135&amp;" ",$AX53)))),"")</f>
        <v>0</v>
      </c>
      <c r="AU53" s="1368">
        <f>IF(53=53,IF($U53="","",SUMPRODUCT(--ISNUMBER(SEARCH(" "&amp;$CR$1136:$CR$1235&amp;" ",$AX53)))),"")</f>
        <v>0</v>
      </c>
      <c r="AV53" s="1368">
        <f>IF(53=53,IF($U53="","",SUMPRODUCT(--ISNUMBER(SEARCH(" "&amp;$CR$1236:$CR$1335&amp;" ",$AX53)))),"")</f>
        <v>0</v>
      </c>
      <c r="AW53" s="1368">
        <f>IF(53=53,IF($U53="","",SUMPRODUCT(--ISNUMBER(SEARCH(" "&amp;$CR$1336:$CR$1363&amp;" ",$AX53)))),"")</f>
        <v>0</v>
      </c>
      <c r="AX53" s="1368" t="str">
        <f>IF(53=53,IF($U53="","",SUBSTITUTE(SUBSTITUTE(SUBSTITUTE(SUBSTITUTE(SUBSTITUTE(SUBSTITUTE(SUBSTITUTE(SUBSTITUTE(SUBSTITUTE($AA53," "&amp;$CR$1365&amp;" "," ")," "&amp;$CR$1364&amp;" "," ")," "&amp;$CR$1370&amp;" "," ")," "&amp;$CR$1371&amp;" "," ")," "&amp;$CR$1367&amp;" "," ")," "&amp;$CR$1369&amp;" "," ")," "&amp;$CR$1366&amp;" "," ")," "&amp;$CR$1368&amp;" "," ")," "&amp;$CR$1372&amp;" "," ")),"")</f>
        <v xml:space="preserve"> pommes de terre sautees en rondelles precuites surgelees </v>
      </c>
      <c r="AY53" s="1368">
        <f>IF(53=53,IF($U53="","",SUMPRODUCT(--ISNUMBER(SEARCH(" "&amp;$CR$1373:$CR$1383&amp;" ",$AX53)))),"")</f>
        <v>0</v>
      </c>
      <c r="AZ53" s="1368" t="str">
        <f>IF(53=53,IF($U53="","",IF(SUM(AN53:AW53)+SUMPRODUCT(--ISNUMBER(SEARCH(" "&amp;$CR$2421:$CR$2422&amp;" ",$AX53)))&gt;0,"X",IF(AY53&gt;0,"?",""))),"")</f>
        <v/>
      </c>
      <c r="BA53" s="1368">
        <f>IF(53=53,IF($U53="","",SUMPRODUCT(--ISNUMBER(SEARCH(" "&amp;$CR$1384:$CR$1404&amp;" ",$AA53)))),"")</f>
        <v>0</v>
      </c>
      <c r="BB53" s="1368" t="str">
        <f>IF(53=53,IF($U53="","",IF((BA53)-(0)&gt;0,"X",IF((0)-(0)&gt;0,"?",""))),"")</f>
        <v/>
      </c>
      <c r="BC53" s="1368">
        <f>IF(53=53,IF($U53="","",SUMPRODUCT(--ISNUMBER(SEARCH(" "&amp;$CR$1405:$CR$1442&amp;" ",$BD53)))),"")</f>
        <v>0</v>
      </c>
      <c r="BD53" s="1368" t="str">
        <f>IF(53=53,IF($U53="","",SUBSTITUTE(SUBSTITUTE($AA53," "&amp;$CR$1443&amp;" "," ")," "&amp;$CR$1444&amp;" "," ")),"")</f>
        <v xml:space="preserve"> pommes de terre sautees en rondelles precuites surgelees </v>
      </c>
      <c r="BE53" s="1368">
        <f>IF(53=53,IF($U53="","",SUMPRODUCT(--ISNUMBER(SEARCH(" "&amp;$CR$1445:$CR$1455&amp;" ",$BD53)))),"")</f>
        <v>0</v>
      </c>
      <c r="BF53" s="1368" t="str">
        <f>IF(53=53,IF($U53="","",IF(BC53&gt;0,"X",IF(BE53&gt;0,"?",""))),"")</f>
        <v/>
      </c>
      <c r="BG53" s="1368">
        <f>IF(53=53,IF($U53="","",SUMPRODUCT(--ISNUMBER(SEARCH(" "&amp;$CR$1456:$CR$1555&amp;" ",$BJ53)))),"")</f>
        <v>0</v>
      </c>
      <c r="BH53" s="1368">
        <f>IF(53=53,IF($U53="","",SUMPRODUCT(--ISNUMBER(SEARCH(" "&amp;$CR$1556:$CR$1655&amp;" ",$BJ53)))),"")</f>
        <v>0</v>
      </c>
      <c r="BI53" s="1368">
        <f>IF(53=53,IF($U53="","",SUMPRODUCT(--ISNUMBER(SEARCH(" "&amp;$CR$1656:$CR$1739&amp;" ",$BJ53)))),"")</f>
        <v>0</v>
      </c>
      <c r="BJ53" s="1368" t="str">
        <f>IF(53=53,IF($U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sautees en rondelles precuites surgelees </v>
      </c>
      <c r="BK53" s="1368">
        <f>IF(53=53,IF($U53="","",SUMPRODUCT(--ISNUMBER(SEARCH(" "&amp;$CR$1790:$CR$1869&amp;" ",$BL53)))+SUMPRODUCT(--ISNUMBER(SEARCH(" "&amp;$CR$2440:$CR$2453&amp;" ",$BL53)))),"")</f>
        <v>0</v>
      </c>
      <c r="BL53" s="1368" t="str">
        <f>IF(53=53,IF($U53="","",SUBSTITUTE(SUBSTITUTE(SUBSTITUTE(SUBSTITUTE(SUBSTITUTE(SUBSTITUTE(SUBSTITUTE(SUBSTITUTE(SUBSTITUTE(SUBSTITUTE(SUBSTITUTE(SUBSTITUTE(SUBSTITUTE($BJ53," "&amp;$CR$1876&amp;" "," ")," "&amp;$CR$1874&amp;" "," ")," "&amp;$CR$2438&amp;" "," ")," "&amp;$CR$2439&amp;" "," ")," "&amp;$CR$1871&amp;" "," ")," "&amp;$CR$1875&amp;" "," ")," "&amp;$CR$1877&amp;" "," ")," "&amp;$CR$1872&amp;" "," ")," "&amp;$CR$1870&amp;" "," ")," "&amp;$CR$1367&amp;" "," ")," "&amp;$CR$1878&amp;" "," ")," "&amp;$CR$1366&amp;" "," ")," "&amp;$CR$1873&amp;" "," ")),"")</f>
        <v xml:space="preserve"> pommes de terre sautees en rondelles precuites surgelees </v>
      </c>
      <c r="BM53" s="1368" t="str">
        <f>IF(53=53,IF($U53="","",IF(SUM(BG53:BI53)+SUMPRODUCT(--ISNUMBER(SEARCH(" "&amp;$CR$2423:$CR$2424&amp;" ",$BJ53)))&gt;0,"X",IF(BK53&gt;0,"?",""))),"")</f>
        <v/>
      </c>
      <c r="BN53" s="1368">
        <f>IF(53=53,IF($U53="","",SUMPRODUCT(--ISNUMBER(SEARCH(" "&amp;$CR$1879:$CR$1936&amp;" ",$BO53)))),"")</f>
        <v>0</v>
      </c>
      <c r="BO53" s="1368" t="str">
        <f>IF(53=53,IF($U53="","",SUBSTITUTE(SUBSTITUTE(SUBSTITUTE(SUBSTITUTE(SUBSTITUTE(SUBSTITUTE(SUBSTITUTE(SUBSTITUTE(SUBSTITUTE(SUBSTITUTE(SUBSTITUTE(SUBSTITUTE(SUBSTITUTE(SUBSTITUTE(SUBSTITUTE(SUBSTITUTE(SUBSTITUTE(SUBSTITUTE(SUBSTITUTE(SUBSTITUTE(SUBSTITUTE(SUBSTITUTE(SUBSTITUTE($AA53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sautees en rondelles precuites surgelees </v>
      </c>
      <c r="BP53" s="1368">
        <f>IF(53=53,IF($U53="","",SUMPRODUCT(--ISNUMBER(SEARCH(" "&amp;$CR$1960:$CR$1976&amp;" ",$BO53)))),"")</f>
        <v>0</v>
      </c>
      <c r="BQ53" s="1368" t="str">
        <f>IF(53=53,IF($U53="","",IF(BN53&gt;0,"X",IF(BP53&gt;0,"?",""))),"")</f>
        <v/>
      </c>
      <c r="BR53" s="1368">
        <f>IF(53=53,IF($U53="","",SUMPRODUCT(--ISNUMBER(SEARCH(" "&amp;$CR$1977:$CR$1990&amp;" ",$AA53)))),"")</f>
        <v>0</v>
      </c>
      <c r="BS53" s="1368">
        <f>IF(53=53,IF($U53="","",SUMPRODUCT(--ISNUMBER(SEARCH(" "&amp;$CR$1991:$CR$2005&amp;" ",$AA53)))),"")</f>
        <v>0</v>
      </c>
      <c r="BT53" s="1368" t="str">
        <f>IF(53=53,IF($U53="","",IF((BR53)-(0)&gt;0,"X",IF((BS53)-(0)&gt;0,"?",""))),"")</f>
        <v/>
      </c>
      <c r="BU53" s="1368">
        <f>IF(53=53,IF($U53="","",SUMPRODUCT(--ISNUMBER(SEARCH(" "&amp;$CR$2006:$CR$2023&amp;" ",$AA53)))),"")</f>
        <v>0</v>
      </c>
      <c r="BV53" s="1368">
        <f>IF(53=53,IF($U53="","",SUMPRODUCT(--ISNUMBER(SEARCH(" "&amp;$CR$2024:$CR$2038&amp;" ",$AA53)))),"")</f>
        <v>0</v>
      </c>
      <c r="BW53" s="1368" t="str">
        <f>IF(53=53,IF($U53="","",IF((BU53)-(0)&gt;0,"X",IF((BV53)-(0)&gt;0,"?",""))),"")</f>
        <v/>
      </c>
      <c r="BX53" s="1368">
        <f>IF(53=53,IF($U53="","",SUMPRODUCT(--ISNUMBER(SEARCH(" "&amp;$CR$2039:$CR$2057&amp;" ",$AA53)))),"")</f>
        <v>0</v>
      </c>
      <c r="BY53" s="1368">
        <f>IF(53=53,IF($U53="","",SUMPRODUCT(--ISNUMBER(SEARCH(" "&amp;$CR$2058:$CR$2072&amp;" ",$AA53)))),"")</f>
        <v>0</v>
      </c>
      <c r="BZ53" s="1368" t="str">
        <f>IF(53=53,IF($U53="","",IF((BX53)-(0)&gt;0,"X",IF((BY53)-(0)&gt;0,"?",""))),"")</f>
        <v/>
      </c>
      <c r="CA53" s="1368">
        <f>IF(53=53,IF($U53="","",SUMPRODUCT(--ISNUMBER(SEARCH(" "&amp;$CR$2073:$CR$2093&amp;" ",$AA53)))),"")</f>
        <v>0</v>
      </c>
      <c r="CB53" s="1368">
        <f>IF(53=53,IF($U53="","",SUMPRODUCT(--ISNUMBER(SEARCH(" "&amp;$CR$2094:$CR$2133&amp;" ",SUBSTITUTE(SUBSTITUTE($AA53," "&amp;$CR$1367&amp;" "," ")," "&amp;$CR$1366&amp;" "," "))))+--ISNUMBER(SEARCH("poiré",$V53))),"")</f>
        <v>0</v>
      </c>
      <c r="CC53" s="1368" t="str">
        <f>IF(53=53,IF($U53="","",IF(OR(CA53&gt;0,ISNUMBER(SEARCH(" vinaigre de vin ",$AA53)),ISNUMBER(SEARCH(" vinaigre au vin ",$AA53))),"X",IF(CB53&gt;0,"?",""))),"")</f>
        <v/>
      </c>
      <c r="CD53" s="1368">
        <f>IF(53=53,IF($U53="","",SUMPRODUCT(--ISNUMBER(SEARCH(" "&amp;$CR$2134:$CR$2146&amp;" ",$AA53)))),"")</f>
        <v>0</v>
      </c>
      <c r="CE53" s="1368">
        <f>IF(53=53,IF($U53="","",SUMPRODUCT(--ISNUMBER(SEARCH(" "&amp;$CR$2147:$CR$2152&amp;" ",$AA53)))),"")</f>
        <v>0</v>
      </c>
      <c r="CF53" s="1368" t="str">
        <f>IF(53=53,IF($U53="","",IF((CD53)-(0)&gt;0,"X",IF((CE53)-(0)&gt;0,"?",""))),"")</f>
        <v/>
      </c>
      <c r="CG53" s="1368">
        <f>IF(53=53,IF($U53="","",SUMPRODUCT(--ISNUMBER(SEARCH(" "&amp;$CR$2153:$CR$2252&amp;" ",$CJ53)))),"")</f>
        <v>0</v>
      </c>
      <c r="CH53" s="1368">
        <f>IF(53=53,IF($U53="","",SUMPRODUCT(--ISNUMBER(SEARCH(" "&amp;$CR$2253:$CR$2352&amp;" ",$CJ53)))),"")</f>
        <v>0</v>
      </c>
      <c r="CI53" s="1368">
        <f>IF(53=53,IF($U53="","",SUMPRODUCT(--ISNUMBER(SEARCH(" "&amp;$CR$2353:$CR$2395&amp;" ",$CJ53)))),"")</f>
        <v>0</v>
      </c>
      <c r="CJ53" s="1368" t="str">
        <f>IF(53=53,IF($U53="","",SUBSTITUTE(SUBSTITUTE(SUBSTITUTE(SUBSTITUTE(SUBSTITUTE(SUBSTITUTE(SUBSTITUTE(SUBSTITUTE(SUBSTITUTE(SUBSTITUTE(SUBSTITUTE(SUBSTITUTE(SUBSTITUTE(SUBSTITUTE(SUBSTITUTE(SUBSTITUTE($AA53," "&amp;$CR$2401&amp;" "," ")," "&amp;$CR$2400&amp;" "," ")," "&amp;$CR$2399&amp;" "," ")," "&amp;$CR$2406&amp;" "," ")," "&amp;$CR$2398&amp;" "," ")," "&amp;$CR$2410&amp;" "," ")," "&amp;$CR$2397&amp;" "," ")," "&amp;$CR$2402&amp;" "," ")," "&amp;$CR$2405&amp;" "," ")," "&amp;$CR$2396&amp;" "," ")," "&amp;$CR$2404&amp;" "," ")," "&amp;$CR$2411&amp;" "," ")," "&amp;$CR$2408&amp;" "," ")," "&amp;$CR$2403&amp;" "," ")," "&amp;$CR$2407&amp;" "," ")," "&amp;$CR$2409&amp;" "," ")),"")</f>
        <v xml:space="preserve"> pommes de terre sautees en rondelles precuites surgelees </v>
      </c>
      <c r="CK53" s="1368">
        <f>IF(53=53,IF($U53="","",SUMPRODUCT(--ISNUMBER(SEARCH(" "&amp;$CR$2412:$CR$2416&amp;" ",$CJ53)))),"")</f>
        <v>0</v>
      </c>
      <c r="CL53" s="1368" t="str">
        <f>IF(53=53,IF($U53="","",IF(SUM(CG53:CI53)&gt;0,"X",IF(CK53&gt;0,"?",""))),"")</f>
        <v/>
      </c>
      <c r="CM53" s="1377"/>
      <c r="CN53" s="1388" t="s">
        <v>8348</v>
      </c>
      <c r="CO53" s="1388" t="s">
        <v>8105</v>
      </c>
      <c r="CP53" s="1388" t="s">
        <v>8106</v>
      </c>
      <c r="CQ53" s="1388" t="s">
        <v>8349</v>
      </c>
      <c r="CR53" s="1388" t="s">
        <v>8349</v>
      </c>
      <c r="CS53" s="1388" t="s">
        <v>8108</v>
      </c>
      <c r="CT53" s="1388" t="s">
        <v>8109</v>
      </c>
      <c r="CU53" s="1388" t="s">
        <v>8110</v>
      </c>
      <c r="CV53" s="1389" t="s">
        <v>8111</v>
      </c>
      <c r="CX53" s="1379">
        <v>1</v>
      </c>
    </row>
    <row r="54" spans="1:102" ht="21" customHeight="1" x14ac:dyDescent="0.25">
      <c r="A54" s="1412">
        <v>48</v>
      </c>
      <c r="B54" s="1413" t="s">
        <v>8350</v>
      </c>
      <c r="C54" s="1414" t="str">
        <f t="shared" si="0"/>
        <v>Purée de pomme de terre ?</v>
      </c>
      <c r="D54" s="1415" t="str">
        <f>IF(54=54,IF($B54="","",IF(E54="X",""&amp;"Céréales contenant du gluten","")&amp;IF(F54="X",IF(COUNTIF($E54:$E54,"X")&gt;0,", ","")&amp;"Crustacés","")&amp;IF(G54="X",IF(COUNTIF($E54:$F54,"X")&gt;0,", ","")&amp;"Œufs","")&amp;IF(H54="X",IF(COUNTIF($E54:$G54,"X")&gt;0,", ","")&amp;"Poissons","")&amp;IF(I54="X",IF(COUNTIF($E54:$H54,"X")&gt;0,", ","")&amp;"Arachides","")&amp;IF(J54="X",IF(COUNTIF($E54:$I54,"X")&gt;0,", ","")&amp;"Soja","")&amp;IF(K54="X",IF(COUNTIF($E54:$J54,"X")&gt;0,", ","")&amp;"Lait","")&amp;IF(L54="X",IF(COUNTIF($E54:$K54,"X")&gt;0,", ","")&amp;"Fruits à coque","")&amp;IF(M54="X",IF(COUNTIF($E54:$L54,"X")&gt;0,", ","")&amp;"Céleri","")&amp;IF(N54="X",IF(COUNTIF($E54:$M54,"X")&gt;0,", ","")&amp;"Moutarde","")&amp;IF(O54="X",IF(COUNTIF($E54:$N54,"X")&gt;0,", ","")&amp;"Sésame","")&amp;IF(P54="X",IF(COUNTIF($E54:$O54,"X")&gt;0,", ","")&amp;"Sulfites","")&amp;IF(Q54="X",IF(COUNTIF($E54:$P54,"X")&gt;0,", ","")&amp;"Lupin","")&amp;IF(R54="X",IF(COUNTIF($E54:$Q54,"X")&gt;0,", ","")&amp;"Mollusques","")),"")</f>
        <v/>
      </c>
      <c r="E54" s="1416" t="str">
        <f>IF(54=54,IF($B54="","",AF54),"")</f>
        <v/>
      </c>
      <c r="F54" s="1416" t="str">
        <f>IF(54=54,IF($B54="","",AI54),"")</f>
        <v/>
      </c>
      <c r="G54" s="1416" t="str">
        <f>IF(54=54,IF($B54="","",AM54),"")</f>
        <v/>
      </c>
      <c r="H54" s="1416" t="str">
        <f>IF(54=54,IF($B54="","",IF(ISNUMBER(SEARCH(" colin ",$AA54)),"X",AZ54)),"")</f>
        <v/>
      </c>
      <c r="I54" s="1416" t="str">
        <f>IF(54=54,IF($B54="","",BB54),"")</f>
        <v/>
      </c>
      <c r="J54" s="1416" t="str">
        <f>IF(54=54,IF($B54="","",BF54),"")</f>
        <v/>
      </c>
      <c r="K54" s="1416" t="str">
        <f>IF(54=54,IF($B54="","",BM54),"")</f>
        <v>?</v>
      </c>
      <c r="L54" s="1416" t="str">
        <f>IF(54=54,IF($B54="","",BQ54),"")</f>
        <v/>
      </c>
      <c r="M54" s="1416" t="str">
        <f>IF(54=54,IF($B54="","",BT54),"")</f>
        <v/>
      </c>
      <c r="N54" s="1416" t="str">
        <f>IF(54=54,IF($B54="","",BW54),"")</f>
        <v/>
      </c>
      <c r="O54" s="1416" t="str">
        <f>IF(54=54,IF($B54="","",BZ54),"")</f>
        <v/>
      </c>
      <c r="P54" s="1416" t="str">
        <f>IF(54=54,IF($B54="","",CC54),"")</f>
        <v/>
      </c>
      <c r="Q54" s="1416" t="str">
        <f>IF(54=54,IF($B54="","",CF54),"")</f>
        <v/>
      </c>
      <c r="R54" s="1416" t="str">
        <f>IF(54=54,IF($B54="","",CL54),"")</f>
        <v/>
      </c>
      <c r="S54" s="1417" t="str">
        <f>IF(54=54,IF($B54="","",IF(E54="?",""&amp;"Céréales contenant du gluten","")&amp;IF(F54="?",IF(COUNTIF($E54:$E54,"~?")&gt;0,", ","")&amp;"Crustacés","")&amp;IF(G54="?",IF(COUNTIF($E54:$F54,"~?")&gt;0,", ","")&amp;"Œufs","")&amp;IF(H54="?",IF(COUNTIF($E54:$G54,"~?")&gt;0,", ","")&amp;"Poissons","")&amp;IF(I54="?",IF(COUNTIF($E54:$H54,"~?")&gt;0,", ","")&amp;"Arachides","")&amp;IF(J54="?",IF(COUNTIF($E54:$I54,"~?")&gt;0,", ","")&amp;"Soja","")&amp;IF(K54="?",IF(COUNTIF($E54:$J54,"~?")&gt;0,", ","")&amp;"Lait","")&amp;IF(L54="?",IF(COUNTIF($E54:$K54,"~?")&gt;0,", ","")&amp;"Fruits à coque","")&amp;IF(M54="?",IF(COUNTIF($E54:$L54,"~?")&gt;0,", ","")&amp;"Céleri","")&amp;IF(N54="?",IF(COUNTIF($E54:$M54,"~?")&gt;0,", ","")&amp;"Moutarde","")&amp;IF(O54="?",IF(COUNTIF($E54:$N54,"~?")&gt;0,", ","")&amp;"Sésame","")&amp;IF(P54="?",IF(COUNTIF($E54:$O54,"~?")&gt;0,", ","")&amp;"Sulfites","")&amp;IF(Q54="?",IF(COUNTIF($E54:$P54,"~?")&gt;0,", ","")&amp;"Lupin","")&amp;IF(R54="?",IF(COUNTIF($E54:$Q54,"~?")&gt;0,", ","")&amp;"Mollusques","")),"")</f>
        <v>Lait</v>
      </c>
      <c r="U54" s="1368" t="str">
        <f>IF(54=54,IF($B54="","",$B54),"")</f>
        <v>Purée de pomme de terre</v>
      </c>
      <c r="V54" s="1368" t="str">
        <f>IF(54=54,LOWER(CLEAN(SUBSTITUTE(SUBSTITUTE(SUBSTITUTE(SUBSTITUTE($U54,CHAR(160)," ")," "," "),CHAR(10)," "),CHAR(13)," "))),"")</f>
        <v>purée de pomme de terre</v>
      </c>
      <c r="W54" s="1368" t="str">
        <f>IF(54=54,SUBSTITUTE(SUBSTITUTE(SUBSTITUTE(SUBSTITUTE(SUBSTITUTE(SUBSTITUTE(SUBSTITUTE(SUBSTITUTE(SUBSTITUTE(SUBSTITUTE(SUBSTITUTE(SUBSTITUTE($V54,"œ","oe"),"æ","ae"),"à","a"),"á","a"),"â","a"),"ä","a"),"ã","a"),"ç","c"),"è","e"),"é","e"),"ê","e"),"ë","e"),"")</f>
        <v>puree de pomme de terre</v>
      </c>
      <c r="X54" s="1368" t="str">
        <f>IF(54=54,SUBSTITUTE(SUBSTITUTE(SUBSTITUTE(SUBSTITUTE(SUBSTITUTE(SUBSTITUTE(SUBSTITUTE(SUBSTITUTE(SUBSTITUTE(SUBSTITUTE(SUBSTITUTE(SUBSTITUTE(SUBSTITUTE(SUBSTITUTE(SUBSTITUTE(SUBSTITUTE($W54,"ì","i"),"í","i"),"î","i"),"ï","i"),"ñ","n"),"ò","o"),"ó","o"),"ô","o"),"ö","o"),"õ","o"),"ù","u"),"ú","u"),"û","u"),"ü","u"),"ý","y"),"ÿ","y"),"")</f>
        <v>puree de pomme de terre</v>
      </c>
      <c r="Y54" s="1368" t="str">
        <f>IF(54=54,SUBSTITUTE(SUBSTITUTE(SUBSTITUTE(SUBSTITUTE(SUBSTITUTE(SUBSTITUTE(SUBSTITUTE(SUBSTITUTE(SUBSTITUTE(SUBSTITUTE(SUBSTITUTE(SUBSTITUTE(SUBSTITUTE(SUBSTITUTE($X54,"’"," "),"`"," "),"–"," "),"—"," "),"-"," "),"'"," "),"/"," "),"_"," "),","," "),"."," "),"("," "),")"," "),";"," "),":"," "),"")</f>
        <v>puree de pomme de terre</v>
      </c>
      <c r="Z54" s="1368" t="str">
        <f>IF(54=54,SUBSTITUTE(SUBSTITUTE(SUBSTITUTE(SUBSTITUTE(SUBSTITUTE(SUBSTITUTE(SUBSTITUTE(SUBSTITUTE(SUBSTITUTE(SUBSTITUTE(SUBSTITUTE(SUBSTITUTE(SUBSTITUTE(SUBSTITUTE(SUBSTITUTE($Y54,"!"," "),"?"," "),"+"," "),"*"," "),"&amp;"," "),"["," "),"]"," "),"{"," "),"}"," "),"%"," "),"="," "),"\"," "),"|"," "),"&lt;"," "),"&gt;"," "),"")</f>
        <v>puree de pomme de terre</v>
      </c>
      <c r="AA54" s="1368" t="str">
        <f>IF(54=54," "&amp;TRIM(SUBSTITUTE(SUBSTITUTE(SUBSTITUTE(SUBSTITUTE(SUBSTITUTE(SUBSTITUTE($Z54,CHAR(34)," "),"  "," "),"  "," "),"  "," "),"  "," "),"  "," "))&amp;" ","")</f>
        <v xml:space="preserve"> puree de pomme de terre </v>
      </c>
      <c r="AB54" s="1368">
        <f>IF(54=54,IF($U54="","",SUMPRODUCT(--ISNUMBER(SEARCH(" "&amp;$CR$2:$CR$101&amp;" ",$AD54)))),"")</f>
        <v>0</v>
      </c>
      <c r="AC54" s="1368">
        <f>IF(54=54,IF($U54="","",SUMPRODUCT(--ISNUMBER(SEARCH(" "&amp;$CR$102:$CR$151&amp;" ",$AD54)))),"")</f>
        <v>0</v>
      </c>
      <c r="AD54" s="1368" t="str">
        <f t="shared" si="1"/>
        <v xml:space="preserve"> puree de pomme de terre </v>
      </c>
      <c r="AE54" s="1368">
        <f t="shared" si="2"/>
        <v>0</v>
      </c>
      <c r="AF54" s="1368" t="str">
        <f>IF(54=54,IF($U54="","",IF(SUM(AB54:AC54)+SUMPRODUCT(--ISNUMBER(SEARCH(" "&amp;$CR$2418:$CR$2420&amp;" ",$AD54)))&gt;0,"X",IF(AE54&gt;0,"?",""))),"")</f>
        <v/>
      </c>
      <c r="AG54" s="1368">
        <f>IF(54=54,IF($U54="","",SUMPRODUCT(--ISNUMBER(SEARCH(" "&amp;$CR$206:$CR$305&amp;" ",$AA54)))),"")</f>
        <v>0</v>
      </c>
      <c r="AH54" s="1368">
        <f>IF(54=54,IF($U54="","",SUMPRODUCT(--ISNUMBER(SEARCH(" "&amp;$CR$306:$CR$340&amp;" ",$AA54)))),"")</f>
        <v>0</v>
      </c>
      <c r="AI54" s="1368" t="str">
        <f>IF(54=54,IF($U54="","",IF((SUM(AG54:AH54))-(0)&gt;0,"X",IF((0)-(0)&gt;0,"?",""))),"")</f>
        <v/>
      </c>
      <c r="AJ54" s="1368">
        <f>IF(54=54,IF($U54="","",SUMPRODUCT(--ISNUMBER(SEARCH(" "&amp;$CR$341:$CR$398&amp;" ",$AA54)))),"")</f>
        <v>0</v>
      </c>
      <c r="AK54" s="1368">
        <f>IF(54=54,IF($U54="","",SUMPRODUCT(--ISNUMBER(SEARCH(" "&amp;$CR$399:$CR$426&amp;" ",$AL54)))+SUMPRODUCT(--ISNUMBER(SEARCH(" "&amp;$CR$2440:$CR$2453&amp;" ",$AL54)))),"")</f>
        <v>0</v>
      </c>
      <c r="AL54" s="1368" t="str">
        <f>IF(54=54,IF($U54="","",SUBSTITUTE(SUBSTITUTE(SUBSTITUTE(SUBSTITUTE(SUBSTITUTE(SUBSTITUTE(SUBSTITUTE(SUBSTITUTE(SUBSTITUTE(SUBSTITUTE(SUBSTITUTE(SUBSTITUTE(SUBSTITUTE(SUBSTITUTE($AA54," "&amp;$CR$2455&amp;" "," ")," "&amp;$CR$433&amp;" "," ")," "&amp;$CR$431&amp;" "," ")," "&amp;$CR$2438&amp;" "," ")," "&amp;$CR$2439&amp;" "," ")," "&amp;$CR$428&amp;" "," ")," "&amp;$CR$432&amp;" "," ")," "&amp;$CR$434&amp;" "," ")," "&amp;$CR$429&amp;" "," ")," "&amp;$CR$427&amp;" "," ")," "&amp;$CR$1367&amp;" "," ")," "&amp;$CR$435&amp;" "," ")," "&amp;$CR$1366&amp;" "," ")," "&amp;$CR$430&amp;" "," ")),"")</f>
        <v xml:space="preserve"> puree de pomme de terre </v>
      </c>
      <c r="AM54" s="1368" t="str">
        <f>IF(54=54,IF($U54="","",IF(AJ54&gt;0,"X",IF(AK54&gt;0,"?",""))),"")</f>
        <v/>
      </c>
      <c r="AN54" s="1368">
        <f>IF(54=54,IF($U54="","",SUMPRODUCT(--ISNUMBER(SEARCH(" "&amp;$CR$436:$CR$535&amp;" ",$AX54)))),"")</f>
        <v>0</v>
      </c>
      <c r="AO54" s="1368">
        <f>IF(54=54,IF($U54="","",SUMPRODUCT(--ISNUMBER(SEARCH(" "&amp;$CR$536:$CR$635&amp;" ",$AX54)))),"")</f>
        <v>0</v>
      </c>
      <c r="AP54" s="1368">
        <f>IF(54=54,IF($U54="","",SUMPRODUCT(--ISNUMBER(SEARCH(" "&amp;$CR$636:$CR$735&amp;" ",$AX54)))),"")</f>
        <v>0</v>
      </c>
      <c r="AQ54" s="1368">
        <f>IF(54=54,IF($U54="","",SUMPRODUCT(--ISNUMBER(SEARCH(" "&amp;$CR$736:$CR$835&amp;" ",$AX54)))),"")</f>
        <v>0</v>
      </c>
      <c r="AR54" s="1368">
        <f>IF(54=54,IF($U54="","",SUMPRODUCT(--ISNUMBER(SEARCH(" "&amp;$CR$836:$CR$935&amp;" ",$AX54)))),"")</f>
        <v>0</v>
      </c>
      <c r="AS54" s="1368">
        <f>IF(54=54,IF($U54="","",SUMPRODUCT(--ISNUMBER(SEARCH(" "&amp;$CR$936:$CR$1035&amp;" ",$AX54)))),"")</f>
        <v>0</v>
      </c>
      <c r="AT54" s="1368">
        <f>IF(54=54,IF($U54="","",SUMPRODUCT(--ISNUMBER(SEARCH(" "&amp;$CR$1036:$CR$1135&amp;" ",$AX54)))),"")</f>
        <v>0</v>
      </c>
      <c r="AU54" s="1368">
        <f>IF(54=54,IF($U54="","",SUMPRODUCT(--ISNUMBER(SEARCH(" "&amp;$CR$1136:$CR$1235&amp;" ",$AX54)))),"")</f>
        <v>0</v>
      </c>
      <c r="AV54" s="1368">
        <f>IF(54=54,IF($U54="","",SUMPRODUCT(--ISNUMBER(SEARCH(" "&amp;$CR$1236:$CR$1335&amp;" ",$AX54)))),"")</f>
        <v>0</v>
      </c>
      <c r="AW54" s="1368">
        <f>IF(54=54,IF($U54="","",SUMPRODUCT(--ISNUMBER(SEARCH(" "&amp;$CR$1336:$CR$1363&amp;" ",$AX54)))),"")</f>
        <v>0</v>
      </c>
      <c r="AX54" s="1368" t="str">
        <f>IF(54=54,IF($U54="","",SUBSTITUTE(SUBSTITUTE(SUBSTITUTE(SUBSTITUTE(SUBSTITUTE(SUBSTITUTE(SUBSTITUTE(SUBSTITUTE(SUBSTITUTE($AA54," "&amp;$CR$1365&amp;" "," ")," "&amp;$CR$1364&amp;" "," ")," "&amp;$CR$1370&amp;" "," ")," "&amp;$CR$1371&amp;" "," ")," "&amp;$CR$1367&amp;" "," ")," "&amp;$CR$1369&amp;" "," ")," "&amp;$CR$1366&amp;" "," ")," "&amp;$CR$1368&amp;" "," ")," "&amp;$CR$1372&amp;" "," ")),"")</f>
        <v xml:space="preserve"> puree de pomme de terre </v>
      </c>
      <c r="AY54" s="1368">
        <f>IF(54=54,IF($U54="","",SUMPRODUCT(--ISNUMBER(SEARCH(" "&amp;$CR$1373:$CR$1383&amp;" ",$AX54)))),"")</f>
        <v>0</v>
      </c>
      <c r="AZ54" s="1368" t="str">
        <f>IF(54=54,IF($U54="","",IF(SUM(AN54:AW54)+SUMPRODUCT(--ISNUMBER(SEARCH(" "&amp;$CR$2421:$CR$2422&amp;" ",$AX54)))&gt;0,"X",IF(AY54&gt;0,"?",""))),"")</f>
        <v/>
      </c>
      <c r="BA54" s="1368">
        <f>IF(54=54,IF($U54="","",SUMPRODUCT(--ISNUMBER(SEARCH(" "&amp;$CR$1384:$CR$1404&amp;" ",$AA54)))),"")</f>
        <v>0</v>
      </c>
      <c r="BB54" s="1368" t="str">
        <f>IF(54=54,IF($U54="","",IF((BA54)-(0)&gt;0,"X",IF((0)-(0)&gt;0,"?",""))),"")</f>
        <v/>
      </c>
      <c r="BC54" s="1368">
        <f>IF(54=54,IF($U54="","",SUMPRODUCT(--ISNUMBER(SEARCH(" "&amp;$CR$1405:$CR$1442&amp;" ",$BD54)))),"")</f>
        <v>0</v>
      </c>
      <c r="BD54" s="1368" t="str">
        <f>IF(54=54,IF($U54="","",SUBSTITUTE(SUBSTITUTE($AA54," "&amp;$CR$1443&amp;" "," ")," "&amp;$CR$1444&amp;" "," ")),"")</f>
        <v xml:space="preserve"> puree de pomme de terre </v>
      </c>
      <c r="BE54" s="1368">
        <f>IF(54=54,IF($U54="","",SUMPRODUCT(--ISNUMBER(SEARCH(" "&amp;$CR$1445:$CR$1455&amp;" ",$BD54)))),"")</f>
        <v>0</v>
      </c>
      <c r="BF54" s="1368" t="str">
        <f>IF(54=54,IF($U54="","",IF(BC54&gt;0,"X",IF(BE54&gt;0,"?",""))),"")</f>
        <v/>
      </c>
      <c r="BG54" s="1368">
        <f>IF(54=54,IF($U54="","",SUMPRODUCT(--ISNUMBER(SEARCH(" "&amp;$CR$1456:$CR$1555&amp;" ",$BJ54)))),"")</f>
        <v>0</v>
      </c>
      <c r="BH54" s="1368">
        <f>IF(54=54,IF($U54="","",SUMPRODUCT(--ISNUMBER(SEARCH(" "&amp;$CR$1556:$CR$1655&amp;" ",$BJ54)))),"")</f>
        <v>0</v>
      </c>
      <c r="BI54" s="1368">
        <f>IF(54=54,IF($U54="","",SUMPRODUCT(--ISNUMBER(SEARCH(" "&amp;$CR$1656:$CR$1739&amp;" ",$BJ54)))),"")</f>
        <v>0</v>
      </c>
      <c r="BJ54" s="1368" t="str">
        <f>IF(54=54,IF($U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puree de pomme de terre </v>
      </c>
      <c r="BK54" s="1368">
        <f>IF(54=54,IF($U54="","",SUMPRODUCT(--ISNUMBER(SEARCH(" "&amp;$CR$1790:$CR$1869&amp;" ",$BL54)))+SUMPRODUCT(--ISNUMBER(SEARCH(" "&amp;$CR$2440:$CR$2453&amp;" ",$BL54)))),"")</f>
        <v>1</v>
      </c>
      <c r="BL54" s="1368" t="str">
        <f>IF(54=54,IF($U54="","",SUBSTITUTE(SUBSTITUTE(SUBSTITUTE(SUBSTITUTE(SUBSTITUTE(SUBSTITUTE(SUBSTITUTE(SUBSTITUTE(SUBSTITUTE(SUBSTITUTE(SUBSTITUTE(SUBSTITUTE(SUBSTITUTE($BJ54," "&amp;$CR$1876&amp;" "," ")," "&amp;$CR$1874&amp;" "," ")," "&amp;$CR$2438&amp;" "," ")," "&amp;$CR$2439&amp;" "," ")," "&amp;$CR$1871&amp;" "," ")," "&amp;$CR$1875&amp;" "," ")," "&amp;$CR$1877&amp;" "," ")," "&amp;$CR$1872&amp;" "," ")," "&amp;$CR$1870&amp;" "," ")," "&amp;$CR$1367&amp;" "," ")," "&amp;$CR$1878&amp;" "," ")," "&amp;$CR$1366&amp;" "," ")," "&amp;$CR$1873&amp;" "," ")),"")</f>
        <v xml:space="preserve"> puree de pomme de terre </v>
      </c>
      <c r="BM54" s="1368" t="str">
        <f>IF(54=54,IF($U54="","",IF(SUM(BG54:BI54)+SUMPRODUCT(--ISNUMBER(SEARCH(" "&amp;$CR$2423:$CR$2424&amp;" ",$BJ54)))&gt;0,"X",IF(BK54&gt;0,"?",""))),"")</f>
        <v>?</v>
      </c>
      <c r="BN54" s="1368">
        <f>IF(54=54,IF($U54="","",SUMPRODUCT(--ISNUMBER(SEARCH(" "&amp;$CR$1879:$CR$1936&amp;" ",$BO54)))),"")</f>
        <v>0</v>
      </c>
      <c r="BO54" s="1368" t="str">
        <f>IF(54=54,IF($U54="","",SUBSTITUTE(SUBSTITUTE(SUBSTITUTE(SUBSTITUTE(SUBSTITUTE(SUBSTITUTE(SUBSTITUTE(SUBSTITUTE(SUBSTITUTE(SUBSTITUTE(SUBSTITUTE(SUBSTITUTE(SUBSTITUTE(SUBSTITUTE(SUBSTITUTE(SUBSTITUTE(SUBSTITUTE(SUBSTITUTE(SUBSTITUTE(SUBSTITUTE(SUBSTITUTE(SUBSTITUTE(SUBSTITUTE($AA54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puree de pomme de terre </v>
      </c>
      <c r="BP54" s="1368">
        <f>IF(54=54,IF($U54="","",SUMPRODUCT(--ISNUMBER(SEARCH(" "&amp;$CR$1960:$CR$1976&amp;" ",$BO54)))),"")</f>
        <v>0</v>
      </c>
      <c r="BQ54" s="1368" t="str">
        <f>IF(54=54,IF($U54="","",IF(BN54&gt;0,"X",IF(BP54&gt;0,"?",""))),"")</f>
        <v/>
      </c>
      <c r="BR54" s="1368">
        <f>IF(54=54,IF($U54="","",SUMPRODUCT(--ISNUMBER(SEARCH(" "&amp;$CR$1977:$CR$1990&amp;" ",$AA54)))),"")</f>
        <v>0</v>
      </c>
      <c r="BS54" s="1368">
        <f>IF(54=54,IF($U54="","",SUMPRODUCT(--ISNUMBER(SEARCH(" "&amp;$CR$1991:$CR$2005&amp;" ",$AA54)))),"")</f>
        <v>0</v>
      </c>
      <c r="BT54" s="1368" t="str">
        <f>IF(54=54,IF($U54="","",IF((BR54)-(0)&gt;0,"X",IF((BS54)-(0)&gt;0,"?",""))),"")</f>
        <v/>
      </c>
      <c r="BU54" s="1368">
        <f>IF(54=54,IF($U54="","",SUMPRODUCT(--ISNUMBER(SEARCH(" "&amp;$CR$2006:$CR$2023&amp;" ",$AA54)))),"")</f>
        <v>0</v>
      </c>
      <c r="BV54" s="1368">
        <f>IF(54=54,IF($U54="","",SUMPRODUCT(--ISNUMBER(SEARCH(" "&amp;$CR$2024:$CR$2038&amp;" ",$AA54)))),"")</f>
        <v>0</v>
      </c>
      <c r="BW54" s="1368" t="str">
        <f>IF(54=54,IF($U54="","",IF((BU54)-(0)&gt;0,"X",IF((BV54)-(0)&gt;0,"?",""))),"")</f>
        <v/>
      </c>
      <c r="BX54" s="1368">
        <f>IF(54=54,IF($U54="","",SUMPRODUCT(--ISNUMBER(SEARCH(" "&amp;$CR$2039:$CR$2057&amp;" ",$AA54)))),"")</f>
        <v>0</v>
      </c>
      <c r="BY54" s="1368">
        <f>IF(54=54,IF($U54="","",SUMPRODUCT(--ISNUMBER(SEARCH(" "&amp;$CR$2058:$CR$2072&amp;" ",$AA54)))),"")</f>
        <v>0</v>
      </c>
      <c r="BZ54" s="1368" t="str">
        <f>IF(54=54,IF($U54="","",IF((BX54)-(0)&gt;0,"X",IF((BY54)-(0)&gt;0,"?",""))),"")</f>
        <v/>
      </c>
      <c r="CA54" s="1368">
        <f>IF(54=54,IF($U54="","",SUMPRODUCT(--ISNUMBER(SEARCH(" "&amp;$CR$2073:$CR$2093&amp;" ",$AA54)))),"")</f>
        <v>0</v>
      </c>
      <c r="CB54" s="1368">
        <f>IF(54=54,IF($U54="","",SUMPRODUCT(--ISNUMBER(SEARCH(" "&amp;$CR$2094:$CR$2133&amp;" ",SUBSTITUTE(SUBSTITUTE($AA54," "&amp;$CR$1367&amp;" "," ")," "&amp;$CR$1366&amp;" "," "))))+--ISNUMBER(SEARCH("poiré",$V54))),"")</f>
        <v>0</v>
      </c>
      <c r="CC54" s="1368" t="str">
        <f>IF(54=54,IF($U54="","",IF(OR(CA54&gt;0,ISNUMBER(SEARCH(" vinaigre de vin ",$AA54)),ISNUMBER(SEARCH(" vinaigre au vin ",$AA54))),"X",IF(CB54&gt;0,"?",""))),"")</f>
        <v/>
      </c>
      <c r="CD54" s="1368">
        <f>IF(54=54,IF($U54="","",SUMPRODUCT(--ISNUMBER(SEARCH(" "&amp;$CR$2134:$CR$2146&amp;" ",$AA54)))),"")</f>
        <v>0</v>
      </c>
      <c r="CE54" s="1368">
        <f>IF(54=54,IF($U54="","",SUMPRODUCT(--ISNUMBER(SEARCH(" "&amp;$CR$2147:$CR$2152&amp;" ",$AA54)))),"")</f>
        <v>0</v>
      </c>
      <c r="CF54" s="1368" t="str">
        <f>IF(54=54,IF($U54="","",IF((CD54)-(0)&gt;0,"X",IF((CE54)-(0)&gt;0,"?",""))),"")</f>
        <v/>
      </c>
      <c r="CG54" s="1368">
        <f>IF(54=54,IF($U54="","",SUMPRODUCT(--ISNUMBER(SEARCH(" "&amp;$CR$2153:$CR$2252&amp;" ",$CJ54)))),"")</f>
        <v>0</v>
      </c>
      <c r="CH54" s="1368">
        <f>IF(54=54,IF($U54="","",SUMPRODUCT(--ISNUMBER(SEARCH(" "&amp;$CR$2253:$CR$2352&amp;" ",$CJ54)))),"")</f>
        <v>0</v>
      </c>
      <c r="CI54" s="1368">
        <f>IF(54=54,IF($U54="","",SUMPRODUCT(--ISNUMBER(SEARCH(" "&amp;$CR$2353:$CR$2395&amp;" ",$CJ54)))),"")</f>
        <v>0</v>
      </c>
      <c r="CJ54" s="1368" t="str">
        <f>IF(54=54,IF($U54="","",SUBSTITUTE(SUBSTITUTE(SUBSTITUTE(SUBSTITUTE(SUBSTITUTE(SUBSTITUTE(SUBSTITUTE(SUBSTITUTE(SUBSTITUTE(SUBSTITUTE(SUBSTITUTE(SUBSTITUTE(SUBSTITUTE(SUBSTITUTE(SUBSTITUTE(SUBSTITUTE($AA54," "&amp;$CR$2401&amp;" "," ")," "&amp;$CR$2400&amp;" "," ")," "&amp;$CR$2399&amp;" "," ")," "&amp;$CR$2406&amp;" "," ")," "&amp;$CR$2398&amp;" "," ")," "&amp;$CR$2410&amp;" "," ")," "&amp;$CR$2397&amp;" "," ")," "&amp;$CR$2402&amp;" "," ")," "&amp;$CR$2405&amp;" "," ")," "&amp;$CR$2396&amp;" "," ")," "&amp;$CR$2404&amp;" "," ")," "&amp;$CR$2411&amp;" "," ")," "&amp;$CR$2408&amp;" "," ")," "&amp;$CR$2403&amp;" "," ")," "&amp;$CR$2407&amp;" "," ")," "&amp;$CR$2409&amp;" "," ")),"")</f>
        <v xml:space="preserve"> puree de pomme de terre </v>
      </c>
      <c r="CK54" s="1368">
        <f>IF(54=54,IF($U54="","",SUMPRODUCT(--ISNUMBER(SEARCH(" "&amp;$CR$2412:$CR$2416&amp;" ",$CJ54)))),"")</f>
        <v>0</v>
      </c>
      <c r="CL54" s="1368" t="str">
        <f>IF(54=54,IF($U54="","",IF(SUM(CG54:CI54)&gt;0,"X",IF(CK54&gt;0,"?",""))),"")</f>
        <v/>
      </c>
      <c r="CM54" s="1377"/>
      <c r="CN54" s="1388" t="s">
        <v>8351</v>
      </c>
      <c r="CO54" s="1388" t="s">
        <v>8105</v>
      </c>
      <c r="CP54" s="1388" t="s">
        <v>8106</v>
      </c>
      <c r="CQ54" s="1388" t="s">
        <v>8352</v>
      </c>
      <c r="CR54" s="1388" t="s">
        <v>8352</v>
      </c>
      <c r="CS54" s="1388" t="s">
        <v>8108</v>
      </c>
      <c r="CT54" s="1388" t="s">
        <v>8109</v>
      </c>
      <c r="CU54" s="1388" t="s">
        <v>8110</v>
      </c>
      <c r="CV54" s="1389" t="s">
        <v>8111</v>
      </c>
      <c r="CX54" s="1379">
        <v>1</v>
      </c>
    </row>
    <row r="55" spans="1:102" ht="21" customHeight="1" x14ac:dyDescent="0.25">
      <c r="A55" s="1412">
        <v>49</v>
      </c>
      <c r="B55" s="1413" t="s">
        <v>8353</v>
      </c>
      <c r="C55" s="1414" t="str">
        <f t="shared" si="0"/>
        <v>Spigol, rizdor, etc</v>
      </c>
      <c r="D55" s="1415" t="str">
        <f>IF(55=55,IF($B55="","",IF(E55="X",""&amp;"Céréales contenant du gluten","")&amp;IF(F55="X",IF(COUNTIF($E55:$E55,"X")&gt;0,", ","")&amp;"Crustacés","")&amp;IF(G55="X",IF(COUNTIF($E55:$F55,"X")&gt;0,", ","")&amp;"Œufs","")&amp;IF(H55="X",IF(COUNTIF($E55:$G55,"X")&gt;0,", ","")&amp;"Poissons","")&amp;IF(I55="X",IF(COUNTIF($E55:$H55,"X")&gt;0,", ","")&amp;"Arachides","")&amp;IF(J55="X",IF(COUNTIF($E55:$I55,"X")&gt;0,", ","")&amp;"Soja","")&amp;IF(K55="X",IF(COUNTIF($E55:$J55,"X")&gt;0,", ","")&amp;"Lait","")&amp;IF(L55="X",IF(COUNTIF($E55:$K55,"X")&gt;0,", ","")&amp;"Fruits à coque","")&amp;IF(M55="X",IF(COUNTIF($E55:$L55,"X")&gt;0,", ","")&amp;"Céleri","")&amp;IF(N55="X",IF(COUNTIF($E55:$M55,"X")&gt;0,", ","")&amp;"Moutarde","")&amp;IF(O55="X",IF(COUNTIF($E55:$N55,"X")&gt;0,", ","")&amp;"Sésame","")&amp;IF(P55="X",IF(COUNTIF($E55:$O55,"X")&gt;0,", ","")&amp;"Sulfites","")&amp;IF(Q55="X",IF(COUNTIF($E55:$P55,"X")&gt;0,", ","")&amp;"Lupin","")&amp;IF(R55="X",IF(COUNTIF($E55:$Q55,"X")&gt;0,", ","")&amp;"Mollusques","")),"")</f>
        <v/>
      </c>
      <c r="E55" s="1416" t="str">
        <f>IF(55=55,IF($B55="","",AF55),"")</f>
        <v/>
      </c>
      <c r="F55" s="1416" t="str">
        <f>IF(55=55,IF($B55="","",AI55),"")</f>
        <v/>
      </c>
      <c r="G55" s="1416" t="str">
        <f>IF(55=55,IF($B55="","",AM55),"")</f>
        <v/>
      </c>
      <c r="H55" s="1416" t="str">
        <f>IF(55=55,IF($B55="","",IF(ISNUMBER(SEARCH(" colin ",$AA55)),"X",AZ55)),"")</f>
        <v/>
      </c>
      <c r="I55" s="1416" t="str">
        <f>IF(55=55,IF($B55="","",BB55),"")</f>
        <v/>
      </c>
      <c r="J55" s="1416" t="str">
        <f>IF(55=55,IF($B55="","",BF55),"")</f>
        <v/>
      </c>
      <c r="K55" s="1416" t="str">
        <f>IF(55=55,IF($B55="","",BM55),"")</f>
        <v/>
      </c>
      <c r="L55" s="1416" t="str">
        <f>IF(55=55,IF($B55="","",BQ55),"")</f>
        <v/>
      </c>
      <c r="M55" s="1416" t="str">
        <f>IF(55=55,IF($B55="","",BT55),"")</f>
        <v/>
      </c>
      <c r="N55" s="1416" t="str">
        <f>IF(55=55,IF($B55="","",BW55),"")</f>
        <v/>
      </c>
      <c r="O55" s="1416" t="str">
        <f>IF(55=55,IF($B55="","",BZ55),"")</f>
        <v/>
      </c>
      <c r="P55" s="1416" t="str">
        <f>IF(55=55,IF($B55="","",CC55),"")</f>
        <v/>
      </c>
      <c r="Q55" s="1416" t="str">
        <f>IF(55=55,IF($B55="","",CF55),"")</f>
        <v/>
      </c>
      <c r="R55" s="1416" t="str">
        <f>IF(55=55,IF($B55="","",CL55),"")</f>
        <v/>
      </c>
      <c r="S55" s="1417" t="str">
        <f>IF(55=55,IF($B55="","",IF(E55="?",""&amp;"Céréales contenant du gluten","")&amp;IF(F55="?",IF(COUNTIF($E55:$E55,"~?")&gt;0,", ","")&amp;"Crustacés","")&amp;IF(G55="?",IF(COUNTIF($E55:$F55,"~?")&gt;0,", ","")&amp;"Œufs","")&amp;IF(H55="?",IF(COUNTIF($E55:$G55,"~?")&gt;0,", ","")&amp;"Poissons","")&amp;IF(I55="?",IF(COUNTIF($E55:$H55,"~?")&gt;0,", ","")&amp;"Arachides","")&amp;IF(J55="?",IF(COUNTIF($E55:$I55,"~?")&gt;0,", ","")&amp;"Soja","")&amp;IF(K55="?",IF(COUNTIF($E55:$J55,"~?")&gt;0,", ","")&amp;"Lait","")&amp;IF(L55="?",IF(COUNTIF($E55:$K55,"~?")&gt;0,", ","")&amp;"Fruits à coque","")&amp;IF(M55="?",IF(COUNTIF($E55:$L55,"~?")&gt;0,", ","")&amp;"Céleri","")&amp;IF(N55="?",IF(COUNTIF($E55:$M55,"~?")&gt;0,", ","")&amp;"Moutarde","")&amp;IF(O55="?",IF(COUNTIF($E55:$N55,"~?")&gt;0,", ","")&amp;"Sésame","")&amp;IF(P55="?",IF(COUNTIF($E55:$O55,"~?")&gt;0,", ","")&amp;"Sulfites","")&amp;IF(Q55="?",IF(COUNTIF($E55:$P55,"~?")&gt;0,", ","")&amp;"Lupin","")&amp;IF(R55="?",IF(COUNTIF($E55:$Q55,"~?")&gt;0,", ","")&amp;"Mollusques","")),"")</f>
        <v/>
      </c>
      <c r="U55" s="1368" t="str">
        <f>IF(55=55,IF($B55="","",$B55),"")</f>
        <v>Spigol, rizdor, etc</v>
      </c>
      <c r="V55" s="1368" t="str">
        <f>IF(55=55,LOWER(CLEAN(SUBSTITUTE(SUBSTITUTE(SUBSTITUTE(SUBSTITUTE($U55,CHAR(160)," ")," "," "),CHAR(10)," "),CHAR(13)," "))),"")</f>
        <v>spigol, rizdor, etc</v>
      </c>
      <c r="W55" s="1368" t="str">
        <f>IF(55=55,SUBSTITUTE(SUBSTITUTE(SUBSTITUTE(SUBSTITUTE(SUBSTITUTE(SUBSTITUTE(SUBSTITUTE(SUBSTITUTE(SUBSTITUTE(SUBSTITUTE(SUBSTITUTE(SUBSTITUTE($V55,"œ","oe"),"æ","ae"),"à","a"),"á","a"),"â","a"),"ä","a"),"ã","a"),"ç","c"),"è","e"),"é","e"),"ê","e"),"ë","e"),"")</f>
        <v>spigol, rizdor, etc</v>
      </c>
      <c r="X55" s="1368" t="str">
        <f>IF(55=55,SUBSTITUTE(SUBSTITUTE(SUBSTITUTE(SUBSTITUTE(SUBSTITUTE(SUBSTITUTE(SUBSTITUTE(SUBSTITUTE(SUBSTITUTE(SUBSTITUTE(SUBSTITUTE(SUBSTITUTE(SUBSTITUTE(SUBSTITUTE(SUBSTITUTE(SUBSTITUTE($W55,"ì","i"),"í","i"),"î","i"),"ï","i"),"ñ","n"),"ò","o"),"ó","o"),"ô","o"),"ö","o"),"õ","o"),"ù","u"),"ú","u"),"û","u"),"ü","u"),"ý","y"),"ÿ","y"),"")</f>
        <v>spigol, rizdor, etc</v>
      </c>
      <c r="Y55" s="1368" t="str">
        <f>IF(55=55,SUBSTITUTE(SUBSTITUTE(SUBSTITUTE(SUBSTITUTE(SUBSTITUTE(SUBSTITUTE(SUBSTITUTE(SUBSTITUTE(SUBSTITUTE(SUBSTITUTE(SUBSTITUTE(SUBSTITUTE(SUBSTITUTE(SUBSTITUTE($X55,"’"," "),"`"," "),"–"," "),"—"," "),"-"," "),"'"," "),"/"," "),"_"," "),","," "),"."," "),"("," "),")"," "),";"," "),":"," "),"")</f>
        <v>spigol  rizdor  etc</v>
      </c>
      <c r="Z55" s="1368" t="str">
        <f>IF(55=55,SUBSTITUTE(SUBSTITUTE(SUBSTITUTE(SUBSTITUTE(SUBSTITUTE(SUBSTITUTE(SUBSTITUTE(SUBSTITUTE(SUBSTITUTE(SUBSTITUTE(SUBSTITUTE(SUBSTITUTE(SUBSTITUTE(SUBSTITUTE(SUBSTITUTE($Y55,"!"," "),"?"," "),"+"," "),"*"," "),"&amp;"," "),"["," "),"]"," "),"{"," "),"}"," "),"%"," "),"="," "),"\"," "),"|"," "),"&lt;"," "),"&gt;"," "),"")</f>
        <v>spigol  rizdor  etc</v>
      </c>
      <c r="AA55" s="1368" t="str">
        <f>IF(55=55," "&amp;TRIM(SUBSTITUTE(SUBSTITUTE(SUBSTITUTE(SUBSTITUTE(SUBSTITUTE(SUBSTITUTE($Z55,CHAR(34)," "),"  "," "),"  "," "),"  "," "),"  "," "),"  "," "))&amp;" ","")</f>
        <v xml:space="preserve"> spigol rizdor etc </v>
      </c>
      <c r="AB55" s="1368">
        <f>IF(55=55,IF($U55="","",SUMPRODUCT(--ISNUMBER(SEARCH(" "&amp;$CR$2:$CR$101&amp;" ",$AD55)))),"")</f>
        <v>0</v>
      </c>
      <c r="AC55" s="1368">
        <f>IF(55=55,IF($U55="","",SUMPRODUCT(--ISNUMBER(SEARCH(" "&amp;$CR$102:$CR$151&amp;" ",$AD55)))),"")</f>
        <v>0</v>
      </c>
      <c r="AD55" s="1368" t="str">
        <f t="shared" si="1"/>
        <v xml:space="preserve"> spigol rizdor etc </v>
      </c>
      <c r="AE55" s="1368">
        <f t="shared" si="2"/>
        <v>0</v>
      </c>
      <c r="AF55" s="1368" t="str">
        <f>IF(55=55,IF($U55="","",IF(SUM(AB55:AC55)+SUMPRODUCT(--ISNUMBER(SEARCH(" "&amp;$CR$2418:$CR$2420&amp;" ",$AD55)))&gt;0,"X",IF(AE55&gt;0,"?",""))),"")</f>
        <v/>
      </c>
      <c r="AG55" s="1368">
        <f>IF(55=55,IF($U55="","",SUMPRODUCT(--ISNUMBER(SEARCH(" "&amp;$CR$206:$CR$305&amp;" ",$AA55)))),"")</f>
        <v>0</v>
      </c>
      <c r="AH55" s="1368">
        <f>IF(55=55,IF($U55="","",SUMPRODUCT(--ISNUMBER(SEARCH(" "&amp;$CR$306:$CR$340&amp;" ",$AA55)))),"")</f>
        <v>0</v>
      </c>
      <c r="AI55" s="1368" t="str">
        <f>IF(55=55,IF($U55="","",IF((SUM(AG55:AH55))-(0)&gt;0,"X",IF((0)-(0)&gt;0,"?",""))),"")</f>
        <v/>
      </c>
      <c r="AJ55" s="1368">
        <f>IF(55=55,IF($U55="","",SUMPRODUCT(--ISNUMBER(SEARCH(" "&amp;$CR$341:$CR$398&amp;" ",$AA55)))),"")</f>
        <v>0</v>
      </c>
      <c r="AK55" s="1368">
        <f>IF(55=55,IF($U55="","",SUMPRODUCT(--ISNUMBER(SEARCH(" "&amp;$CR$399:$CR$426&amp;" ",$AL55)))+SUMPRODUCT(--ISNUMBER(SEARCH(" "&amp;$CR$2440:$CR$2453&amp;" ",$AL55)))),"")</f>
        <v>0</v>
      </c>
      <c r="AL55" s="1368" t="str">
        <f>IF(55=55,IF($U55="","",SUBSTITUTE(SUBSTITUTE(SUBSTITUTE(SUBSTITUTE(SUBSTITUTE(SUBSTITUTE(SUBSTITUTE(SUBSTITUTE(SUBSTITUTE(SUBSTITUTE(SUBSTITUTE(SUBSTITUTE(SUBSTITUTE(SUBSTITUTE($AA55," "&amp;$CR$2455&amp;" "," ")," "&amp;$CR$433&amp;" "," ")," "&amp;$CR$431&amp;" "," ")," "&amp;$CR$2438&amp;" "," ")," "&amp;$CR$2439&amp;" "," ")," "&amp;$CR$428&amp;" "," ")," "&amp;$CR$432&amp;" "," ")," "&amp;$CR$434&amp;" "," ")," "&amp;$CR$429&amp;" "," ")," "&amp;$CR$427&amp;" "," ")," "&amp;$CR$1367&amp;" "," ")," "&amp;$CR$435&amp;" "," ")," "&amp;$CR$1366&amp;" "," ")," "&amp;$CR$430&amp;" "," ")),"")</f>
        <v xml:space="preserve"> spigol rizdor etc </v>
      </c>
      <c r="AM55" s="1368" t="str">
        <f>IF(55=55,IF($U55="","",IF(AJ55&gt;0,"X",IF(AK55&gt;0,"?",""))),"")</f>
        <v/>
      </c>
      <c r="AN55" s="1368">
        <f>IF(55=55,IF($U55="","",SUMPRODUCT(--ISNUMBER(SEARCH(" "&amp;$CR$436:$CR$535&amp;" ",$AX55)))),"")</f>
        <v>0</v>
      </c>
      <c r="AO55" s="1368">
        <f>IF(55=55,IF($U55="","",SUMPRODUCT(--ISNUMBER(SEARCH(" "&amp;$CR$536:$CR$635&amp;" ",$AX55)))),"")</f>
        <v>0</v>
      </c>
      <c r="AP55" s="1368">
        <f>IF(55=55,IF($U55="","",SUMPRODUCT(--ISNUMBER(SEARCH(" "&amp;$CR$636:$CR$735&amp;" ",$AX55)))),"")</f>
        <v>0</v>
      </c>
      <c r="AQ55" s="1368">
        <f>IF(55=55,IF($U55="","",SUMPRODUCT(--ISNUMBER(SEARCH(" "&amp;$CR$736:$CR$835&amp;" ",$AX55)))),"")</f>
        <v>0</v>
      </c>
      <c r="AR55" s="1368">
        <f>IF(55=55,IF($U55="","",SUMPRODUCT(--ISNUMBER(SEARCH(" "&amp;$CR$836:$CR$935&amp;" ",$AX55)))),"")</f>
        <v>0</v>
      </c>
      <c r="AS55" s="1368">
        <f>IF(55=55,IF($U55="","",SUMPRODUCT(--ISNUMBER(SEARCH(" "&amp;$CR$936:$CR$1035&amp;" ",$AX55)))),"")</f>
        <v>0</v>
      </c>
      <c r="AT55" s="1368">
        <f>IF(55=55,IF($U55="","",SUMPRODUCT(--ISNUMBER(SEARCH(" "&amp;$CR$1036:$CR$1135&amp;" ",$AX55)))),"")</f>
        <v>0</v>
      </c>
      <c r="AU55" s="1368">
        <f>IF(55=55,IF($U55="","",SUMPRODUCT(--ISNUMBER(SEARCH(" "&amp;$CR$1136:$CR$1235&amp;" ",$AX55)))),"")</f>
        <v>0</v>
      </c>
      <c r="AV55" s="1368">
        <f>IF(55=55,IF($U55="","",SUMPRODUCT(--ISNUMBER(SEARCH(" "&amp;$CR$1236:$CR$1335&amp;" ",$AX55)))),"")</f>
        <v>0</v>
      </c>
      <c r="AW55" s="1368">
        <f>IF(55=55,IF($U55="","",SUMPRODUCT(--ISNUMBER(SEARCH(" "&amp;$CR$1336:$CR$1363&amp;" ",$AX55)))),"")</f>
        <v>0</v>
      </c>
      <c r="AX55" s="1368" t="str">
        <f>IF(55=55,IF($U55="","",SUBSTITUTE(SUBSTITUTE(SUBSTITUTE(SUBSTITUTE(SUBSTITUTE(SUBSTITUTE(SUBSTITUTE(SUBSTITUTE(SUBSTITUTE($AA55," "&amp;$CR$1365&amp;" "," ")," "&amp;$CR$1364&amp;" "," ")," "&amp;$CR$1370&amp;" "," ")," "&amp;$CR$1371&amp;" "," ")," "&amp;$CR$1367&amp;" "," ")," "&amp;$CR$1369&amp;" "," ")," "&amp;$CR$1366&amp;" "," ")," "&amp;$CR$1368&amp;" "," ")," "&amp;$CR$1372&amp;" "," ")),"")</f>
        <v xml:space="preserve"> spigol rizdor etc </v>
      </c>
      <c r="AY55" s="1368">
        <f>IF(55=55,IF($U55="","",SUMPRODUCT(--ISNUMBER(SEARCH(" "&amp;$CR$1373:$CR$1383&amp;" ",$AX55)))),"")</f>
        <v>0</v>
      </c>
      <c r="AZ55" s="1368" t="str">
        <f>IF(55=55,IF($U55="","",IF(SUM(AN55:AW55)+SUMPRODUCT(--ISNUMBER(SEARCH(" "&amp;$CR$2421:$CR$2422&amp;" ",$AX55)))&gt;0,"X",IF(AY55&gt;0,"?",""))),"")</f>
        <v/>
      </c>
      <c r="BA55" s="1368">
        <f>IF(55=55,IF($U55="","",SUMPRODUCT(--ISNUMBER(SEARCH(" "&amp;$CR$1384:$CR$1404&amp;" ",$AA55)))),"")</f>
        <v>0</v>
      </c>
      <c r="BB55" s="1368" t="str">
        <f>IF(55=55,IF($U55="","",IF((BA55)-(0)&gt;0,"X",IF((0)-(0)&gt;0,"?",""))),"")</f>
        <v/>
      </c>
      <c r="BC55" s="1368">
        <f>IF(55=55,IF($U55="","",SUMPRODUCT(--ISNUMBER(SEARCH(" "&amp;$CR$1405:$CR$1442&amp;" ",$BD55)))),"")</f>
        <v>0</v>
      </c>
      <c r="BD55" s="1368" t="str">
        <f>IF(55=55,IF($U55="","",SUBSTITUTE(SUBSTITUTE($AA55," "&amp;$CR$1443&amp;" "," ")," "&amp;$CR$1444&amp;" "," ")),"")</f>
        <v xml:space="preserve"> spigol rizdor etc </v>
      </c>
      <c r="BE55" s="1368">
        <f>IF(55=55,IF($U55="","",SUMPRODUCT(--ISNUMBER(SEARCH(" "&amp;$CR$1445:$CR$1455&amp;" ",$BD55)))),"")</f>
        <v>0</v>
      </c>
      <c r="BF55" s="1368" t="str">
        <f>IF(55=55,IF($U55="","",IF(BC55&gt;0,"X",IF(BE55&gt;0,"?",""))),"")</f>
        <v/>
      </c>
      <c r="BG55" s="1368">
        <f>IF(55=55,IF($U55="","",SUMPRODUCT(--ISNUMBER(SEARCH(" "&amp;$CR$1456:$CR$1555&amp;" ",$BJ55)))),"")</f>
        <v>0</v>
      </c>
      <c r="BH55" s="1368">
        <f>IF(55=55,IF($U55="","",SUMPRODUCT(--ISNUMBER(SEARCH(" "&amp;$CR$1556:$CR$1655&amp;" ",$BJ55)))),"")</f>
        <v>0</v>
      </c>
      <c r="BI55" s="1368">
        <f>IF(55=55,IF($U55="","",SUMPRODUCT(--ISNUMBER(SEARCH(" "&amp;$CR$1656:$CR$1739&amp;" ",$BJ55)))),"")</f>
        <v>0</v>
      </c>
      <c r="BJ55" s="1368" t="str">
        <f>IF(55=55,IF($U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spigol rizdor etc </v>
      </c>
      <c r="BK55" s="1368">
        <f>IF(55=55,IF($U55="","",SUMPRODUCT(--ISNUMBER(SEARCH(" "&amp;$CR$1790:$CR$1869&amp;" ",$BL55)))+SUMPRODUCT(--ISNUMBER(SEARCH(" "&amp;$CR$2440:$CR$2453&amp;" ",$BL55)))),"")</f>
        <v>0</v>
      </c>
      <c r="BL55" s="1368" t="str">
        <f>IF(55=55,IF($U55="","",SUBSTITUTE(SUBSTITUTE(SUBSTITUTE(SUBSTITUTE(SUBSTITUTE(SUBSTITUTE(SUBSTITUTE(SUBSTITUTE(SUBSTITUTE(SUBSTITUTE(SUBSTITUTE(SUBSTITUTE(SUBSTITUTE($BJ55," "&amp;$CR$1876&amp;" "," ")," "&amp;$CR$1874&amp;" "," ")," "&amp;$CR$2438&amp;" "," ")," "&amp;$CR$2439&amp;" "," ")," "&amp;$CR$1871&amp;" "," ")," "&amp;$CR$1875&amp;" "," ")," "&amp;$CR$1877&amp;" "," ")," "&amp;$CR$1872&amp;" "," ")," "&amp;$CR$1870&amp;" "," ")," "&amp;$CR$1367&amp;" "," ")," "&amp;$CR$1878&amp;" "," ")," "&amp;$CR$1366&amp;" "," ")," "&amp;$CR$1873&amp;" "," ")),"")</f>
        <v xml:space="preserve"> spigol rizdor etc </v>
      </c>
      <c r="BM55" s="1368" t="str">
        <f>IF(55=55,IF($U55="","",IF(SUM(BG55:BI55)+SUMPRODUCT(--ISNUMBER(SEARCH(" "&amp;$CR$2423:$CR$2424&amp;" ",$BJ55)))&gt;0,"X",IF(BK55&gt;0,"?",""))),"")</f>
        <v/>
      </c>
      <c r="BN55" s="1368">
        <f>IF(55=55,IF($U55="","",SUMPRODUCT(--ISNUMBER(SEARCH(" "&amp;$CR$1879:$CR$1936&amp;" ",$BO55)))),"")</f>
        <v>0</v>
      </c>
      <c r="BO55" s="1368" t="str">
        <f>IF(55=55,IF($U55="","",SUBSTITUTE(SUBSTITUTE(SUBSTITUTE(SUBSTITUTE(SUBSTITUTE(SUBSTITUTE(SUBSTITUTE(SUBSTITUTE(SUBSTITUTE(SUBSTITUTE(SUBSTITUTE(SUBSTITUTE(SUBSTITUTE(SUBSTITUTE(SUBSTITUTE(SUBSTITUTE(SUBSTITUTE(SUBSTITUTE(SUBSTITUTE(SUBSTITUTE(SUBSTITUTE(SUBSTITUTE(SUBSTITUTE($AA55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spigol rizdor etc </v>
      </c>
      <c r="BP55" s="1368">
        <f>IF(55=55,IF($U55="","",SUMPRODUCT(--ISNUMBER(SEARCH(" "&amp;$CR$1960:$CR$1976&amp;" ",$BO55)))),"")</f>
        <v>0</v>
      </c>
      <c r="BQ55" s="1368" t="str">
        <f>IF(55=55,IF($U55="","",IF(BN55&gt;0,"X",IF(BP55&gt;0,"?",""))),"")</f>
        <v/>
      </c>
      <c r="BR55" s="1368">
        <f>IF(55=55,IF($U55="","",SUMPRODUCT(--ISNUMBER(SEARCH(" "&amp;$CR$1977:$CR$1990&amp;" ",$AA55)))),"")</f>
        <v>0</v>
      </c>
      <c r="BS55" s="1368">
        <f>IF(55=55,IF($U55="","",SUMPRODUCT(--ISNUMBER(SEARCH(" "&amp;$CR$1991:$CR$2005&amp;" ",$AA55)))),"")</f>
        <v>0</v>
      </c>
      <c r="BT55" s="1368" t="str">
        <f>IF(55=55,IF($U55="","",IF((BR55)-(0)&gt;0,"X",IF((BS55)-(0)&gt;0,"?",""))),"")</f>
        <v/>
      </c>
      <c r="BU55" s="1368">
        <f>IF(55=55,IF($U55="","",SUMPRODUCT(--ISNUMBER(SEARCH(" "&amp;$CR$2006:$CR$2023&amp;" ",$AA55)))),"")</f>
        <v>0</v>
      </c>
      <c r="BV55" s="1368">
        <f>IF(55=55,IF($U55="","",SUMPRODUCT(--ISNUMBER(SEARCH(" "&amp;$CR$2024:$CR$2038&amp;" ",$AA55)))),"")</f>
        <v>0</v>
      </c>
      <c r="BW55" s="1368" t="str">
        <f>IF(55=55,IF($U55="","",IF((BU55)-(0)&gt;0,"X",IF((BV55)-(0)&gt;0,"?",""))),"")</f>
        <v/>
      </c>
      <c r="BX55" s="1368">
        <f>IF(55=55,IF($U55="","",SUMPRODUCT(--ISNUMBER(SEARCH(" "&amp;$CR$2039:$CR$2057&amp;" ",$AA55)))),"")</f>
        <v>0</v>
      </c>
      <c r="BY55" s="1368">
        <f>IF(55=55,IF($U55="","",SUMPRODUCT(--ISNUMBER(SEARCH(" "&amp;$CR$2058:$CR$2072&amp;" ",$AA55)))),"")</f>
        <v>0</v>
      </c>
      <c r="BZ55" s="1368" t="str">
        <f>IF(55=55,IF($U55="","",IF((BX55)-(0)&gt;0,"X",IF((BY55)-(0)&gt;0,"?",""))),"")</f>
        <v/>
      </c>
      <c r="CA55" s="1368">
        <f>IF(55=55,IF($U55="","",SUMPRODUCT(--ISNUMBER(SEARCH(" "&amp;$CR$2073:$CR$2093&amp;" ",$AA55)))),"")</f>
        <v>0</v>
      </c>
      <c r="CB55" s="1368">
        <f>IF(55=55,IF($U55="","",SUMPRODUCT(--ISNUMBER(SEARCH(" "&amp;$CR$2094:$CR$2133&amp;" ",SUBSTITUTE(SUBSTITUTE($AA55," "&amp;$CR$1367&amp;" "," ")," "&amp;$CR$1366&amp;" "," "))))+--ISNUMBER(SEARCH("poiré",$V55))),"")</f>
        <v>0</v>
      </c>
      <c r="CC55" s="1368" t="str">
        <f>IF(55=55,IF($U55="","",IF(OR(CA55&gt;0,ISNUMBER(SEARCH(" vinaigre de vin ",$AA55)),ISNUMBER(SEARCH(" vinaigre au vin ",$AA55))),"X",IF(CB55&gt;0,"?",""))),"")</f>
        <v/>
      </c>
      <c r="CD55" s="1368">
        <f>IF(55=55,IF($U55="","",SUMPRODUCT(--ISNUMBER(SEARCH(" "&amp;$CR$2134:$CR$2146&amp;" ",$AA55)))),"")</f>
        <v>0</v>
      </c>
      <c r="CE55" s="1368">
        <f>IF(55=55,IF($U55="","",SUMPRODUCT(--ISNUMBER(SEARCH(" "&amp;$CR$2147:$CR$2152&amp;" ",$AA55)))),"")</f>
        <v>0</v>
      </c>
      <c r="CF55" s="1368" t="str">
        <f>IF(55=55,IF($U55="","",IF((CD55)-(0)&gt;0,"X",IF((CE55)-(0)&gt;0,"?",""))),"")</f>
        <v/>
      </c>
      <c r="CG55" s="1368">
        <f>IF(55=55,IF($U55="","",SUMPRODUCT(--ISNUMBER(SEARCH(" "&amp;$CR$2153:$CR$2252&amp;" ",$CJ55)))),"")</f>
        <v>0</v>
      </c>
      <c r="CH55" s="1368">
        <f>IF(55=55,IF($U55="","",SUMPRODUCT(--ISNUMBER(SEARCH(" "&amp;$CR$2253:$CR$2352&amp;" ",$CJ55)))),"")</f>
        <v>0</v>
      </c>
      <c r="CI55" s="1368">
        <f>IF(55=55,IF($U55="","",SUMPRODUCT(--ISNUMBER(SEARCH(" "&amp;$CR$2353:$CR$2395&amp;" ",$CJ55)))),"")</f>
        <v>0</v>
      </c>
      <c r="CJ55" s="1368" t="str">
        <f>IF(55=55,IF($U55="","",SUBSTITUTE(SUBSTITUTE(SUBSTITUTE(SUBSTITUTE(SUBSTITUTE(SUBSTITUTE(SUBSTITUTE(SUBSTITUTE(SUBSTITUTE(SUBSTITUTE(SUBSTITUTE(SUBSTITUTE(SUBSTITUTE(SUBSTITUTE(SUBSTITUTE(SUBSTITUTE($AA55," "&amp;$CR$2401&amp;" "," ")," "&amp;$CR$2400&amp;" "," ")," "&amp;$CR$2399&amp;" "," ")," "&amp;$CR$2406&amp;" "," ")," "&amp;$CR$2398&amp;" "," ")," "&amp;$CR$2410&amp;" "," ")," "&amp;$CR$2397&amp;" "," ")," "&amp;$CR$2402&amp;" "," ")," "&amp;$CR$2405&amp;" "," ")," "&amp;$CR$2396&amp;" "," ")," "&amp;$CR$2404&amp;" "," ")," "&amp;$CR$2411&amp;" "," ")," "&amp;$CR$2408&amp;" "," ")," "&amp;$CR$2403&amp;" "," ")," "&amp;$CR$2407&amp;" "," ")," "&amp;$CR$2409&amp;" "," ")),"")</f>
        <v xml:space="preserve"> spigol rizdor etc </v>
      </c>
      <c r="CK55" s="1368">
        <f>IF(55=55,IF($U55="","",SUMPRODUCT(--ISNUMBER(SEARCH(" "&amp;$CR$2412:$CR$2416&amp;" ",$CJ55)))),"")</f>
        <v>0</v>
      </c>
      <c r="CL55" s="1368" t="str">
        <f>IF(55=55,IF($U55="","",IF(SUM(CG55:CI55)&gt;0,"X",IF(CK55&gt;0,"?",""))),"")</f>
        <v/>
      </c>
      <c r="CM55" s="1377"/>
      <c r="CN55" s="1388" t="s">
        <v>8354</v>
      </c>
      <c r="CO55" s="1388" t="s">
        <v>8105</v>
      </c>
      <c r="CP55" s="1388" t="s">
        <v>8106</v>
      </c>
      <c r="CQ55" s="1388" t="s">
        <v>8355</v>
      </c>
      <c r="CR55" s="1388" t="s">
        <v>8355</v>
      </c>
      <c r="CS55" s="1388" t="s">
        <v>8108</v>
      </c>
      <c r="CT55" s="1388" t="s">
        <v>8109</v>
      </c>
      <c r="CU55" s="1388" t="s">
        <v>8110</v>
      </c>
      <c r="CV55" s="1389" t="s">
        <v>8111</v>
      </c>
      <c r="CX55" s="1379">
        <v>1</v>
      </c>
    </row>
    <row r="56" spans="1:102" ht="21" customHeight="1" x14ac:dyDescent="0.25">
      <c r="A56" s="1412">
        <v>50</v>
      </c>
      <c r="B56" s="1413" t="s">
        <v>8356</v>
      </c>
      <c r="C56" s="1414" t="str">
        <f t="shared" si="0"/>
        <v>Tomates fraîches ou en cubes surgelés</v>
      </c>
      <c r="D56" s="1415" t="str">
        <f>IF(56=56,IF($B56="","",IF(E56="X",""&amp;"Céréales contenant du gluten","")&amp;IF(F56="X",IF(COUNTIF($E56:$E56,"X")&gt;0,", ","")&amp;"Crustacés","")&amp;IF(G56="X",IF(COUNTIF($E56:$F56,"X")&gt;0,", ","")&amp;"Œufs","")&amp;IF(H56="X",IF(COUNTIF($E56:$G56,"X")&gt;0,", ","")&amp;"Poissons","")&amp;IF(I56="X",IF(COUNTIF($E56:$H56,"X")&gt;0,", ","")&amp;"Arachides","")&amp;IF(J56="X",IF(COUNTIF($E56:$I56,"X")&gt;0,", ","")&amp;"Soja","")&amp;IF(K56="X",IF(COUNTIF($E56:$J56,"X")&gt;0,", ","")&amp;"Lait","")&amp;IF(L56="X",IF(COUNTIF($E56:$K56,"X")&gt;0,", ","")&amp;"Fruits à coque","")&amp;IF(M56="X",IF(COUNTIF($E56:$L56,"X")&gt;0,", ","")&amp;"Céleri","")&amp;IF(N56="X",IF(COUNTIF($E56:$M56,"X")&gt;0,", ","")&amp;"Moutarde","")&amp;IF(O56="X",IF(COUNTIF($E56:$N56,"X")&gt;0,", ","")&amp;"Sésame","")&amp;IF(P56="X",IF(COUNTIF($E56:$O56,"X")&gt;0,", ","")&amp;"Sulfites","")&amp;IF(Q56="X",IF(COUNTIF($E56:$P56,"X")&gt;0,", ","")&amp;"Lupin","")&amp;IF(R56="X",IF(COUNTIF($E56:$Q56,"X")&gt;0,", ","")&amp;"Mollusques","")),"")</f>
        <v/>
      </c>
      <c r="E56" s="1416" t="str">
        <f>IF(56=56,IF($B56="","",AF56),"")</f>
        <v/>
      </c>
      <c r="F56" s="1416" t="str">
        <f>IF(56=56,IF($B56="","",AI56),"")</f>
        <v/>
      </c>
      <c r="G56" s="1416" t="str">
        <f>IF(56=56,IF($B56="","",AM56),"")</f>
        <v/>
      </c>
      <c r="H56" s="1416" t="str">
        <f>IF(56=56,IF($B56="","",IF(ISNUMBER(SEARCH(" colin ",$AA56)),"X",AZ56)),"")</f>
        <v/>
      </c>
      <c r="I56" s="1416" t="str">
        <f>IF(56=56,IF($B56="","",BB56),"")</f>
        <v/>
      </c>
      <c r="J56" s="1416" t="str">
        <f>IF(56=56,IF($B56="","",BF56),"")</f>
        <v/>
      </c>
      <c r="K56" s="1416" t="str">
        <f>IF(56=56,IF($B56="","",BM56),"")</f>
        <v/>
      </c>
      <c r="L56" s="1416" t="str">
        <f>IF(56=56,IF($B56="","",BQ56),"")</f>
        <v/>
      </c>
      <c r="M56" s="1416" t="str">
        <f>IF(56=56,IF($B56="","",BT56),"")</f>
        <v/>
      </c>
      <c r="N56" s="1416" t="str">
        <f>IF(56=56,IF($B56="","",BW56),"")</f>
        <v/>
      </c>
      <c r="O56" s="1416" t="str">
        <f>IF(56=56,IF($B56="","",BZ56),"")</f>
        <v/>
      </c>
      <c r="P56" s="1416" t="str">
        <f>IF(56=56,IF($B56="","",CC56),"")</f>
        <v/>
      </c>
      <c r="Q56" s="1416" t="str">
        <f>IF(56=56,IF($B56="","",CF56),"")</f>
        <v/>
      </c>
      <c r="R56" s="1416" t="str">
        <f>IF(56=56,IF($B56="","",CL56),"")</f>
        <v/>
      </c>
      <c r="S56" s="1417" t="str">
        <f>IF(56=56,IF($B56="","",IF(E56="?",""&amp;"Céréales contenant du gluten","")&amp;IF(F56="?",IF(COUNTIF($E56:$E56,"~?")&gt;0,", ","")&amp;"Crustacés","")&amp;IF(G56="?",IF(COUNTIF($E56:$F56,"~?")&gt;0,", ","")&amp;"Œufs","")&amp;IF(H56="?",IF(COUNTIF($E56:$G56,"~?")&gt;0,", ","")&amp;"Poissons","")&amp;IF(I56="?",IF(COUNTIF($E56:$H56,"~?")&gt;0,", ","")&amp;"Arachides","")&amp;IF(J56="?",IF(COUNTIF($E56:$I56,"~?")&gt;0,", ","")&amp;"Soja","")&amp;IF(K56="?",IF(COUNTIF($E56:$J56,"~?")&gt;0,", ","")&amp;"Lait","")&amp;IF(L56="?",IF(COUNTIF($E56:$K56,"~?")&gt;0,", ","")&amp;"Fruits à coque","")&amp;IF(M56="?",IF(COUNTIF($E56:$L56,"~?")&gt;0,", ","")&amp;"Céleri","")&amp;IF(N56="?",IF(COUNTIF($E56:$M56,"~?")&gt;0,", ","")&amp;"Moutarde","")&amp;IF(O56="?",IF(COUNTIF($E56:$N56,"~?")&gt;0,", ","")&amp;"Sésame","")&amp;IF(P56="?",IF(COUNTIF($E56:$O56,"~?")&gt;0,", ","")&amp;"Sulfites","")&amp;IF(Q56="?",IF(COUNTIF($E56:$P56,"~?")&gt;0,", ","")&amp;"Lupin","")&amp;IF(R56="?",IF(COUNTIF($E56:$Q56,"~?")&gt;0,", ","")&amp;"Mollusques","")),"")</f>
        <v/>
      </c>
      <c r="U56" s="1368" t="str">
        <f>IF(56=56,IF($B56="","",$B56),"")</f>
        <v>Tomates fraîches ou en cubes surgelés</v>
      </c>
      <c r="V56" s="1368" t="str">
        <f>IF(56=56,LOWER(CLEAN(SUBSTITUTE(SUBSTITUTE(SUBSTITUTE(SUBSTITUTE($U56,CHAR(160)," ")," "," "),CHAR(10)," "),CHAR(13)," "))),"")</f>
        <v>tomates fraîches ou en cubes surgelés</v>
      </c>
      <c r="W56" s="1368" t="str">
        <f>IF(56=56,SUBSTITUTE(SUBSTITUTE(SUBSTITUTE(SUBSTITUTE(SUBSTITUTE(SUBSTITUTE(SUBSTITUTE(SUBSTITUTE(SUBSTITUTE(SUBSTITUTE(SUBSTITUTE(SUBSTITUTE($V56,"œ","oe"),"æ","ae"),"à","a"),"á","a"),"â","a"),"ä","a"),"ã","a"),"ç","c"),"è","e"),"é","e"),"ê","e"),"ë","e"),"")</f>
        <v>tomates fraîches ou en cubes surgeles</v>
      </c>
      <c r="X56" s="1368" t="str">
        <f>IF(56=56,SUBSTITUTE(SUBSTITUTE(SUBSTITUTE(SUBSTITUTE(SUBSTITUTE(SUBSTITUTE(SUBSTITUTE(SUBSTITUTE(SUBSTITUTE(SUBSTITUTE(SUBSTITUTE(SUBSTITUTE(SUBSTITUTE(SUBSTITUTE(SUBSTITUTE(SUBSTITUTE($W56,"ì","i"),"í","i"),"î","i"),"ï","i"),"ñ","n"),"ò","o"),"ó","o"),"ô","o"),"ö","o"),"õ","o"),"ù","u"),"ú","u"),"û","u"),"ü","u"),"ý","y"),"ÿ","y"),"")</f>
        <v>tomates fraiches ou en cubes surgeles</v>
      </c>
      <c r="Y56" s="1368" t="str">
        <f>IF(56=56,SUBSTITUTE(SUBSTITUTE(SUBSTITUTE(SUBSTITUTE(SUBSTITUTE(SUBSTITUTE(SUBSTITUTE(SUBSTITUTE(SUBSTITUTE(SUBSTITUTE(SUBSTITUTE(SUBSTITUTE(SUBSTITUTE(SUBSTITUTE($X56,"’"," "),"`"," "),"–"," "),"—"," "),"-"," "),"'"," "),"/"," "),"_"," "),","," "),"."," "),"("," "),")"," "),";"," "),":"," "),"")</f>
        <v>tomates fraiches ou en cubes surgeles</v>
      </c>
      <c r="Z56" s="1368" t="str">
        <f>IF(56=56,SUBSTITUTE(SUBSTITUTE(SUBSTITUTE(SUBSTITUTE(SUBSTITUTE(SUBSTITUTE(SUBSTITUTE(SUBSTITUTE(SUBSTITUTE(SUBSTITUTE(SUBSTITUTE(SUBSTITUTE(SUBSTITUTE(SUBSTITUTE(SUBSTITUTE($Y56,"!"," "),"?"," "),"+"," "),"*"," "),"&amp;"," "),"["," "),"]"," "),"{"," "),"}"," "),"%"," "),"="," "),"\"," "),"|"," "),"&lt;"," "),"&gt;"," "),"")</f>
        <v>tomates fraiches ou en cubes surgeles</v>
      </c>
      <c r="AA56" s="1368" t="str">
        <f>IF(56=56," "&amp;TRIM(SUBSTITUTE(SUBSTITUTE(SUBSTITUTE(SUBSTITUTE(SUBSTITUTE(SUBSTITUTE($Z56,CHAR(34)," "),"  "," "),"  "," "),"  "," "),"  "," "),"  "," "))&amp;" ","")</f>
        <v xml:space="preserve"> tomates fraiches ou en cubes surgeles </v>
      </c>
      <c r="AB56" s="1368">
        <f>IF(56=56,IF($U56="","",SUMPRODUCT(--ISNUMBER(SEARCH(" "&amp;$CR$2:$CR$101&amp;" ",$AD56)))),"")</f>
        <v>0</v>
      </c>
      <c r="AC56" s="1368">
        <f>IF(56=56,IF($U56="","",SUMPRODUCT(--ISNUMBER(SEARCH(" "&amp;$CR$102:$CR$151&amp;" ",$AD56)))),"")</f>
        <v>0</v>
      </c>
      <c r="AD56" s="1368" t="str">
        <f t="shared" si="1"/>
        <v xml:space="preserve"> tomates fraiches ou en cubes surgeles </v>
      </c>
      <c r="AE56" s="1368">
        <f t="shared" si="2"/>
        <v>0</v>
      </c>
      <c r="AF56" s="1368" t="str">
        <f>IF(56=56,IF($U56="","",IF(SUM(AB56:AC56)+SUMPRODUCT(--ISNUMBER(SEARCH(" "&amp;$CR$2418:$CR$2420&amp;" ",$AD56)))&gt;0,"X",IF(AE56&gt;0,"?",""))),"")</f>
        <v/>
      </c>
      <c r="AG56" s="1368">
        <f>IF(56=56,IF($U56="","",SUMPRODUCT(--ISNUMBER(SEARCH(" "&amp;$CR$206:$CR$305&amp;" ",$AA56)))),"")</f>
        <v>0</v>
      </c>
      <c r="AH56" s="1368">
        <f>IF(56=56,IF($U56="","",SUMPRODUCT(--ISNUMBER(SEARCH(" "&amp;$CR$306:$CR$340&amp;" ",$AA56)))),"")</f>
        <v>0</v>
      </c>
      <c r="AI56" s="1368" t="str">
        <f>IF(56=56,IF($U56="","",IF((SUM(AG56:AH56))-(0)&gt;0,"X",IF((0)-(0)&gt;0,"?",""))),"")</f>
        <v/>
      </c>
      <c r="AJ56" s="1368">
        <f>IF(56=56,IF($U56="","",SUMPRODUCT(--ISNUMBER(SEARCH(" "&amp;$CR$341:$CR$398&amp;" ",$AA56)))),"")</f>
        <v>0</v>
      </c>
      <c r="AK56" s="1368">
        <f>IF(56=56,IF($U56="","",SUMPRODUCT(--ISNUMBER(SEARCH(" "&amp;$CR$399:$CR$426&amp;" ",$AL56)))+SUMPRODUCT(--ISNUMBER(SEARCH(" "&amp;$CR$2440:$CR$2453&amp;" ",$AL56)))),"")</f>
        <v>0</v>
      </c>
      <c r="AL56" s="1368" t="str">
        <f>IF(56=56,IF($U56="","",SUBSTITUTE(SUBSTITUTE(SUBSTITUTE(SUBSTITUTE(SUBSTITUTE(SUBSTITUTE(SUBSTITUTE(SUBSTITUTE(SUBSTITUTE(SUBSTITUTE(SUBSTITUTE(SUBSTITUTE(SUBSTITUTE(SUBSTITUTE($AA56," "&amp;$CR$2455&amp;" "," ")," "&amp;$CR$433&amp;" "," ")," "&amp;$CR$431&amp;" "," ")," "&amp;$CR$2438&amp;" "," ")," "&amp;$CR$2439&amp;" "," ")," "&amp;$CR$428&amp;" "," ")," "&amp;$CR$432&amp;" "," ")," "&amp;$CR$434&amp;" "," ")," "&amp;$CR$429&amp;" "," ")," "&amp;$CR$427&amp;" "," ")," "&amp;$CR$1367&amp;" "," ")," "&amp;$CR$435&amp;" "," ")," "&amp;$CR$1366&amp;" "," ")," "&amp;$CR$430&amp;" "," ")),"")</f>
        <v xml:space="preserve"> tomates fraiches ou en cubes surgeles </v>
      </c>
      <c r="AM56" s="1368" t="str">
        <f>IF(56=56,IF($U56="","",IF(AJ56&gt;0,"X",IF(AK56&gt;0,"?",""))),"")</f>
        <v/>
      </c>
      <c r="AN56" s="1368">
        <f>IF(56=56,IF($U56="","",SUMPRODUCT(--ISNUMBER(SEARCH(" "&amp;$CR$436:$CR$535&amp;" ",$AX56)))),"")</f>
        <v>0</v>
      </c>
      <c r="AO56" s="1368">
        <f>IF(56=56,IF($U56="","",SUMPRODUCT(--ISNUMBER(SEARCH(" "&amp;$CR$536:$CR$635&amp;" ",$AX56)))),"")</f>
        <v>0</v>
      </c>
      <c r="AP56" s="1368">
        <f>IF(56=56,IF($U56="","",SUMPRODUCT(--ISNUMBER(SEARCH(" "&amp;$CR$636:$CR$735&amp;" ",$AX56)))),"")</f>
        <v>0</v>
      </c>
      <c r="AQ56" s="1368">
        <f>IF(56=56,IF($U56="","",SUMPRODUCT(--ISNUMBER(SEARCH(" "&amp;$CR$736:$CR$835&amp;" ",$AX56)))),"")</f>
        <v>0</v>
      </c>
      <c r="AR56" s="1368">
        <f>IF(56=56,IF($U56="","",SUMPRODUCT(--ISNUMBER(SEARCH(" "&amp;$CR$836:$CR$935&amp;" ",$AX56)))),"")</f>
        <v>0</v>
      </c>
      <c r="AS56" s="1368">
        <f>IF(56=56,IF($U56="","",SUMPRODUCT(--ISNUMBER(SEARCH(" "&amp;$CR$936:$CR$1035&amp;" ",$AX56)))),"")</f>
        <v>0</v>
      </c>
      <c r="AT56" s="1368">
        <f>IF(56=56,IF($U56="","",SUMPRODUCT(--ISNUMBER(SEARCH(" "&amp;$CR$1036:$CR$1135&amp;" ",$AX56)))),"")</f>
        <v>0</v>
      </c>
      <c r="AU56" s="1368">
        <f>IF(56=56,IF($U56="","",SUMPRODUCT(--ISNUMBER(SEARCH(" "&amp;$CR$1136:$CR$1235&amp;" ",$AX56)))),"")</f>
        <v>0</v>
      </c>
      <c r="AV56" s="1368">
        <f>IF(56=56,IF($U56="","",SUMPRODUCT(--ISNUMBER(SEARCH(" "&amp;$CR$1236:$CR$1335&amp;" ",$AX56)))),"")</f>
        <v>0</v>
      </c>
      <c r="AW56" s="1368">
        <f>IF(56=56,IF($U56="","",SUMPRODUCT(--ISNUMBER(SEARCH(" "&amp;$CR$1336:$CR$1363&amp;" ",$AX56)))),"")</f>
        <v>0</v>
      </c>
      <c r="AX56" s="1368" t="str">
        <f>IF(56=56,IF($U56="","",SUBSTITUTE(SUBSTITUTE(SUBSTITUTE(SUBSTITUTE(SUBSTITUTE(SUBSTITUTE(SUBSTITUTE(SUBSTITUTE(SUBSTITUTE($AA56," "&amp;$CR$1365&amp;" "," ")," "&amp;$CR$1364&amp;" "," ")," "&amp;$CR$1370&amp;" "," ")," "&amp;$CR$1371&amp;" "," ")," "&amp;$CR$1367&amp;" "," ")," "&amp;$CR$1369&amp;" "," ")," "&amp;$CR$1366&amp;" "," ")," "&amp;$CR$1368&amp;" "," ")," "&amp;$CR$1372&amp;" "," ")),"")</f>
        <v xml:space="preserve"> tomates fraiches ou en cubes surgeles </v>
      </c>
      <c r="AY56" s="1368">
        <f>IF(56=56,IF($U56="","",SUMPRODUCT(--ISNUMBER(SEARCH(" "&amp;$CR$1373:$CR$1383&amp;" ",$AX56)))),"")</f>
        <v>0</v>
      </c>
      <c r="AZ56" s="1368" t="str">
        <f>IF(56=56,IF($U56="","",IF(SUM(AN56:AW56)+SUMPRODUCT(--ISNUMBER(SEARCH(" "&amp;$CR$2421:$CR$2422&amp;" ",$AX56)))&gt;0,"X",IF(AY56&gt;0,"?",""))),"")</f>
        <v/>
      </c>
      <c r="BA56" s="1368">
        <f>IF(56=56,IF($U56="","",SUMPRODUCT(--ISNUMBER(SEARCH(" "&amp;$CR$1384:$CR$1404&amp;" ",$AA56)))),"")</f>
        <v>0</v>
      </c>
      <c r="BB56" s="1368" t="str">
        <f>IF(56=56,IF($U56="","",IF((BA56)-(0)&gt;0,"X",IF((0)-(0)&gt;0,"?",""))),"")</f>
        <v/>
      </c>
      <c r="BC56" s="1368">
        <f>IF(56=56,IF($U56="","",SUMPRODUCT(--ISNUMBER(SEARCH(" "&amp;$CR$1405:$CR$1442&amp;" ",$BD56)))),"")</f>
        <v>0</v>
      </c>
      <c r="BD56" s="1368" t="str">
        <f>IF(56=56,IF($U56="","",SUBSTITUTE(SUBSTITUTE($AA56," "&amp;$CR$1443&amp;" "," ")," "&amp;$CR$1444&amp;" "," ")),"")</f>
        <v xml:space="preserve"> tomates fraiches ou en cubes surgeles </v>
      </c>
      <c r="BE56" s="1368">
        <f>IF(56=56,IF($U56="","",SUMPRODUCT(--ISNUMBER(SEARCH(" "&amp;$CR$1445:$CR$1455&amp;" ",$BD56)))),"")</f>
        <v>0</v>
      </c>
      <c r="BF56" s="1368" t="str">
        <f>IF(56=56,IF($U56="","",IF(BC56&gt;0,"X",IF(BE56&gt;0,"?",""))),"")</f>
        <v/>
      </c>
      <c r="BG56" s="1368">
        <f>IF(56=56,IF($U56="","",SUMPRODUCT(--ISNUMBER(SEARCH(" "&amp;$CR$1456:$CR$1555&amp;" ",$BJ56)))),"")</f>
        <v>0</v>
      </c>
      <c r="BH56" s="1368">
        <f>IF(56=56,IF($U56="","",SUMPRODUCT(--ISNUMBER(SEARCH(" "&amp;$CR$1556:$CR$1655&amp;" ",$BJ56)))),"")</f>
        <v>0</v>
      </c>
      <c r="BI56" s="1368">
        <f>IF(56=56,IF($U56="","",SUMPRODUCT(--ISNUMBER(SEARCH(" "&amp;$CR$1656:$CR$1739&amp;" ",$BJ56)))),"")</f>
        <v>0</v>
      </c>
      <c r="BJ56" s="1368" t="str">
        <f>IF(56=56,IF($U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tomates fraiches ou en cubes surgeles </v>
      </c>
      <c r="BK56" s="1368">
        <f>IF(56=56,IF($U56="","",SUMPRODUCT(--ISNUMBER(SEARCH(" "&amp;$CR$1790:$CR$1869&amp;" ",$BL56)))+SUMPRODUCT(--ISNUMBER(SEARCH(" "&amp;$CR$2440:$CR$2453&amp;" ",$BL56)))),"")</f>
        <v>0</v>
      </c>
      <c r="BL56" s="1368" t="str">
        <f>IF(56=56,IF($U56="","",SUBSTITUTE(SUBSTITUTE(SUBSTITUTE(SUBSTITUTE(SUBSTITUTE(SUBSTITUTE(SUBSTITUTE(SUBSTITUTE(SUBSTITUTE(SUBSTITUTE(SUBSTITUTE(SUBSTITUTE(SUBSTITUTE($BJ56," "&amp;$CR$1876&amp;" "," ")," "&amp;$CR$1874&amp;" "," ")," "&amp;$CR$2438&amp;" "," ")," "&amp;$CR$2439&amp;" "," ")," "&amp;$CR$1871&amp;" "," ")," "&amp;$CR$1875&amp;" "," ")," "&amp;$CR$1877&amp;" "," ")," "&amp;$CR$1872&amp;" "," ")," "&amp;$CR$1870&amp;" "," ")," "&amp;$CR$1367&amp;" "," ")," "&amp;$CR$1878&amp;" "," ")," "&amp;$CR$1366&amp;" "," ")," "&amp;$CR$1873&amp;" "," ")),"")</f>
        <v xml:space="preserve"> tomates fraiches ou en cubes surgeles </v>
      </c>
      <c r="BM56" s="1368" t="str">
        <f>IF(56=56,IF($U56="","",IF(SUM(BG56:BI56)+SUMPRODUCT(--ISNUMBER(SEARCH(" "&amp;$CR$2423:$CR$2424&amp;" ",$BJ56)))&gt;0,"X",IF(BK56&gt;0,"?",""))),"")</f>
        <v/>
      </c>
      <c r="BN56" s="1368">
        <f>IF(56=56,IF($U56="","",SUMPRODUCT(--ISNUMBER(SEARCH(" "&amp;$CR$1879:$CR$1936&amp;" ",$BO56)))),"")</f>
        <v>0</v>
      </c>
      <c r="BO56" s="1368" t="str">
        <f>IF(56=56,IF($U56="","",SUBSTITUTE(SUBSTITUTE(SUBSTITUTE(SUBSTITUTE(SUBSTITUTE(SUBSTITUTE(SUBSTITUTE(SUBSTITUTE(SUBSTITUTE(SUBSTITUTE(SUBSTITUTE(SUBSTITUTE(SUBSTITUTE(SUBSTITUTE(SUBSTITUTE(SUBSTITUTE(SUBSTITUTE(SUBSTITUTE(SUBSTITUTE(SUBSTITUTE(SUBSTITUTE(SUBSTITUTE(SUBSTITUTE($AA56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tomates fraiches ou en cubes surgeles </v>
      </c>
      <c r="BP56" s="1368">
        <f>IF(56=56,IF($U56="","",SUMPRODUCT(--ISNUMBER(SEARCH(" "&amp;$CR$1960:$CR$1976&amp;" ",$BO56)))),"")</f>
        <v>0</v>
      </c>
      <c r="BQ56" s="1368" t="str">
        <f>IF(56=56,IF($U56="","",IF(BN56&gt;0,"X",IF(BP56&gt;0,"?",""))),"")</f>
        <v/>
      </c>
      <c r="BR56" s="1368">
        <f>IF(56=56,IF($U56="","",SUMPRODUCT(--ISNUMBER(SEARCH(" "&amp;$CR$1977:$CR$1990&amp;" ",$AA56)))),"")</f>
        <v>0</v>
      </c>
      <c r="BS56" s="1368">
        <f>IF(56=56,IF($U56="","",SUMPRODUCT(--ISNUMBER(SEARCH(" "&amp;$CR$1991:$CR$2005&amp;" ",$AA56)))),"")</f>
        <v>0</v>
      </c>
      <c r="BT56" s="1368" t="str">
        <f>IF(56=56,IF($U56="","",IF((BR56)-(0)&gt;0,"X",IF((BS56)-(0)&gt;0,"?",""))),"")</f>
        <v/>
      </c>
      <c r="BU56" s="1368">
        <f>IF(56=56,IF($U56="","",SUMPRODUCT(--ISNUMBER(SEARCH(" "&amp;$CR$2006:$CR$2023&amp;" ",$AA56)))),"")</f>
        <v>0</v>
      </c>
      <c r="BV56" s="1368">
        <f>IF(56=56,IF($U56="","",SUMPRODUCT(--ISNUMBER(SEARCH(" "&amp;$CR$2024:$CR$2038&amp;" ",$AA56)))),"")</f>
        <v>0</v>
      </c>
      <c r="BW56" s="1368" t="str">
        <f>IF(56=56,IF($U56="","",IF((BU56)-(0)&gt;0,"X",IF((BV56)-(0)&gt;0,"?",""))),"")</f>
        <v/>
      </c>
      <c r="BX56" s="1368">
        <f>IF(56=56,IF($U56="","",SUMPRODUCT(--ISNUMBER(SEARCH(" "&amp;$CR$2039:$CR$2057&amp;" ",$AA56)))),"")</f>
        <v>0</v>
      </c>
      <c r="BY56" s="1368">
        <f>IF(56=56,IF($U56="","",SUMPRODUCT(--ISNUMBER(SEARCH(" "&amp;$CR$2058:$CR$2072&amp;" ",$AA56)))),"")</f>
        <v>0</v>
      </c>
      <c r="BZ56" s="1368" t="str">
        <f>IF(56=56,IF($U56="","",IF((BX56)-(0)&gt;0,"X",IF((BY56)-(0)&gt;0,"?",""))),"")</f>
        <v/>
      </c>
      <c r="CA56" s="1368">
        <f>IF(56=56,IF($U56="","",SUMPRODUCT(--ISNUMBER(SEARCH(" "&amp;$CR$2073:$CR$2093&amp;" ",$AA56)))),"")</f>
        <v>0</v>
      </c>
      <c r="CB56" s="1368">
        <f>IF(56=56,IF($U56="","",SUMPRODUCT(--ISNUMBER(SEARCH(" "&amp;$CR$2094:$CR$2133&amp;" ",SUBSTITUTE(SUBSTITUTE($AA56," "&amp;$CR$1367&amp;" "," ")," "&amp;$CR$1366&amp;" "," "))))+--ISNUMBER(SEARCH("poiré",$V56))),"")</f>
        <v>0</v>
      </c>
      <c r="CC56" s="1368" t="str">
        <f>IF(56=56,IF($U56="","",IF(OR(CA56&gt;0,ISNUMBER(SEARCH(" vinaigre de vin ",$AA56)),ISNUMBER(SEARCH(" vinaigre au vin ",$AA56))),"X",IF(CB56&gt;0,"?",""))),"")</f>
        <v/>
      </c>
      <c r="CD56" s="1368">
        <f>IF(56=56,IF($U56="","",SUMPRODUCT(--ISNUMBER(SEARCH(" "&amp;$CR$2134:$CR$2146&amp;" ",$AA56)))),"")</f>
        <v>0</v>
      </c>
      <c r="CE56" s="1368">
        <f>IF(56=56,IF($U56="","",SUMPRODUCT(--ISNUMBER(SEARCH(" "&amp;$CR$2147:$CR$2152&amp;" ",$AA56)))),"")</f>
        <v>0</v>
      </c>
      <c r="CF56" s="1368" t="str">
        <f>IF(56=56,IF($U56="","",IF((CD56)-(0)&gt;0,"X",IF((CE56)-(0)&gt;0,"?",""))),"")</f>
        <v/>
      </c>
      <c r="CG56" s="1368">
        <f>IF(56=56,IF($U56="","",SUMPRODUCT(--ISNUMBER(SEARCH(" "&amp;$CR$2153:$CR$2252&amp;" ",$CJ56)))),"")</f>
        <v>0</v>
      </c>
      <c r="CH56" s="1368">
        <f>IF(56=56,IF($U56="","",SUMPRODUCT(--ISNUMBER(SEARCH(" "&amp;$CR$2253:$CR$2352&amp;" ",$CJ56)))),"")</f>
        <v>0</v>
      </c>
      <c r="CI56" s="1368">
        <f>IF(56=56,IF($U56="","",SUMPRODUCT(--ISNUMBER(SEARCH(" "&amp;$CR$2353:$CR$2395&amp;" ",$CJ56)))),"")</f>
        <v>0</v>
      </c>
      <c r="CJ56" s="1368" t="str">
        <f>IF(56=56,IF($U56="","",SUBSTITUTE(SUBSTITUTE(SUBSTITUTE(SUBSTITUTE(SUBSTITUTE(SUBSTITUTE(SUBSTITUTE(SUBSTITUTE(SUBSTITUTE(SUBSTITUTE(SUBSTITUTE(SUBSTITUTE(SUBSTITUTE(SUBSTITUTE(SUBSTITUTE(SUBSTITUTE($AA56," "&amp;$CR$2401&amp;" "," ")," "&amp;$CR$2400&amp;" "," ")," "&amp;$CR$2399&amp;" "," ")," "&amp;$CR$2406&amp;" "," ")," "&amp;$CR$2398&amp;" "," ")," "&amp;$CR$2410&amp;" "," ")," "&amp;$CR$2397&amp;" "," ")," "&amp;$CR$2402&amp;" "," ")," "&amp;$CR$2405&amp;" "," ")," "&amp;$CR$2396&amp;" "," ")," "&amp;$CR$2404&amp;" "," ")," "&amp;$CR$2411&amp;" "," ")," "&amp;$CR$2408&amp;" "," ")," "&amp;$CR$2403&amp;" "," ")," "&amp;$CR$2407&amp;" "," ")," "&amp;$CR$2409&amp;" "," ")),"")</f>
        <v xml:space="preserve"> tomates fraiches ou en cubes surgeles </v>
      </c>
      <c r="CK56" s="1368">
        <f>IF(56=56,IF($U56="","",SUMPRODUCT(--ISNUMBER(SEARCH(" "&amp;$CR$2412:$CR$2416&amp;" ",$CJ56)))),"")</f>
        <v>0</v>
      </c>
      <c r="CL56" s="1368" t="str">
        <f>IF(56=56,IF($U56="","",IF(SUM(CG56:CI56)&gt;0,"X",IF(CK56&gt;0,"?",""))),"")</f>
        <v/>
      </c>
      <c r="CM56" s="1377"/>
      <c r="CN56" s="1388" t="s">
        <v>8357</v>
      </c>
      <c r="CO56" s="1388" t="s">
        <v>8105</v>
      </c>
      <c r="CP56" s="1388" t="s">
        <v>8106</v>
      </c>
      <c r="CQ56" s="1388" t="s">
        <v>8358</v>
      </c>
      <c r="CR56" s="1388" t="s">
        <v>8358</v>
      </c>
      <c r="CS56" s="1388" t="s">
        <v>8108</v>
      </c>
      <c r="CT56" s="1388" t="s">
        <v>8109</v>
      </c>
      <c r="CU56" s="1388" t="s">
        <v>8110</v>
      </c>
      <c r="CV56" s="1389" t="s">
        <v>8111</v>
      </c>
      <c r="CX56" s="1379">
        <v>1</v>
      </c>
    </row>
    <row r="57" spans="1:102" ht="21" customHeight="1" x14ac:dyDescent="0.25">
      <c r="A57" s="1412">
        <v>51</v>
      </c>
      <c r="B57" s="1413" t="s">
        <v>8359</v>
      </c>
      <c r="C57" s="1414" t="str">
        <f t="shared" si="0"/>
        <v>Vin blanc ?</v>
      </c>
      <c r="D57" s="1415" t="str">
        <f>IF(57=57,IF($B57="","",IF(E57="X",""&amp;"Céréales contenant du gluten","")&amp;IF(F57="X",IF(COUNTIF($E57:$E57,"X")&gt;0,", ","")&amp;"Crustacés","")&amp;IF(G57="X",IF(COUNTIF($E57:$F57,"X")&gt;0,", ","")&amp;"Œufs","")&amp;IF(H57="X",IF(COUNTIF($E57:$G57,"X")&gt;0,", ","")&amp;"Poissons","")&amp;IF(I57="X",IF(COUNTIF($E57:$H57,"X")&gt;0,", ","")&amp;"Arachides","")&amp;IF(J57="X",IF(COUNTIF($E57:$I57,"X")&gt;0,", ","")&amp;"Soja","")&amp;IF(K57="X",IF(COUNTIF($E57:$J57,"X")&gt;0,", ","")&amp;"Lait","")&amp;IF(L57="X",IF(COUNTIF($E57:$K57,"X")&gt;0,", ","")&amp;"Fruits à coque","")&amp;IF(M57="X",IF(COUNTIF($E57:$L57,"X")&gt;0,", ","")&amp;"Céleri","")&amp;IF(N57="X",IF(COUNTIF($E57:$M57,"X")&gt;0,", ","")&amp;"Moutarde","")&amp;IF(O57="X",IF(COUNTIF($E57:$N57,"X")&gt;0,", ","")&amp;"Sésame","")&amp;IF(P57="X",IF(COUNTIF($E57:$O57,"X")&gt;0,", ","")&amp;"Sulfites","")&amp;IF(Q57="X",IF(COUNTIF($E57:$P57,"X")&gt;0,", ","")&amp;"Lupin","")&amp;IF(R57="X",IF(COUNTIF($E57:$Q57,"X")&gt;0,", ","")&amp;"Mollusques","")),"")</f>
        <v/>
      </c>
      <c r="E57" s="1416" t="str">
        <f>IF(57=57,IF($B57="","",AF57),"")</f>
        <v/>
      </c>
      <c r="F57" s="1416" t="str">
        <f>IF(57=57,IF($B57="","",AI57),"")</f>
        <v/>
      </c>
      <c r="G57" s="1416" t="str">
        <f>IF(57=57,IF($B57="","",AM57),"")</f>
        <v>?</v>
      </c>
      <c r="H57" s="1416" t="str">
        <f>IF(57=57,IF($B57="","",IF(ISNUMBER(SEARCH(" colin ",$AA57)),"X",AZ57)),"")</f>
        <v/>
      </c>
      <c r="I57" s="1416" t="str">
        <f>IF(57=57,IF($B57="","",BB57),"")</f>
        <v/>
      </c>
      <c r="J57" s="1416" t="str">
        <f>IF(57=57,IF($B57="","",BF57),"")</f>
        <v/>
      </c>
      <c r="K57" s="1416" t="str">
        <f>IF(57=57,IF($B57="","",BM57),"")</f>
        <v>?</v>
      </c>
      <c r="L57" s="1416" t="str">
        <f>IF(57=57,IF($B57="","",BQ57),"")</f>
        <v/>
      </c>
      <c r="M57" s="1416" t="str">
        <f>IF(57=57,IF($B57="","",BT57),"")</f>
        <v/>
      </c>
      <c r="N57" s="1416" t="str">
        <f>IF(57=57,IF($B57="","",BW57),"")</f>
        <v/>
      </c>
      <c r="O57" s="1416" t="str">
        <f>IF(57=57,IF($B57="","",BZ57),"")</f>
        <v/>
      </c>
      <c r="P57" s="1416" t="str">
        <f>IF(57=57,IF($B57="","",CC57),"")</f>
        <v>?</v>
      </c>
      <c r="Q57" s="1416" t="str">
        <f>IF(57=57,IF($B57="","",CF57),"")</f>
        <v/>
      </c>
      <c r="R57" s="1416" t="str">
        <f>IF(57=57,IF($B57="","",CL57),"")</f>
        <v/>
      </c>
      <c r="S57" s="1417" t="str">
        <f>IF(57=57,IF($B57="","",IF(E57="?",""&amp;"Céréales contenant du gluten","")&amp;IF(F57="?",IF(COUNTIF($E57:$E57,"~?")&gt;0,", ","")&amp;"Crustacés","")&amp;IF(G57="?",IF(COUNTIF($E57:$F57,"~?")&gt;0,", ","")&amp;"Œufs","")&amp;IF(H57="?",IF(COUNTIF($E57:$G57,"~?")&gt;0,", ","")&amp;"Poissons","")&amp;IF(I57="?",IF(COUNTIF($E57:$H57,"~?")&gt;0,", ","")&amp;"Arachides","")&amp;IF(J57="?",IF(COUNTIF($E57:$I57,"~?")&gt;0,", ","")&amp;"Soja","")&amp;IF(K57="?",IF(COUNTIF($E57:$J57,"~?")&gt;0,", ","")&amp;"Lait","")&amp;IF(L57="?",IF(COUNTIF($E57:$K57,"~?")&gt;0,", ","")&amp;"Fruits à coque","")&amp;IF(M57="?",IF(COUNTIF($E57:$L57,"~?")&gt;0,", ","")&amp;"Céleri","")&amp;IF(N57="?",IF(COUNTIF($E57:$M57,"~?")&gt;0,", ","")&amp;"Moutarde","")&amp;IF(O57="?",IF(COUNTIF($E57:$N57,"~?")&gt;0,", ","")&amp;"Sésame","")&amp;IF(P57="?",IF(COUNTIF($E57:$O57,"~?")&gt;0,", ","")&amp;"Sulfites","")&amp;IF(Q57="?",IF(COUNTIF($E57:$P57,"~?")&gt;0,", ","")&amp;"Lupin","")&amp;IF(R57="?",IF(COUNTIF($E57:$Q57,"~?")&gt;0,", ","")&amp;"Mollusques","")),"")</f>
        <v>Œufs, Lait, Sulfites</v>
      </c>
      <c r="U57" s="1368" t="str">
        <f>IF(57=57,IF($B57="","",$B57),"")</f>
        <v xml:space="preserve">Vin blanc </v>
      </c>
      <c r="V57" s="1368" t="str">
        <f>IF(57=57,LOWER(CLEAN(SUBSTITUTE(SUBSTITUTE(SUBSTITUTE(SUBSTITUTE($U57,CHAR(160)," ")," "," "),CHAR(10)," "),CHAR(13)," "))),"")</f>
        <v xml:space="preserve">vin blanc </v>
      </c>
      <c r="W57" s="1368" t="str">
        <f>IF(57=57,SUBSTITUTE(SUBSTITUTE(SUBSTITUTE(SUBSTITUTE(SUBSTITUTE(SUBSTITUTE(SUBSTITUTE(SUBSTITUTE(SUBSTITUTE(SUBSTITUTE(SUBSTITUTE(SUBSTITUTE($V57,"œ","oe"),"æ","ae"),"à","a"),"á","a"),"â","a"),"ä","a"),"ã","a"),"ç","c"),"è","e"),"é","e"),"ê","e"),"ë","e"),"")</f>
        <v xml:space="preserve">vin blanc </v>
      </c>
      <c r="X57" s="1368" t="str">
        <f>IF(57=57,SUBSTITUTE(SUBSTITUTE(SUBSTITUTE(SUBSTITUTE(SUBSTITUTE(SUBSTITUTE(SUBSTITUTE(SUBSTITUTE(SUBSTITUTE(SUBSTITUTE(SUBSTITUTE(SUBSTITUTE(SUBSTITUTE(SUBSTITUTE(SUBSTITUTE(SUBSTITUTE($W57,"ì","i"),"í","i"),"î","i"),"ï","i"),"ñ","n"),"ò","o"),"ó","o"),"ô","o"),"ö","o"),"õ","o"),"ù","u"),"ú","u"),"û","u"),"ü","u"),"ý","y"),"ÿ","y"),"")</f>
        <v xml:space="preserve">vin blanc </v>
      </c>
      <c r="Y57" s="1368" t="str">
        <f>IF(57=57,SUBSTITUTE(SUBSTITUTE(SUBSTITUTE(SUBSTITUTE(SUBSTITUTE(SUBSTITUTE(SUBSTITUTE(SUBSTITUTE(SUBSTITUTE(SUBSTITUTE(SUBSTITUTE(SUBSTITUTE(SUBSTITUTE(SUBSTITUTE($X57,"’"," "),"`"," "),"–"," "),"—"," "),"-"," "),"'"," "),"/"," "),"_"," "),","," "),"."," "),"("," "),")"," "),";"," "),":"," "),"")</f>
        <v xml:space="preserve">vin blanc </v>
      </c>
      <c r="Z57" s="1368" t="str">
        <f>IF(57=57,SUBSTITUTE(SUBSTITUTE(SUBSTITUTE(SUBSTITUTE(SUBSTITUTE(SUBSTITUTE(SUBSTITUTE(SUBSTITUTE(SUBSTITUTE(SUBSTITUTE(SUBSTITUTE(SUBSTITUTE(SUBSTITUTE(SUBSTITUTE(SUBSTITUTE($Y57,"!"," "),"?"," "),"+"," "),"*"," "),"&amp;"," "),"["," "),"]"," "),"{"," "),"}"," "),"%"," "),"="," "),"\"," "),"|"," "),"&lt;"," "),"&gt;"," "),"")</f>
        <v xml:space="preserve">vin blanc </v>
      </c>
      <c r="AA57" s="1368" t="str">
        <f>IF(57=57," "&amp;TRIM(SUBSTITUTE(SUBSTITUTE(SUBSTITUTE(SUBSTITUTE(SUBSTITUTE(SUBSTITUTE($Z57,CHAR(34)," "),"  "," "),"  "," "),"  "," "),"  "," "),"  "," "))&amp;" ","")</f>
        <v xml:space="preserve"> vin blanc </v>
      </c>
      <c r="AB57" s="1368">
        <f>IF(57=57,IF($U57="","",SUMPRODUCT(--ISNUMBER(SEARCH(" "&amp;$CR$2:$CR$101&amp;" ",$AD57)))),"")</f>
        <v>0</v>
      </c>
      <c r="AC57" s="1368">
        <f>IF(57=57,IF($U57="","",SUMPRODUCT(--ISNUMBER(SEARCH(" "&amp;$CR$102:$CR$151&amp;" ",$AD57)))),"")</f>
        <v>0</v>
      </c>
      <c r="AD57" s="1368" t="str">
        <f t="shared" si="1"/>
        <v xml:space="preserve"> vin blanc </v>
      </c>
      <c r="AE57" s="1368">
        <f t="shared" si="2"/>
        <v>0</v>
      </c>
      <c r="AF57" s="1368" t="str">
        <f>IF(57=57,IF($U57="","",IF(SUM(AB57:AC57)+SUMPRODUCT(--ISNUMBER(SEARCH(" "&amp;$CR$2418:$CR$2420&amp;" ",$AD57)))&gt;0,"X",IF(AE57&gt;0,"?",""))),"")</f>
        <v/>
      </c>
      <c r="AG57" s="1368">
        <f>IF(57=57,IF($U57="","",SUMPRODUCT(--ISNUMBER(SEARCH(" "&amp;$CR$206:$CR$305&amp;" ",$AA57)))),"")</f>
        <v>0</v>
      </c>
      <c r="AH57" s="1368">
        <f>IF(57=57,IF($U57="","",SUMPRODUCT(--ISNUMBER(SEARCH(" "&amp;$CR$306:$CR$340&amp;" ",$AA57)))),"")</f>
        <v>0</v>
      </c>
      <c r="AI57" s="1368" t="str">
        <f>IF(57=57,IF($U57="","",IF((SUM(AG57:AH57))-(0)&gt;0,"X",IF((0)-(0)&gt;0,"?",""))),"")</f>
        <v/>
      </c>
      <c r="AJ57" s="1368">
        <f>IF(57=57,IF($U57="","",SUMPRODUCT(--ISNUMBER(SEARCH(" "&amp;$CR$341:$CR$398&amp;" ",$AA57)))),"")</f>
        <v>0</v>
      </c>
      <c r="AK57" s="1368">
        <f>IF(57=57,IF($U57="","",SUMPRODUCT(--ISNUMBER(SEARCH(" "&amp;$CR$399:$CR$426&amp;" ",$AL57)))+SUMPRODUCT(--ISNUMBER(SEARCH(" "&amp;$CR$2440:$CR$2453&amp;" ",$AL57)))),"")</f>
        <v>1</v>
      </c>
      <c r="AL57" s="1368" t="str">
        <f>IF(57=57,IF($U57="","",SUBSTITUTE(SUBSTITUTE(SUBSTITUTE(SUBSTITUTE(SUBSTITUTE(SUBSTITUTE(SUBSTITUTE(SUBSTITUTE(SUBSTITUTE(SUBSTITUTE(SUBSTITUTE(SUBSTITUTE(SUBSTITUTE(SUBSTITUTE($AA57," "&amp;$CR$2455&amp;" "," ")," "&amp;$CR$433&amp;" "," ")," "&amp;$CR$431&amp;" "," ")," "&amp;$CR$2438&amp;" "," ")," "&amp;$CR$2439&amp;" "," ")," "&amp;$CR$428&amp;" "," ")," "&amp;$CR$432&amp;" "," ")," "&amp;$CR$434&amp;" "," ")," "&amp;$CR$429&amp;" "," ")," "&amp;$CR$427&amp;" "," ")," "&amp;$CR$1367&amp;" "," ")," "&amp;$CR$435&amp;" "," ")," "&amp;$CR$1366&amp;" "," ")," "&amp;$CR$430&amp;" "," ")),"")</f>
        <v xml:space="preserve"> vin blanc </v>
      </c>
      <c r="AM57" s="1368" t="str">
        <f>IF(57=57,IF($U57="","",IF(AJ57&gt;0,"X",IF(AK57&gt;0,"?",""))),"")</f>
        <v>?</v>
      </c>
      <c r="AN57" s="1368">
        <f>IF(57=57,IF($U57="","",SUMPRODUCT(--ISNUMBER(SEARCH(" "&amp;$CR$436:$CR$535&amp;" ",$AX57)))),"")</f>
        <v>0</v>
      </c>
      <c r="AO57" s="1368">
        <f>IF(57=57,IF($U57="","",SUMPRODUCT(--ISNUMBER(SEARCH(" "&amp;$CR$536:$CR$635&amp;" ",$AX57)))),"")</f>
        <v>0</v>
      </c>
      <c r="AP57" s="1368">
        <f>IF(57=57,IF($U57="","",SUMPRODUCT(--ISNUMBER(SEARCH(" "&amp;$CR$636:$CR$735&amp;" ",$AX57)))),"")</f>
        <v>0</v>
      </c>
      <c r="AQ57" s="1368">
        <f>IF(57=57,IF($U57="","",SUMPRODUCT(--ISNUMBER(SEARCH(" "&amp;$CR$736:$CR$835&amp;" ",$AX57)))),"")</f>
        <v>0</v>
      </c>
      <c r="AR57" s="1368">
        <f>IF(57=57,IF($U57="","",SUMPRODUCT(--ISNUMBER(SEARCH(" "&amp;$CR$836:$CR$935&amp;" ",$AX57)))),"")</f>
        <v>0</v>
      </c>
      <c r="AS57" s="1368">
        <f>IF(57=57,IF($U57="","",SUMPRODUCT(--ISNUMBER(SEARCH(" "&amp;$CR$936:$CR$1035&amp;" ",$AX57)))),"")</f>
        <v>0</v>
      </c>
      <c r="AT57" s="1368">
        <f>IF(57=57,IF($U57="","",SUMPRODUCT(--ISNUMBER(SEARCH(" "&amp;$CR$1036:$CR$1135&amp;" ",$AX57)))),"")</f>
        <v>0</v>
      </c>
      <c r="AU57" s="1368">
        <f>IF(57=57,IF($U57="","",SUMPRODUCT(--ISNUMBER(SEARCH(" "&amp;$CR$1136:$CR$1235&amp;" ",$AX57)))),"")</f>
        <v>0</v>
      </c>
      <c r="AV57" s="1368">
        <f>IF(57=57,IF($U57="","",SUMPRODUCT(--ISNUMBER(SEARCH(" "&amp;$CR$1236:$CR$1335&amp;" ",$AX57)))),"")</f>
        <v>0</v>
      </c>
      <c r="AW57" s="1368">
        <f>IF(57=57,IF($U57="","",SUMPRODUCT(--ISNUMBER(SEARCH(" "&amp;$CR$1336:$CR$1363&amp;" ",$AX57)))),"")</f>
        <v>0</v>
      </c>
      <c r="AX57" s="1368" t="str">
        <f>IF(57=57,IF($U57="","",SUBSTITUTE(SUBSTITUTE(SUBSTITUTE(SUBSTITUTE(SUBSTITUTE(SUBSTITUTE(SUBSTITUTE(SUBSTITUTE(SUBSTITUTE($AA57," "&amp;$CR$1365&amp;" "," ")," "&amp;$CR$1364&amp;" "," ")," "&amp;$CR$1370&amp;" "," ")," "&amp;$CR$1371&amp;" "," ")," "&amp;$CR$1367&amp;" "," ")," "&amp;$CR$1369&amp;" "," ")," "&amp;$CR$1366&amp;" "," ")," "&amp;$CR$1368&amp;" "," ")," "&amp;$CR$1372&amp;" "," ")),"")</f>
        <v xml:space="preserve"> vin blanc </v>
      </c>
      <c r="AY57" s="1368">
        <f>IF(57=57,IF($U57="","",SUMPRODUCT(--ISNUMBER(SEARCH(" "&amp;$CR$1373:$CR$1383&amp;" ",$AX57)))),"")</f>
        <v>0</v>
      </c>
      <c r="AZ57" s="1368" t="str">
        <f>IF(57=57,IF($U57="","",IF(SUM(AN57:AW57)+SUMPRODUCT(--ISNUMBER(SEARCH(" "&amp;$CR$2421:$CR$2422&amp;" ",$AX57)))&gt;0,"X",IF(AY57&gt;0,"?",""))),"")</f>
        <v/>
      </c>
      <c r="BA57" s="1368">
        <f>IF(57=57,IF($U57="","",SUMPRODUCT(--ISNUMBER(SEARCH(" "&amp;$CR$1384:$CR$1404&amp;" ",$AA57)))),"")</f>
        <v>0</v>
      </c>
      <c r="BB57" s="1368" t="str">
        <f>IF(57=57,IF($U57="","",IF((BA57)-(0)&gt;0,"X",IF((0)-(0)&gt;0,"?",""))),"")</f>
        <v/>
      </c>
      <c r="BC57" s="1368">
        <f>IF(57=57,IF($U57="","",SUMPRODUCT(--ISNUMBER(SEARCH(" "&amp;$CR$1405:$CR$1442&amp;" ",$BD57)))),"")</f>
        <v>0</v>
      </c>
      <c r="BD57" s="1368" t="str">
        <f>IF(57=57,IF($U57="","",SUBSTITUTE(SUBSTITUTE($AA57," "&amp;$CR$1443&amp;" "," ")," "&amp;$CR$1444&amp;" "," ")),"")</f>
        <v xml:space="preserve"> vin blanc </v>
      </c>
      <c r="BE57" s="1368">
        <f>IF(57=57,IF($U57="","",SUMPRODUCT(--ISNUMBER(SEARCH(" "&amp;$CR$1445:$CR$1455&amp;" ",$BD57)))),"")</f>
        <v>0</v>
      </c>
      <c r="BF57" s="1368" t="str">
        <f>IF(57=57,IF($U57="","",IF(BC57&gt;0,"X",IF(BE57&gt;0,"?",""))),"")</f>
        <v/>
      </c>
      <c r="BG57" s="1368">
        <f>IF(57=57,IF($U57="","",SUMPRODUCT(--ISNUMBER(SEARCH(" "&amp;$CR$1456:$CR$1555&amp;" ",$BJ57)))),"")</f>
        <v>0</v>
      </c>
      <c r="BH57" s="1368">
        <f>IF(57=57,IF($U57="","",SUMPRODUCT(--ISNUMBER(SEARCH(" "&amp;$CR$1556:$CR$1655&amp;" ",$BJ57)))),"")</f>
        <v>0</v>
      </c>
      <c r="BI57" s="1368">
        <f>IF(57=57,IF($U57="","",SUMPRODUCT(--ISNUMBER(SEARCH(" "&amp;$CR$1656:$CR$1739&amp;" ",$BJ57)))),"")</f>
        <v>0</v>
      </c>
      <c r="BJ57" s="1368" t="str">
        <f>IF(57=57,IF($U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vin blanc </v>
      </c>
      <c r="BK57" s="1368">
        <f>IF(57=57,IF($U57="","",SUMPRODUCT(--ISNUMBER(SEARCH(" "&amp;$CR$1790:$CR$1869&amp;" ",$BL57)))+SUMPRODUCT(--ISNUMBER(SEARCH(" "&amp;$CR$2440:$CR$2453&amp;" ",$BL57)))),"")</f>
        <v>1</v>
      </c>
      <c r="BL57" s="1368" t="str">
        <f>IF(57=57,IF($U57="","",SUBSTITUTE(SUBSTITUTE(SUBSTITUTE(SUBSTITUTE(SUBSTITUTE(SUBSTITUTE(SUBSTITUTE(SUBSTITUTE(SUBSTITUTE(SUBSTITUTE(SUBSTITUTE(SUBSTITUTE(SUBSTITUTE($BJ57," "&amp;$CR$1876&amp;" "," ")," "&amp;$CR$1874&amp;" "," ")," "&amp;$CR$2438&amp;" "," ")," "&amp;$CR$2439&amp;" "," ")," "&amp;$CR$1871&amp;" "," ")," "&amp;$CR$1875&amp;" "," ")," "&amp;$CR$1877&amp;" "," ")," "&amp;$CR$1872&amp;" "," ")," "&amp;$CR$1870&amp;" "," ")," "&amp;$CR$1367&amp;" "," ")," "&amp;$CR$1878&amp;" "," ")," "&amp;$CR$1366&amp;" "," ")," "&amp;$CR$1873&amp;" "," ")),"")</f>
        <v xml:space="preserve"> vin blanc </v>
      </c>
      <c r="BM57" s="1368" t="str">
        <f>IF(57=57,IF($U57="","",IF(SUM(BG57:BI57)+SUMPRODUCT(--ISNUMBER(SEARCH(" "&amp;$CR$2423:$CR$2424&amp;" ",$BJ57)))&gt;0,"X",IF(BK57&gt;0,"?",""))),"")</f>
        <v>?</v>
      </c>
      <c r="BN57" s="1368">
        <f>IF(57=57,IF($U57="","",SUMPRODUCT(--ISNUMBER(SEARCH(" "&amp;$CR$1879:$CR$1936&amp;" ",$BO57)))),"")</f>
        <v>0</v>
      </c>
      <c r="BO57" s="1368" t="str">
        <f>IF(57=57,IF($U57="","",SUBSTITUTE(SUBSTITUTE(SUBSTITUTE(SUBSTITUTE(SUBSTITUTE(SUBSTITUTE(SUBSTITUTE(SUBSTITUTE(SUBSTITUTE(SUBSTITUTE(SUBSTITUTE(SUBSTITUTE(SUBSTITUTE(SUBSTITUTE(SUBSTITUTE(SUBSTITUTE(SUBSTITUTE(SUBSTITUTE(SUBSTITUTE(SUBSTITUTE(SUBSTITUTE(SUBSTITUTE(SUBSTITUTE($AA57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vin blanc </v>
      </c>
      <c r="BP57" s="1368">
        <f>IF(57=57,IF($U57="","",SUMPRODUCT(--ISNUMBER(SEARCH(" "&amp;$CR$1960:$CR$1976&amp;" ",$BO57)))),"")</f>
        <v>0</v>
      </c>
      <c r="BQ57" s="1368" t="str">
        <f>IF(57=57,IF($U57="","",IF(BN57&gt;0,"X",IF(BP57&gt;0,"?",""))),"")</f>
        <v/>
      </c>
      <c r="BR57" s="1368">
        <f>IF(57=57,IF($U57="","",SUMPRODUCT(--ISNUMBER(SEARCH(" "&amp;$CR$1977:$CR$1990&amp;" ",$AA57)))),"")</f>
        <v>0</v>
      </c>
      <c r="BS57" s="1368">
        <f>IF(57=57,IF($U57="","",SUMPRODUCT(--ISNUMBER(SEARCH(" "&amp;$CR$1991:$CR$2005&amp;" ",$AA57)))),"")</f>
        <v>0</v>
      </c>
      <c r="BT57" s="1368" t="str">
        <f>IF(57=57,IF($U57="","",IF((BR57)-(0)&gt;0,"X",IF((BS57)-(0)&gt;0,"?",""))),"")</f>
        <v/>
      </c>
      <c r="BU57" s="1368">
        <f>IF(57=57,IF($U57="","",SUMPRODUCT(--ISNUMBER(SEARCH(" "&amp;$CR$2006:$CR$2023&amp;" ",$AA57)))),"")</f>
        <v>0</v>
      </c>
      <c r="BV57" s="1368">
        <f>IF(57=57,IF($U57="","",SUMPRODUCT(--ISNUMBER(SEARCH(" "&amp;$CR$2024:$CR$2038&amp;" ",$AA57)))),"")</f>
        <v>0</v>
      </c>
      <c r="BW57" s="1368" t="str">
        <f>IF(57=57,IF($U57="","",IF((BU57)-(0)&gt;0,"X",IF((BV57)-(0)&gt;0,"?",""))),"")</f>
        <v/>
      </c>
      <c r="BX57" s="1368">
        <f>IF(57=57,IF($U57="","",SUMPRODUCT(--ISNUMBER(SEARCH(" "&amp;$CR$2039:$CR$2057&amp;" ",$AA57)))),"")</f>
        <v>0</v>
      </c>
      <c r="BY57" s="1368">
        <f>IF(57=57,IF($U57="","",SUMPRODUCT(--ISNUMBER(SEARCH(" "&amp;$CR$2058:$CR$2072&amp;" ",$AA57)))),"")</f>
        <v>0</v>
      </c>
      <c r="BZ57" s="1368" t="str">
        <f>IF(57=57,IF($U57="","",IF((BX57)-(0)&gt;0,"X",IF((BY57)-(0)&gt;0,"?",""))),"")</f>
        <v/>
      </c>
      <c r="CA57" s="1368">
        <f>IF(57=57,IF($U57="","",SUMPRODUCT(--ISNUMBER(SEARCH(" "&amp;$CR$2073:$CR$2093&amp;" ",$AA57)))),"")</f>
        <v>0</v>
      </c>
      <c r="CB57" s="1368">
        <f>IF(57=57,IF($U57="","",SUMPRODUCT(--ISNUMBER(SEARCH(" "&amp;$CR$2094:$CR$2133&amp;" ",SUBSTITUTE(SUBSTITUTE($AA57," "&amp;$CR$1367&amp;" "," ")," "&amp;$CR$1366&amp;" "," "))))+--ISNUMBER(SEARCH("poiré",$V57))),"")</f>
        <v>2</v>
      </c>
      <c r="CC57" s="1368" t="str">
        <f>IF(57=57,IF($U57="","",IF(OR(CA57&gt;0,ISNUMBER(SEARCH(" vinaigre de vin ",$AA57)),ISNUMBER(SEARCH(" vinaigre au vin ",$AA57))),"X",IF(CB57&gt;0,"?",""))),"")</f>
        <v>?</v>
      </c>
      <c r="CD57" s="1368">
        <f>IF(57=57,IF($U57="","",SUMPRODUCT(--ISNUMBER(SEARCH(" "&amp;$CR$2134:$CR$2146&amp;" ",$AA57)))),"")</f>
        <v>0</v>
      </c>
      <c r="CE57" s="1368">
        <f>IF(57=57,IF($U57="","",SUMPRODUCT(--ISNUMBER(SEARCH(" "&amp;$CR$2147:$CR$2152&amp;" ",$AA57)))),"")</f>
        <v>0</v>
      </c>
      <c r="CF57" s="1368" t="str">
        <f>IF(57=57,IF($U57="","",IF((CD57)-(0)&gt;0,"X",IF((CE57)-(0)&gt;0,"?",""))),"")</f>
        <v/>
      </c>
      <c r="CG57" s="1368">
        <f>IF(57=57,IF($U57="","",SUMPRODUCT(--ISNUMBER(SEARCH(" "&amp;$CR$2153:$CR$2252&amp;" ",$CJ57)))),"")</f>
        <v>0</v>
      </c>
      <c r="CH57" s="1368">
        <f>IF(57=57,IF($U57="","",SUMPRODUCT(--ISNUMBER(SEARCH(" "&amp;$CR$2253:$CR$2352&amp;" ",$CJ57)))),"")</f>
        <v>0</v>
      </c>
      <c r="CI57" s="1368">
        <f>IF(57=57,IF($U57="","",SUMPRODUCT(--ISNUMBER(SEARCH(" "&amp;$CR$2353:$CR$2395&amp;" ",$CJ57)))),"")</f>
        <v>0</v>
      </c>
      <c r="CJ57" s="1368" t="str">
        <f>IF(57=57,IF($U57="","",SUBSTITUTE(SUBSTITUTE(SUBSTITUTE(SUBSTITUTE(SUBSTITUTE(SUBSTITUTE(SUBSTITUTE(SUBSTITUTE(SUBSTITUTE(SUBSTITUTE(SUBSTITUTE(SUBSTITUTE(SUBSTITUTE(SUBSTITUTE(SUBSTITUTE(SUBSTITUTE($AA57," "&amp;$CR$2401&amp;" "," ")," "&amp;$CR$2400&amp;" "," ")," "&amp;$CR$2399&amp;" "," ")," "&amp;$CR$2406&amp;" "," ")," "&amp;$CR$2398&amp;" "," ")," "&amp;$CR$2410&amp;" "," ")," "&amp;$CR$2397&amp;" "," ")," "&amp;$CR$2402&amp;" "," ")," "&amp;$CR$2405&amp;" "," ")," "&amp;$CR$2396&amp;" "," ")," "&amp;$CR$2404&amp;" "," ")," "&amp;$CR$2411&amp;" "," ")," "&amp;$CR$2408&amp;" "," ")," "&amp;$CR$2403&amp;" "," ")," "&amp;$CR$2407&amp;" "," ")," "&amp;$CR$2409&amp;" "," ")),"")</f>
        <v xml:space="preserve"> vin blanc </v>
      </c>
      <c r="CK57" s="1368">
        <f>IF(57=57,IF($U57="","",SUMPRODUCT(--ISNUMBER(SEARCH(" "&amp;$CR$2412:$CR$2416&amp;" ",$CJ57)))),"")</f>
        <v>0</v>
      </c>
      <c r="CL57" s="1368" t="str">
        <f>IF(57=57,IF($U57="","",IF(SUM(CG57:CI57)&gt;0,"X",IF(CK57&gt;0,"?",""))),"")</f>
        <v/>
      </c>
      <c r="CM57" s="1377"/>
      <c r="CN57" s="1388" t="s">
        <v>8360</v>
      </c>
      <c r="CO57" s="1388" t="s">
        <v>8105</v>
      </c>
      <c r="CP57" s="1388" t="s">
        <v>8106</v>
      </c>
      <c r="CQ57" s="1388" t="s">
        <v>8361</v>
      </c>
      <c r="CR57" s="1388" t="s">
        <v>8362</v>
      </c>
      <c r="CS57" s="1388" t="s">
        <v>8108</v>
      </c>
      <c r="CT57" s="1388" t="s">
        <v>8109</v>
      </c>
      <c r="CU57" s="1388" t="s">
        <v>8110</v>
      </c>
      <c r="CV57" s="1389" t="s">
        <v>8111</v>
      </c>
      <c r="CX57" s="1379">
        <v>1</v>
      </c>
    </row>
    <row r="58" spans="1:102" ht="21" customHeight="1" x14ac:dyDescent="0.25">
      <c r="A58" s="1412">
        <v>52</v>
      </c>
      <c r="B58" s="1413" t="s">
        <v>13451</v>
      </c>
      <c r="C58" s="1414" t="str">
        <f t="shared" si="0"/>
        <v>sucre glace</v>
      </c>
      <c r="D58" s="1415" t="str">
        <f>IF(58=58,IF($B58="","",IF(E58="X",""&amp;"Céréales contenant du gluten","")&amp;IF(F58="X",IF(COUNTIF($E58:$E58,"X")&gt;0,", ","")&amp;"Crustacés","")&amp;IF(G58="X",IF(COUNTIF($E58:$F58,"X")&gt;0,", ","")&amp;"Œufs","")&amp;IF(H58="X",IF(COUNTIF($E58:$G58,"X")&gt;0,", ","")&amp;"Poissons","")&amp;IF(I58="X",IF(COUNTIF($E58:$H58,"X")&gt;0,", ","")&amp;"Arachides","")&amp;IF(J58="X",IF(COUNTIF($E58:$I58,"X")&gt;0,", ","")&amp;"Soja","")&amp;IF(K58="X",IF(COUNTIF($E58:$J58,"X")&gt;0,", ","")&amp;"Lait","")&amp;IF(L58="X",IF(COUNTIF($E58:$K58,"X")&gt;0,", ","")&amp;"Fruits à coque","")&amp;IF(M58="X",IF(COUNTIF($E58:$L58,"X")&gt;0,", ","")&amp;"Céleri","")&amp;IF(N58="X",IF(COUNTIF($E58:$M58,"X")&gt;0,", ","")&amp;"Moutarde","")&amp;IF(O58="X",IF(COUNTIF($E58:$N58,"X")&gt;0,", ","")&amp;"Sésame","")&amp;IF(P58="X",IF(COUNTIF($E58:$O58,"X")&gt;0,", ","")&amp;"Sulfites","")&amp;IF(Q58="X",IF(COUNTIF($E58:$P58,"X")&gt;0,", ","")&amp;"Lupin","")&amp;IF(R58="X",IF(COUNTIF($E58:$Q58,"X")&gt;0,", ","")&amp;"Mollusques","")),"")</f>
        <v/>
      </c>
      <c r="E58" s="1416" t="str">
        <f>IF(58=58,IF($B58="","",AF58),"")</f>
        <v/>
      </c>
      <c r="F58" s="1416" t="str">
        <f>IF(58=58,IF($B58="","",AI58),"")</f>
        <v/>
      </c>
      <c r="G58" s="1416" t="str">
        <f>IF(58=58,IF($B58="","",AM58),"")</f>
        <v/>
      </c>
      <c r="H58" s="1416" t="str">
        <f>IF(58=58,IF($B58="","",IF(ISNUMBER(SEARCH(" colin ",$AA58)),"X",AZ58)),"")</f>
        <v/>
      </c>
      <c r="I58" s="1416" t="str">
        <f>IF(58=58,IF($B58="","",BB58),"")</f>
        <v/>
      </c>
      <c r="J58" s="1416" t="str">
        <f>IF(58=58,IF($B58="","",BF58),"")</f>
        <v/>
      </c>
      <c r="K58" s="1416" t="str">
        <f>IF(58=58,IF($B58="","",BM58),"")</f>
        <v/>
      </c>
      <c r="L58" s="1416" t="str">
        <f>IF(58=58,IF($B58="","",BQ58),"")</f>
        <v/>
      </c>
      <c r="M58" s="1416" t="str">
        <f>IF(58=58,IF($B58="","",BT58),"")</f>
        <v/>
      </c>
      <c r="N58" s="1416" t="str">
        <f>IF(58=58,IF($B58="","",BW58),"")</f>
        <v/>
      </c>
      <c r="O58" s="1416" t="str">
        <f>IF(58=58,IF($B58="","",BZ58),"")</f>
        <v/>
      </c>
      <c r="P58" s="1416" t="str">
        <f>IF(58=58,IF($B58="","",CC58),"")</f>
        <v/>
      </c>
      <c r="Q58" s="1416" t="str">
        <f>IF(58=58,IF($B58="","",CF58),"")</f>
        <v/>
      </c>
      <c r="R58" s="1416" t="str">
        <f>IF(58=58,IF($B58="","",CL58),"")</f>
        <v/>
      </c>
      <c r="S58" s="1417" t="str">
        <f>IF(58=58,IF($B58="","",IF(E58="?",""&amp;"Céréales contenant du gluten","")&amp;IF(F58="?",IF(COUNTIF($E58:$E58,"~?")&gt;0,", ","")&amp;"Crustacés","")&amp;IF(G58="?",IF(COUNTIF($E58:$F58,"~?")&gt;0,", ","")&amp;"Œufs","")&amp;IF(H58="?",IF(COUNTIF($E58:$G58,"~?")&gt;0,", ","")&amp;"Poissons","")&amp;IF(I58="?",IF(COUNTIF($E58:$H58,"~?")&gt;0,", ","")&amp;"Arachides","")&amp;IF(J58="?",IF(COUNTIF($E58:$I58,"~?")&gt;0,", ","")&amp;"Soja","")&amp;IF(K58="?",IF(COUNTIF($E58:$J58,"~?")&gt;0,", ","")&amp;"Lait","")&amp;IF(L58="?",IF(COUNTIF($E58:$K58,"~?")&gt;0,", ","")&amp;"Fruits à coque","")&amp;IF(M58="?",IF(COUNTIF($E58:$L58,"~?")&gt;0,", ","")&amp;"Céleri","")&amp;IF(N58="?",IF(COUNTIF($E58:$M58,"~?")&gt;0,", ","")&amp;"Moutarde","")&amp;IF(O58="?",IF(COUNTIF($E58:$N58,"~?")&gt;0,", ","")&amp;"Sésame","")&amp;IF(P58="?",IF(COUNTIF($E58:$O58,"~?")&gt;0,", ","")&amp;"Sulfites","")&amp;IF(Q58="?",IF(COUNTIF($E58:$P58,"~?")&gt;0,", ","")&amp;"Lupin","")&amp;IF(R58="?",IF(COUNTIF($E58:$Q58,"~?")&gt;0,", ","")&amp;"Mollusques","")),"")</f>
        <v/>
      </c>
      <c r="U58" s="1368" t="str">
        <f>IF(58=58,IF($B58="","",$B58),"")</f>
        <v>sucre glace</v>
      </c>
      <c r="V58" s="1368" t="str">
        <f>IF(58=58,LOWER(CLEAN(SUBSTITUTE(SUBSTITUTE(SUBSTITUTE(SUBSTITUTE($U58,CHAR(160)," ")," "," "),CHAR(10)," "),CHAR(13)," "))),"")</f>
        <v>sucre glace</v>
      </c>
      <c r="W58" s="1368" t="str">
        <f>IF(58=58,SUBSTITUTE(SUBSTITUTE(SUBSTITUTE(SUBSTITUTE(SUBSTITUTE(SUBSTITUTE(SUBSTITUTE(SUBSTITUTE(SUBSTITUTE(SUBSTITUTE(SUBSTITUTE(SUBSTITUTE($V58,"œ","oe"),"æ","ae"),"à","a"),"á","a"),"â","a"),"ä","a"),"ã","a"),"ç","c"),"è","e"),"é","e"),"ê","e"),"ë","e"),"")</f>
        <v>sucre glace</v>
      </c>
      <c r="X58" s="1368" t="str">
        <f>IF(58=58,SUBSTITUTE(SUBSTITUTE(SUBSTITUTE(SUBSTITUTE(SUBSTITUTE(SUBSTITUTE(SUBSTITUTE(SUBSTITUTE(SUBSTITUTE(SUBSTITUTE(SUBSTITUTE(SUBSTITUTE(SUBSTITUTE(SUBSTITUTE(SUBSTITUTE(SUBSTITUTE($W58,"ì","i"),"í","i"),"î","i"),"ï","i"),"ñ","n"),"ò","o"),"ó","o"),"ô","o"),"ö","o"),"õ","o"),"ù","u"),"ú","u"),"û","u"),"ü","u"),"ý","y"),"ÿ","y"),"")</f>
        <v>sucre glace</v>
      </c>
      <c r="Y58" s="1368" t="str">
        <f>IF(58=58,SUBSTITUTE(SUBSTITUTE(SUBSTITUTE(SUBSTITUTE(SUBSTITUTE(SUBSTITUTE(SUBSTITUTE(SUBSTITUTE(SUBSTITUTE(SUBSTITUTE(SUBSTITUTE(SUBSTITUTE(SUBSTITUTE(SUBSTITUTE($X58,"’"," "),"`"," "),"–"," "),"—"," "),"-"," "),"'"," "),"/"," "),"_"," "),","," "),"."," "),"("," "),")"," "),";"," "),":"," "),"")</f>
        <v>sucre glace</v>
      </c>
      <c r="Z58" s="1368" t="str">
        <f>IF(58=58,SUBSTITUTE(SUBSTITUTE(SUBSTITUTE(SUBSTITUTE(SUBSTITUTE(SUBSTITUTE(SUBSTITUTE(SUBSTITUTE(SUBSTITUTE(SUBSTITUTE(SUBSTITUTE(SUBSTITUTE(SUBSTITUTE(SUBSTITUTE(SUBSTITUTE($Y58,"!"," "),"?"," "),"+"," "),"*"," "),"&amp;"," "),"["," "),"]"," "),"{"," "),"}"," "),"%"," "),"="," "),"\"," "),"|"," "),"&lt;"," "),"&gt;"," "),"")</f>
        <v>sucre glace</v>
      </c>
      <c r="AA58" s="1368" t="str">
        <f>IF(58=58," "&amp;TRIM(SUBSTITUTE(SUBSTITUTE(SUBSTITUTE(SUBSTITUTE(SUBSTITUTE(SUBSTITUTE($Z58,CHAR(34)," "),"  "," "),"  "," "),"  "," "),"  "," "),"  "," "))&amp;" ","")</f>
        <v xml:space="preserve"> sucre glace </v>
      </c>
      <c r="AB58" s="1368">
        <f>IF(58=58,IF($U58="","",SUMPRODUCT(--ISNUMBER(SEARCH(" "&amp;$CR$2:$CR$101&amp;" ",$AD58)))),"")</f>
        <v>0</v>
      </c>
      <c r="AC58" s="1368">
        <f>IF(58=58,IF($U58="","",SUMPRODUCT(--ISNUMBER(SEARCH(" "&amp;$CR$102:$CR$151&amp;" ",$AD58)))),"")</f>
        <v>0</v>
      </c>
      <c r="AD58" s="1368" t="str">
        <f t="shared" si="1"/>
        <v xml:space="preserve"> sucre glace </v>
      </c>
      <c r="AE58" s="1368">
        <f t="shared" si="2"/>
        <v>0</v>
      </c>
      <c r="AF58" s="1368" t="str">
        <f>IF(58=58,IF($U58="","",IF(SUM(AB58:AC58)+SUMPRODUCT(--ISNUMBER(SEARCH(" "&amp;$CR$2418:$CR$2420&amp;" ",$AD58)))&gt;0,"X",IF(AE58&gt;0,"?",""))),"")</f>
        <v/>
      </c>
      <c r="AG58" s="1368">
        <f>IF(58=58,IF($U58="","",SUMPRODUCT(--ISNUMBER(SEARCH(" "&amp;$CR$206:$CR$305&amp;" ",$AA58)))),"")</f>
        <v>0</v>
      </c>
      <c r="AH58" s="1368">
        <f>IF(58=58,IF($U58="","",SUMPRODUCT(--ISNUMBER(SEARCH(" "&amp;$CR$306:$CR$340&amp;" ",$AA58)))),"")</f>
        <v>0</v>
      </c>
      <c r="AI58" s="1368" t="str">
        <f>IF(58=58,IF($U58="","",IF((SUM(AG58:AH58))-(0)&gt;0,"X",IF((0)-(0)&gt;0,"?",""))),"")</f>
        <v/>
      </c>
      <c r="AJ58" s="1368">
        <f>IF(58=58,IF($U58="","",SUMPRODUCT(--ISNUMBER(SEARCH(" "&amp;$CR$341:$CR$398&amp;" ",$AA58)))),"")</f>
        <v>0</v>
      </c>
      <c r="AK58" s="1368">
        <f>IF(58=58,IF($U58="","",SUMPRODUCT(--ISNUMBER(SEARCH(" "&amp;$CR$399:$CR$426&amp;" ",$AL58)))+SUMPRODUCT(--ISNUMBER(SEARCH(" "&amp;$CR$2440:$CR$2453&amp;" ",$AL58)))),"")</f>
        <v>0</v>
      </c>
      <c r="AL58" s="1368" t="str">
        <f>IF(58=58,IF($U58="","",SUBSTITUTE(SUBSTITUTE(SUBSTITUTE(SUBSTITUTE(SUBSTITUTE(SUBSTITUTE(SUBSTITUTE(SUBSTITUTE(SUBSTITUTE(SUBSTITUTE(SUBSTITUTE(SUBSTITUTE(SUBSTITUTE(SUBSTITUTE($AA58," "&amp;$CR$2455&amp;" "," ")," "&amp;$CR$433&amp;" "," ")," "&amp;$CR$431&amp;" "," ")," "&amp;$CR$2438&amp;" "," ")," "&amp;$CR$2439&amp;" "," ")," "&amp;$CR$428&amp;" "," ")," "&amp;$CR$432&amp;" "," ")," "&amp;$CR$434&amp;" "," ")," "&amp;$CR$429&amp;" "," ")," "&amp;$CR$427&amp;" "," ")," "&amp;$CR$1367&amp;" "," ")," "&amp;$CR$435&amp;" "," ")," "&amp;$CR$1366&amp;" "," ")," "&amp;$CR$430&amp;" "," ")),"")</f>
        <v xml:space="preserve"> </v>
      </c>
      <c r="AM58" s="1368" t="str">
        <f>IF(58=58,IF($U58="","",IF(AJ58&gt;0,"X",IF(AK58&gt;0,"?",""))),"")</f>
        <v/>
      </c>
      <c r="AN58" s="1368">
        <f>IF(58=58,IF($U58="","",SUMPRODUCT(--ISNUMBER(SEARCH(" "&amp;$CR$436:$CR$535&amp;" ",$AX58)))),"")</f>
        <v>0</v>
      </c>
      <c r="AO58" s="1368">
        <f>IF(58=58,IF($U58="","",SUMPRODUCT(--ISNUMBER(SEARCH(" "&amp;$CR$536:$CR$635&amp;" ",$AX58)))),"")</f>
        <v>0</v>
      </c>
      <c r="AP58" s="1368">
        <f>IF(58=58,IF($U58="","",SUMPRODUCT(--ISNUMBER(SEARCH(" "&amp;$CR$636:$CR$735&amp;" ",$AX58)))),"")</f>
        <v>0</v>
      </c>
      <c r="AQ58" s="1368">
        <f>IF(58=58,IF($U58="","",SUMPRODUCT(--ISNUMBER(SEARCH(" "&amp;$CR$736:$CR$835&amp;" ",$AX58)))),"")</f>
        <v>0</v>
      </c>
      <c r="AR58" s="1368">
        <f>IF(58=58,IF($U58="","",SUMPRODUCT(--ISNUMBER(SEARCH(" "&amp;$CR$836:$CR$935&amp;" ",$AX58)))),"")</f>
        <v>0</v>
      </c>
      <c r="AS58" s="1368">
        <f>IF(58=58,IF($U58="","",SUMPRODUCT(--ISNUMBER(SEARCH(" "&amp;$CR$936:$CR$1035&amp;" ",$AX58)))),"")</f>
        <v>0</v>
      </c>
      <c r="AT58" s="1368">
        <f>IF(58=58,IF($U58="","",SUMPRODUCT(--ISNUMBER(SEARCH(" "&amp;$CR$1036:$CR$1135&amp;" ",$AX58)))),"")</f>
        <v>0</v>
      </c>
      <c r="AU58" s="1368">
        <f>IF(58=58,IF($U58="","",SUMPRODUCT(--ISNUMBER(SEARCH(" "&amp;$CR$1136:$CR$1235&amp;" ",$AX58)))),"")</f>
        <v>0</v>
      </c>
      <c r="AV58" s="1368">
        <f>IF(58=58,IF($U58="","",SUMPRODUCT(--ISNUMBER(SEARCH(" "&amp;$CR$1236:$CR$1335&amp;" ",$AX58)))),"")</f>
        <v>0</v>
      </c>
      <c r="AW58" s="1368">
        <f>IF(58=58,IF($U58="","",SUMPRODUCT(--ISNUMBER(SEARCH(" "&amp;$CR$1336:$CR$1363&amp;" ",$AX58)))),"")</f>
        <v>0</v>
      </c>
      <c r="AX58" s="1368" t="str">
        <f>IF(58=58,IF($U58="","",SUBSTITUTE(SUBSTITUTE(SUBSTITUTE(SUBSTITUTE(SUBSTITUTE(SUBSTITUTE(SUBSTITUTE(SUBSTITUTE(SUBSTITUTE($AA58," "&amp;$CR$1365&amp;" "," ")," "&amp;$CR$1364&amp;" "," ")," "&amp;$CR$1370&amp;" "," ")," "&amp;$CR$1371&amp;" "," ")," "&amp;$CR$1367&amp;" "," ")," "&amp;$CR$1369&amp;" "," ")," "&amp;$CR$1366&amp;" "," ")," "&amp;$CR$1368&amp;" "," ")," "&amp;$CR$1372&amp;" "," ")),"")</f>
        <v xml:space="preserve"> sucre glace </v>
      </c>
      <c r="AY58" s="1368">
        <f>IF(58=58,IF($U58="","",SUMPRODUCT(--ISNUMBER(SEARCH(" "&amp;$CR$1373:$CR$1383&amp;" ",$AX58)))),"")</f>
        <v>0</v>
      </c>
      <c r="AZ58" s="1368" t="str">
        <f>IF(58=58,IF($U58="","",IF(SUM(AN58:AW58)+SUMPRODUCT(--ISNUMBER(SEARCH(" "&amp;$CR$2421:$CR$2422&amp;" ",$AX58)))&gt;0,"X",IF(AY58&gt;0,"?",""))),"")</f>
        <v/>
      </c>
      <c r="BA58" s="1368">
        <f>IF(58=58,IF($U58="","",SUMPRODUCT(--ISNUMBER(SEARCH(" "&amp;$CR$1384:$CR$1404&amp;" ",$AA58)))),"")</f>
        <v>0</v>
      </c>
      <c r="BB58" s="1368" t="str">
        <f>IF(58=58,IF($U58="","",IF((BA58)-(0)&gt;0,"X",IF((0)-(0)&gt;0,"?",""))),"")</f>
        <v/>
      </c>
      <c r="BC58" s="1368">
        <f>IF(58=58,IF($U58="","",SUMPRODUCT(--ISNUMBER(SEARCH(" "&amp;$CR$1405:$CR$1442&amp;" ",$BD58)))),"")</f>
        <v>0</v>
      </c>
      <c r="BD58" s="1368" t="str">
        <f>IF(58=58,IF($U58="","",SUBSTITUTE(SUBSTITUTE($AA58," "&amp;$CR$1443&amp;" "," ")," "&amp;$CR$1444&amp;" "," ")),"")</f>
        <v xml:space="preserve"> sucre glace </v>
      </c>
      <c r="BE58" s="1368">
        <f>IF(58=58,IF($U58="","",SUMPRODUCT(--ISNUMBER(SEARCH(" "&amp;$CR$1445:$CR$1455&amp;" ",$BD58)))),"")</f>
        <v>0</v>
      </c>
      <c r="BF58" s="1368" t="str">
        <f>IF(58=58,IF($U58="","",IF(BC58&gt;0,"X",IF(BE58&gt;0,"?",""))),"")</f>
        <v/>
      </c>
      <c r="BG58" s="1368">
        <f>IF(58=58,IF($U58="","",SUMPRODUCT(--ISNUMBER(SEARCH(" "&amp;$CR$1456:$CR$1555&amp;" ",$BJ58)))),"")</f>
        <v>0</v>
      </c>
      <c r="BH58" s="1368">
        <f>IF(58=58,IF($U58="","",SUMPRODUCT(--ISNUMBER(SEARCH(" "&amp;$CR$1556:$CR$1655&amp;" ",$BJ58)))),"")</f>
        <v>0</v>
      </c>
      <c r="BI58" s="1368">
        <f>IF(58=58,IF($U58="","",SUMPRODUCT(--ISNUMBER(SEARCH(" "&amp;$CR$1656:$CR$1739&amp;" ",$BJ58)))),"")</f>
        <v>0</v>
      </c>
      <c r="BJ58" s="1368" t="str">
        <f>IF(58=58,IF($U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
      </c>
      <c r="BK58" s="1368">
        <f>IF(58=58,IF($U58="","",SUMPRODUCT(--ISNUMBER(SEARCH(" "&amp;$CR$1790:$CR$1869&amp;" ",$BL58)))+SUMPRODUCT(--ISNUMBER(SEARCH(" "&amp;$CR$2440:$CR$2453&amp;" ",$BL58)))),"")</f>
        <v>0</v>
      </c>
      <c r="BL58" s="1368" t="str">
        <f>IF(58=58,IF($U58="","",SUBSTITUTE(SUBSTITUTE(SUBSTITUTE(SUBSTITUTE(SUBSTITUTE(SUBSTITUTE(SUBSTITUTE(SUBSTITUTE(SUBSTITUTE(SUBSTITUTE(SUBSTITUTE(SUBSTITUTE(SUBSTITUTE($BJ58," "&amp;$CR$1876&amp;" "," ")," "&amp;$CR$1874&amp;" "," ")," "&amp;$CR$2438&amp;" "," ")," "&amp;$CR$2439&amp;" "," ")," "&amp;$CR$1871&amp;" "," ")," "&amp;$CR$1875&amp;" "," ")," "&amp;$CR$1877&amp;" "," ")," "&amp;$CR$1872&amp;" "," ")," "&amp;$CR$1870&amp;" "," ")," "&amp;$CR$1367&amp;" "," ")," "&amp;$CR$1878&amp;" "," ")," "&amp;$CR$1366&amp;" "," ")," "&amp;$CR$1873&amp;" "," ")),"")</f>
        <v xml:space="preserve"> </v>
      </c>
      <c r="BM58" s="1368" t="str">
        <f>IF(58=58,IF($U58="","",IF(SUM(BG58:BI58)+SUMPRODUCT(--ISNUMBER(SEARCH(" "&amp;$CR$2423:$CR$2424&amp;" ",$BJ58)))&gt;0,"X",IF(BK58&gt;0,"?",""))),"")</f>
        <v/>
      </c>
      <c r="BN58" s="1368">
        <f>IF(58=58,IF($U58="","",SUMPRODUCT(--ISNUMBER(SEARCH(" "&amp;$CR$1879:$CR$1936&amp;" ",$BO58)))),"")</f>
        <v>0</v>
      </c>
      <c r="BO58" s="1368" t="str">
        <f>IF(58=58,IF($U58="","",SUBSTITUTE(SUBSTITUTE(SUBSTITUTE(SUBSTITUTE(SUBSTITUTE(SUBSTITUTE(SUBSTITUTE(SUBSTITUTE(SUBSTITUTE(SUBSTITUTE(SUBSTITUTE(SUBSTITUTE(SUBSTITUTE(SUBSTITUTE(SUBSTITUTE(SUBSTITUTE(SUBSTITUTE(SUBSTITUTE(SUBSTITUTE(SUBSTITUTE(SUBSTITUTE(SUBSTITUTE(SUBSTITUTE($AA58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sucre glace </v>
      </c>
      <c r="BP58" s="1368">
        <f>IF(58=58,IF($U58="","",SUMPRODUCT(--ISNUMBER(SEARCH(" "&amp;$CR$1960:$CR$1976&amp;" ",$BO58)))),"")</f>
        <v>0</v>
      </c>
      <c r="BQ58" s="1368" t="str">
        <f>IF(58=58,IF($U58="","",IF(BN58&gt;0,"X",IF(BP58&gt;0,"?",""))),"")</f>
        <v/>
      </c>
      <c r="BR58" s="1368">
        <f>IF(58=58,IF($U58="","",SUMPRODUCT(--ISNUMBER(SEARCH(" "&amp;$CR$1977:$CR$1990&amp;" ",$AA58)))),"")</f>
        <v>0</v>
      </c>
      <c r="BS58" s="1368">
        <f>IF(58=58,IF($U58="","",SUMPRODUCT(--ISNUMBER(SEARCH(" "&amp;$CR$1991:$CR$2005&amp;" ",$AA58)))),"")</f>
        <v>0</v>
      </c>
      <c r="BT58" s="1368" t="str">
        <f>IF(58=58,IF($U58="","",IF((BR58)-(0)&gt;0,"X",IF((BS58)-(0)&gt;0,"?",""))),"")</f>
        <v/>
      </c>
      <c r="BU58" s="1368">
        <f>IF(58=58,IF($U58="","",SUMPRODUCT(--ISNUMBER(SEARCH(" "&amp;$CR$2006:$CR$2023&amp;" ",$AA58)))),"")</f>
        <v>0</v>
      </c>
      <c r="BV58" s="1368">
        <f>IF(58=58,IF($U58="","",SUMPRODUCT(--ISNUMBER(SEARCH(" "&amp;$CR$2024:$CR$2038&amp;" ",$AA58)))),"")</f>
        <v>0</v>
      </c>
      <c r="BW58" s="1368" t="str">
        <f>IF(58=58,IF($U58="","",IF((BU58)-(0)&gt;0,"X",IF((BV58)-(0)&gt;0,"?",""))),"")</f>
        <v/>
      </c>
      <c r="BX58" s="1368">
        <f>IF(58=58,IF($U58="","",SUMPRODUCT(--ISNUMBER(SEARCH(" "&amp;$CR$2039:$CR$2057&amp;" ",$AA58)))),"")</f>
        <v>0</v>
      </c>
      <c r="BY58" s="1368">
        <f>IF(58=58,IF($U58="","",SUMPRODUCT(--ISNUMBER(SEARCH(" "&amp;$CR$2058:$CR$2072&amp;" ",$AA58)))),"")</f>
        <v>0</v>
      </c>
      <c r="BZ58" s="1368" t="str">
        <f>IF(58=58,IF($U58="","",IF((BX58)-(0)&gt;0,"X",IF((BY58)-(0)&gt;0,"?",""))),"")</f>
        <v/>
      </c>
      <c r="CA58" s="1368">
        <f>IF(58=58,IF($U58="","",SUMPRODUCT(--ISNUMBER(SEARCH(" "&amp;$CR$2073:$CR$2093&amp;" ",$AA58)))),"")</f>
        <v>0</v>
      </c>
      <c r="CB58" s="1368">
        <f>IF(58=58,IF($U58="","",SUMPRODUCT(--ISNUMBER(SEARCH(" "&amp;$CR$2094:$CR$2133&amp;" ",SUBSTITUTE(SUBSTITUTE($AA58," "&amp;$CR$1367&amp;" "," ")," "&amp;$CR$1366&amp;" "," "))))+--ISNUMBER(SEARCH("poiré",$V58))),"")</f>
        <v>0</v>
      </c>
      <c r="CC58" s="1368" t="str">
        <f>IF(58=58,IF($U58="","",IF(OR(CA58&gt;0,ISNUMBER(SEARCH(" vinaigre de vin ",$AA58)),ISNUMBER(SEARCH(" vinaigre au vin ",$AA58))),"X",IF(CB58&gt;0,"?",""))),"")</f>
        <v/>
      </c>
      <c r="CD58" s="1368">
        <f>IF(58=58,IF($U58="","",SUMPRODUCT(--ISNUMBER(SEARCH(" "&amp;$CR$2134:$CR$2146&amp;" ",$AA58)))),"")</f>
        <v>0</v>
      </c>
      <c r="CE58" s="1368">
        <f>IF(58=58,IF($U58="","",SUMPRODUCT(--ISNUMBER(SEARCH(" "&amp;$CR$2147:$CR$2152&amp;" ",$AA58)))),"")</f>
        <v>0</v>
      </c>
      <c r="CF58" s="1368" t="str">
        <f>IF(58=58,IF($U58="","",IF((CD58)-(0)&gt;0,"X",IF((CE58)-(0)&gt;0,"?",""))),"")</f>
        <v/>
      </c>
      <c r="CG58" s="1368">
        <f>IF(58=58,IF($U58="","",SUMPRODUCT(--ISNUMBER(SEARCH(" "&amp;$CR$2153:$CR$2252&amp;" ",$CJ58)))),"")</f>
        <v>0</v>
      </c>
      <c r="CH58" s="1368">
        <f>IF(58=58,IF($U58="","",SUMPRODUCT(--ISNUMBER(SEARCH(" "&amp;$CR$2253:$CR$2352&amp;" ",$CJ58)))),"")</f>
        <v>0</v>
      </c>
      <c r="CI58" s="1368">
        <f>IF(58=58,IF($U58="","",SUMPRODUCT(--ISNUMBER(SEARCH(" "&amp;$CR$2353:$CR$2395&amp;" ",$CJ58)))),"")</f>
        <v>0</v>
      </c>
      <c r="CJ58" s="1368" t="str">
        <f>IF(58=58,IF($U58="","",SUBSTITUTE(SUBSTITUTE(SUBSTITUTE(SUBSTITUTE(SUBSTITUTE(SUBSTITUTE(SUBSTITUTE(SUBSTITUTE(SUBSTITUTE(SUBSTITUTE(SUBSTITUTE(SUBSTITUTE(SUBSTITUTE(SUBSTITUTE(SUBSTITUTE(SUBSTITUTE($AA58," "&amp;$CR$2401&amp;" "," ")," "&amp;$CR$2400&amp;" "," ")," "&amp;$CR$2399&amp;" "," ")," "&amp;$CR$2406&amp;" "," ")," "&amp;$CR$2398&amp;" "," ")," "&amp;$CR$2410&amp;" "," ")," "&amp;$CR$2397&amp;" "," ")," "&amp;$CR$2402&amp;" "," ")," "&amp;$CR$2405&amp;" "," ")," "&amp;$CR$2396&amp;" "," ")," "&amp;$CR$2404&amp;" "," ")," "&amp;$CR$2411&amp;" "," ")," "&amp;$CR$2408&amp;" "," ")," "&amp;$CR$2403&amp;" "," ")," "&amp;$CR$2407&amp;" "," ")," "&amp;$CR$2409&amp;" "," ")),"")</f>
        <v xml:space="preserve"> sucre glace </v>
      </c>
      <c r="CK58" s="1368">
        <f>IF(58=58,IF($U58="","",SUMPRODUCT(--ISNUMBER(SEARCH(" "&amp;$CR$2412:$CR$2416&amp;" ",$CJ58)))),"")</f>
        <v>0</v>
      </c>
      <c r="CL58" s="1368" t="str">
        <f>IF(58=58,IF($U58="","",IF(SUM(CG58:CI58)&gt;0,"X",IF(CK58&gt;0,"?",""))),"")</f>
        <v/>
      </c>
      <c r="CM58" s="1377"/>
      <c r="CN58" s="1388" t="s">
        <v>8363</v>
      </c>
      <c r="CO58" s="1388" t="s">
        <v>8105</v>
      </c>
      <c r="CP58" s="1388" t="s">
        <v>8106</v>
      </c>
      <c r="CQ58" s="1388" t="s">
        <v>8364</v>
      </c>
      <c r="CR58" s="1388" t="s">
        <v>8364</v>
      </c>
      <c r="CS58" s="1388" t="s">
        <v>8108</v>
      </c>
      <c r="CT58" s="1388" t="s">
        <v>8109</v>
      </c>
      <c r="CU58" s="1388" t="s">
        <v>8110</v>
      </c>
      <c r="CV58" s="1389" t="s">
        <v>8111</v>
      </c>
      <c r="CX58" s="1379">
        <v>1</v>
      </c>
    </row>
    <row r="59" spans="1:102" ht="21" customHeight="1" x14ac:dyDescent="0.25">
      <c r="A59" s="1412">
        <v>53</v>
      </c>
      <c r="B59" s="1413" t="s">
        <v>13452</v>
      </c>
      <c r="C59" s="1414" t="str">
        <f t="shared" si="0"/>
        <v>dos de colin *</v>
      </c>
      <c r="D59" s="1415" t="str">
        <f>IF(59=59,IF($B59="","",IF(E59="X",""&amp;"Céréales contenant du gluten","")&amp;IF(F59="X",IF(COUNTIF($E59:$E59,"X")&gt;0,", ","")&amp;"Crustacés","")&amp;IF(G59="X",IF(COUNTIF($E59:$F59,"X")&gt;0,", ","")&amp;"Œufs","")&amp;IF(H59="X",IF(COUNTIF($E59:$G59,"X")&gt;0,", ","")&amp;"Poissons","")&amp;IF(I59="X",IF(COUNTIF($E59:$H59,"X")&gt;0,", ","")&amp;"Arachides","")&amp;IF(J59="X",IF(COUNTIF($E59:$I59,"X")&gt;0,", ","")&amp;"Soja","")&amp;IF(K59="X",IF(COUNTIF($E59:$J59,"X")&gt;0,", ","")&amp;"Lait","")&amp;IF(L59="X",IF(COUNTIF($E59:$K59,"X")&gt;0,", ","")&amp;"Fruits à coque","")&amp;IF(M59="X",IF(COUNTIF($E59:$L59,"X")&gt;0,", ","")&amp;"Céleri","")&amp;IF(N59="X",IF(COUNTIF($E59:$M59,"X")&gt;0,", ","")&amp;"Moutarde","")&amp;IF(O59="X",IF(COUNTIF($E59:$N59,"X")&gt;0,", ","")&amp;"Sésame","")&amp;IF(P59="X",IF(COUNTIF($E59:$O59,"X")&gt;0,", ","")&amp;"Sulfites","")&amp;IF(Q59="X",IF(COUNTIF($E59:$P59,"X")&gt;0,", ","")&amp;"Lupin","")&amp;IF(R59="X",IF(COUNTIF($E59:$Q59,"X")&gt;0,", ","")&amp;"Mollusques","")),"")</f>
        <v>Poissons</v>
      </c>
      <c r="E59" s="1416" t="str">
        <f>IF(59=59,IF($B59="","",AF59),"")</f>
        <v/>
      </c>
      <c r="F59" s="1416" t="str">
        <f>IF(59=59,IF($B59="","",AI59),"")</f>
        <v/>
      </c>
      <c r="G59" s="1416" t="str">
        <f>IF(59=59,IF($B59="","",AM59),"")</f>
        <v/>
      </c>
      <c r="H59" s="1416" t="str">
        <f>IF(59=59,IF($B59="","",IF(ISNUMBER(SEARCH(" colin ",$AA59)),"X",AZ59)),"")</f>
        <v>X</v>
      </c>
      <c r="I59" s="1416" t="str">
        <f>IF(59=59,IF($B59="","",BB59),"")</f>
        <v/>
      </c>
      <c r="J59" s="1416" t="str">
        <f>IF(59=59,IF($B59="","",BF59),"")</f>
        <v/>
      </c>
      <c r="K59" s="1416" t="str">
        <f>IF(59=59,IF($B59="","",BM59),"")</f>
        <v/>
      </c>
      <c r="L59" s="1416" t="str">
        <f>IF(59=59,IF($B59="","",BQ59),"")</f>
        <v/>
      </c>
      <c r="M59" s="1416" t="str">
        <f>IF(59=59,IF($B59="","",BT59),"")</f>
        <v/>
      </c>
      <c r="N59" s="1416" t="str">
        <f>IF(59=59,IF($B59="","",BW59),"")</f>
        <v/>
      </c>
      <c r="O59" s="1416" t="str">
        <f>IF(59=59,IF($B59="","",BZ59),"")</f>
        <v/>
      </c>
      <c r="P59" s="1416" t="str">
        <f>IF(59=59,IF($B59="","",CC59),"")</f>
        <v/>
      </c>
      <c r="Q59" s="1416" t="str">
        <f>IF(59=59,IF($B59="","",CF59),"")</f>
        <v/>
      </c>
      <c r="R59" s="1416" t="str">
        <f>IF(59=59,IF($B59="","",CL59),"")</f>
        <v/>
      </c>
      <c r="S59" s="1417" t="str">
        <f>IF(59=59,IF($B59="","",IF(E59="?",""&amp;"Céréales contenant du gluten","")&amp;IF(F59="?",IF(COUNTIF($E59:$E59,"~?")&gt;0,", ","")&amp;"Crustacés","")&amp;IF(G59="?",IF(COUNTIF($E59:$F59,"~?")&gt;0,", ","")&amp;"Œufs","")&amp;IF(H59="?",IF(COUNTIF($E59:$G59,"~?")&gt;0,", ","")&amp;"Poissons","")&amp;IF(I59="?",IF(COUNTIF($E59:$H59,"~?")&gt;0,", ","")&amp;"Arachides","")&amp;IF(J59="?",IF(COUNTIF($E59:$I59,"~?")&gt;0,", ","")&amp;"Soja","")&amp;IF(K59="?",IF(COUNTIF($E59:$J59,"~?")&gt;0,", ","")&amp;"Lait","")&amp;IF(L59="?",IF(COUNTIF($E59:$K59,"~?")&gt;0,", ","")&amp;"Fruits à coque","")&amp;IF(M59="?",IF(COUNTIF($E59:$L59,"~?")&gt;0,", ","")&amp;"Céleri","")&amp;IF(N59="?",IF(COUNTIF($E59:$M59,"~?")&gt;0,", ","")&amp;"Moutarde","")&amp;IF(O59="?",IF(COUNTIF($E59:$N59,"~?")&gt;0,", ","")&amp;"Sésame","")&amp;IF(P59="?",IF(COUNTIF($E59:$O59,"~?")&gt;0,", ","")&amp;"Sulfites","")&amp;IF(Q59="?",IF(COUNTIF($E59:$P59,"~?")&gt;0,", ","")&amp;"Lupin","")&amp;IF(R59="?",IF(COUNTIF($E59:$Q59,"~?")&gt;0,", ","")&amp;"Mollusques","")),"")</f>
        <v/>
      </c>
      <c r="U59" s="1368" t="str">
        <f>IF(59=59,IF($B59="","",$B59),"")</f>
        <v>dos de colin</v>
      </c>
      <c r="V59" s="1368" t="str">
        <f>IF(59=59,LOWER(CLEAN(SUBSTITUTE(SUBSTITUTE(SUBSTITUTE(SUBSTITUTE($U59,CHAR(160)," ")," "," "),CHAR(10)," "),CHAR(13)," "))),"")</f>
        <v>dos de colin</v>
      </c>
      <c r="W59" s="1368" t="str">
        <f>IF(59=59,SUBSTITUTE(SUBSTITUTE(SUBSTITUTE(SUBSTITUTE(SUBSTITUTE(SUBSTITUTE(SUBSTITUTE(SUBSTITUTE(SUBSTITUTE(SUBSTITUTE(SUBSTITUTE(SUBSTITUTE($V59,"œ","oe"),"æ","ae"),"à","a"),"á","a"),"â","a"),"ä","a"),"ã","a"),"ç","c"),"è","e"),"é","e"),"ê","e"),"ë","e"),"")</f>
        <v>dos de colin</v>
      </c>
      <c r="X59" s="1368" t="str">
        <f>IF(59=59,SUBSTITUTE(SUBSTITUTE(SUBSTITUTE(SUBSTITUTE(SUBSTITUTE(SUBSTITUTE(SUBSTITUTE(SUBSTITUTE(SUBSTITUTE(SUBSTITUTE(SUBSTITUTE(SUBSTITUTE(SUBSTITUTE(SUBSTITUTE(SUBSTITUTE(SUBSTITUTE($W59,"ì","i"),"í","i"),"î","i"),"ï","i"),"ñ","n"),"ò","o"),"ó","o"),"ô","o"),"ö","o"),"õ","o"),"ù","u"),"ú","u"),"û","u"),"ü","u"),"ý","y"),"ÿ","y"),"")</f>
        <v>dos de colin</v>
      </c>
      <c r="Y59" s="1368" t="str">
        <f>IF(59=59,SUBSTITUTE(SUBSTITUTE(SUBSTITUTE(SUBSTITUTE(SUBSTITUTE(SUBSTITUTE(SUBSTITUTE(SUBSTITUTE(SUBSTITUTE(SUBSTITUTE(SUBSTITUTE(SUBSTITUTE(SUBSTITUTE(SUBSTITUTE($X59,"’"," "),"`"," "),"–"," "),"—"," "),"-"," "),"'"," "),"/"," "),"_"," "),","," "),"."," "),"("," "),")"," "),";"," "),":"," "),"")</f>
        <v>dos de colin</v>
      </c>
      <c r="Z59" s="1368" t="str">
        <f>IF(59=59,SUBSTITUTE(SUBSTITUTE(SUBSTITUTE(SUBSTITUTE(SUBSTITUTE(SUBSTITUTE(SUBSTITUTE(SUBSTITUTE(SUBSTITUTE(SUBSTITUTE(SUBSTITUTE(SUBSTITUTE(SUBSTITUTE(SUBSTITUTE(SUBSTITUTE($Y59,"!"," "),"?"," "),"+"," "),"*"," "),"&amp;"," "),"["," "),"]"," "),"{"," "),"}"," "),"%"," "),"="," "),"\"," "),"|"," "),"&lt;"," "),"&gt;"," "),"")</f>
        <v>dos de colin</v>
      </c>
      <c r="AA59" s="1368" t="str">
        <f>IF(59=59," "&amp;TRIM(SUBSTITUTE(SUBSTITUTE(SUBSTITUTE(SUBSTITUTE(SUBSTITUTE(SUBSTITUTE($Z59,CHAR(34)," "),"  "," "),"  "," "),"  "," "),"  "," "),"  "," "))&amp;" ","")</f>
        <v xml:space="preserve"> dos de colin </v>
      </c>
      <c r="AB59" s="1368">
        <f>IF(59=59,IF($U59="","",SUMPRODUCT(--ISNUMBER(SEARCH(" "&amp;$CR$2:$CR$101&amp;" ",$AD59)))),"")</f>
        <v>0</v>
      </c>
      <c r="AC59" s="1368">
        <f>IF(59=59,IF($U59="","",SUMPRODUCT(--ISNUMBER(SEARCH(" "&amp;$CR$102:$CR$151&amp;" ",$AD59)))),"")</f>
        <v>0</v>
      </c>
      <c r="AD59" s="1368" t="str">
        <f t="shared" si="1"/>
        <v xml:space="preserve"> dos de colin </v>
      </c>
      <c r="AE59" s="1368">
        <f t="shared" si="2"/>
        <v>0</v>
      </c>
      <c r="AF59" s="1368" t="str">
        <f>IF(59=59,IF($U59="","",IF(SUM(AB59:AC59)+SUMPRODUCT(--ISNUMBER(SEARCH(" "&amp;$CR$2418:$CR$2420&amp;" ",$AD59)))&gt;0,"X",IF(AE59&gt;0,"?",""))),"")</f>
        <v/>
      </c>
      <c r="AG59" s="1368">
        <f>IF(59=59,IF($U59="","",SUMPRODUCT(--ISNUMBER(SEARCH(" "&amp;$CR$206:$CR$305&amp;" ",$AA59)))),"")</f>
        <v>0</v>
      </c>
      <c r="AH59" s="1368">
        <f>IF(59=59,IF($U59="","",SUMPRODUCT(--ISNUMBER(SEARCH(" "&amp;$CR$306:$CR$340&amp;" ",$AA59)))),"")</f>
        <v>0</v>
      </c>
      <c r="AI59" s="1368" t="str">
        <f>IF(59=59,IF($U59="","",IF((SUM(AG59:AH59))-(0)&gt;0,"X",IF((0)-(0)&gt;0,"?",""))),"")</f>
        <v/>
      </c>
      <c r="AJ59" s="1368">
        <f>IF(59=59,IF($U59="","",SUMPRODUCT(--ISNUMBER(SEARCH(" "&amp;$CR$341:$CR$398&amp;" ",$AA59)))),"")</f>
        <v>0</v>
      </c>
      <c r="AK59" s="1368">
        <f>IF(59=59,IF($U59="","",SUMPRODUCT(--ISNUMBER(SEARCH(" "&amp;$CR$399:$CR$426&amp;" ",$AL59)))+SUMPRODUCT(--ISNUMBER(SEARCH(" "&amp;$CR$2440:$CR$2453&amp;" ",$AL59)))),"")</f>
        <v>0</v>
      </c>
      <c r="AL59" s="1368" t="str">
        <f>IF(59=59,IF($U59="","",SUBSTITUTE(SUBSTITUTE(SUBSTITUTE(SUBSTITUTE(SUBSTITUTE(SUBSTITUTE(SUBSTITUTE(SUBSTITUTE(SUBSTITUTE(SUBSTITUTE(SUBSTITUTE(SUBSTITUTE(SUBSTITUTE(SUBSTITUTE($AA59," "&amp;$CR$2455&amp;" "," ")," "&amp;$CR$433&amp;" "," ")," "&amp;$CR$431&amp;" "," ")," "&amp;$CR$2438&amp;" "," ")," "&amp;$CR$2439&amp;" "," ")," "&amp;$CR$428&amp;" "," ")," "&amp;$CR$432&amp;" "," ")," "&amp;$CR$434&amp;" "," ")," "&amp;$CR$429&amp;" "," ")," "&amp;$CR$427&amp;" "," ")," "&amp;$CR$1367&amp;" "," ")," "&amp;$CR$435&amp;" "," ")," "&amp;$CR$1366&amp;" "," ")," "&amp;$CR$430&amp;" "," ")),"")</f>
        <v xml:space="preserve"> dos de colin </v>
      </c>
      <c r="AM59" s="1368" t="str">
        <f>IF(59=59,IF($U59="","",IF(AJ59&gt;0,"X",IF(AK59&gt;0,"?",""))),"")</f>
        <v/>
      </c>
      <c r="AN59" s="1368">
        <f>IF(59=59,IF($U59="","",SUMPRODUCT(--ISNUMBER(SEARCH(" "&amp;$CR$436:$CR$535&amp;" ",$AX59)))),"")</f>
        <v>0</v>
      </c>
      <c r="AO59" s="1368">
        <f>IF(59=59,IF($U59="","",SUMPRODUCT(--ISNUMBER(SEARCH(" "&amp;$CR$536:$CR$635&amp;" ",$AX59)))),"")</f>
        <v>1</v>
      </c>
      <c r="AP59" s="1368">
        <f>IF(59=59,IF($U59="","",SUMPRODUCT(--ISNUMBER(SEARCH(" "&amp;$CR$636:$CR$735&amp;" ",$AX59)))),"")</f>
        <v>0</v>
      </c>
      <c r="AQ59" s="1368">
        <f>IF(59=59,IF($U59="","",SUMPRODUCT(--ISNUMBER(SEARCH(" "&amp;$CR$736:$CR$835&amp;" ",$AX59)))),"")</f>
        <v>0</v>
      </c>
      <c r="AR59" s="1368">
        <f>IF(59=59,IF($U59="","",SUMPRODUCT(--ISNUMBER(SEARCH(" "&amp;$CR$836:$CR$935&amp;" ",$AX59)))),"")</f>
        <v>0</v>
      </c>
      <c r="AS59" s="1368">
        <f>IF(59=59,IF($U59="","",SUMPRODUCT(--ISNUMBER(SEARCH(" "&amp;$CR$936:$CR$1035&amp;" ",$AX59)))),"")</f>
        <v>0</v>
      </c>
      <c r="AT59" s="1368">
        <f>IF(59=59,IF($U59="","",SUMPRODUCT(--ISNUMBER(SEARCH(" "&amp;$CR$1036:$CR$1135&amp;" ",$AX59)))),"")</f>
        <v>0</v>
      </c>
      <c r="AU59" s="1368">
        <f>IF(59=59,IF($U59="","",SUMPRODUCT(--ISNUMBER(SEARCH(" "&amp;$CR$1136:$CR$1235&amp;" ",$AX59)))),"")</f>
        <v>0</v>
      </c>
      <c r="AV59" s="1368">
        <f>IF(59=59,IF($U59="","",SUMPRODUCT(--ISNUMBER(SEARCH(" "&amp;$CR$1236:$CR$1335&amp;" ",$AX59)))),"")</f>
        <v>0</v>
      </c>
      <c r="AW59" s="1368">
        <f>IF(59=59,IF($U59="","",SUMPRODUCT(--ISNUMBER(SEARCH(" "&amp;$CR$1336:$CR$1363&amp;" ",$AX59)))),"")</f>
        <v>0</v>
      </c>
      <c r="AX59" s="1368" t="str">
        <f>IF(59=59,IF($U59="","",SUBSTITUTE(SUBSTITUTE(SUBSTITUTE(SUBSTITUTE(SUBSTITUTE(SUBSTITUTE(SUBSTITUTE(SUBSTITUTE(SUBSTITUTE($AA59," "&amp;$CR$1365&amp;" "," ")," "&amp;$CR$1364&amp;" "," ")," "&amp;$CR$1370&amp;" "," ")," "&amp;$CR$1371&amp;" "," ")," "&amp;$CR$1367&amp;" "," ")," "&amp;$CR$1369&amp;" "," ")," "&amp;$CR$1366&amp;" "," ")," "&amp;$CR$1368&amp;" "," ")," "&amp;$CR$1372&amp;" "," ")),"")</f>
        <v xml:space="preserve"> dos de colin </v>
      </c>
      <c r="AY59" s="1368">
        <f>IF(59=59,IF($U59="","",SUMPRODUCT(--ISNUMBER(SEARCH(" "&amp;$CR$1373:$CR$1383&amp;" ",$AX59)))),"")</f>
        <v>0</v>
      </c>
      <c r="AZ59" s="1368" t="str">
        <f>IF(59=59,IF($U59="","",IF(SUM(AN59:AW59)+SUMPRODUCT(--ISNUMBER(SEARCH(" "&amp;$CR$2421:$CR$2422&amp;" ",$AX59)))&gt;0,"X",IF(AY59&gt;0,"?",""))),"")</f>
        <v>X</v>
      </c>
      <c r="BA59" s="1368">
        <f>IF(59=59,IF($U59="","",SUMPRODUCT(--ISNUMBER(SEARCH(" "&amp;$CR$1384:$CR$1404&amp;" ",$AA59)))),"")</f>
        <v>0</v>
      </c>
      <c r="BB59" s="1368" t="str">
        <f>IF(59=59,IF($U59="","",IF((BA59)-(0)&gt;0,"X",IF((0)-(0)&gt;0,"?",""))),"")</f>
        <v/>
      </c>
      <c r="BC59" s="1368">
        <f>IF(59=59,IF($U59="","",SUMPRODUCT(--ISNUMBER(SEARCH(" "&amp;$CR$1405:$CR$1442&amp;" ",$BD59)))),"")</f>
        <v>0</v>
      </c>
      <c r="BD59" s="1368" t="str">
        <f>IF(59=59,IF($U59="","",SUBSTITUTE(SUBSTITUTE($AA59," "&amp;$CR$1443&amp;" "," ")," "&amp;$CR$1444&amp;" "," ")),"")</f>
        <v xml:space="preserve"> dos de colin </v>
      </c>
      <c r="BE59" s="1368">
        <f>IF(59=59,IF($U59="","",SUMPRODUCT(--ISNUMBER(SEARCH(" "&amp;$CR$1445:$CR$1455&amp;" ",$BD59)))),"")</f>
        <v>0</v>
      </c>
      <c r="BF59" s="1368" t="str">
        <f>IF(59=59,IF($U59="","",IF(BC59&gt;0,"X",IF(BE59&gt;0,"?",""))),"")</f>
        <v/>
      </c>
      <c r="BG59" s="1368">
        <f>IF(59=59,IF($U59="","",SUMPRODUCT(--ISNUMBER(SEARCH(" "&amp;$CR$1456:$CR$1555&amp;" ",$BJ59)))),"")</f>
        <v>0</v>
      </c>
      <c r="BH59" s="1368">
        <f>IF(59=59,IF($U59="","",SUMPRODUCT(--ISNUMBER(SEARCH(" "&amp;$CR$1556:$CR$1655&amp;" ",$BJ59)))),"")</f>
        <v>0</v>
      </c>
      <c r="BI59" s="1368">
        <f>IF(59=59,IF($U59="","",SUMPRODUCT(--ISNUMBER(SEARCH(" "&amp;$CR$1656:$CR$1739&amp;" ",$BJ59)))),"")</f>
        <v>0</v>
      </c>
      <c r="BJ59" s="1368" t="str">
        <f>IF(59=59,IF($U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dos de colin </v>
      </c>
      <c r="BK59" s="1368">
        <f>IF(59=59,IF($U59="","",SUMPRODUCT(--ISNUMBER(SEARCH(" "&amp;$CR$1790:$CR$1869&amp;" ",$BL59)))+SUMPRODUCT(--ISNUMBER(SEARCH(" "&amp;$CR$2440:$CR$2453&amp;" ",$BL59)))),"")</f>
        <v>0</v>
      </c>
      <c r="BL59" s="1368" t="str">
        <f>IF(59=59,IF($U59="","",SUBSTITUTE(SUBSTITUTE(SUBSTITUTE(SUBSTITUTE(SUBSTITUTE(SUBSTITUTE(SUBSTITUTE(SUBSTITUTE(SUBSTITUTE(SUBSTITUTE(SUBSTITUTE(SUBSTITUTE(SUBSTITUTE($BJ59," "&amp;$CR$1876&amp;" "," ")," "&amp;$CR$1874&amp;" "," ")," "&amp;$CR$2438&amp;" "," ")," "&amp;$CR$2439&amp;" "," ")," "&amp;$CR$1871&amp;" "," ")," "&amp;$CR$1875&amp;" "," ")," "&amp;$CR$1877&amp;" "," ")," "&amp;$CR$1872&amp;" "," ")," "&amp;$CR$1870&amp;" "," ")," "&amp;$CR$1367&amp;" "," ")," "&amp;$CR$1878&amp;" "," ")," "&amp;$CR$1366&amp;" "," ")," "&amp;$CR$1873&amp;" "," ")),"")</f>
        <v xml:space="preserve"> dos de colin </v>
      </c>
      <c r="BM59" s="1368" t="str">
        <f>IF(59=59,IF($U59="","",IF(SUM(BG59:BI59)+SUMPRODUCT(--ISNUMBER(SEARCH(" "&amp;$CR$2423:$CR$2424&amp;" ",$BJ59)))&gt;0,"X",IF(BK59&gt;0,"?",""))),"")</f>
        <v/>
      </c>
      <c r="BN59" s="1368">
        <f>IF(59=59,IF($U59="","",SUMPRODUCT(--ISNUMBER(SEARCH(" "&amp;$CR$1879:$CR$1936&amp;" ",$BO59)))),"")</f>
        <v>0</v>
      </c>
      <c r="BO59" s="1368" t="str">
        <f>IF(59=59,IF($U59="","",SUBSTITUTE(SUBSTITUTE(SUBSTITUTE(SUBSTITUTE(SUBSTITUTE(SUBSTITUTE(SUBSTITUTE(SUBSTITUTE(SUBSTITUTE(SUBSTITUTE(SUBSTITUTE(SUBSTITUTE(SUBSTITUTE(SUBSTITUTE(SUBSTITUTE(SUBSTITUTE(SUBSTITUTE(SUBSTITUTE(SUBSTITUTE(SUBSTITUTE(SUBSTITUTE(SUBSTITUTE(SUBSTITUTE($AA59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dos de colin </v>
      </c>
      <c r="BP59" s="1368">
        <f>IF(59=59,IF($U59="","",SUMPRODUCT(--ISNUMBER(SEARCH(" "&amp;$CR$1960:$CR$1976&amp;" ",$BO59)))),"")</f>
        <v>0</v>
      </c>
      <c r="BQ59" s="1368" t="str">
        <f>IF(59=59,IF($U59="","",IF(BN59&gt;0,"X",IF(BP59&gt;0,"?",""))),"")</f>
        <v/>
      </c>
      <c r="BR59" s="1368">
        <f>IF(59=59,IF($U59="","",SUMPRODUCT(--ISNUMBER(SEARCH(" "&amp;$CR$1977:$CR$1990&amp;" ",$AA59)))),"")</f>
        <v>0</v>
      </c>
      <c r="BS59" s="1368">
        <f>IF(59=59,IF($U59="","",SUMPRODUCT(--ISNUMBER(SEARCH(" "&amp;$CR$1991:$CR$2005&amp;" ",$AA59)))),"")</f>
        <v>0</v>
      </c>
      <c r="BT59" s="1368" t="str">
        <f>IF(59=59,IF($U59="","",IF((BR59)-(0)&gt;0,"X",IF((BS59)-(0)&gt;0,"?",""))),"")</f>
        <v/>
      </c>
      <c r="BU59" s="1368">
        <f>IF(59=59,IF($U59="","",SUMPRODUCT(--ISNUMBER(SEARCH(" "&amp;$CR$2006:$CR$2023&amp;" ",$AA59)))),"")</f>
        <v>0</v>
      </c>
      <c r="BV59" s="1368">
        <f>IF(59=59,IF($U59="","",SUMPRODUCT(--ISNUMBER(SEARCH(" "&amp;$CR$2024:$CR$2038&amp;" ",$AA59)))),"")</f>
        <v>0</v>
      </c>
      <c r="BW59" s="1368" t="str">
        <f>IF(59=59,IF($U59="","",IF((BU59)-(0)&gt;0,"X",IF((BV59)-(0)&gt;0,"?",""))),"")</f>
        <v/>
      </c>
      <c r="BX59" s="1368">
        <f>IF(59=59,IF($U59="","",SUMPRODUCT(--ISNUMBER(SEARCH(" "&amp;$CR$2039:$CR$2057&amp;" ",$AA59)))),"")</f>
        <v>0</v>
      </c>
      <c r="BY59" s="1368">
        <f>IF(59=59,IF($U59="","",SUMPRODUCT(--ISNUMBER(SEARCH(" "&amp;$CR$2058:$CR$2072&amp;" ",$AA59)))),"")</f>
        <v>0</v>
      </c>
      <c r="BZ59" s="1368" t="str">
        <f>IF(59=59,IF($U59="","",IF((BX59)-(0)&gt;0,"X",IF((BY59)-(0)&gt;0,"?",""))),"")</f>
        <v/>
      </c>
      <c r="CA59" s="1368">
        <f>IF(59=59,IF($U59="","",SUMPRODUCT(--ISNUMBER(SEARCH(" "&amp;$CR$2073:$CR$2093&amp;" ",$AA59)))),"")</f>
        <v>0</v>
      </c>
      <c r="CB59" s="1368">
        <f>IF(59=59,IF($U59="","",SUMPRODUCT(--ISNUMBER(SEARCH(" "&amp;$CR$2094:$CR$2133&amp;" ",SUBSTITUTE(SUBSTITUTE($AA59," "&amp;$CR$1367&amp;" "," ")," "&amp;$CR$1366&amp;" "," "))))+--ISNUMBER(SEARCH("poiré",$V59))),"")</f>
        <v>0</v>
      </c>
      <c r="CC59" s="1368" t="str">
        <f>IF(59=59,IF($U59="","",IF(OR(CA59&gt;0,ISNUMBER(SEARCH(" vinaigre de vin ",$AA59)),ISNUMBER(SEARCH(" vinaigre au vin ",$AA59))),"X",IF(CB59&gt;0,"?",""))),"")</f>
        <v/>
      </c>
      <c r="CD59" s="1368">
        <f>IF(59=59,IF($U59="","",SUMPRODUCT(--ISNUMBER(SEARCH(" "&amp;$CR$2134:$CR$2146&amp;" ",$AA59)))),"")</f>
        <v>0</v>
      </c>
      <c r="CE59" s="1368">
        <f>IF(59=59,IF($U59="","",SUMPRODUCT(--ISNUMBER(SEARCH(" "&amp;$CR$2147:$CR$2152&amp;" ",$AA59)))),"")</f>
        <v>0</v>
      </c>
      <c r="CF59" s="1368" t="str">
        <f>IF(59=59,IF($U59="","",IF((CD59)-(0)&gt;0,"X",IF((CE59)-(0)&gt;0,"?",""))),"")</f>
        <v/>
      </c>
      <c r="CG59" s="1368">
        <f>IF(59=59,IF($U59="","",SUMPRODUCT(--ISNUMBER(SEARCH(" "&amp;$CR$2153:$CR$2252&amp;" ",$CJ59)))),"")</f>
        <v>0</v>
      </c>
      <c r="CH59" s="1368">
        <f>IF(59=59,IF($U59="","",SUMPRODUCT(--ISNUMBER(SEARCH(" "&amp;$CR$2253:$CR$2352&amp;" ",$CJ59)))),"")</f>
        <v>0</v>
      </c>
      <c r="CI59" s="1368">
        <f>IF(59=59,IF($U59="","",SUMPRODUCT(--ISNUMBER(SEARCH(" "&amp;$CR$2353:$CR$2395&amp;" ",$CJ59)))),"")</f>
        <v>0</v>
      </c>
      <c r="CJ59" s="1368" t="str">
        <f>IF(59=59,IF($U59="","",SUBSTITUTE(SUBSTITUTE(SUBSTITUTE(SUBSTITUTE(SUBSTITUTE(SUBSTITUTE(SUBSTITUTE(SUBSTITUTE(SUBSTITUTE(SUBSTITUTE(SUBSTITUTE(SUBSTITUTE(SUBSTITUTE(SUBSTITUTE(SUBSTITUTE(SUBSTITUTE($AA59," "&amp;$CR$2401&amp;" "," ")," "&amp;$CR$2400&amp;" "," ")," "&amp;$CR$2399&amp;" "," ")," "&amp;$CR$2406&amp;" "," ")," "&amp;$CR$2398&amp;" "," ")," "&amp;$CR$2410&amp;" "," ")," "&amp;$CR$2397&amp;" "," ")," "&amp;$CR$2402&amp;" "," ")," "&amp;$CR$2405&amp;" "," ")," "&amp;$CR$2396&amp;" "," ")," "&amp;$CR$2404&amp;" "," ")," "&amp;$CR$2411&amp;" "," ")," "&amp;$CR$2408&amp;" "," ")," "&amp;$CR$2403&amp;" "," ")," "&amp;$CR$2407&amp;" "," ")," "&amp;$CR$2409&amp;" "," ")),"")</f>
        <v xml:space="preserve"> dos de colin </v>
      </c>
      <c r="CK59" s="1368">
        <f>IF(59=59,IF($U59="","",SUMPRODUCT(--ISNUMBER(SEARCH(" "&amp;$CR$2412:$CR$2416&amp;" ",$CJ59)))),"")</f>
        <v>0</v>
      </c>
      <c r="CL59" s="1368" t="str">
        <f>IF(59=59,IF($U59="","",IF(SUM(CG59:CI59)&gt;0,"X",IF(CK59&gt;0,"?",""))),"")</f>
        <v/>
      </c>
      <c r="CM59" s="1377"/>
      <c r="CN59" s="1388" t="s">
        <v>8365</v>
      </c>
      <c r="CO59" s="1388" t="s">
        <v>8105</v>
      </c>
      <c r="CP59" s="1388" t="s">
        <v>8106</v>
      </c>
      <c r="CQ59" s="1388" t="s">
        <v>8366</v>
      </c>
      <c r="CR59" s="1388" t="s">
        <v>8366</v>
      </c>
      <c r="CS59" s="1388" t="s">
        <v>8108</v>
      </c>
      <c r="CT59" s="1388" t="s">
        <v>8109</v>
      </c>
      <c r="CU59" s="1388" t="s">
        <v>8110</v>
      </c>
      <c r="CV59" s="1389" t="s">
        <v>8111</v>
      </c>
      <c r="CX59" s="1379">
        <v>1</v>
      </c>
    </row>
    <row r="60" spans="1:102" ht="21" customHeight="1" x14ac:dyDescent="0.25">
      <c r="A60" s="1412">
        <v>54</v>
      </c>
      <c r="B60" s="1413" t="s">
        <v>8633</v>
      </c>
      <c r="C60" s="1414" t="str">
        <f t="shared" si="0"/>
        <v>Graines de sésame *</v>
      </c>
      <c r="D60" s="1415" t="str">
        <f>IF(60=60,IF($B60="","",IF(E60="X",""&amp;"Céréales contenant du gluten","")&amp;IF(F60="X",IF(COUNTIF($E60:$E60,"X")&gt;0,", ","")&amp;"Crustacés","")&amp;IF(G60="X",IF(COUNTIF($E60:$F60,"X")&gt;0,", ","")&amp;"Œufs","")&amp;IF(H60="X",IF(COUNTIF($E60:$G60,"X")&gt;0,", ","")&amp;"Poissons","")&amp;IF(I60="X",IF(COUNTIF($E60:$H60,"X")&gt;0,", ","")&amp;"Arachides","")&amp;IF(J60="X",IF(COUNTIF($E60:$I60,"X")&gt;0,", ","")&amp;"Soja","")&amp;IF(K60="X",IF(COUNTIF($E60:$J60,"X")&gt;0,", ","")&amp;"Lait","")&amp;IF(L60="X",IF(COUNTIF($E60:$K60,"X")&gt;0,", ","")&amp;"Fruits à coque","")&amp;IF(M60="X",IF(COUNTIF($E60:$L60,"X")&gt;0,", ","")&amp;"Céleri","")&amp;IF(N60="X",IF(COUNTIF($E60:$M60,"X")&gt;0,", ","")&amp;"Moutarde","")&amp;IF(O60="X",IF(COUNTIF($E60:$N60,"X")&gt;0,", ","")&amp;"Sésame","")&amp;IF(P60="X",IF(COUNTIF($E60:$O60,"X")&gt;0,", ","")&amp;"Sulfites","")&amp;IF(Q60="X",IF(COUNTIF($E60:$P60,"X")&gt;0,", ","")&amp;"Lupin","")&amp;IF(R60="X",IF(COUNTIF($E60:$Q60,"X")&gt;0,", ","")&amp;"Mollusques","")),"")</f>
        <v>Sésame</v>
      </c>
      <c r="E60" s="1416" t="str">
        <f>IF(60=60,IF($B60="","",AF60),"")</f>
        <v/>
      </c>
      <c r="F60" s="1416" t="str">
        <f>IF(60=60,IF($B60="","",AI60),"")</f>
        <v/>
      </c>
      <c r="G60" s="1416" t="str">
        <f>IF(60=60,IF($B60="","",AM60),"")</f>
        <v/>
      </c>
      <c r="H60" s="1416" t="str">
        <f>IF(60=60,IF($B60="","",IF(ISNUMBER(SEARCH(" colin ",$AA60)),"X",AZ60)),"")</f>
        <v/>
      </c>
      <c r="I60" s="1416" t="str">
        <f>IF(60=60,IF($B60="","",BB60),"")</f>
        <v/>
      </c>
      <c r="J60" s="1416" t="str">
        <f>IF(60=60,IF($B60="","",BF60),"")</f>
        <v/>
      </c>
      <c r="K60" s="1416" t="str">
        <f>IF(60=60,IF($B60="","",BM60),"")</f>
        <v/>
      </c>
      <c r="L60" s="1416" t="str">
        <f>IF(60=60,IF($B60="","",BQ60),"")</f>
        <v/>
      </c>
      <c r="M60" s="1416" t="str">
        <f>IF(60=60,IF($B60="","",BT60),"")</f>
        <v/>
      </c>
      <c r="N60" s="1416" t="str">
        <f>IF(60=60,IF($B60="","",BW60),"")</f>
        <v/>
      </c>
      <c r="O60" s="1416" t="str">
        <f>IF(60=60,IF($B60="","",BZ60),"")</f>
        <v>X</v>
      </c>
      <c r="P60" s="1416" t="str">
        <f>IF(60=60,IF($B60="","",CC60),"")</f>
        <v/>
      </c>
      <c r="Q60" s="1416" t="str">
        <f>IF(60=60,IF($B60="","",CF60),"")</f>
        <v/>
      </c>
      <c r="R60" s="1416" t="str">
        <f>IF(60=60,IF($B60="","",CL60),"")</f>
        <v/>
      </c>
      <c r="S60" s="1417" t="str">
        <f>IF(60=60,IF($B60="","",IF(E60="?",""&amp;"Céréales contenant du gluten","")&amp;IF(F60="?",IF(COUNTIF($E60:$E60,"~?")&gt;0,", ","")&amp;"Crustacés","")&amp;IF(G60="?",IF(COUNTIF($E60:$F60,"~?")&gt;0,", ","")&amp;"Œufs","")&amp;IF(H60="?",IF(COUNTIF($E60:$G60,"~?")&gt;0,", ","")&amp;"Poissons","")&amp;IF(I60="?",IF(COUNTIF($E60:$H60,"~?")&gt;0,", ","")&amp;"Arachides","")&amp;IF(J60="?",IF(COUNTIF($E60:$I60,"~?")&gt;0,", ","")&amp;"Soja","")&amp;IF(K60="?",IF(COUNTIF($E60:$J60,"~?")&gt;0,", ","")&amp;"Lait","")&amp;IF(L60="?",IF(COUNTIF($E60:$K60,"~?")&gt;0,", ","")&amp;"Fruits à coque","")&amp;IF(M60="?",IF(COUNTIF($E60:$L60,"~?")&gt;0,", ","")&amp;"Céleri","")&amp;IF(N60="?",IF(COUNTIF($E60:$M60,"~?")&gt;0,", ","")&amp;"Moutarde","")&amp;IF(O60="?",IF(COUNTIF($E60:$N60,"~?")&gt;0,", ","")&amp;"Sésame","")&amp;IF(P60="?",IF(COUNTIF($E60:$O60,"~?")&gt;0,", ","")&amp;"Sulfites","")&amp;IF(Q60="?",IF(COUNTIF($E60:$P60,"~?")&gt;0,", ","")&amp;"Lupin","")&amp;IF(R60="?",IF(COUNTIF($E60:$Q60,"~?")&gt;0,", ","")&amp;"Mollusques","")),"")</f>
        <v/>
      </c>
      <c r="U60" s="1368" t="str">
        <f>IF(60=60,IF($B60="","",$B60),"")</f>
        <v>Graines de sésame</v>
      </c>
      <c r="V60" s="1368" t="str">
        <f>IF(60=60,LOWER(CLEAN(SUBSTITUTE(SUBSTITUTE(SUBSTITUTE(SUBSTITUTE($U60,CHAR(160)," ")," "," "),CHAR(10)," "),CHAR(13)," "))),"")</f>
        <v>graines de sésame</v>
      </c>
      <c r="W60" s="1368" t="str">
        <f>IF(60=60,SUBSTITUTE(SUBSTITUTE(SUBSTITUTE(SUBSTITUTE(SUBSTITUTE(SUBSTITUTE(SUBSTITUTE(SUBSTITUTE(SUBSTITUTE(SUBSTITUTE(SUBSTITUTE(SUBSTITUTE($V60,"œ","oe"),"æ","ae"),"à","a"),"á","a"),"â","a"),"ä","a"),"ã","a"),"ç","c"),"è","e"),"é","e"),"ê","e"),"ë","e"),"")</f>
        <v>graines de sesame</v>
      </c>
      <c r="X60" s="1368" t="str">
        <f>IF(60=60,SUBSTITUTE(SUBSTITUTE(SUBSTITUTE(SUBSTITUTE(SUBSTITUTE(SUBSTITUTE(SUBSTITUTE(SUBSTITUTE(SUBSTITUTE(SUBSTITUTE(SUBSTITUTE(SUBSTITUTE(SUBSTITUTE(SUBSTITUTE(SUBSTITUTE(SUBSTITUTE($W60,"ì","i"),"í","i"),"î","i"),"ï","i"),"ñ","n"),"ò","o"),"ó","o"),"ô","o"),"ö","o"),"õ","o"),"ù","u"),"ú","u"),"û","u"),"ü","u"),"ý","y"),"ÿ","y"),"")</f>
        <v>graines de sesame</v>
      </c>
      <c r="Y60" s="1368" t="str">
        <f>IF(60=60,SUBSTITUTE(SUBSTITUTE(SUBSTITUTE(SUBSTITUTE(SUBSTITUTE(SUBSTITUTE(SUBSTITUTE(SUBSTITUTE(SUBSTITUTE(SUBSTITUTE(SUBSTITUTE(SUBSTITUTE(SUBSTITUTE(SUBSTITUTE($X60,"’"," "),"`"," "),"–"," "),"—"," "),"-"," "),"'"," "),"/"," "),"_"," "),","," "),"."," "),"("," "),")"," "),";"," "),":"," "),"")</f>
        <v>graines de sesame</v>
      </c>
      <c r="Z60" s="1368" t="str">
        <f>IF(60=60,SUBSTITUTE(SUBSTITUTE(SUBSTITUTE(SUBSTITUTE(SUBSTITUTE(SUBSTITUTE(SUBSTITUTE(SUBSTITUTE(SUBSTITUTE(SUBSTITUTE(SUBSTITUTE(SUBSTITUTE(SUBSTITUTE(SUBSTITUTE(SUBSTITUTE($Y60,"!"," "),"?"," "),"+"," "),"*"," "),"&amp;"," "),"["," "),"]"," "),"{"," "),"}"," "),"%"," "),"="," "),"\"," "),"|"," "),"&lt;"," "),"&gt;"," "),"")</f>
        <v>graines de sesame</v>
      </c>
      <c r="AA60" s="1368" t="str">
        <f>IF(60=60," "&amp;TRIM(SUBSTITUTE(SUBSTITUTE(SUBSTITUTE(SUBSTITUTE(SUBSTITUTE(SUBSTITUTE($Z60,CHAR(34)," "),"  "," "),"  "," "),"  "," "),"  "," "),"  "," "))&amp;" ","")</f>
        <v xml:space="preserve"> graines de sesame </v>
      </c>
      <c r="AB60" s="1368">
        <f>IF(60=60,IF($U60="","",SUMPRODUCT(--ISNUMBER(SEARCH(" "&amp;$CR$2:$CR$101&amp;" ",$AD60)))),"")</f>
        <v>0</v>
      </c>
      <c r="AC60" s="1368">
        <f>IF(60=60,IF($U60="","",SUMPRODUCT(--ISNUMBER(SEARCH(" "&amp;$CR$102:$CR$151&amp;" ",$AD60)))),"")</f>
        <v>0</v>
      </c>
      <c r="AD60" s="1368" t="str">
        <f t="shared" si="1"/>
        <v xml:space="preserve"> graines de sesame </v>
      </c>
      <c r="AE60" s="1368">
        <f t="shared" si="2"/>
        <v>0</v>
      </c>
      <c r="AF60" s="1368" t="str">
        <f>IF(60=60,IF($U60="","",IF(SUM(AB60:AC60)+SUMPRODUCT(--ISNUMBER(SEARCH(" "&amp;$CR$2418:$CR$2420&amp;" ",$AD60)))&gt;0,"X",IF(AE60&gt;0,"?",""))),"")</f>
        <v/>
      </c>
      <c r="AG60" s="1368">
        <f>IF(60=60,IF($U60="","",SUMPRODUCT(--ISNUMBER(SEARCH(" "&amp;$CR$206:$CR$305&amp;" ",$AA60)))),"")</f>
        <v>0</v>
      </c>
      <c r="AH60" s="1368">
        <f>IF(60=60,IF($U60="","",SUMPRODUCT(--ISNUMBER(SEARCH(" "&amp;$CR$306:$CR$340&amp;" ",$AA60)))),"")</f>
        <v>0</v>
      </c>
      <c r="AI60" s="1368" t="str">
        <f>IF(60=60,IF($U60="","",IF((SUM(AG60:AH60))-(0)&gt;0,"X",IF((0)-(0)&gt;0,"?",""))),"")</f>
        <v/>
      </c>
      <c r="AJ60" s="1368">
        <f>IF(60=60,IF($U60="","",SUMPRODUCT(--ISNUMBER(SEARCH(" "&amp;$CR$341:$CR$398&amp;" ",$AA60)))),"")</f>
        <v>0</v>
      </c>
      <c r="AK60" s="1368">
        <f>IF(60=60,IF($U60="","",SUMPRODUCT(--ISNUMBER(SEARCH(" "&amp;$CR$399:$CR$426&amp;" ",$AL60)))+SUMPRODUCT(--ISNUMBER(SEARCH(" "&amp;$CR$2440:$CR$2453&amp;" ",$AL60)))),"")</f>
        <v>0</v>
      </c>
      <c r="AL60" s="1368" t="str">
        <f>IF(60=60,IF($U60="","",SUBSTITUTE(SUBSTITUTE(SUBSTITUTE(SUBSTITUTE(SUBSTITUTE(SUBSTITUTE(SUBSTITUTE(SUBSTITUTE(SUBSTITUTE(SUBSTITUTE(SUBSTITUTE(SUBSTITUTE(SUBSTITUTE(SUBSTITUTE($AA60," "&amp;$CR$2455&amp;" "," ")," "&amp;$CR$433&amp;" "," ")," "&amp;$CR$431&amp;" "," ")," "&amp;$CR$2438&amp;" "," ")," "&amp;$CR$2439&amp;" "," ")," "&amp;$CR$428&amp;" "," ")," "&amp;$CR$432&amp;" "," ")," "&amp;$CR$434&amp;" "," ")," "&amp;$CR$429&amp;" "," ")," "&amp;$CR$427&amp;" "," ")," "&amp;$CR$1367&amp;" "," ")," "&amp;$CR$435&amp;" "," ")," "&amp;$CR$1366&amp;" "," ")," "&amp;$CR$430&amp;" "," ")),"")</f>
        <v xml:space="preserve"> graines de sesame </v>
      </c>
      <c r="AM60" s="1368" t="str">
        <f>IF(60=60,IF($U60="","",IF(AJ60&gt;0,"X",IF(AK60&gt;0,"?",""))),"")</f>
        <v/>
      </c>
      <c r="AN60" s="1368">
        <f>IF(60=60,IF($U60="","",SUMPRODUCT(--ISNUMBER(SEARCH(" "&amp;$CR$436:$CR$535&amp;" ",$AX60)))),"")</f>
        <v>0</v>
      </c>
      <c r="AO60" s="1368">
        <f>IF(60=60,IF($U60="","",SUMPRODUCT(--ISNUMBER(SEARCH(" "&amp;$CR$536:$CR$635&amp;" ",$AX60)))),"")</f>
        <v>0</v>
      </c>
      <c r="AP60" s="1368">
        <f>IF(60=60,IF($U60="","",SUMPRODUCT(--ISNUMBER(SEARCH(" "&amp;$CR$636:$CR$735&amp;" ",$AX60)))),"")</f>
        <v>0</v>
      </c>
      <c r="AQ60" s="1368">
        <f>IF(60=60,IF($U60="","",SUMPRODUCT(--ISNUMBER(SEARCH(" "&amp;$CR$736:$CR$835&amp;" ",$AX60)))),"")</f>
        <v>0</v>
      </c>
      <c r="AR60" s="1368">
        <f>IF(60=60,IF($U60="","",SUMPRODUCT(--ISNUMBER(SEARCH(" "&amp;$CR$836:$CR$935&amp;" ",$AX60)))),"")</f>
        <v>0</v>
      </c>
      <c r="AS60" s="1368">
        <f>IF(60=60,IF($U60="","",SUMPRODUCT(--ISNUMBER(SEARCH(" "&amp;$CR$936:$CR$1035&amp;" ",$AX60)))),"")</f>
        <v>0</v>
      </c>
      <c r="AT60" s="1368">
        <f>IF(60=60,IF($U60="","",SUMPRODUCT(--ISNUMBER(SEARCH(" "&amp;$CR$1036:$CR$1135&amp;" ",$AX60)))),"")</f>
        <v>0</v>
      </c>
      <c r="AU60" s="1368">
        <f>IF(60=60,IF($U60="","",SUMPRODUCT(--ISNUMBER(SEARCH(" "&amp;$CR$1136:$CR$1235&amp;" ",$AX60)))),"")</f>
        <v>0</v>
      </c>
      <c r="AV60" s="1368">
        <f>IF(60=60,IF($U60="","",SUMPRODUCT(--ISNUMBER(SEARCH(" "&amp;$CR$1236:$CR$1335&amp;" ",$AX60)))),"")</f>
        <v>0</v>
      </c>
      <c r="AW60" s="1368">
        <f>IF(60=60,IF($U60="","",SUMPRODUCT(--ISNUMBER(SEARCH(" "&amp;$CR$1336:$CR$1363&amp;" ",$AX60)))),"")</f>
        <v>0</v>
      </c>
      <c r="AX60" s="1368" t="str">
        <f>IF(60=60,IF($U60="","",SUBSTITUTE(SUBSTITUTE(SUBSTITUTE(SUBSTITUTE(SUBSTITUTE(SUBSTITUTE(SUBSTITUTE(SUBSTITUTE(SUBSTITUTE($AA60," "&amp;$CR$1365&amp;" "," ")," "&amp;$CR$1364&amp;" "," ")," "&amp;$CR$1370&amp;" "," ")," "&amp;$CR$1371&amp;" "," ")," "&amp;$CR$1367&amp;" "," ")," "&amp;$CR$1369&amp;" "," ")," "&amp;$CR$1366&amp;" "," ")," "&amp;$CR$1368&amp;" "," ")," "&amp;$CR$1372&amp;" "," ")),"")</f>
        <v xml:space="preserve"> graines de sesame </v>
      </c>
      <c r="AY60" s="1368">
        <f>IF(60=60,IF($U60="","",SUMPRODUCT(--ISNUMBER(SEARCH(" "&amp;$CR$1373:$CR$1383&amp;" ",$AX60)))),"")</f>
        <v>0</v>
      </c>
      <c r="AZ60" s="1368" t="str">
        <f>IF(60=60,IF($U60="","",IF(SUM(AN60:AW60)+SUMPRODUCT(--ISNUMBER(SEARCH(" "&amp;$CR$2421:$CR$2422&amp;" ",$AX60)))&gt;0,"X",IF(AY60&gt;0,"?",""))),"")</f>
        <v/>
      </c>
      <c r="BA60" s="1368">
        <f>IF(60=60,IF($U60="","",SUMPRODUCT(--ISNUMBER(SEARCH(" "&amp;$CR$1384:$CR$1404&amp;" ",$AA60)))),"")</f>
        <v>0</v>
      </c>
      <c r="BB60" s="1368" t="str">
        <f>IF(60=60,IF($U60="","",IF((BA60)-(0)&gt;0,"X",IF((0)-(0)&gt;0,"?",""))),"")</f>
        <v/>
      </c>
      <c r="BC60" s="1368">
        <f>IF(60=60,IF($U60="","",SUMPRODUCT(--ISNUMBER(SEARCH(" "&amp;$CR$1405:$CR$1442&amp;" ",$BD60)))),"")</f>
        <v>0</v>
      </c>
      <c r="BD60" s="1368" t="str">
        <f>IF(60=60,IF($U60="","",SUBSTITUTE(SUBSTITUTE($AA60," "&amp;$CR$1443&amp;" "," ")," "&amp;$CR$1444&amp;" "," ")),"")</f>
        <v xml:space="preserve"> graines de sesame </v>
      </c>
      <c r="BE60" s="1368">
        <f>IF(60=60,IF($U60="","",SUMPRODUCT(--ISNUMBER(SEARCH(" "&amp;$CR$1445:$CR$1455&amp;" ",$BD60)))),"")</f>
        <v>0</v>
      </c>
      <c r="BF60" s="1368" t="str">
        <f>IF(60=60,IF($U60="","",IF(BC60&gt;0,"X",IF(BE60&gt;0,"?",""))),"")</f>
        <v/>
      </c>
      <c r="BG60" s="1368">
        <f>IF(60=60,IF($U60="","",SUMPRODUCT(--ISNUMBER(SEARCH(" "&amp;$CR$1456:$CR$1555&amp;" ",$BJ60)))),"")</f>
        <v>0</v>
      </c>
      <c r="BH60" s="1368">
        <f>IF(60=60,IF($U60="","",SUMPRODUCT(--ISNUMBER(SEARCH(" "&amp;$CR$1556:$CR$1655&amp;" ",$BJ60)))),"")</f>
        <v>0</v>
      </c>
      <c r="BI60" s="1368">
        <f>IF(60=60,IF($U60="","",SUMPRODUCT(--ISNUMBER(SEARCH(" "&amp;$CR$1656:$CR$1739&amp;" ",$BJ60)))),"")</f>
        <v>0</v>
      </c>
      <c r="BJ60" s="1368" t="str">
        <f>IF(60=60,IF($U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graines de sesame </v>
      </c>
      <c r="BK60" s="1368">
        <f>IF(60=60,IF($U60="","",SUMPRODUCT(--ISNUMBER(SEARCH(" "&amp;$CR$1790:$CR$1869&amp;" ",$BL60)))+SUMPRODUCT(--ISNUMBER(SEARCH(" "&amp;$CR$2440:$CR$2453&amp;" ",$BL60)))),"")</f>
        <v>0</v>
      </c>
      <c r="BL60" s="1368" t="str">
        <f>IF(60=60,IF($U60="","",SUBSTITUTE(SUBSTITUTE(SUBSTITUTE(SUBSTITUTE(SUBSTITUTE(SUBSTITUTE(SUBSTITUTE(SUBSTITUTE(SUBSTITUTE(SUBSTITUTE(SUBSTITUTE(SUBSTITUTE(SUBSTITUTE($BJ60," "&amp;$CR$1876&amp;" "," ")," "&amp;$CR$1874&amp;" "," ")," "&amp;$CR$2438&amp;" "," ")," "&amp;$CR$2439&amp;" "," ")," "&amp;$CR$1871&amp;" "," ")," "&amp;$CR$1875&amp;" "," ")," "&amp;$CR$1877&amp;" "," ")," "&amp;$CR$1872&amp;" "," ")," "&amp;$CR$1870&amp;" "," ")," "&amp;$CR$1367&amp;" "," ")," "&amp;$CR$1878&amp;" "," ")," "&amp;$CR$1366&amp;" "," ")," "&amp;$CR$1873&amp;" "," ")),"")</f>
        <v xml:space="preserve"> graines de sesame </v>
      </c>
      <c r="BM60" s="1368" t="str">
        <f>IF(60=60,IF($U60="","",IF(SUM(BG60:BI60)+SUMPRODUCT(--ISNUMBER(SEARCH(" "&amp;$CR$2423:$CR$2424&amp;" ",$BJ60)))&gt;0,"X",IF(BK60&gt;0,"?",""))),"")</f>
        <v/>
      </c>
      <c r="BN60" s="1368">
        <f>IF(60=60,IF($U60="","",SUMPRODUCT(--ISNUMBER(SEARCH(" "&amp;$CR$1879:$CR$1936&amp;" ",$BO60)))),"")</f>
        <v>0</v>
      </c>
      <c r="BO60" s="1368" t="str">
        <f>IF(60=60,IF($U60="","",SUBSTITUTE(SUBSTITUTE(SUBSTITUTE(SUBSTITUTE(SUBSTITUTE(SUBSTITUTE(SUBSTITUTE(SUBSTITUTE(SUBSTITUTE(SUBSTITUTE(SUBSTITUTE(SUBSTITUTE(SUBSTITUTE(SUBSTITUTE(SUBSTITUTE(SUBSTITUTE(SUBSTITUTE(SUBSTITUTE(SUBSTITUTE(SUBSTITUTE(SUBSTITUTE(SUBSTITUTE(SUBSTITUTE($AA60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graines de sesame </v>
      </c>
      <c r="BP60" s="1368">
        <f>IF(60=60,IF($U60="","",SUMPRODUCT(--ISNUMBER(SEARCH(" "&amp;$CR$1960:$CR$1976&amp;" ",$BO60)))),"")</f>
        <v>0</v>
      </c>
      <c r="BQ60" s="1368" t="str">
        <f>IF(60=60,IF($U60="","",IF(BN60&gt;0,"X",IF(BP60&gt;0,"?",""))),"")</f>
        <v/>
      </c>
      <c r="BR60" s="1368">
        <f>IF(60=60,IF($U60="","",SUMPRODUCT(--ISNUMBER(SEARCH(" "&amp;$CR$1977:$CR$1990&amp;" ",$AA60)))),"")</f>
        <v>0</v>
      </c>
      <c r="BS60" s="1368">
        <f>IF(60=60,IF($U60="","",SUMPRODUCT(--ISNUMBER(SEARCH(" "&amp;$CR$1991:$CR$2005&amp;" ",$AA60)))),"")</f>
        <v>0</v>
      </c>
      <c r="BT60" s="1368" t="str">
        <f>IF(60=60,IF($U60="","",IF((BR60)-(0)&gt;0,"X",IF((BS60)-(0)&gt;0,"?",""))),"")</f>
        <v/>
      </c>
      <c r="BU60" s="1368">
        <f>IF(60=60,IF($U60="","",SUMPRODUCT(--ISNUMBER(SEARCH(" "&amp;$CR$2006:$CR$2023&amp;" ",$AA60)))),"")</f>
        <v>0</v>
      </c>
      <c r="BV60" s="1368">
        <f>IF(60=60,IF($U60="","",SUMPRODUCT(--ISNUMBER(SEARCH(" "&amp;$CR$2024:$CR$2038&amp;" ",$AA60)))),"")</f>
        <v>0</v>
      </c>
      <c r="BW60" s="1368" t="str">
        <f>IF(60=60,IF($U60="","",IF((BU60)-(0)&gt;0,"X",IF((BV60)-(0)&gt;0,"?",""))),"")</f>
        <v/>
      </c>
      <c r="BX60" s="1368">
        <f>IF(60=60,IF($U60="","",SUMPRODUCT(--ISNUMBER(SEARCH(" "&amp;$CR$2039:$CR$2057&amp;" ",$AA60)))),"")</f>
        <v>2</v>
      </c>
      <c r="BY60" s="1368">
        <f>IF(60=60,IF($U60="","",SUMPRODUCT(--ISNUMBER(SEARCH(" "&amp;$CR$2058:$CR$2072&amp;" ",$AA60)))),"")</f>
        <v>0</v>
      </c>
      <c r="BZ60" s="1368" t="str">
        <f>IF(60=60,IF($U60="","",IF((BX60)-(0)&gt;0,"X",IF((BY60)-(0)&gt;0,"?",""))),"")</f>
        <v>X</v>
      </c>
      <c r="CA60" s="1368">
        <f>IF(60=60,IF($U60="","",SUMPRODUCT(--ISNUMBER(SEARCH(" "&amp;$CR$2073:$CR$2093&amp;" ",$AA60)))),"")</f>
        <v>0</v>
      </c>
      <c r="CB60" s="1368">
        <f>IF(60=60,IF($U60="","",SUMPRODUCT(--ISNUMBER(SEARCH(" "&amp;$CR$2094:$CR$2133&amp;" ",SUBSTITUTE(SUBSTITUTE($AA60," "&amp;$CR$1367&amp;" "," ")," "&amp;$CR$1366&amp;" "," "))))+--ISNUMBER(SEARCH("poiré",$V60))),"")</f>
        <v>0</v>
      </c>
      <c r="CC60" s="1368" t="str">
        <f>IF(60=60,IF($U60="","",IF(OR(CA60&gt;0,ISNUMBER(SEARCH(" vinaigre de vin ",$AA60)),ISNUMBER(SEARCH(" vinaigre au vin ",$AA60))),"X",IF(CB60&gt;0,"?",""))),"")</f>
        <v/>
      </c>
      <c r="CD60" s="1368">
        <f>IF(60=60,IF($U60="","",SUMPRODUCT(--ISNUMBER(SEARCH(" "&amp;$CR$2134:$CR$2146&amp;" ",$AA60)))),"")</f>
        <v>0</v>
      </c>
      <c r="CE60" s="1368">
        <f>IF(60=60,IF($U60="","",SUMPRODUCT(--ISNUMBER(SEARCH(" "&amp;$CR$2147:$CR$2152&amp;" ",$AA60)))),"")</f>
        <v>0</v>
      </c>
      <c r="CF60" s="1368" t="str">
        <f>IF(60=60,IF($U60="","",IF((CD60)-(0)&gt;0,"X",IF((CE60)-(0)&gt;0,"?",""))),"")</f>
        <v/>
      </c>
      <c r="CG60" s="1368">
        <f>IF(60=60,IF($U60="","",SUMPRODUCT(--ISNUMBER(SEARCH(" "&amp;$CR$2153:$CR$2252&amp;" ",$CJ60)))),"")</f>
        <v>0</v>
      </c>
      <c r="CH60" s="1368">
        <f>IF(60=60,IF($U60="","",SUMPRODUCT(--ISNUMBER(SEARCH(" "&amp;$CR$2253:$CR$2352&amp;" ",$CJ60)))),"")</f>
        <v>0</v>
      </c>
      <c r="CI60" s="1368">
        <f>IF(60=60,IF($U60="","",SUMPRODUCT(--ISNUMBER(SEARCH(" "&amp;$CR$2353:$CR$2395&amp;" ",$CJ60)))),"")</f>
        <v>0</v>
      </c>
      <c r="CJ60" s="1368" t="str">
        <f>IF(60=60,IF($U60="","",SUBSTITUTE(SUBSTITUTE(SUBSTITUTE(SUBSTITUTE(SUBSTITUTE(SUBSTITUTE(SUBSTITUTE(SUBSTITUTE(SUBSTITUTE(SUBSTITUTE(SUBSTITUTE(SUBSTITUTE(SUBSTITUTE(SUBSTITUTE(SUBSTITUTE(SUBSTITUTE($AA60," "&amp;$CR$2401&amp;" "," ")," "&amp;$CR$2400&amp;" "," ")," "&amp;$CR$2399&amp;" "," ")," "&amp;$CR$2406&amp;" "," ")," "&amp;$CR$2398&amp;" "," ")," "&amp;$CR$2410&amp;" "," ")," "&amp;$CR$2397&amp;" "," ")," "&amp;$CR$2402&amp;" "," ")," "&amp;$CR$2405&amp;" "," ")," "&amp;$CR$2396&amp;" "," ")," "&amp;$CR$2404&amp;" "," ")," "&amp;$CR$2411&amp;" "," ")," "&amp;$CR$2408&amp;" "," ")," "&amp;$CR$2403&amp;" "," ")," "&amp;$CR$2407&amp;" "," ")," "&amp;$CR$2409&amp;" "," ")),"")</f>
        <v xml:space="preserve"> graines de sesame </v>
      </c>
      <c r="CK60" s="1368">
        <f>IF(60=60,IF($U60="","",SUMPRODUCT(--ISNUMBER(SEARCH(" "&amp;$CR$2412:$CR$2416&amp;" ",$CJ60)))),"")</f>
        <v>0</v>
      </c>
      <c r="CL60" s="1368" t="str">
        <f>IF(60=60,IF($U60="","",IF(SUM(CG60:CI60)&gt;0,"X",IF(CK60&gt;0,"?",""))),"")</f>
        <v/>
      </c>
      <c r="CM60" s="1377"/>
      <c r="CN60" s="1388" t="s">
        <v>8367</v>
      </c>
      <c r="CO60" s="1388" t="s">
        <v>8105</v>
      </c>
      <c r="CP60" s="1388" t="s">
        <v>8106</v>
      </c>
      <c r="CQ60" s="1388" t="s">
        <v>8368</v>
      </c>
      <c r="CR60" s="1388" t="s">
        <v>8368</v>
      </c>
      <c r="CS60" s="1388" t="s">
        <v>8108</v>
      </c>
      <c r="CT60" s="1388" t="s">
        <v>8109</v>
      </c>
      <c r="CU60" s="1388" t="s">
        <v>8110</v>
      </c>
      <c r="CV60" s="1389" t="s">
        <v>8111</v>
      </c>
      <c r="CX60" s="1379">
        <v>1</v>
      </c>
    </row>
    <row r="61" spans="1:102" ht="21" customHeight="1" x14ac:dyDescent="0.25">
      <c r="A61" s="1412">
        <v>55</v>
      </c>
      <c r="B61" s="1413" t="s">
        <v>13453</v>
      </c>
      <c r="C61" s="1414" t="str">
        <f t="shared" si="0"/>
        <v>Anhydride sulfureux et sulfites *</v>
      </c>
      <c r="D61" s="1415" t="str">
        <f>IF(61=61,IF($B61="","",IF(E61="X",""&amp;"Céréales contenant du gluten","")&amp;IF(F61="X",IF(COUNTIF($E61:$E61,"X")&gt;0,", ","")&amp;"Crustacés","")&amp;IF(G61="X",IF(COUNTIF($E61:$F61,"X")&gt;0,", ","")&amp;"Œufs","")&amp;IF(H61="X",IF(COUNTIF($E61:$G61,"X")&gt;0,", ","")&amp;"Poissons","")&amp;IF(I61="X",IF(COUNTIF($E61:$H61,"X")&gt;0,", ","")&amp;"Arachides","")&amp;IF(J61="X",IF(COUNTIF($E61:$I61,"X")&gt;0,", ","")&amp;"Soja","")&amp;IF(K61="X",IF(COUNTIF($E61:$J61,"X")&gt;0,", ","")&amp;"Lait","")&amp;IF(L61="X",IF(COUNTIF($E61:$K61,"X")&gt;0,", ","")&amp;"Fruits à coque","")&amp;IF(M61="X",IF(COUNTIF($E61:$L61,"X")&gt;0,", ","")&amp;"Céleri","")&amp;IF(N61="X",IF(COUNTIF($E61:$M61,"X")&gt;0,", ","")&amp;"Moutarde","")&amp;IF(O61="X",IF(COUNTIF($E61:$N61,"X")&gt;0,", ","")&amp;"Sésame","")&amp;IF(P61="X",IF(COUNTIF($E61:$O61,"X")&gt;0,", ","")&amp;"Sulfites","")&amp;IF(Q61="X",IF(COUNTIF($E61:$P61,"X")&gt;0,", ","")&amp;"Lupin","")&amp;IF(R61="X",IF(COUNTIF($E61:$Q61,"X")&gt;0,", ","")&amp;"Mollusques","")),"")</f>
        <v>Sulfites</v>
      </c>
      <c r="E61" s="1416" t="str">
        <f>IF(61=61,IF($B61="","",AF61),"")</f>
        <v/>
      </c>
      <c r="F61" s="1416" t="str">
        <f>IF(61=61,IF($B61="","",AI61),"")</f>
        <v/>
      </c>
      <c r="G61" s="1416" t="str">
        <f>IF(61=61,IF($B61="","",AM61),"")</f>
        <v/>
      </c>
      <c r="H61" s="1416" t="str">
        <f>IF(61=61,IF($B61="","",IF(ISNUMBER(SEARCH(" colin ",$AA61)),"X",AZ61)),"")</f>
        <v/>
      </c>
      <c r="I61" s="1416" t="str">
        <f>IF(61=61,IF($B61="","",BB61),"")</f>
        <v/>
      </c>
      <c r="J61" s="1416" t="str">
        <f>IF(61=61,IF($B61="","",BF61),"")</f>
        <v/>
      </c>
      <c r="K61" s="1416" t="str">
        <f>IF(61=61,IF($B61="","",BM61),"")</f>
        <v/>
      </c>
      <c r="L61" s="1416" t="str">
        <f>IF(61=61,IF($B61="","",BQ61),"")</f>
        <v/>
      </c>
      <c r="M61" s="1416" t="str">
        <f>IF(61=61,IF($B61="","",BT61),"")</f>
        <v/>
      </c>
      <c r="N61" s="1416" t="str">
        <f>IF(61=61,IF($B61="","",BW61),"")</f>
        <v/>
      </c>
      <c r="O61" s="1416" t="str">
        <f>IF(61=61,IF($B61="","",BZ61),"")</f>
        <v/>
      </c>
      <c r="P61" s="1416" t="str">
        <f>IF(61=61,IF($B61="","",CC61),"")</f>
        <v>X</v>
      </c>
      <c r="Q61" s="1416" t="str">
        <f>IF(61=61,IF($B61="","",CF61),"")</f>
        <v/>
      </c>
      <c r="R61" s="1416" t="str">
        <f>IF(61=61,IF($B61="","",CL61),"")</f>
        <v/>
      </c>
      <c r="S61" s="1417" t="str">
        <f>IF(61=61,IF($B61="","",IF(E61="?",""&amp;"Céréales contenant du gluten","")&amp;IF(F61="?",IF(COUNTIF($E61:$E61,"~?")&gt;0,", ","")&amp;"Crustacés","")&amp;IF(G61="?",IF(COUNTIF($E61:$F61,"~?")&gt;0,", ","")&amp;"Œufs","")&amp;IF(H61="?",IF(COUNTIF($E61:$G61,"~?")&gt;0,", ","")&amp;"Poissons","")&amp;IF(I61="?",IF(COUNTIF($E61:$H61,"~?")&gt;0,", ","")&amp;"Arachides","")&amp;IF(J61="?",IF(COUNTIF($E61:$I61,"~?")&gt;0,", ","")&amp;"Soja","")&amp;IF(K61="?",IF(COUNTIF($E61:$J61,"~?")&gt;0,", ","")&amp;"Lait","")&amp;IF(L61="?",IF(COUNTIF($E61:$K61,"~?")&gt;0,", ","")&amp;"Fruits à coque","")&amp;IF(M61="?",IF(COUNTIF($E61:$L61,"~?")&gt;0,", ","")&amp;"Céleri","")&amp;IF(N61="?",IF(COUNTIF($E61:$M61,"~?")&gt;0,", ","")&amp;"Moutarde","")&amp;IF(O61="?",IF(COUNTIF($E61:$N61,"~?")&gt;0,", ","")&amp;"Sésame","")&amp;IF(P61="?",IF(COUNTIF($E61:$O61,"~?")&gt;0,", ","")&amp;"Sulfites","")&amp;IF(Q61="?",IF(COUNTIF($E61:$P61,"~?")&gt;0,", ","")&amp;"Lupin","")&amp;IF(R61="?",IF(COUNTIF($E61:$Q61,"~?")&gt;0,", ","")&amp;"Mollusques","")),"")</f>
        <v/>
      </c>
      <c r="U61" s="1368" t="str">
        <f>IF(61=61,IF($B61="","",$B61),"")</f>
        <v xml:space="preserve"> Anhydride sulfureux et sulfites </v>
      </c>
      <c r="V61" s="1368" t="str">
        <f>IF(61=61,LOWER(CLEAN(SUBSTITUTE(SUBSTITUTE(SUBSTITUTE(SUBSTITUTE($U61,CHAR(160)," ")," "," "),CHAR(10)," "),CHAR(13)," "))),"")</f>
        <v xml:space="preserve"> anhydride sulfureux et sulfites </v>
      </c>
      <c r="W61" s="1368" t="str">
        <f>IF(61=61,SUBSTITUTE(SUBSTITUTE(SUBSTITUTE(SUBSTITUTE(SUBSTITUTE(SUBSTITUTE(SUBSTITUTE(SUBSTITUTE(SUBSTITUTE(SUBSTITUTE(SUBSTITUTE(SUBSTITUTE($V61,"œ","oe"),"æ","ae"),"à","a"),"á","a"),"â","a"),"ä","a"),"ã","a"),"ç","c"),"è","e"),"é","e"),"ê","e"),"ë","e"),"")</f>
        <v xml:space="preserve"> anhydride sulfureux et sulfites </v>
      </c>
      <c r="X61" s="1368" t="str">
        <f>IF(61=61,SUBSTITUTE(SUBSTITUTE(SUBSTITUTE(SUBSTITUTE(SUBSTITUTE(SUBSTITUTE(SUBSTITUTE(SUBSTITUTE(SUBSTITUTE(SUBSTITUTE(SUBSTITUTE(SUBSTITUTE(SUBSTITUTE(SUBSTITUTE(SUBSTITUTE(SUBSTITUTE($W61,"ì","i"),"í","i"),"î","i"),"ï","i"),"ñ","n"),"ò","o"),"ó","o"),"ô","o"),"ö","o"),"õ","o"),"ù","u"),"ú","u"),"û","u"),"ü","u"),"ý","y"),"ÿ","y"),"")</f>
        <v xml:space="preserve"> anhydride sulfureux et sulfites </v>
      </c>
      <c r="Y61" s="1368" t="str">
        <f>IF(61=61,SUBSTITUTE(SUBSTITUTE(SUBSTITUTE(SUBSTITUTE(SUBSTITUTE(SUBSTITUTE(SUBSTITUTE(SUBSTITUTE(SUBSTITUTE(SUBSTITUTE(SUBSTITUTE(SUBSTITUTE(SUBSTITUTE(SUBSTITUTE($X61,"’"," "),"`"," "),"–"," "),"—"," "),"-"," "),"'"," "),"/"," "),"_"," "),","," "),"."," "),"("," "),")"," "),";"," "),":"," "),"")</f>
        <v xml:space="preserve"> anhydride sulfureux et sulfites </v>
      </c>
      <c r="Z61" s="1368" t="str">
        <f>IF(61=61,SUBSTITUTE(SUBSTITUTE(SUBSTITUTE(SUBSTITUTE(SUBSTITUTE(SUBSTITUTE(SUBSTITUTE(SUBSTITUTE(SUBSTITUTE(SUBSTITUTE(SUBSTITUTE(SUBSTITUTE(SUBSTITUTE(SUBSTITUTE(SUBSTITUTE($Y61,"!"," "),"?"," "),"+"," "),"*"," "),"&amp;"," "),"["," "),"]"," "),"{"," "),"}"," "),"%"," "),"="," "),"\"," "),"|"," "),"&lt;"," "),"&gt;"," "),"")</f>
        <v xml:space="preserve"> anhydride sulfureux et sulfites </v>
      </c>
      <c r="AA61" s="1368" t="str">
        <f>IF(61=61," "&amp;TRIM(SUBSTITUTE(SUBSTITUTE(SUBSTITUTE(SUBSTITUTE(SUBSTITUTE(SUBSTITUTE($Z61,CHAR(34)," "),"  "," "),"  "," "),"  "," "),"  "," "),"  "," "))&amp;" ","")</f>
        <v xml:space="preserve"> anhydride sulfureux et sulfites </v>
      </c>
      <c r="AB61" s="1368">
        <f>IF(61=61,IF($U61="","",SUMPRODUCT(--ISNUMBER(SEARCH(" "&amp;$CR$2:$CR$101&amp;" ",$AD61)))),"")</f>
        <v>0</v>
      </c>
      <c r="AC61" s="1368">
        <f>IF(61=61,IF($U61="","",SUMPRODUCT(--ISNUMBER(SEARCH(" "&amp;$CR$102:$CR$151&amp;" ",$AD61)))),"")</f>
        <v>0</v>
      </c>
      <c r="AD61" s="1368" t="str">
        <f t="shared" si="1"/>
        <v xml:space="preserve"> anhydride sulfureux et sulfites </v>
      </c>
      <c r="AE61" s="1368">
        <f t="shared" si="2"/>
        <v>0</v>
      </c>
      <c r="AF61" s="1368" t="str">
        <f>IF(61=61,IF($U61="","",IF(SUM(AB61:AC61)+SUMPRODUCT(--ISNUMBER(SEARCH(" "&amp;$CR$2418:$CR$2420&amp;" ",$AD61)))&gt;0,"X",IF(AE61&gt;0,"?",""))),"")</f>
        <v/>
      </c>
      <c r="AG61" s="1368">
        <f>IF(61=61,IF($U61="","",SUMPRODUCT(--ISNUMBER(SEARCH(" "&amp;$CR$206:$CR$305&amp;" ",$AA61)))),"")</f>
        <v>0</v>
      </c>
      <c r="AH61" s="1368">
        <f>IF(61=61,IF($U61="","",SUMPRODUCT(--ISNUMBER(SEARCH(" "&amp;$CR$306:$CR$340&amp;" ",$AA61)))),"")</f>
        <v>0</v>
      </c>
      <c r="AI61" s="1368" t="str">
        <f>IF(61=61,IF($U61="","",IF((SUM(AG61:AH61))-(0)&gt;0,"X",IF((0)-(0)&gt;0,"?",""))),"")</f>
        <v/>
      </c>
      <c r="AJ61" s="1368">
        <f>IF(61=61,IF($U61="","",SUMPRODUCT(--ISNUMBER(SEARCH(" "&amp;$CR$341:$CR$398&amp;" ",$AA61)))),"")</f>
        <v>0</v>
      </c>
      <c r="AK61" s="1368">
        <f>IF(61=61,IF($U61="","",SUMPRODUCT(--ISNUMBER(SEARCH(" "&amp;$CR$399:$CR$426&amp;" ",$AL61)))+SUMPRODUCT(--ISNUMBER(SEARCH(" "&amp;$CR$2440:$CR$2453&amp;" ",$AL61)))),"")</f>
        <v>0</v>
      </c>
      <c r="AL61" s="1368" t="str">
        <f>IF(61=61,IF($U61="","",SUBSTITUTE(SUBSTITUTE(SUBSTITUTE(SUBSTITUTE(SUBSTITUTE(SUBSTITUTE(SUBSTITUTE(SUBSTITUTE(SUBSTITUTE(SUBSTITUTE(SUBSTITUTE(SUBSTITUTE(SUBSTITUTE(SUBSTITUTE($AA61," "&amp;$CR$2455&amp;" "," ")," "&amp;$CR$433&amp;" "," ")," "&amp;$CR$431&amp;" "," ")," "&amp;$CR$2438&amp;" "," ")," "&amp;$CR$2439&amp;" "," ")," "&amp;$CR$428&amp;" "," ")," "&amp;$CR$432&amp;" "," ")," "&amp;$CR$434&amp;" "," ")," "&amp;$CR$429&amp;" "," ")," "&amp;$CR$427&amp;" "," ")," "&amp;$CR$1367&amp;" "," ")," "&amp;$CR$435&amp;" "," ")," "&amp;$CR$1366&amp;" "," ")," "&amp;$CR$430&amp;" "," ")),"")</f>
        <v xml:space="preserve"> anhydride sulfureux et sulfites </v>
      </c>
      <c r="AM61" s="1368" t="str">
        <f>IF(61=61,IF($U61="","",IF(AJ61&gt;0,"X",IF(AK61&gt;0,"?",""))),"")</f>
        <v/>
      </c>
      <c r="AN61" s="1368">
        <f>IF(61=61,IF($U61="","",SUMPRODUCT(--ISNUMBER(SEARCH(" "&amp;$CR$436:$CR$535&amp;" ",$AX61)))),"")</f>
        <v>0</v>
      </c>
      <c r="AO61" s="1368">
        <f>IF(61=61,IF($U61="","",SUMPRODUCT(--ISNUMBER(SEARCH(" "&amp;$CR$536:$CR$635&amp;" ",$AX61)))),"")</f>
        <v>0</v>
      </c>
      <c r="AP61" s="1368">
        <f>IF(61=61,IF($U61="","",SUMPRODUCT(--ISNUMBER(SEARCH(" "&amp;$CR$636:$CR$735&amp;" ",$AX61)))),"")</f>
        <v>0</v>
      </c>
      <c r="AQ61" s="1368">
        <f>IF(61=61,IF($U61="","",SUMPRODUCT(--ISNUMBER(SEARCH(" "&amp;$CR$736:$CR$835&amp;" ",$AX61)))),"")</f>
        <v>0</v>
      </c>
      <c r="AR61" s="1368">
        <f>IF(61=61,IF($U61="","",SUMPRODUCT(--ISNUMBER(SEARCH(" "&amp;$CR$836:$CR$935&amp;" ",$AX61)))),"")</f>
        <v>0</v>
      </c>
      <c r="AS61" s="1368">
        <f>IF(61=61,IF($U61="","",SUMPRODUCT(--ISNUMBER(SEARCH(" "&amp;$CR$936:$CR$1035&amp;" ",$AX61)))),"")</f>
        <v>0</v>
      </c>
      <c r="AT61" s="1368">
        <f>IF(61=61,IF($U61="","",SUMPRODUCT(--ISNUMBER(SEARCH(" "&amp;$CR$1036:$CR$1135&amp;" ",$AX61)))),"")</f>
        <v>0</v>
      </c>
      <c r="AU61" s="1368">
        <f>IF(61=61,IF($U61="","",SUMPRODUCT(--ISNUMBER(SEARCH(" "&amp;$CR$1136:$CR$1235&amp;" ",$AX61)))),"")</f>
        <v>0</v>
      </c>
      <c r="AV61" s="1368">
        <f>IF(61=61,IF($U61="","",SUMPRODUCT(--ISNUMBER(SEARCH(" "&amp;$CR$1236:$CR$1335&amp;" ",$AX61)))),"")</f>
        <v>0</v>
      </c>
      <c r="AW61" s="1368">
        <f>IF(61=61,IF($U61="","",SUMPRODUCT(--ISNUMBER(SEARCH(" "&amp;$CR$1336:$CR$1363&amp;" ",$AX61)))),"")</f>
        <v>0</v>
      </c>
      <c r="AX61" s="1368" t="str">
        <f>IF(61=61,IF($U61="","",SUBSTITUTE(SUBSTITUTE(SUBSTITUTE(SUBSTITUTE(SUBSTITUTE(SUBSTITUTE(SUBSTITUTE(SUBSTITUTE(SUBSTITUTE($AA61," "&amp;$CR$1365&amp;" "," ")," "&amp;$CR$1364&amp;" "," ")," "&amp;$CR$1370&amp;" "," ")," "&amp;$CR$1371&amp;" "," ")," "&amp;$CR$1367&amp;" "," ")," "&amp;$CR$1369&amp;" "," ")," "&amp;$CR$1366&amp;" "," ")," "&amp;$CR$1368&amp;" "," ")," "&amp;$CR$1372&amp;" "," ")),"")</f>
        <v xml:space="preserve"> anhydride sulfureux et sulfites </v>
      </c>
      <c r="AY61" s="1368">
        <f>IF(61=61,IF($U61="","",SUMPRODUCT(--ISNUMBER(SEARCH(" "&amp;$CR$1373:$CR$1383&amp;" ",$AX61)))),"")</f>
        <v>0</v>
      </c>
      <c r="AZ61" s="1368" t="str">
        <f>IF(61=61,IF($U61="","",IF(SUM(AN61:AW61)+SUMPRODUCT(--ISNUMBER(SEARCH(" "&amp;$CR$2421:$CR$2422&amp;" ",$AX61)))&gt;0,"X",IF(AY61&gt;0,"?",""))),"")</f>
        <v/>
      </c>
      <c r="BA61" s="1368">
        <f>IF(61=61,IF($U61="","",SUMPRODUCT(--ISNUMBER(SEARCH(" "&amp;$CR$1384:$CR$1404&amp;" ",$AA61)))),"")</f>
        <v>0</v>
      </c>
      <c r="BB61" s="1368" t="str">
        <f>IF(61=61,IF($U61="","",IF((BA61)-(0)&gt;0,"X",IF((0)-(0)&gt;0,"?",""))),"")</f>
        <v/>
      </c>
      <c r="BC61" s="1368">
        <f>IF(61=61,IF($U61="","",SUMPRODUCT(--ISNUMBER(SEARCH(" "&amp;$CR$1405:$CR$1442&amp;" ",$BD61)))),"")</f>
        <v>0</v>
      </c>
      <c r="BD61" s="1368" t="str">
        <f>IF(61=61,IF($U61="","",SUBSTITUTE(SUBSTITUTE($AA61," "&amp;$CR$1443&amp;" "," ")," "&amp;$CR$1444&amp;" "," ")),"")</f>
        <v xml:space="preserve"> anhydride sulfureux et sulfites </v>
      </c>
      <c r="BE61" s="1368">
        <f>IF(61=61,IF($U61="","",SUMPRODUCT(--ISNUMBER(SEARCH(" "&amp;$CR$1445:$CR$1455&amp;" ",$BD61)))),"")</f>
        <v>0</v>
      </c>
      <c r="BF61" s="1368" t="str">
        <f>IF(61=61,IF($U61="","",IF(BC61&gt;0,"X",IF(BE61&gt;0,"?",""))),"")</f>
        <v/>
      </c>
      <c r="BG61" s="1368">
        <f>IF(61=61,IF($U61="","",SUMPRODUCT(--ISNUMBER(SEARCH(" "&amp;$CR$1456:$CR$1555&amp;" ",$BJ61)))),"")</f>
        <v>0</v>
      </c>
      <c r="BH61" s="1368">
        <f>IF(61=61,IF($U61="","",SUMPRODUCT(--ISNUMBER(SEARCH(" "&amp;$CR$1556:$CR$1655&amp;" ",$BJ61)))),"")</f>
        <v>0</v>
      </c>
      <c r="BI61" s="1368">
        <f>IF(61=61,IF($U61="","",SUMPRODUCT(--ISNUMBER(SEARCH(" "&amp;$CR$1656:$CR$1739&amp;" ",$BJ61)))),"")</f>
        <v>0</v>
      </c>
      <c r="BJ61" s="1368" t="str">
        <f>IF(61=61,IF($U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anhydride sulfureux et sulfites </v>
      </c>
      <c r="BK61" s="1368">
        <f>IF(61=61,IF($U61="","",SUMPRODUCT(--ISNUMBER(SEARCH(" "&amp;$CR$1790:$CR$1869&amp;" ",$BL61)))+SUMPRODUCT(--ISNUMBER(SEARCH(" "&amp;$CR$2440:$CR$2453&amp;" ",$BL61)))),"")</f>
        <v>0</v>
      </c>
      <c r="BL61" s="1368" t="str">
        <f>IF(61=61,IF($U61="","",SUBSTITUTE(SUBSTITUTE(SUBSTITUTE(SUBSTITUTE(SUBSTITUTE(SUBSTITUTE(SUBSTITUTE(SUBSTITUTE(SUBSTITUTE(SUBSTITUTE(SUBSTITUTE(SUBSTITUTE(SUBSTITUTE($BJ61," "&amp;$CR$1876&amp;" "," ")," "&amp;$CR$1874&amp;" "," ")," "&amp;$CR$2438&amp;" "," ")," "&amp;$CR$2439&amp;" "," ")," "&amp;$CR$1871&amp;" "," ")," "&amp;$CR$1875&amp;" "," ")," "&amp;$CR$1877&amp;" "," ")," "&amp;$CR$1872&amp;" "," ")," "&amp;$CR$1870&amp;" "," ")," "&amp;$CR$1367&amp;" "," ")," "&amp;$CR$1878&amp;" "," ")," "&amp;$CR$1366&amp;" "," ")," "&amp;$CR$1873&amp;" "," ")),"")</f>
        <v xml:space="preserve"> anhydride sulfureux et sulfites </v>
      </c>
      <c r="BM61" s="1368" t="str">
        <f>IF(61=61,IF($U61="","",IF(SUM(BG61:BI61)+SUMPRODUCT(--ISNUMBER(SEARCH(" "&amp;$CR$2423:$CR$2424&amp;" ",$BJ61)))&gt;0,"X",IF(BK61&gt;0,"?",""))),"")</f>
        <v/>
      </c>
      <c r="BN61" s="1368">
        <f>IF(61=61,IF($U61="","",SUMPRODUCT(--ISNUMBER(SEARCH(" "&amp;$CR$1879:$CR$1936&amp;" ",$BO61)))),"")</f>
        <v>0</v>
      </c>
      <c r="BO61" s="1368" t="str">
        <f>IF(61=61,IF($U61="","",SUBSTITUTE(SUBSTITUTE(SUBSTITUTE(SUBSTITUTE(SUBSTITUTE(SUBSTITUTE(SUBSTITUTE(SUBSTITUTE(SUBSTITUTE(SUBSTITUTE(SUBSTITUTE(SUBSTITUTE(SUBSTITUTE(SUBSTITUTE(SUBSTITUTE(SUBSTITUTE(SUBSTITUTE(SUBSTITUTE(SUBSTITUTE(SUBSTITUTE(SUBSTITUTE(SUBSTITUTE(SUBSTITUTE($AA61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anhydride sulfureux et sulfites </v>
      </c>
      <c r="BP61" s="1368">
        <f>IF(61=61,IF($U61="","",SUMPRODUCT(--ISNUMBER(SEARCH(" "&amp;$CR$1960:$CR$1976&amp;" ",$BO61)))),"")</f>
        <v>0</v>
      </c>
      <c r="BQ61" s="1368" t="str">
        <f>IF(61=61,IF($U61="","",IF(BN61&gt;0,"X",IF(BP61&gt;0,"?",""))),"")</f>
        <v/>
      </c>
      <c r="BR61" s="1368">
        <f>IF(61=61,IF($U61="","",SUMPRODUCT(--ISNUMBER(SEARCH(" "&amp;$CR$1977:$CR$1990&amp;" ",$AA61)))),"")</f>
        <v>0</v>
      </c>
      <c r="BS61" s="1368">
        <f>IF(61=61,IF($U61="","",SUMPRODUCT(--ISNUMBER(SEARCH(" "&amp;$CR$1991:$CR$2005&amp;" ",$AA61)))),"")</f>
        <v>0</v>
      </c>
      <c r="BT61" s="1368" t="str">
        <f>IF(61=61,IF($U61="","",IF((BR61)-(0)&gt;0,"X",IF((BS61)-(0)&gt;0,"?",""))),"")</f>
        <v/>
      </c>
      <c r="BU61" s="1368">
        <f>IF(61=61,IF($U61="","",SUMPRODUCT(--ISNUMBER(SEARCH(" "&amp;$CR$2006:$CR$2023&amp;" ",$AA61)))),"")</f>
        <v>0</v>
      </c>
      <c r="BV61" s="1368">
        <f>IF(61=61,IF($U61="","",SUMPRODUCT(--ISNUMBER(SEARCH(" "&amp;$CR$2024:$CR$2038&amp;" ",$AA61)))),"")</f>
        <v>0</v>
      </c>
      <c r="BW61" s="1368" t="str">
        <f>IF(61=61,IF($U61="","",IF((BU61)-(0)&gt;0,"X",IF((BV61)-(0)&gt;0,"?",""))),"")</f>
        <v/>
      </c>
      <c r="BX61" s="1368">
        <f>IF(61=61,IF($U61="","",SUMPRODUCT(--ISNUMBER(SEARCH(" "&amp;$CR$2039:$CR$2057&amp;" ",$AA61)))),"")</f>
        <v>0</v>
      </c>
      <c r="BY61" s="1368">
        <f>IF(61=61,IF($U61="","",SUMPRODUCT(--ISNUMBER(SEARCH(" "&amp;$CR$2058:$CR$2072&amp;" ",$AA61)))),"")</f>
        <v>0</v>
      </c>
      <c r="BZ61" s="1368" t="str">
        <f>IF(61=61,IF($U61="","",IF((BX61)-(0)&gt;0,"X",IF((BY61)-(0)&gt;0,"?",""))),"")</f>
        <v/>
      </c>
      <c r="CA61" s="1368">
        <f>IF(61=61,IF($U61="","",SUMPRODUCT(--ISNUMBER(SEARCH(" "&amp;$CR$2073:$CR$2093&amp;" ",$AA61)))),"")</f>
        <v>2</v>
      </c>
      <c r="CB61" s="1368">
        <f>IF(61=61,IF($U61="","",SUMPRODUCT(--ISNUMBER(SEARCH(" "&amp;$CR$2094:$CR$2133&amp;" ",SUBSTITUTE(SUBSTITUTE($AA61," "&amp;$CR$1367&amp;" "," ")," "&amp;$CR$1366&amp;" "," "))))+--ISNUMBER(SEARCH("poiré",$V61))),"")</f>
        <v>0</v>
      </c>
      <c r="CC61" s="1368" t="str">
        <f>IF(61=61,IF($U61="","",IF(OR(CA61&gt;0,ISNUMBER(SEARCH(" vinaigre de vin ",$AA61)),ISNUMBER(SEARCH(" vinaigre au vin ",$AA61))),"X",IF(CB61&gt;0,"?",""))),"")</f>
        <v>X</v>
      </c>
      <c r="CD61" s="1368">
        <f>IF(61=61,IF($U61="","",SUMPRODUCT(--ISNUMBER(SEARCH(" "&amp;$CR$2134:$CR$2146&amp;" ",$AA61)))),"")</f>
        <v>0</v>
      </c>
      <c r="CE61" s="1368">
        <f>IF(61=61,IF($U61="","",SUMPRODUCT(--ISNUMBER(SEARCH(" "&amp;$CR$2147:$CR$2152&amp;" ",$AA61)))),"")</f>
        <v>0</v>
      </c>
      <c r="CF61" s="1368" t="str">
        <f>IF(61=61,IF($U61="","",IF((CD61)-(0)&gt;0,"X",IF((CE61)-(0)&gt;0,"?",""))),"")</f>
        <v/>
      </c>
      <c r="CG61" s="1368">
        <f>IF(61=61,IF($U61="","",SUMPRODUCT(--ISNUMBER(SEARCH(" "&amp;$CR$2153:$CR$2252&amp;" ",$CJ61)))),"")</f>
        <v>0</v>
      </c>
      <c r="CH61" s="1368">
        <f>IF(61=61,IF($U61="","",SUMPRODUCT(--ISNUMBER(SEARCH(" "&amp;$CR$2253:$CR$2352&amp;" ",$CJ61)))),"")</f>
        <v>0</v>
      </c>
      <c r="CI61" s="1368">
        <f>IF(61=61,IF($U61="","",SUMPRODUCT(--ISNUMBER(SEARCH(" "&amp;$CR$2353:$CR$2395&amp;" ",$CJ61)))),"")</f>
        <v>0</v>
      </c>
      <c r="CJ61" s="1368" t="str">
        <f>IF(61=61,IF($U61="","",SUBSTITUTE(SUBSTITUTE(SUBSTITUTE(SUBSTITUTE(SUBSTITUTE(SUBSTITUTE(SUBSTITUTE(SUBSTITUTE(SUBSTITUTE(SUBSTITUTE(SUBSTITUTE(SUBSTITUTE(SUBSTITUTE(SUBSTITUTE(SUBSTITUTE(SUBSTITUTE($AA61," "&amp;$CR$2401&amp;" "," ")," "&amp;$CR$2400&amp;" "," ")," "&amp;$CR$2399&amp;" "," ")," "&amp;$CR$2406&amp;" "," ")," "&amp;$CR$2398&amp;" "," ")," "&amp;$CR$2410&amp;" "," ")," "&amp;$CR$2397&amp;" "," ")," "&amp;$CR$2402&amp;" "," ")," "&amp;$CR$2405&amp;" "," ")," "&amp;$CR$2396&amp;" "," ")," "&amp;$CR$2404&amp;" "," ")," "&amp;$CR$2411&amp;" "," ")," "&amp;$CR$2408&amp;" "," ")," "&amp;$CR$2403&amp;" "," ")," "&amp;$CR$2407&amp;" "," ")," "&amp;$CR$2409&amp;" "," ")),"")</f>
        <v xml:space="preserve"> anhydride sulfureux et sulfites </v>
      </c>
      <c r="CK61" s="1368">
        <f>IF(61=61,IF($U61="","",SUMPRODUCT(--ISNUMBER(SEARCH(" "&amp;$CR$2412:$CR$2416&amp;" ",$CJ61)))),"")</f>
        <v>0</v>
      </c>
      <c r="CL61" s="1368" t="str">
        <f>IF(61=61,IF($U61="","",IF(SUM(CG61:CI61)&gt;0,"X",IF(CK61&gt;0,"?",""))),"")</f>
        <v/>
      </c>
      <c r="CM61" s="1377"/>
      <c r="CN61" s="1388" t="s">
        <v>8369</v>
      </c>
      <c r="CO61" s="1388" t="s">
        <v>8105</v>
      </c>
      <c r="CP61" s="1388" t="s">
        <v>8106</v>
      </c>
      <c r="CQ61" s="1388" t="s">
        <v>8370</v>
      </c>
      <c r="CR61" s="1388" t="s">
        <v>8370</v>
      </c>
      <c r="CS61" s="1388" t="s">
        <v>8108</v>
      </c>
      <c r="CT61" s="1388" t="s">
        <v>8109</v>
      </c>
      <c r="CU61" s="1388" t="s">
        <v>8110</v>
      </c>
      <c r="CV61" s="1389" t="s">
        <v>8111</v>
      </c>
      <c r="CX61" s="1379">
        <v>1</v>
      </c>
    </row>
    <row r="62" spans="1:102" ht="21" customHeight="1" x14ac:dyDescent="0.25">
      <c r="A62" s="1412">
        <v>56</v>
      </c>
      <c r="B62" s="1413" t="s">
        <v>13454</v>
      </c>
      <c r="C62" s="1414" t="str">
        <f t="shared" si="0"/>
        <v>Lupin *</v>
      </c>
      <c r="D62" s="1415" t="str">
        <f>IF(62=62,IF($B62="","",IF(E62="X",""&amp;"Céréales contenant du gluten","")&amp;IF(F62="X",IF(COUNTIF($E62:$E62,"X")&gt;0,", ","")&amp;"Crustacés","")&amp;IF(G62="X",IF(COUNTIF($E62:$F62,"X")&gt;0,", ","")&amp;"Œufs","")&amp;IF(H62="X",IF(COUNTIF($E62:$G62,"X")&gt;0,", ","")&amp;"Poissons","")&amp;IF(I62="X",IF(COUNTIF($E62:$H62,"X")&gt;0,", ","")&amp;"Arachides","")&amp;IF(J62="X",IF(COUNTIF($E62:$I62,"X")&gt;0,", ","")&amp;"Soja","")&amp;IF(K62="X",IF(COUNTIF($E62:$J62,"X")&gt;0,", ","")&amp;"Lait","")&amp;IF(L62="X",IF(COUNTIF($E62:$K62,"X")&gt;0,", ","")&amp;"Fruits à coque","")&amp;IF(M62="X",IF(COUNTIF($E62:$L62,"X")&gt;0,", ","")&amp;"Céleri","")&amp;IF(N62="X",IF(COUNTIF($E62:$M62,"X")&gt;0,", ","")&amp;"Moutarde","")&amp;IF(O62="X",IF(COUNTIF($E62:$N62,"X")&gt;0,", ","")&amp;"Sésame","")&amp;IF(P62="X",IF(COUNTIF($E62:$O62,"X")&gt;0,", ","")&amp;"Sulfites","")&amp;IF(Q62="X",IF(COUNTIF($E62:$P62,"X")&gt;0,", ","")&amp;"Lupin","")&amp;IF(R62="X",IF(COUNTIF($E62:$Q62,"X")&gt;0,", ","")&amp;"Mollusques","")),"")</f>
        <v>Lupin</v>
      </c>
      <c r="E62" s="1416" t="str">
        <f>IF(62=62,IF($B62="","",AF62),"")</f>
        <v/>
      </c>
      <c r="F62" s="1416" t="str">
        <f>IF(62=62,IF($B62="","",AI62),"")</f>
        <v/>
      </c>
      <c r="G62" s="1416" t="str">
        <f>IF(62=62,IF($B62="","",AM62),"")</f>
        <v/>
      </c>
      <c r="H62" s="1416" t="str">
        <f>IF(62=62,IF($B62="","",IF(ISNUMBER(SEARCH(" colin ",$AA62)),"X",AZ62)),"")</f>
        <v/>
      </c>
      <c r="I62" s="1416" t="str">
        <f>IF(62=62,IF($B62="","",BB62),"")</f>
        <v/>
      </c>
      <c r="J62" s="1416" t="str">
        <f>IF(62=62,IF($B62="","",BF62),"")</f>
        <v/>
      </c>
      <c r="K62" s="1416" t="str">
        <f>IF(62=62,IF($B62="","",BM62),"")</f>
        <v/>
      </c>
      <c r="L62" s="1416" t="str">
        <f>IF(62=62,IF($B62="","",BQ62),"")</f>
        <v/>
      </c>
      <c r="M62" s="1416" t="str">
        <f>IF(62=62,IF($B62="","",BT62),"")</f>
        <v/>
      </c>
      <c r="N62" s="1416" t="str">
        <f>IF(62=62,IF($B62="","",BW62),"")</f>
        <v/>
      </c>
      <c r="O62" s="1416" t="str">
        <f>IF(62=62,IF($B62="","",BZ62),"")</f>
        <v/>
      </c>
      <c r="P62" s="1416" t="str">
        <f>IF(62=62,IF($B62="","",CC62),"")</f>
        <v/>
      </c>
      <c r="Q62" s="1416" t="str">
        <f>IF(62=62,IF($B62="","",CF62),"")</f>
        <v>X</v>
      </c>
      <c r="R62" s="1416" t="str">
        <f>IF(62=62,IF($B62="","",CL62),"")</f>
        <v/>
      </c>
      <c r="S62" s="1417" t="str">
        <f>IF(62=62,IF($B62="","",IF(E62="?",""&amp;"Céréales contenant du gluten","")&amp;IF(F62="?",IF(COUNTIF($E62:$E62,"~?")&gt;0,", ","")&amp;"Crustacés","")&amp;IF(G62="?",IF(COUNTIF($E62:$F62,"~?")&gt;0,", ","")&amp;"Œufs","")&amp;IF(H62="?",IF(COUNTIF($E62:$G62,"~?")&gt;0,", ","")&amp;"Poissons","")&amp;IF(I62="?",IF(COUNTIF($E62:$H62,"~?")&gt;0,", ","")&amp;"Arachides","")&amp;IF(J62="?",IF(COUNTIF($E62:$I62,"~?")&gt;0,", ","")&amp;"Soja","")&amp;IF(K62="?",IF(COUNTIF($E62:$J62,"~?")&gt;0,", ","")&amp;"Lait","")&amp;IF(L62="?",IF(COUNTIF($E62:$K62,"~?")&gt;0,", ","")&amp;"Fruits à coque","")&amp;IF(M62="?",IF(COUNTIF($E62:$L62,"~?")&gt;0,", ","")&amp;"Céleri","")&amp;IF(N62="?",IF(COUNTIF($E62:$M62,"~?")&gt;0,", ","")&amp;"Moutarde","")&amp;IF(O62="?",IF(COUNTIF($E62:$N62,"~?")&gt;0,", ","")&amp;"Sésame","")&amp;IF(P62="?",IF(COUNTIF($E62:$O62,"~?")&gt;0,", ","")&amp;"Sulfites","")&amp;IF(Q62="?",IF(COUNTIF($E62:$P62,"~?")&gt;0,", ","")&amp;"Lupin","")&amp;IF(R62="?",IF(COUNTIF($E62:$Q62,"~?")&gt;0,", ","")&amp;"Mollusques","")),"")</f>
        <v/>
      </c>
      <c r="U62" s="1368" t="str">
        <f>IF(62=62,IF($B62="","",$B62),"")</f>
        <v xml:space="preserve">Lupin </v>
      </c>
      <c r="V62" s="1368" t="str">
        <f>IF(62=62,LOWER(CLEAN(SUBSTITUTE(SUBSTITUTE(SUBSTITUTE(SUBSTITUTE($U62,CHAR(160)," ")," "," "),CHAR(10)," "),CHAR(13)," "))),"")</f>
        <v xml:space="preserve">lupin </v>
      </c>
      <c r="W62" s="1368" t="str">
        <f>IF(62=62,SUBSTITUTE(SUBSTITUTE(SUBSTITUTE(SUBSTITUTE(SUBSTITUTE(SUBSTITUTE(SUBSTITUTE(SUBSTITUTE(SUBSTITUTE(SUBSTITUTE(SUBSTITUTE(SUBSTITUTE($V62,"œ","oe"),"æ","ae"),"à","a"),"á","a"),"â","a"),"ä","a"),"ã","a"),"ç","c"),"è","e"),"é","e"),"ê","e"),"ë","e"),"")</f>
        <v xml:space="preserve">lupin </v>
      </c>
      <c r="X62" s="1368" t="str">
        <f>IF(62=62,SUBSTITUTE(SUBSTITUTE(SUBSTITUTE(SUBSTITUTE(SUBSTITUTE(SUBSTITUTE(SUBSTITUTE(SUBSTITUTE(SUBSTITUTE(SUBSTITUTE(SUBSTITUTE(SUBSTITUTE(SUBSTITUTE(SUBSTITUTE(SUBSTITUTE(SUBSTITUTE($W62,"ì","i"),"í","i"),"î","i"),"ï","i"),"ñ","n"),"ò","o"),"ó","o"),"ô","o"),"ö","o"),"õ","o"),"ù","u"),"ú","u"),"û","u"),"ü","u"),"ý","y"),"ÿ","y"),"")</f>
        <v xml:space="preserve">lupin </v>
      </c>
      <c r="Y62" s="1368" t="str">
        <f>IF(62=62,SUBSTITUTE(SUBSTITUTE(SUBSTITUTE(SUBSTITUTE(SUBSTITUTE(SUBSTITUTE(SUBSTITUTE(SUBSTITUTE(SUBSTITUTE(SUBSTITUTE(SUBSTITUTE(SUBSTITUTE(SUBSTITUTE(SUBSTITUTE($X62,"’"," "),"`"," "),"–"," "),"—"," "),"-"," "),"'"," "),"/"," "),"_"," "),","," "),"."," "),"("," "),")"," "),";"," "),":"," "),"")</f>
        <v xml:space="preserve">lupin </v>
      </c>
      <c r="Z62" s="1368" t="str">
        <f>IF(62=62,SUBSTITUTE(SUBSTITUTE(SUBSTITUTE(SUBSTITUTE(SUBSTITUTE(SUBSTITUTE(SUBSTITUTE(SUBSTITUTE(SUBSTITUTE(SUBSTITUTE(SUBSTITUTE(SUBSTITUTE(SUBSTITUTE(SUBSTITUTE(SUBSTITUTE($Y62,"!"," "),"?"," "),"+"," "),"*"," "),"&amp;"," "),"["," "),"]"," "),"{"," "),"}"," "),"%"," "),"="," "),"\"," "),"|"," "),"&lt;"," "),"&gt;"," "),"")</f>
        <v xml:space="preserve">lupin </v>
      </c>
      <c r="AA62" s="1368" t="str">
        <f>IF(62=62," "&amp;TRIM(SUBSTITUTE(SUBSTITUTE(SUBSTITUTE(SUBSTITUTE(SUBSTITUTE(SUBSTITUTE($Z62,CHAR(34)," "),"  "," "),"  "," "),"  "," "),"  "," "),"  "," "))&amp;" ","")</f>
        <v xml:space="preserve"> lupin </v>
      </c>
      <c r="AB62" s="1368">
        <f>IF(62=62,IF($U62="","",SUMPRODUCT(--ISNUMBER(SEARCH(" "&amp;$CR$2:$CR$101&amp;" ",$AD62)))),"")</f>
        <v>0</v>
      </c>
      <c r="AC62" s="1368">
        <f>IF(62=62,IF($U62="","",SUMPRODUCT(--ISNUMBER(SEARCH(" "&amp;$CR$102:$CR$151&amp;" ",$AD62)))),"")</f>
        <v>0</v>
      </c>
      <c r="AD62" s="1368" t="str">
        <f t="shared" si="1"/>
        <v xml:space="preserve"> lupin </v>
      </c>
      <c r="AE62" s="1368">
        <f t="shared" si="2"/>
        <v>0</v>
      </c>
      <c r="AF62" s="1368" t="str">
        <f>IF(62=62,IF($U62="","",IF(SUM(AB62:AC62)+SUMPRODUCT(--ISNUMBER(SEARCH(" "&amp;$CR$2418:$CR$2420&amp;" ",$AD62)))&gt;0,"X",IF(AE62&gt;0,"?",""))),"")</f>
        <v/>
      </c>
      <c r="AG62" s="1368">
        <f>IF(62=62,IF($U62="","",SUMPRODUCT(--ISNUMBER(SEARCH(" "&amp;$CR$206:$CR$305&amp;" ",$AA62)))),"")</f>
        <v>0</v>
      </c>
      <c r="AH62" s="1368">
        <f>IF(62=62,IF($U62="","",SUMPRODUCT(--ISNUMBER(SEARCH(" "&amp;$CR$306:$CR$340&amp;" ",$AA62)))),"")</f>
        <v>0</v>
      </c>
      <c r="AI62" s="1368" t="str">
        <f>IF(62=62,IF($U62="","",IF((SUM(AG62:AH62))-(0)&gt;0,"X",IF((0)-(0)&gt;0,"?",""))),"")</f>
        <v/>
      </c>
      <c r="AJ62" s="1368">
        <f>IF(62=62,IF($U62="","",SUMPRODUCT(--ISNUMBER(SEARCH(" "&amp;$CR$341:$CR$398&amp;" ",$AA62)))),"")</f>
        <v>0</v>
      </c>
      <c r="AK62" s="1368">
        <f>IF(62=62,IF($U62="","",SUMPRODUCT(--ISNUMBER(SEARCH(" "&amp;$CR$399:$CR$426&amp;" ",$AL62)))+SUMPRODUCT(--ISNUMBER(SEARCH(" "&amp;$CR$2440:$CR$2453&amp;" ",$AL62)))),"")</f>
        <v>0</v>
      </c>
      <c r="AL62" s="1368" t="str">
        <f>IF(62=62,IF($U62="","",SUBSTITUTE(SUBSTITUTE(SUBSTITUTE(SUBSTITUTE(SUBSTITUTE(SUBSTITUTE(SUBSTITUTE(SUBSTITUTE(SUBSTITUTE(SUBSTITUTE(SUBSTITUTE(SUBSTITUTE(SUBSTITUTE(SUBSTITUTE($AA62," "&amp;$CR$2455&amp;" "," ")," "&amp;$CR$433&amp;" "," ")," "&amp;$CR$431&amp;" "," ")," "&amp;$CR$2438&amp;" "," ")," "&amp;$CR$2439&amp;" "," ")," "&amp;$CR$428&amp;" "," ")," "&amp;$CR$432&amp;" "," ")," "&amp;$CR$434&amp;" "," ")," "&amp;$CR$429&amp;" "," ")," "&amp;$CR$427&amp;" "," ")," "&amp;$CR$1367&amp;" "," ")," "&amp;$CR$435&amp;" "," ")," "&amp;$CR$1366&amp;" "," ")," "&amp;$CR$430&amp;" "," ")),"")</f>
        <v xml:space="preserve"> lupin </v>
      </c>
      <c r="AM62" s="1368" t="str">
        <f>IF(62=62,IF($U62="","",IF(AJ62&gt;0,"X",IF(AK62&gt;0,"?",""))),"")</f>
        <v/>
      </c>
      <c r="AN62" s="1368">
        <f>IF(62=62,IF($U62="","",SUMPRODUCT(--ISNUMBER(SEARCH(" "&amp;$CR$436:$CR$535&amp;" ",$AX62)))),"")</f>
        <v>0</v>
      </c>
      <c r="AO62" s="1368">
        <f>IF(62=62,IF($U62="","",SUMPRODUCT(--ISNUMBER(SEARCH(" "&amp;$CR$536:$CR$635&amp;" ",$AX62)))),"")</f>
        <v>0</v>
      </c>
      <c r="AP62" s="1368">
        <f>IF(62=62,IF($U62="","",SUMPRODUCT(--ISNUMBER(SEARCH(" "&amp;$CR$636:$CR$735&amp;" ",$AX62)))),"")</f>
        <v>0</v>
      </c>
      <c r="AQ62" s="1368">
        <f>IF(62=62,IF($U62="","",SUMPRODUCT(--ISNUMBER(SEARCH(" "&amp;$CR$736:$CR$835&amp;" ",$AX62)))),"")</f>
        <v>0</v>
      </c>
      <c r="AR62" s="1368">
        <f>IF(62=62,IF($U62="","",SUMPRODUCT(--ISNUMBER(SEARCH(" "&amp;$CR$836:$CR$935&amp;" ",$AX62)))),"")</f>
        <v>0</v>
      </c>
      <c r="AS62" s="1368">
        <f>IF(62=62,IF($U62="","",SUMPRODUCT(--ISNUMBER(SEARCH(" "&amp;$CR$936:$CR$1035&amp;" ",$AX62)))),"")</f>
        <v>0</v>
      </c>
      <c r="AT62" s="1368">
        <f>IF(62=62,IF($U62="","",SUMPRODUCT(--ISNUMBER(SEARCH(" "&amp;$CR$1036:$CR$1135&amp;" ",$AX62)))),"")</f>
        <v>0</v>
      </c>
      <c r="AU62" s="1368">
        <f>IF(62=62,IF($U62="","",SUMPRODUCT(--ISNUMBER(SEARCH(" "&amp;$CR$1136:$CR$1235&amp;" ",$AX62)))),"")</f>
        <v>0</v>
      </c>
      <c r="AV62" s="1368">
        <f>IF(62=62,IF($U62="","",SUMPRODUCT(--ISNUMBER(SEARCH(" "&amp;$CR$1236:$CR$1335&amp;" ",$AX62)))),"")</f>
        <v>0</v>
      </c>
      <c r="AW62" s="1368">
        <f>IF(62=62,IF($U62="","",SUMPRODUCT(--ISNUMBER(SEARCH(" "&amp;$CR$1336:$CR$1363&amp;" ",$AX62)))),"")</f>
        <v>0</v>
      </c>
      <c r="AX62" s="1368" t="str">
        <f>IF(62=62,IF($U62="","",SUBSTITUTE(SUBSTITUTE(SUBSTITUTE(SUBSTITUTE(SUBSTITUTE(SUBSTITUTE(SUBSTITUTE(SUBSTITUTE(SUBSTITUTE($AA62," "&amp;$CR$1365&amp;" "," ")," "&amp;$CR$1364&amp;" "," ")," "&amp;$CR$1370&amp;" "," ")," "&amp;$CR$1371&amp;" "," ")," "&amp;$CR$1367&amp;" "," ")," "&amp;$CR$1369&amp;" "," ")," "&amp;$CR$1366&amp;" "," ")," "&amp;$CR$1368&amp;" "," ")," "&amp;$CR$1372&amp;" "," ")),"")</f>
        <v xml:space="preserve"> lupin </v>
      </c>
      <c r="AY62" s="1368">
        <f>IF(62=62,IF($U62="","",SUMPRODUCT(--ISNUMBER(SEARCH(" "&amp;$CR$1373:$CR$1383&amp;" ",$AX62)))),"")</f>
        <v>0</v>
      </c>
      <c r="AZ62" s="1368" t="str">
        <f>IF(62=62,IF($U62="","",IF(SUM(AN62:AW62)+SUMPRODUCT(--ISNUMBER(SEARCH(" "&amp;$CR$2421:$CR$2422&amp;" ",$AX62)))&gt;0,"X",IF(AY62&gt;0,"?",""))),"")</f>
        <v/>
      </c>
      <c r="BA62" s="1368">
        <f>IF(62=62,IF($U62="","",SUMPRODUCT(--ISNUMBER(SEARCH(" "&amp;$CR$1384:$CR$1404&amp;" ",$AA62)))),"")</f>
        <v>0</v>
      </c>
      <c r="BB62" s="1368" t="str">
        <f>IF(62=62,IF($U62="","",IF((BA62)-(0)&gt;0,"X",IF((0)-(0)&gt;0,"?",""))),"")</f>
        <v/>
      </c>
      <c r="BC62" s="1368">
        <f>IF(62=62,IF($U62="","",SUMPRODUCT(--ISNUMBER(SEARCH(" "&amp;$CR$1405:$CR$1442&amp;" ",$BD62)))),"")</f>
        <v>0</v>
      </c>
      <c r="BD62" s="1368" t="str">
        <f>IF(62=62,IF($U62="","",SUBSTITUTE(SUBSTITUTE($AA62," "&amp;$CR$1443&amp;" "," ")," "&amp;$CR$1444&amp;" "," ")),"")</f>
        <v xml:space="preserve"> lupin </v>
      </c>
      <c r="BE62" s="1368">
        <f>IF(62=62,IF($U62="","",SUMPRODUCT(--ISNUMBER(SEARCH(" "&amp;$CR$1445:$CR$1455&amp;" ",$BD62)))),"")</f>
        <v>0</v>
      </c>
      <c r="BF62" s="1368" t="str">
        <f>IF(62=62,IF($U62="","",IF(BC62&gt;0,"X",IF(BE62&gt;0,"?",""))),"")</f>
        <v/>
      </c>
      <c r="BG62" s="1368">
        <f>IF(62=62,IF($U62="","",SUMPRODUCT(--ISNUMBER(SEARCH(" "&amp;$CR$1456:$CR$1555&amp;" ",$BJ62)))),"")</f>
        <v>0</v>
      </c>
      <c r="BH62" s="1368">
        <f>IF(62=62,IF($U62="","",SUMPRODUCT(--ISNUMBER(SEARCH(" "&amp;$CR$1556:$CR$1655&amp;" ",$BJ62)))),"")</f>
        <v>0</v>
      </c>
      <c r="BI62" s="1368">
        <f>IF(62=62,IF($U62="","",SUMPRODUCT(--ISNUMBER(SEARCH(" "&amp;$CR$1656:$CR$1739&amp;" ",$BJ62)))),"")</f>
        <v>0</v>
      </c>
      <c r="BJ62" s="1368" t="str">
        <f>IF(62=62,IF($U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lupin </v>
      </c>
      <c r="BK62" s="1368">
        <f>IF(62=62,IF($U62="","",SUMPRODUCT(--ISNUMBER(SEARCH(" "&amp;$CR$1790:$CR$1869&amp;" ",$BL62)))+SUMPRODUCT(--ISNUMBER(SEARCH(" "&amp;$CR$2440:$CR$2453&amp;" ",$BL62)))),"")</f>
        <v>0</v>
      </c>
      <c r="BL62" s="1368" t="str">
        <f>IF(62=62,IF($U62="","",SUBSTITUTE(SUBSTITUTE(SUBSTITUTE(SUBSTITUTE(SUBSTITUTE(SUBSTITUTE(SUBSTITUTE(SUBSTITUTE(SUBSTITUTE(SUBSTITUTE(SUBSTITUTE(SUBSTITUTE(SUBSTITUTE($BJ62," "&amp;$CR$1876&amp;" "," ")," "&amp;$CR$1874&amp;" "," ")," "&amp;$CR$2438&amp;" "," ")," "&amp;$CR$2439&amp;" "," ")," "&amp;$CR$1871&amp;" "," ")," "&amp;$CR$1875&amp;" "," ")," "&amp;$CR$1877&amp;" "," ")," "&amp;$CR$1872&amp;" "," ")," "&amp;$CR$1870&amp;" "," ")," "&amp;$CR$1367&amp;" "," ")," "&amp;$CR$1878&amp;" "," ")," "&amp;$CR$1366&amp;" "," ")," "&amp;$CR$1873&amp;" "," ")),"")</f>
        <v xml:space="preserve"> lupin </v>
      </c>
      <c r="BM62" s="1368" t="str">
        <f>IF(62=62,IF($U62="","",IF(SUM(BG62:BI62)+SUMPRODUCT(--ISNUMBER(SEARCH(" "&amp;$CR$2423:$CR$2424&amp;" ",$BJ62)))&gt;0,"X",IF(BK62&gt;0,"?",""))),"")</f>
        <v/>
      </c>
      <c r="BN62" s="1368">
        <f>IF(62=62,IF($U62="","",SUMPRODUCT(--ISNUMBER(SEARCH(" "&amp;$CR$1879:$CR$1936&amp;" ",$BO62)))),"")</f>
        <v>0</v>
      </c>
      <c r="BO62" s="1368" t="str">
        <f>IF(62=62,IF($U62="","",SUBSTITUTE(SUBSTITUTE(SUBSTITUTE(SUBSTITUTE(SUBSTITUTE(SUBSTITUTE(SUBSTITUTE(SUBSTITUTE(SUBSTITUTE(SUBSTITUTE(SUBSTITUTE(SUBSTITUTE(SUBSTITUTE(SUBSTITUTE(SUBSTITUTE(SUBSTITUTE(SUBSTITUTE(SUBSTITUTE(SUBSTITUTE(SUBSTITUTE(SUBSTITUTE(SUBSTITUTE(SUBSTITUTE($AA62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lupin </v>
      </c>
      <c r="BP62" s="1368">
        <f>IF(62=62,IF($U62="","",SUMPRODUCT(--ISNUMBER(SEARCH(" "&amp;$CR$1960:$CR$1976&amp;" ",$BO62)))),"")</f>
        <v>0</v>
      </c>
      <c r="BQ62" s="1368" t="str">
        <f>IF(62=62,IF($U62="","",IF(BN62&gt;0,"X",IF(BP62&gt;0,"?",""))),"")</f>
        <v/>
      </c>
      <c r="BR62" s="1368">
        <f>IF(62=62,IF($U62="","",SUMPRODUCT(--ISNUMBER(SEARCH(" "&amp;$CR$1977:$CR$1990&amp;" ",$AA62)))),"")</f>
        <v>0</v>
      </c>
      <c r="BS62" s="1368">
        <f>IF(62=62,IF($U62="","",SUMPRODUCT(--ISNUMBER(SEARCH(" "&amp;$CR$1991:$CR$2005&amp;" ",$AA62)))),"")</f>
        <v>0</v>
      </c>
      <c r="BT62" s="1368" t="str">
        <f>IF(62=62,IF($U62="","",IF((BR62)-(0)&gt;0,"X",IF((BS62)-(0)&gt;0,"?",""))),"")</f>
        <v/>
      </c>
      <c r="BU62" s="1368">
        <f>IF(62=62,IF($U62="","",SUMPRODUCT(--ISNUMBER(SEARCH(" "&amp;$CR$2006:$CR$2023&amp;" ",$AA62)))),"")</f>
        <v>0</v>
      </c>
      <c r="BV62" s="1368">
        <f>IF(62=62,IF($U62="","",SUMPRODUCT(--ISNUMBER(SEARCH(" "&amp;$CR$2024:$CR$2038&amp;" ",$AA62)))),"")</f>
        <v>0</v>
      </c>
      <c r="BW62" s="1368" t="str">
        <f>IF(62=62,IF($U62="","",IF((BU62)-(0)&gt;0,"X",IF((BV62)-(0)&gt;0,"?",""))),"")</f>
        <v/>
      </c>
      <c r="BX62" s="1368">
        <f>IF(62=62,IF($U62="","",SUMPRODUCT(--ISNUMBER(SEARCH(" "&amp;$CR$2039:$CR$2057&amp;" ",$AA62)))),"")</f>
        <v>0</v>
      </c>
      <c r="BY62" s="1368">
        <f>IF(62=62,IF($U62="","",SUMPRODUCT(--ISNUMBER(SEARCH(" "&amp;$CR$2058:$CR$2072&amp;" ",$AA62)))),"")</f>
        <v>0</v>
      </c>
      <c r="BZ62" s="1368" t="str">
        <f>IF(62=62,IF($U62="","",IF((BX62)-(0)&gt;0,"X",IF((BY62)-(0)&gt;0,"?",""))),"")</f>
        <v/>
      </c>
      <c r="CA62" s="1368">
        <f>IF(62=62,IF($U62="","",SUMPRODUCT(--ISNUMBER(SEARCH(" "&amp;$CR$2073:$CR$2093&amp;" ",$AA62)))),"")</f>
        <v>0</v>
      </c>
      <c r="CB62" s="1368">
        <f>IF(62=62,IF($U62="","",SUMPRODUCT(--ISNUMBER(SEARCH(" "&amp;$CR$2094:$CR$2133&amp;" ",SUBSTITUTE(SUBSTITUTE($AA62," "&amp;$CR$1367&amp;" "," ")," "&amp;$CR$1366&amp;" "," "))))+--ISNUMBER(SEARCH("poiré",$V62))),"")</f>
        <v>0</v>
      </c>
      <c r="CC62" s="1368" t="str">
        <f>IF(62=62,IF($U62="","",IF(OR(CA62&gt;0,ISNUMBER(SEARCH(" vinaigre de vin ",$AA62)),ISNUMBER(SEARCH(" vinaigre au vin ",$AA62))),"X",IF(CB62&gt;0,"?",""))),"")</f>
        <v/>
      </c>
      <c r="CD62" s="1368">
        <f>IF(62=62,IF($U62="","",SUMPRODUCT(--ISNUMBER(SEARCH(" "&amp;$CR$2134:$CR$2146&amp;" ",$AA62)))),"")</f>
        <v>1</v>
      </c>
      <c r="CE62" s="1368">
        <f>IF(62=62,IF($U62="","",SUMPRODUCT(--ISNUMBER(SEARCH(" "&amp;$CR$2147:$CR$2152&amp;" ",$AA62)))),"")</f>
        <v>0</v>
      </c>
      <c r="CF62" s="1368" t="str">
        <f>IF(62=62,IF($U62="","",IF((CD62)-(0)&gt;0,"X",IF((CE62)-(0)&gt;0,"?",""))),"")</f>
        <v>X</v>
      </c>
      <c r="CG62" s="1368">
        <f>IF(62=62,IF($U62="","",SUMPRODUCT(--ISNUMBER(SEARCH(" "&amp;$CR$2153:$CR$2252&amp;" ",$CJ62)))),"")</f>
        <v>0</v>
      </c>
      <c r="CH62" s="1368">
        <f>IF(62=62,IF($U62="","",SUMPRODUCT(--ISNUMBER(SEARCH(" "&amp;$CR$2253:$CR$2352&amp;" ",$CJ62)))),"")</f>
        <v>0</v>
      </c>
      <c r="CI62" s="1368">
        <f>IF(62=62,IF($U62="","",SUMPRODUCT(--ISNUMBER(SEARCH(" "&amp;$CR$2353:$CR$2395&amp;" ",$CJ62)))),"")</f>
        <v>0</v>
      </c>
      <c r="CJ62" s="1368" t="str">
        <f>IF(62=62,IF($U62="","",SUBSTITUTE(SUBSTITUTE(SUBSTITUTE(SUBSTITUTE(SUBSTITUTE(SUBSTITUTE(SUBSTITUTE(SUBSTITUTE(SUBSTITUTE(SUBSTITUTE(SUBSTITUTE(SUBSTITUTE(SUBSTITUTE(SUBSTITUTE(SUBSTITUTE(SUBSTITUTE($AA62," "&amp;$CR$2401&amp;" "," ")," "&amp;$CR$2400&amp;" "," ")," "&amp;$CR$2399&amp;" "," ")," "&amp;$CR$2406&amp;" "," ")," "&amp;$CR$2398&amp;" "," ")," "&amp;$CR$2410&amp;" "," ")," "&amp;$CR$2397&amp;" "," ")," "&amp;$CR$2402&amp;" "," ")," "&amp;$CR$2405&amp;" "," ")," "&amp;$CR$2396&amp;" "," ")," "&amp;$CR$2404&amp;" "," ")," "&amp;$CR$2411&amp;" "," ")," "&amp;$CR$2408&amp;" "," ")," "&amp;$CR$2403&amp;" "," ")," "&amp;$CR$2407&amp;" "," ")," "&amp;$CR$2409&amp;" "," ")),"")</f>
        <v xml:space="preserve"> lupin </v>
      </c>
      <c r="CK62" s="1368">
        <f>IF(62=62,IF($U62="","",SUMPRODUCT(--ISNUMBER(SEARCH(" "&amp;$CR$2412:$CR$2416&amp;" ",$CJ62)))),"")</f>
        <v>0</v>
      </c>
      <c r="CL62" s="1368" t="str">
        <f>IF(62=62,IF($U62="","",IF(SUM(CG62:CI62)&gt;0,"X",IF(CK62&gt;0,"?",""))),"")</f>
        <v/>
      </c>
      <c r="CM62" s="1377"/>
      <c r="CN62" s="1388" t="s">
        <v>8371</v>
      </c>
      <c r="CO62" s="1388" t="s">
        <v>8105</v>
      </c>
      <c r="CP62" s="1388" t="s">
        <v>8106</v>
      </c>
      <c r="CQ62" s="1388" t="s">
        <v>8372</v>
      </c>
      <c r="CR62" s="1388" t="s">
        <v>8372</v>
      </c>
      <c r="CS62" s="1388" t="s">
        <v>8108</v>
      </c>
      <c r="CT62" s="1388" t="s">
        <v>8109</v>
      </c>
      <c r="CU62" s="1388" t="s">
        <v>8110</v>
      </c>
      <c r="CV62" s="1389" t="s">
        <v>8111</v>
      </c>
      <c r="CX62" s="1379">
        <v>1</v>
      </c>
    </row>
    <row r="63" spans="1:102" ht="21" customHeight="1" x14ac:dyDescent="0.25">
      <c r="A63" s="1412">
        <v>57</v>
      </c>
      <c r="B63" s="1413" t="s">
        <v>8135</v>
      </c>
      <c r="C63" s="1414" t="str">
        <f t="shared" si="0"/>
        <v>Mollusques *</v>
      </c>
      <c r="D63" s="1415" t="str">
        <f>IF(63=63,IF($B63="","",IF(E63="X",""&amp;"Céréales contenant du gluten","")&amp;IF(F63="X",IF(COUNTIF($E63:$E63,"X")&gt;0,", ","")&amp;"Crustacés","")&amp;IF(G63="X",IF(COUNTIF($E63:$F63,"X")&gt;0,", ","")&amp;"Œufs","")&amp;IF(H63="X",IF(COUNTIF($E63:$G63,"X")&gt;0,", ","")&amp;"Poissons","")&amp;IF(I63="X",IF(COUNTIF($E63:$H63,"X")&gt;0,", ","")&amp;"Arachides","")&amp;IF(J63="X",IF(COUNTIF($E63:$I63,"X")&gt;0,", ","")&amp;"Soja","")&amp;IF(K63="X",IF(COUNTIF($E63:$J63,"X")&gt;0,", ","")&amp;"Lait","")&amp;IF(L63="X",IF(COUNTIF($E63:$K63,"X")&gt;0,", ","")&amp;"Fruits à coque","")&amp;IF(M63="X",IF(COUNTIF($E63:$L63,"X")&gt;0,", ","")&amp;"Céleri","")&amp;IF(N63="X",IF(COUNTIF($E63:$M63,"X")&gt;0,", ","")&amp;"Moutarde","")&amp;IF(O63="X",IF(COUNTIF($E63:$N63,"X")&gt;0,", ","")&amp;"Sésame","")&amp;IF(P63="X",IF(COUNTIF($E63:$O63,"X")&gt;0,", ","")&amp;"Sulfites","")&amp;IF(Q63="X",IF(COUNTIF($E63:$P63,"X")&gt;0,", ","")&amp;"Lupin","")&amp;IF(R63="X",IF(COUNTIF($E63:$Q63,"X")&gt;0,", ","")&amp;"Mollusques","")),"")</f>
        <v>Mollusques</v>
      </c>
      <c r="E63" s="1416" t="str">
        <f>IF(63=63,IF($B63="","",AF63),"")</f>
        <v/>
      </c>
      <c r="F63" s="1416" t="str">
        <f>IF(63=63,IF($B63="","",AI63),"")</f>
        <v/>
      </c>
      <c r="G63" s="1416" t="str">
        <f>IF(63=63,IF($B63="","",AM63),"")</f>
        <v/>
      </c>
      <c r="H63" s="1416" t="str">
        <f>IF(63=63,IF($B63="","",IF(ISNUMBER(SEARCH(" colin ",$AA63)),"X",AZ63)),"")</f>
        <v/>
      </c>
      <c r="I63" s="1416" t="str">
        <f>IF(63=63,IF($B63="","",BB63),"")</f>
        <v/>
      </c>
      <c r="J63" s="1416" t="str">
        <f>IF(63=63,IF($B63="","",BF63),"")</f>
        <v/>
      </c>
      <c r="K63" s="1416" t="str">
        <f>IF(63=63,IF($B63="","",BM63),"")</f>
        <v/>
      </c>
      <c r="L63" s="1416" t="str">
        <f>IF(63=63,IF($B63="","",BQ63),"")</f>
        <v/>
      </c>
      <c r="M63" s="1416" t="str">
        <f>IF(63=63,IF($B63="","",BT63),"")</f>
        <v/>
      </c>
      <c r="N63" s="1416" t="str">
        <f>IF(63=63,IF($B63="","",BW63),"")</f>
        <v/>
      </c>
      <c r="O63" s="1416" t="str">
        <f>IF(63=63,IF($B63="","",BZ63),"")</f>
        <v/>
      </c>
      <c r="P63" s="1416" t="str">
        <f>IF(63=63,IF($B63="","",CC63),"")</f>
        <v/>
      </c>
      <c r="Q63" s="1416" t="str">
        <f>IF(63=63,IF($B63="","",CF63),"")</f>
        <v/>
      </c>
      <c r="R63" s="1416" t="str">
        <f>IF(63=63,IF($B63="","",CL63),"")</f>
        <v>X</v>
      </c>
      <c r="S63" s="1417" t="str">
        <f>IF(63=63,IF($B63="","",IF(E63="?",""&amp;"Céréales contenant du gluten","")&amp;IF(F63="?",IF(COUNTIF($E63:$E63,"~?")&gt;0,", ","")&amp;"Crustacés","")&amp;IF(G63="?",IF(COUNTIF($E63:$F63,"~?")&gt;0,", ","")&amp;"Œufs","")&amp;IF(H63="?",IF(COUNTIF($E63:$G63,"~?")&gt;0,", ","")&amp;"Poissons","")&amp;IF(I63="?",IF(COUNTIF($E63:$H63,"~?")&gt;0,", ","")&amp;"Arachides","")&amp;IF(J63="?",IF(COUNTIF($E63:$I63,"~?")&gt;0,", ","")&amp;"Soja","")&amp;IF(K63="?",IF(COUNTIF($E63:$J63,"~?")&gt;0,", ","")&amp;"Lait","")&amp;IF(L63="?",IF(COUNTIF($E63:$K63,"~?")&gt;0,", ","")&amp;"Fruits à coque","")&amp;IF(M63="?",IF(COUNTIF($E63:$L63,"~?")&gt;0,", ","")&amp;"Céleri","")&amp;IF(N63="?",IF(COUNTIF($E63:$M63,"~?")&gt;0,", ","")&amp;"Moutarde","")&amp;IF(O63="?",IF(COUNTIF($E63:$N63,"~?")&gt;0,", ","")&amp;"Sésame","")&amp;IF(P63="?",IF(COUNTIF($E63:$O63,"~?")&gt;0,", ","")&amp;"Sulfites","")&amp;IF(Q63="?",IF(COUNTIF($E63:$P63,"~?")&gt;0,", ","")&amp;"Lupin","")&amp;IF(R63="?",IF(COUNTIF($E63:$Q63,"~?")&gt;0,", ","")&amp;"Mollusques","")),"")</f>
        <v/>
      </c>
      <c r="U63" s="1368" t="str">
        <f>IF(63=63,IF($B63="","",$B63),"")</f>
        <v>Mollusques</v>
      </c>
      <c r="V63" s="1368" t="str">
        <f>IF(63=63,LOWER(CLEAN(SUBSTITUTE(SUBSTITUTE(SUBSTITUTE(SUBSTITUTE($U63,CHAR(160)," ")," "," "),CHAR(10)," "),CHAR(13)," "))),"")</f>
        <v>mollusques</v>
      </c>
      <c r="W63" s="1368" t="str">
        <f>IF(63=63,SUBSTITUTE(SUBSTITUTE(SUBSTITUTE(SUBSTITUTE(SUBSTITUTE(SUBSTITUTE(SUBSTITUTE(SUBSTITUTE(SUBSTITUTE(SUBSTITUTE(SUBSTITUTE(SUBSTITUTE($V63,"œ","oe"),"æ","ae"),"à","a"),"á","a"),"â","a"),"ä","a"),"ã","a"),"ç","c"),"è","e"),"é","e"),"ê","e"),"ë","e"),"")</f>
        <v>mollusques</v>
      </c>
      <c r="X63" s="1368" t="str">
        <f>IF(63=63,SUBSTITUTE(SUBSTITUTE(SUBSTITUTE(SUBSTITUTE(SUBSTITUTE(SUBSTITUTE(SUBSTITUTE(SUBSTITUTE(SUBSTITUTE(SUBSTITUTE(SUBSTITUTE(SUBSTITUTE(SUBSTITUTE(SUBSTITUTE(SUBSTITUTE(SUBSTITUTE($W63,"ì","i"),"í","i"),"î","i"),"ï","i"),"ñ","n"),"ò","o"),"ó","o"),"ô","o"),"ö","o"),"õ","o"),"ù","u"),"ú","u"),"û","u"),"ü","u"),"ý","y"),"ÿ","y"),"")</f>
        <v>mollusques</v>
      </c>
      <c r="Y63" s="1368" t="str">
        <f>IF(63=63,SUBSTITUTE(SUBSTITUTE(SUBSTITUTE(SUBSTITUTE(SUBSTITUTE(SUBSTITUTE(SUBSTITUTE(SUBSTITUTE(SUBSTITUTE(SUBSTITUTE(SUBSTITUTE(SUBSTITUTE(SUBSTITUTE(SUBSTITUTE($X63,"’"," "),"`"," "),"–"," "),"—"," "),"-"," "),"'"," "),"/"," "),"_"," "),","," "),"."," "),"("," "),")"," "),";"," "),":"," "),"")</f>
        <v>mollusques</v>
      </c>
      <c r="Z63" s="1368" t="str">
        <f>IF(63=63,SUBSTITUTE(SUBSTITUTE(SUBSTITUTE(SUBSTITUTE(SUBSTITUTE(SUBSTITUTE(SUBSTITUTE(SUBSTITUTE(SUBSTITUTE(SUBSTITUTE(SUBSTITUTE(SUBSTITUTE(SUBSTITUTE(SUBSTITUTE(SUBSTITUTE($Y63,"!"," "),"?"," "),"+"," "),"*"," "),"&amp;"," "),"["," "),"]"," "),"{"," "),"}"," "),"%"," "),"="," "),"\"," "),"|"," "),"&lt;"," "),"&gt;"," "),"")</f>
        <v>mollusques</v>
      </c>
      <c r="AA63" s="1368" t="str">
        <f>IF(63=63," "&amp;TRIM(SUBSTITUTE(SUBSTITUTE(SUBSTITUTE(SUBSTITUTE(SUBSTITUTE(SUBSTITUTE($Z63,CHAR(34)," "),"  "," "),"  "," "),"  "," "),"  "," "),"  "," "))&amp;" ","")</f>
        <v xml:space="preserve"> mollusques </v>
      </c>
      <c r="AB63" s="1368">
        <f>IF(63=63,IF($U63="","",SUMPRODUCT(--ISNUMBER(SEARCH(" "&amp;$CR$2:$CR$101&amp;" ",$AD63)))),"")</f>
        <v>0</v>
      </c>
      <c r="AC63" s="1368">
        <f>IF(63=63,IF($U63="","",SUMPRODUCT(--ISNUMBER(SEARCH(" "&amp;$CR$102:$CR$151&amp;" ",$AD63)))),"")</f>
        <v>0</v>
      </c>
      <c r="AD63" s="1368" t="str">
        <f t="shared" si="1"/>
        <v xml:space="preserve"> mollusques </v>
      </c>
      <c r="AE63" s="1368">
        <f t="shared" si="2"/>
        <v>0</v>
      </c>
      <c r="AF63" s="1368" t="str">
        <f>IF(63=63,IF($U63="","",IF(SUM(AB63:AC63)+SUMPRODUCT(--ISNUMBER(SEARCH(" "&amp;$CR$2418:$CR$2420&amp;" ",$AD63)))&gt;0,"X",IF(AE63&gt;0,"?",""))),"")</f>
        <v/>
      </c>
      <c r="AG63" s="1368">
        <f>IF(63=63,IF($U63="","",SUMPRODUCT(--ISNUMBER(SEARCH(" "&amp;$CR$206:$CR$305&amp;" ",$AA63)))),"")</f>
        <v>0</v>
      </c>
      <c r="AH63" s="1368">
        <f>IF(63=63,IF($U63="","",SUMPRODUCT(--ISNUMBER(SEARCH(" "&amp;$CR$306:$CR$340&amp;" ",$AA63)))),"")</f>
        <v>0</v>
      </c>
      <c r="AI63" s="1368" t="str">
        <f>IF(63=63,IF($U63="","",IF((SUM(AG63:AH63))-(0)&gt;0,"X",IF((0)-(0)&gt;0,"?",""))),"")</f>
        <v/>
      </c>
      <c r="AJ63" s="1368">
        <f>IF(63=63,IF($U63="","",SUMPRODUCT(--ISNUMBER(SEARCH(" "&amp;$CR$341:$CR$398&amp;" ",$AA63)))),"")</f>
        <v>0</v>
      </c>
      <c r="AK63" s="1368">
        <f>IF(63=63,IF($U63="","",SUMPRODUCT(--ISNUMBER(SEARCH(" "&amp;$CR$399:$CR$426&amp;" ",$AL63)))+SUMPRODUCT(--ISNUMBER(SEARCH(" "&amp;$CR$2440:$CR$2453&amp;" ",$AL63)))),"")</f>
        <v>0</v>
      </c>
      <c r="AL63" s="1368" t="str">
        <f>IF(63=63,IF($U63="","",SUBSTITUTE(SUBSTITUTE(SUBSTITUTE(SUBSTITUTE(SUBSTITUTE(SUBSTITUTE(SUBSTITUTE(SUBSTITUTE(SUBSTITUTE(SUBSTITUTE(SUBSTITUTE(SUBSTITUTE(SUBSTITUTE(SUBSTITUTE($AA63," "&amp;$CR$2455&amp;" "," ")," "&amp;$CR$433&amp;" "," ")," "&amp;$CR$431&amp;" "," ")," "&amp;$CR$2438&amp;" "," ")," "&amp;$CR$2439&amp;" "," ")," "&amp;$CR$428&amp;" "," ")," "&amp;$CR$432&amp;" "," ")," "&amp;$CR$434&amp;" "," ")," "&amp;$CR$429&amp;" "," ")," "&amp;$CR$427&amp;" "," ")," "&amp;$CR$1367&amp;" "," ")," "&amp;$CR$435&amp;" "," ")," "&amp;$CR$1366&amp;" "," ")," "&amp;$CR$430&amp;" "," ")),"")</f>
        <v xml:space="preserve"> mollusques </v>
      </c>
      <c r="AM63" s="1368" t="str">
        <f>IF(63=63,IF($U63="","",IF(AJ63&gt;0,"X",IF(AK63&gt;0,"?",""))),"")</f>
        <v/>
      </c>
      <c r="AN63" s="1368">
        <f>IF(63=63,IF($U63="","",SUMPRODUCT(--ISNUMBER(SEARCH(" "&amp;$CR$436:$CR$535&amp;" ",$AX63)))),"")</f>
        <v>0</v>
      </c>
      <c r="AO63" s="1368">
        <f>IF(63=63,IF($U63="","",SUMPRODUCT(--ISNUMBER(SEARCH(" "&amp;$CR$536:$CR$635&amp;" ",$AX63)))),"")</f>
        <v>0</v>
      </c>
      <c r="AP63" s="1368">
        <f>IF(63=63,IF($U63="","",SUMPRODUCT(--ISNUMBER(SEARCH(" "&amp;$CR$636:$CR$735&amp;" ",$AX63)))),"")</f>
        <v>0</v>
      </c>
      <c r="AQ63" s="1368">
        <f>IF(63=63,IF($U63="","",SUMPRODUCT(--ISNUMBER(SEARCH(" "&amp;$CR$736:$CR$835&amp;" ",$AX63)))),"")</f>
        <v>0</v>
      </c>
      <c r="AR63" s="1368">
        <f>IF(63=63,IF($U63="","",SUMPRODUCT(--ISNUMBER(SEARCH(" "&amp;$CR$836:$CR$935&amp;" ",$AX63)))),"")</f>
        <v>0</v>
      </c>
      <c r="AS63" s="1368">
        <f>IF(63=63,IF($U63="","",SUMPRODUCT(--ISNUMBER(SEARCH(" "&amp;$CR$936:$CR$1035&amp;" ",$AX63)))),"")</f>
        <v>0</v>
      </c>
      <c r="AT63" s="1368">
        <f>IF(63=63,IF($U63="","",SUMPRODUCT(--ISNUMBER(SEARCH(" "&amp;$CR$1036:$CR$1135&amp;" ",$AX63)))),"")</f>
        <v>0</v>
      </c>
      <c r="AU63" s="1368">
        <f>IF(63=63,IF($U63="","",SUMPRODUCT(--ISNUMBER(SEARCH(" "&amp;$CR$1136:$CR$1235&amp;" ",$AX63)))),"")</f>
        <v>0</v>
      </c>
      <c r="AV63" s="1368">
        <f>IF(63=63,IF($U63="","",SUMPRODUCT(--ISNUMBER(SEARCH(" "&amp;$CR$1236:$CR$1335&amp;" ",$AX63)))),"")</f>
        <v>0</v>
      </c>
      <c r="AW63" s="1368">
        <f>IF(63=63,IF($U63="","",SUMPRODUCT(--ISNUMBER(SEARCH(" "&amp;$CR$1336:$CR$1363&amp;" ",$AX63)))),"")</f>
        <v>0</v>
      </c>
      <c r="AX63" s="1368" t="str">
        <f>IF(63=63,IF($U63="","",SUBSTITUTE(SUBSTITUTE(SUBSTITUTE(SUBSTITUTE(SUBSTITUTE(SUBSTITUTE(SUBSTITUTE(SUBSTITUTE(SUBSTITUTE($AA63," "&amp;$CR$1365&amp;" "," ")," "&amp;$CR$1364&amp;" "," ")," "&amp;$CR$1370&amp;" "," ")," "&amp;$CR$1371&amp;" "," ")," "&amp;$CR$1367&amp;" "," ")," "&amp;$CR$1369&amp;" "," ")," "&amp;$CR$1366&amp;" "," ")," "&amp;$CR$1368&amp;" "," ")," "&amp;$CR$1372&amp;" "," ")),"")</f>
        <v xml:space="preserve"> mollusques </v>
      </c>
      <c r="AY63" s="1368">
        <f>IF(63=63,IF($U63="","",SUMPRODUCT(--ISNUMBER(SEARCH(" "&amp;$CR$1373:$CR$1383&amp;" ",$AX63)))),"")</f>
        <v>0</v>
      </c>
      <c r="AZ63" s="1368" t="str">
        <f>IF(63=63,IF($U63="","",IF(SUM(AN63:AW63)+SUMPRODUCT(--ISNUMBER(SEARCH(" "&amp;$CR$2421:$CR$2422&amp;" ",$AX63)))&gt;0,"X",IF(AY63&gt;0,"?",""))),"")</f>
        <v/>
      </c>
      <c r="BA63" s="1368">
        <f>IF(63=63,IF($U63="","",SUMPRODUCT(--ISNUMBER(SEARCH(" "&amp;$CR$1384:$CR$1404&amp;" ",$AA63)))),"")</f>
        <v>0</v>
      </c>
      <c r="BB63" s="1368" t="str">
        <f>IF(63=63,IF($U63="","",IF((BA63)-(0)&gt;0,"X",IF((0)-(0)&gt;0,"?",""))),"")</f>
        <v/>
      </c>
      <c r="BC63" s="1368">
        <f>IF(63=63,IF($U63="","",SUMPRODUCT(--ISNUMBER(SEARCH(" "&amp;$CR$1405:$CR$1442&amp;" ",$BD63)))),"")</f>
        <v>0</v>
      </c>
      <c r="BD63" s="1368" t="str">
        <f>IF(63=63,IF($U63="","",SUBSTITUTE(SUBSTITUTE($AA63," "&amp;$CR$1443&amp;" "," ")," "&amp;$CR$1444&amp;" "," ")),"")</f>
        <v xml:space="preserve"> mollusques </v>
      </c>
      <c r="BE63" s="1368">
        <f>IF(63=63,IF($U63="","",SUMPRODUCT(--ISNUMBER(SEARCH(" "&amp;$CR$1445:$CR$1455&amp;" ",$BD63)))),"")</f>
        <v>0</v>
      </c>
      <c r="BF63" s="1368" t="str">
        <f>IF(63=63,IF($U63="","",IF(BC63&gt;0,"X",IF(BE63&gt;0,"?",""))),"")</f>
        <v/>
      </c>
      <c r="BG63" s="1368">
        <f>IF(63=63,IF($U63="","",SUMPRODUCT(--ISNUMBER(SEARCH(" "&amp;$CR$1456:$CR$1555&amp;" ",$BJ63)))),"")</f>
        <v>0</v>
      </c>
      <c r="BH63" s="1368">
        <f>IF(63=63,IF($U63="","",SUMPRODUCT(--ISNUMBER(SEARCH(" "&amp;$CR$1556:$CR$1655&amp;" ",$BJ63)))),"")</f>
        <v>0</v>
      </c>
      <c r="BI63" s="1368">
        <f>IF(63=63,IF($U63="","",SUMPRODUCT(--ISNUMBER(SEARCH(" "&amp;$CR$1656:$CR$1739&amp;" ",$BJ63)))),"")</f>
        <v>0</v>
      </c>
      <c r="BJ63" s="1368" t="str">
        <f>IF(63=63,IF($U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mollusques </v>
      </c>
      <c r="BK63" s="1368">
        <f>IF(63=63,IF($U63="","",SUMPRODUCT(--ISNUMBER(SEARCH(" "&amp;$CR$1790:$CR$1869&amp;" ",$BL63)))+SUMPRODUCT(--ISNUMBER(SEARCH(" "&amp;$CR$2440:$CR$2453&amp;" ",$BL63)))),"")</f>
        <v>0</v>
      </c>
      <c r="BL63" s="1368" t="str">
        <f>IF(63=63,IF($U63="","",SUBSTITUTE(SUBSTITUTE(SUBSTITUTE(SUBSTITUTE(SUBSTITUTE(SUBSTITUTE(SUBSTITUTE(SUBSTITUTE(SUBSTITUTE(SUBSTITUTE(SUBSTITUTE(SUBSTITUTE(SUBSTITUTE($BJ63," "&amp;$CR$1876&amp;" "," ")," "&amp;$CR$1874&amp;" "," ")," "&amp;$CR$2438&amp;" "," ")," "&amp;$CR$2439&amp;" "," ")," "&amp;$CR$1871&amp;" "," ")," "&amp;$CR$1875&amp;" "," ")," "&amp;$CR$1877&amp;" "," ")," "&amp;$CR$1872&amp;" "," ")," "&amp;$CR$1870&amp;" "," ")," "&amp;$CR$1367&amp;" "," ")," "&amp;$CR$1878&amp;" "," ")," "&amp;$CR$1366&amp;" "," ")," "&amp;$CR$1873&amp;" "," ")),"")</f>
        <v xml:space="preserve"> mollusques </v>
      </c>
      <c r="BM63" s="1368" t="str">
        <f>IF(63=63,IF($U63="","",IF(SUM(BG63:BI63)+SUMPRODUCT(--ISNUMBER(SEARCH(" "&amp;$CR$2423:$CR$2424&amp;" ",$BJ63)))&gt;0,"X",IF(BK63&gt;0,"?",""))),"")</f>
        <v/>
      </c>
      <c r="BN63" s="1368">
        <f>IF(63=63,IF($U63="","",SUMPRODUCT(--ISNUMBER(SEARCH(" "&amp;$CR$1879:$CR$1936&amp;" ",$BO63)))),"")</f>
        <v>0</v>
      </c>
      <c r="BO63" s="1368" t="str">
        <f>IF(63=63,IF($U63="","",SUBSTITUTE(SUBSTITUTE(SUBSTITUTE(SUBSTITUTE(SUBSTITUTE(SUBSTITUTE(SUBSTITUTE(SUBSTITUTE(SUBSTITUTE(SUBSTITUTE(SUBSTITUTE(SUBSTITUTE(SUBSTITUTE(SUBSTITUTE(SUBSTITUTE(SUBSTITUTE(SUBSTITUTE(SUBSTITUTE(SUBSTITUTE(SUBSTITUTE(SUBSTITUTE(SUBSTITUTE(SUBSTITUTE($AA63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mollusques </v>
      </c>
      <c r="BP63" s="1368">
        <f>IF(63=63,IF($U63="","",SUMPRODUCT(--ISNUMBER(SEARCH(" "&amp;$CR$1960:$CR$1976&amp;" ",$BO63)))),"")</f>
        <v>0</v>
      </c>
      <c r="BQ63" s="1368" t="str">
        <f>IF(63=63,IF($U63="","",IF(BN63&gt;0,"X",IF(BP63&gt;0,"?",""))),"")</f>
        <v/>
      </c>
      <c r="BR63" s="1368">
        <f>IF(63=63,IF($U63="","",SUMPRODUCT(--ISNUMBER(SEARCH(" "&amp;$CR$1977:$CR$1990&amp;" ",$AA63)))),"")</f>
        <v>0</v>
      </c>
      <c r="BS63" s="1368">
        <f>IF(63=63,IF($U63="","",SUMPRODUCT(--ISNUMBER(SEARCH(" "&amp;$CR$1991:$CR$2005&amp;" ",$AA63)))),"")</f>
        <v>0</v>
      </c>
      <c r="BT63" s="1368" t="str">
        <f>IF(63=63,IF($U63="","",IF((BR63)-(0)&gt;0,"X",IF((BS63)-(0)&gt;0,"?",""))),"")</f>
        <v/>
      </c>
      <c r="BU63" s="1368">
        <f>IF(63=63,IF($U63="","",SUMPRODUCT(--ISNUMBER(SEARCH(" "&amp;$CR$2006:$CR$2023&amp;" ",$AA63)))),"")</f>
        <v>0</v>
      </c>
      <c r="BV63" s="1368">
        <f>IF(63=63,IF($U63="","",SUMPRODUCT(--ISNUMBER(SEARCH(" "&amp;$CR$2024:$CR$2038&amp;" ",$AA63)))),"")</f>
        <v>0</v>
      </c>
      <c r="BW63" s="1368" t="str">
        <f>IF(63=63,IF($U63="","",IF((BU63)-(0)&gt;0,"X",IF((BV63)-(0)&gt;0,"?",""))),"")</f>
        <v/>
      </c>
      <c r="BX63" s="1368">
        <f>IF(63=63,IF($U63="","",SUMPRODUCT(--ISNUMBER(SEARCH(" "&amp;$CR$2039:$CR$2057&amp;" ",$AA63)))),"")</f>
        <v>0</v>
      </c>
      <c r="BY63" s="1368">
        <f>IF(63=63,IF($U63="","",SUMPRODUCT(--ISNUMBER(SEARCH(" "&amp;$CR$2058:$CR$2072&amp;" ",$AA63)))),"")</f>
        <v>0</v>
      </c>
      <c r="BZ63" s="1368" t="str">
        <f>IF(63=63,IF($U63="","",IF((BX63)-(0)&gt;0,"X",IF((BY63)-(0)&gt;0,"?",""))),"")</f>
        <v/>
      </c>
      <c r="CA63" s="1368">
        <f>IF(63=63,IF($U63="","",SUMPRODUCT(--ISNUMBER(SEARCH(" "&amp;$CR$2073:$CR$2093&amp;" ",$AA63)))),"")</f>
        <v>0</v>
      </c>
      <c r="CB63" s="1368">
        <f>IF(63=63,IF($U63="","",SUMPRODUCT(--ISNUMBER(SEARCH(" "&amp;$CR$2094:$CR$2133&amp;" ",SUBSTITUTE(SUBSTITUTE($AA63," "&amp;$CR$1367&amp;" "," ")," "&amp;$CR$1366&amp;" "," "))))+--ISNUMBER(SEARCH("poiré",$V63))),"")</f>
        <v>0</v>
      </c>
      <c r="CC63" s="1368" t="str">
        <f>IF(63=63,IF($U63="","",IF(OR(CA63&gt;0,ISNUMBER(SEARCH(" vinaigre de vin ",$AA63)),ISNUMBER(SEARCH(" vinaigre au vin ",$AA63))),"X",IF(CB63&gt;0,"?",""))),"")</f>
        <v/>
      </c>
      <c r="CD63" s="1368">
        <f>IF(63=63,IF($U63="","",SUMPRODUCT(--ISNUMBER(SEARCH(" "&amp;$CR$2134:$CR$2146&amp;" ",$AA63)))),"")</f>
        <v>0</v>
      </c>
      <c r="CE63" s="1368">
        <f>IF(63=63,IF($U63="","",SUMPRODUCT(--ISNUMBER(SEARCH(" "&amp;$CR$2147:$CR$2152&amp;" ",$AA63)))),"")</f>
        <v>0</v>
      </c>
      <c r="CF63" s="1368" t="str">
        <f>IF(63=63,IF($U63="","",IF((CD63)-(0)&gt;0,"X",IF((CE63)-(0)&gt;0,"?",""))),"")</f>
        <v/>
      </c>
      <c r="CG63" s="1368">
        <f>IF(63=63,IF($U63="","",SUMPRODUCT(--ISNUMBER(SEARCH(" "&amp;$CR$2153:$CR$2252&amp;" ",$CJ63)))),"")</f>
        <v>0</v>
      </c>
      <c r="CH63" s="1368">
        <f>IF(63=63,IF($U63="","",SUMPRODUCT(--ISNUMBER(SEARCH(" "&amp;$CR$2253:$CR$2352&amp;" ",$CJ63)))),"")</f>
        <v>1</v>
      </c>
      <c r="CI63" s="1368">
        <f>IF(63=63,IF($U63="","",SUMPRODUCT(--ISNUMBER(SEARCH(" "&amp;$CR$2353:$CR$2395&amp;" ",$CJ63)))),"")</f>
        <v>0</v>
      </c>
      <c r="CJ63" s="1368" t="str">
        <f>IF(63=63,IF($U63="","",SUBSTITUTE(SUBSTITUTE(SUBSTITUTE(SUBSTITUTE(SUBSTITUTE(SUBSTITUTE(SUBSTITUTE(SUBSTITUTE(SUBSTITUTE(SUBSTITUTE(SUBSTITUTE(SUBSTITUTE(SUBSTITUTE(SUBSTITUTE(SUBSTITUTE(SUBSTITUTE($AA63," "&amp;$CR$2401&amp;" "," ")," "&amp;$CR$2400&amp;" "," ")," "&amp;$CR$2399&amp;" "," ")," "&amp;$CR$2406&amp;" "," ")," "&amp;$CR$2398&amp;" "," ")," "&amp;$CR$2410&amp;" "," ")," "&amp;$CR$2397&amp;" "," ")," "&amp;$CR$2402&amp;" "," ")," "&amp;$CR$2405&amp;" "," ")," "&amp;$CR$2396&amp;" "," ")," "&amp;$CR$2404&amp;" "," ")," "&amp;$CR$2411&amp;" "," ")," "&amp;$CR$2408&amp;" "," ")," "&amp;$CR$2403&amp;" "," ")," "&amp;$CR$2407&amp;" "," ")," "&amp;$CR$2409&amp;" "," ")),"")</f>
        <v xml:space="preserve"> mollusques </v>
      </c>
      <c r="CK63" s="1368">
        <f>IF(63=63,IF($U63="","",SUMPRODUCT(--ISNUMBER(SEARCH(" "&amp;$CR$2412:$CR$2416&amp;" ",$CJ63)))),"")</f>
        <v>0</v>
      </c>
      <c r="CL63" s="1368" t="str">
        <f>IF(63=63,IF($U63="","",IF(SUM(CG63:CI63)&gt;0,"X",IF(CK63&gt;0,"?",""))),"")</f>
        <v>X</v>
      </c>
      <c r="CM63" s="1377"/>
      <c r="CN63" s="1388" t="s">
        <v>8373</v>
      </c>
      <c r="CO63" s="1388" t="s">
        <v>8105</v>
      </c>
      <c r="CP63" s="1388" t="s">
        <v>8106</v>
      </c>
      <c r="CQ63" s="1388" t="s">
        <v>8374</v>
      </c>
      <c r="CR63" s="1388" t="s">
        <v>8374</v>
      </c>
      <c r="CS63" s="1388" t="s">
        <v>8108</v>
      </c>
      <c r="CT63" s="1388" t="s">
        <v>8109</v>
      </c>
      <c r="CU63" s="1388" t="s">
        <v>8110</v>
      </c>
      <c r="CV63" s="1389" t="s">
        <v>8111</v>
      </c>
      <c r="CX63" s="1379">
        <v>1</v>
      </c>
    </row>
    <row r="64" spans="1:102" ht="21" customHeight="1" x14ac:dyDescent="0.25">
      <c r="A64" s="1412">
        <v>58</v>
      </c>
      <c r="B64" s="1413" t="s">
        <v>8129</v>
      </c>
      <c r="C64" s="1414" t="str">
        <f t="shared" si="0"/>
        <v>Fruits à coque *</v>
      </c>
      <c r="D64" s="1415" t="str">
        <f>IF(64=64,IF($B64="","",IF(E64="X",""&amp;"Céréales contenant du gluten","")&amp;IF(F64="X",IF(COUNTIF($E64:$E64,"X")&gt;0,", ","")&amp;"Crustacés","")&amp;IF(G64="X",IF(COUNTIF($E64:$F64,"X")&gt;0,", ","")&amp;"Œufs","")&amp;IF(H64="X",IF(COUNTIF($E64:$G64,"X")&gt;0,", ","")&amp;"Poissons","")&amp;IF(I64="X",IF(COUNTIF($E64:$H64,"X")&gt;0,", ","")&amp;"Arachides","")&amp;IF(J64="X",IF(COUNTIF($E64:$I64,"X")&gt;0,", ","")&amp;"Soja","")&amp;IF(K64="X",IF(COUNTIF($E64:$J64,"X")&gt;0,", ","")&amp;"Lait","")&amp;IF(L64="X",IF(COUNTIF($E64:$K64,"X")&gt;0,", ","")&amp;"Fruits à coque","")&amp;IF(M64="X",IF(COUNTIF($E64:$L64,"X")&gt;0,", ","")&amp;"Céleri","")&amp;IF(N64="X",IF(COUNTIF($E64:$M64,"X")&gt;0,", ","")&amp;"Moutarde","")&amp;IF(O64="X",IF(COUNTIF($E64:$N64,"X")&gt;0,", ","")&amp;"Sésame","")&amp;IF(P64="X",IF(COUNTIF($E64:$O64,"X")&gt;0,", ","")&amp;"Sulfites","")&amp;IF(Q64="X",IF(COUNTIF($E64:$P64,"X")&gt;0,", ","")&amp;"Lupin","")&amp;IF(R64="X",IF(COUNTIF($E64:$Q64,"X")&gt;0,", ","")&amp;"Mollusques","")),"")</f>
        <v>Mollusques</v>
      </c>
      <c r="E64" s="1416" t="str">
        <f>IF(64=64,IF($B64="","",AF64),"")</f>
        <v/>
      </c>
      <c r="F64" s="1416" t="str">
        <f>IF(64=64,IF($B64="","",AI64),"")</f>
        <v/>
      </c>
      <c r="G64" s="1416" t="str">
        <f>IF(64=64,IF($B64="","",AM64),"")</f>
        <v/>
      </c>
      <c r="H64" s="1416" t="str">
        <f>IF(64=64,IF($B64="","",IF(ISNUMBER(SEARCH(" colin ",$AA64)),"X",AZ64)),"")</f>
        <v/>
      </c>
      <c r="I64" s="1416" t="str">
        <f>IF(64=64,IF($B64="","",BB64),"")</f>
        <v/>
      </c>
      <c r="J64" s="1416" t="str">
        <f>IF(64=64,IF($B64="","",BF64),"")</f>
        <v/>
      </c>
      <c r="K64" s="1416" t="str">
        <f>IF(64=64,IF($B64="","",BM64),"")</f>
        <v/>
      </c>
      <c r="L64" s="1416" t="str">
        <f>IF(64=64,IF($B64="","",BQ64),"")</f>
        <v/>
      </c>
      <c r="M64" s="1416" t="str">
        <f>IF(64=64,IF($B64="","",BT64),"")</f>
        <v/>
      </c>
      <c r="N64" s="1416" t="str">
        <f>IF(64=64,IF($B64="","",BW64),"")</f>
        <v/>
      </c>
      <c r="O64" s="1416" t="str">
        <f>IF(64=64,IF($B64="","",BZ64),"")</f>
        <v/>
      </c>
      <c r="P64" s="1416" t="str">
        <f>IF(64=64,IF($B64="","",CC64),"")</f>
        <v/>
      </c>
      <c r="Q64" s="1416" t="str">
        <f>IF(64=64,IF($B64="","",CF64),"")</f>
        <v/>
      </c>
      <c r="R64" s="1416" t="str">
        <f>IF(64=64,IF($B64="","",CL64),"")</f>
        <v>X</v>
      </c>
      <c r="S64" s="1417" t="str">
        <f>IF(64=64,IF($B64="","",IF(E64="?",""&amp;"Céréales contenant du gluten","")&amp;IF(F64="?",IF(COUNTIF($E64:$E64,"~?")&gt;0,", ","")&amp;"Crustacés","")&amp;IF(G64="?",IF(COUNTIF($E64:$F64,"~?")&gt;0,", ","")&amp;"Œufs","")&amp;IF(H64="?",IF(COUNTIF($E64:$G64,"~?")&gt;0,", ","")&amp;"Poissons","")&amp;IF(I64="?",IF(COUNTIF($E64:$H64,"~?")&gt;0,", ","")&amp;"Arachides","")&amp;IF(J64="?",IF(COUNTIF($E64:$I64,"~?")&gt;0,", ","")&amp;"Soja","")&amp;IF(K64="?",IF(COUNTIF($E64:$J64,"~?")&gt;0,", ","")&amp;"Lait","")&amp;IF(L64="?",IF(COUNTIF($E64:$K64,"~?")&gt;0,", ","")&amp;"Fruits à coque","")&amp;IF(M64="?",IF(COUNTIF($E64:$L64,"~?")&gt;0,", ","")&amp;"Céleri","")&amp;IF(N64="?",IF(COUNTIF($E64:$M64,"~?")&gt;0,", ","")&amp;"Moutarde","")&amp;IF(O64="?",IF(COUNTIF($E64:$N64,"~?")&gt;0,", ","")&amp;"Sésame","")&amp;IF(P64="?",IF(COUNTIF($E64:$O64,"~?")&gt;0,", ","")&amp;"Sulfites","")&amp;IF(Q64="?",IF(COUNTIF($E64:$P64,"~?")&gt;0,", ","")&amp;"Lupin","")&amp;IF(R64="?",IF(COUNTIF($E64:$Q64,"~?")&gt;0,", ","")&amp;"Mollusques","")),"")</f>
        <v/>
      </c>
      <c r="U64" s="1368" t="str">
        <f>IF(64=64,IF($B64="","",$B64),"")</f>
        <v>Fruits à coque</v>
      </c>
      <c r="V64" s="1368" t="str">
        <f>IF(64=64,LOWER(CLEAN(SUBSTITUTE(SUBSTITUTE(SUBSTITUTE(SUBSTITUTE($U64,CHAR(160)," ")," "," "),CHAR(10)," "),CHAR(13)," "))),"")</f>
        <v>fruits à coque</v>
      </c>
      <c r="W64" s="1368" t="str">
        <f>IF(64=64,SUBSTITUTE(SUBSTITUTE(SUBSTITUTE(SUBSTITUTE(SUBSTITUTE(SUBSTITUTE(SUBSTITUTE(SUBSTITUTE(SUBSTITUTE(SUBSTITUTE(SUBSTITUTE(SUBSTITUTE($V64,"œ","oe"),"æ","ae"),"à","a"),"á","a"),"â","a"),"ä","a"),"ã","a"),"ç","c"),"è","e"),"é","e"),"ê","e"),"ë","e"),"")</f>
        <v>fruits a coque</v>
      </c>
      <c r="X64" s="1368" t="str">
        <f>IF(64=64,SUBSTITUTE(SUBSTITUTE(SUBSTITUTE(SUBSTITUTE(SUBSTITUTE(SUBSTITUTE(SUBSTITUTE(SUBSTITUTE(SUBSTITUTE(SUBSTITUTE(SUBSTITUTE(SUBSTITUTE(SUBSTITUTE(SUBSTITUTE(SUBSTITUTE(SUBSTITUTE($W64,"ì","i"),"í","i"),"î","i"),"ï","i"),"ñ","n"),"ò","o"),"ó","o"),"ô","o"),"ö","o"),"õ","o"),"ù","u"),"ú","u"),"û","u"),"ü","u"),"ý","y"),"ÿ","y"),"")</f>
        <v>fruits a coque</v>
      </c>
      <c r="Y64" s="1368" t="str">
        <f>IF(64=64,SUBSTITUTE(SUBSTITUTE(SUBSTITUTE(SUBSTITUTE(SUBSTITUTE(SUBSTITUTE(SUBSTITUTE(SUBSTITUTE(SUBSTITUTE(SUBSTITUTE(SUBSTITUTE(SUBSTITUTE(SUBSTITUTE(SUBSTITUTE($X64,"’"," "),"`"," "),"–"," "),"—"," "),"-"," "),"'"," "),"/"," "),"_"," "),","," "),"."," "),"("," "),")"," "),";"," "),":"," "),"")</f>
        <v>fruits a coque</v>
      </c>
      <c r="Z64" s="1368" t="str">
        <f>IF(64=64,SUBSTITUTE(SUBSTITUTE(SUBSTITUTE(SUBSTITUTE(SUBSTITUTE(SUBSTITUTE(SUBSTITUTE(SUBSTITUTE(SUBSTITUTE(SUBSTITUTE(SUBSTITUTE(SUBSTITUTE(SUBSTITUTE(SUBSTITUTE(SUBSTITUTE($Y64,"!"," "),"?"," "),"+"," "),"*"," "),"&amp;"," "),"["," "),"]"," "),"{"," "),"}"," "),"%"," "),"="," "),"\"," "),"|"," "),"&lt;"," "),"&gt;"," "),"")</f>
        <v>fruits a coque</v>
      </c>
      <c r="AA64" s="1368" t="str">
        <f>IF(64=64," "&amp;TRIM(SUBSTITUTE(SUBSTITUTE(SUBSTITUTE(SUBSTITUTE(SUBSTITUTE(SUBSTITUTE($Z64,CHAR(34)," "),"  "," "),"  "," "),"  "," "),"  "," "),"  "," "))&amp;" ","")</f>
        <v xml:space="preserve"> fruits a coque </v>
      </c>
      <c r="AB64" s="1368">
        <f>IF(64=64,IF($U64="","",SUMPRODUCT(--ISNUMBER(SEARCH(" "&amp;$CR$2:$CR$101&amp;" ",$AD64)))),"")</f>
        <v>0</v>
      </c>
      <c r="AC64" s="1368">
        <f>IF(64=64,IF($U64="","",SUMPRODUCT(--ISNUMBER(SEARCH(" "&amp;$CR$102:$CR$151&amp;" ",$AD64)))),"")</f>
        <v>0</v>
      </c>
      <c r="AD64" s="1368" t="str">
        <f t="shared" si="1"/>
        <v xml:space="preserve"> fruits a coque </v>
      </c>
      <c r="AE64" s="1368">
        <f t="shared" si="2"/>
        <v>0</v>
      </c>
      <c r="AF64" s="1368" t="str">
        <f>IF(64=64,IF($U64="","",IF(SUM(AB64:AC64)+SUMPRODUCT(--ISNUMBER(SEARCH(" "&amp;$CR$2418:$CR$2420&amp;" ",$AD64)))&gt;0,"X",IF(AE64&gt;0,"?",""))),"")</f>
        <v/>
      </c>
      <c r="AG64" s="1368">
        <f>IF(64=64,IF($U64="","",SUMPRODUCT(--ISNUMBER(SEARCH(" "&amp;$CR$206:$CR$305&amp;" ",$AA64)))),"")</f>
        <v>0</v>
      </c>
      <c r="AH64" s="1368">
        <f>IF(64=64,IF($U64="","",SUMPRODUCT(--ISNUMBER(SEARCH(" "&amp;$CR$306:$CR$340&amp;" ",$AA64)))),"")</f>
        <v>0</v>
      </c>
      <c r="AI64" s="1368" t="str">
        <f>IF(64=64,IF($U64="","",IF((SUM(AG64:AH64))-(0)&gt;0,"X",IF((0)-(0)&gt;0,"?",""))),"")</f>
        <v/>
      </c>
      <c r="AJ64" s="1368">
        <f>IF(64=64,IF($U64="","",SUMPRODUCT(--ISNUMBER(SEARCH(" "&amp;$CR$341:$CR$398&amp;" ",$AA64)))),"")</f>
        <v>0</v>
      </c>
      <c r="AK64" s="1368">
        <f>IF(64=64,IF($U64="","",SUMPRODUCT(--ISNUMBER(SEARCH(" "&amp;$CR$399:$CR$426&amp;" ",$AL64)))+SUMPRODUCT(--ISNUMBER(SEARCH(" "&amp;$CR$2440:$CR$2453&amp;" ",$AL64)))),"")</f>
        <v>0</v>
      </c>
      <c r="AL64" s="1368" t="str">
        <f>IF(64=64,IF($U64="","",SUBSTITUTE(SUBSTITUTE(SUBSTITUTE(SUBSTITUTE(SUBSTITUTE(SUBSTITUTE(SUBSTITUTE(SUBSTITUTE(SUBSTITUTE(SUBSTITUTE(SUBSTITUTE(SUBSTITUTE(SUBSTITUTE(SUBSTITUTE($AA64," "&amp;$CR$2455&amp;" "," ")," "&amp;$CR$433&amp;" "," ")," "&amp;$CR$431&amp;" "," ")," "&amp;$CR$2438&amp;" "," ")," "&amp;$CR$2439&amp;" "," ")," "&amp;$CR$428&amp;" "," ")," "&amp;$CR$432&amp;" "," ")," "&amp;$CR$434&amp;" "," ")," "&amp;$CR$429&amp;" "," ")," "&amp;$CR$427&amp;" "," ")," "&amp;$CR$1367&amp;" "," ")," "&amp;$CR$435&amp;" "," ")," "&amp;$CR$1366&amp;" "," ")," "&amp;$CR$430&amp;" "," ")),"")</f>
        <v xml:space="preserve"> fruits a coque </v>
      </c>
      <c r="AM64" s="1368" t="str">
        <f>IF(64=64,IF($U64="","",IF(AJ64&gt;0,"X",IF(AK64&gt;0,"?",""))),"")</f>
        <v/>
      </c>
      <c r="AN64" s="1368">
        <f>IF(64=64,IF($U64="","",SUMPRODUCT(--ISNUMBER(SEARCH(" "&amp;$CR$436:$CR$535&amp;" ",$AX64)))),"")</f>
        <v>0</v>
      </c>
      <c r="AO64" s="1368">
        <f>IF(64=64,IF($U64="","",SUMPRODUCT(--ISNUMBER(SEARCH(" "&amp;$CR$536:$CR$635&amp;" ",$AX64)))),"")</f>
        <v>0</v>
      </c>
      <c r="AP64" s="1368">
        <f>IF(64=64,IF($U64="","",SUMPRODUCT(--ISNUMBER(SEARCH(" "&amp;$CR$636:$CR$735&amp;" ",$AX64)))),"")</f>
        <v>0</v>
      </c>
      <c r="AQ64" s="1368">
        <f>IF(64=64,IF($U64="","",SUMPRODUCT(--ISNUMBER(SEARCH(" "&amp;$CR$736:$CR$835&amp;" ",$AX64)))),"")</f>
        <v>0</v>
      </c>
      <c r="AR64" s="1368">
        <f>IF(64=64,IF($U64="","",SUMPRODUCT(--ISNUMBER(SEARCH(" "&amp;$CR$836:$CR$935&amp;" ",$AX64)))),"")</f>
        <v>0</v>
      </c>
      <c r="AS64" s="1368">
        <f>IF(64=64,IF($U64="","",SUMPRODUCT(--ISNUMBER(SEARCH(" "&amp;$CR$936:$CR$1035&amp;" ",$AX64)))),"")</f>
        <v>0</v>
      </c>
      <c r="AT64" s="1368">
        <f>IF(64=64,IF($U64="","",SUMPRODUCT(--ISNUMBER(SEARCH(" "&amp;$CR$1036:$CR$1135&amp;" ",$AX64)))),"")</f>
        <v>0</v>
      </c>
      <c r="AU64" s="1368">
        <f>IF(64=64,IF($U64="","",SUMPRODUCT(--ISNUMBER(SEARCH(" "&amp;$CR$1136:$CR$1235&amp;" ",$AX64)))),"")</f>
        <v>0</v>
      </c>
      <c r="AV64" s="1368">
        <f>IF(64=64,IF($U64="","",SUMPRODUCT(--ISNUMBER(SEARCH(" "&amp;$CR$1236:$CR$1335&amp;" ",$AX64)))),"")</f>
        <v>0</v>
      </c>
      <c r="AW64" s="1368">
        <f>IF(64=64,IF($U64="","",SUMPRODUCT(--ISNUMBER(SEARCH(" "&amp;$CR$1336:$CR$1363&amp;" ",$AX64)))),"")</f>
        <v>0</v>
      </c>
      <c r="AX64" s="1368" t="str">
        <f>IF(64=64,IF($U64="","",SUBSTITUTE(SUBSTITUTE(SUBSTITUTE(SUBSTITUTE(SUBSTITUTE(SUBSTITUTE(SUBSTITUTE(SUBSTITUTE(SUBSTITUTE($AA64," "&amp;$CR$1365&amp;" "," ")," "&amp;$CR$1364&amp;" "," ")," "&amp;$CR$1370&amp;" "," ")," "&amp;$CR$1371&amp;" "," ")," "&amp;$CR$1367&amp;" "," ")," "&amp;$CR$1369&amp;" "," ")," "&amp;$CR$1366&amp;" "," ")," "&amp;$CR$1368&amp;" "," ")," "&amp;$CR$1372&amp;" "," ")),"")</f>
        <v xml:space="preserve"> fruits a coque </v>
      </c>
      <c r="AY64" s="1368">
        <f>IF(64=64,IF($U64="","",SUMPRODUCT(--ISNUMBER(SEARCH(" "&amp;$CR$1373:$CR$1383&amp;" ",$AX64)))),"")</f>
        <v>0</v>
      </c>
      <c r="AZ64" s="1368" t="str">
        <f>IF(64=64,IF($U64="","",IF(SUM(AN64:AW64)+SUMPRODUCT(--ISNUMBER(SEARCH(" "&amp;$CR$2421:$CR$2422&amp;" ",$AX64)))&gt;0,"X",IF(AY64&gt;0,"?",""))),"")</f>
        <v/>
      </c>
      <c r="BA64" s="1368">
        <f>IF(64=64,IF($U64="","",SUMPRODUCT(--ISNUMBER(SEARCH(" "&amp;$CR$1384:$CR$1404&amp;" ",$AA64)))),"")</f>
        <v>0</v>
      </c>
      <c r="BB64" s="1368" t="str">
        <f>IF(64=64,IF($U64="","",IF((BA64)-(0)&gt;0,"X",IF((0)-(0)&gt;0,"?",""))),"")</f>
        <v/>
      </c>
      <c r="BC64" s="1368">
        <f>IF(64=64,IF($U64="","",SUMPRODUCT(--ISNUMBER(SEARCH(" "&amp;$CR$1405:$CR$1442&amp;" ",$BD64)))),"")</f>
        <v>0</v>
      </c>
      <c r="BD64" s="1368" t="str">
        <f>IF(64=64,IF($U64="","",SUBSTITUTE(SUBSTITUTE($AA64," "&amp;$CR$1443&amp;" "," ")," "&amp;$CR$1444&amp;" "," ")),"")</f>
        <v xml:space="preserve"> fruits a coque </v>
      </c>
      <c r="BE64" s="1368">
        <f>IF(64=64,IF($U64="","",SUMPRODUCT(--ISNUMBER(SEARCH(" "&amp;$CR$1445:$CR$1455&amp;" ",$BD64)))),"")</f>
        <v>0</v>
      </c>
      <c r="BF64" s="1368" t="str">
        <f>IF(64=64,IF($U64="","",IF(BC64&gt;0,"X",IF(BE64&gt;0,"?",""))),"")</f>
        <v/>
      </c>
      <c r="BG64" s="1368">
        <f>IF(64=64,IF($U64="","",SUMPRODUCT(--ISNUMBER(SEARCH(" "&amp;$CR$1456:$CR$1555&amp;" ",$BJ64)))),"")</f>
        <v>0</v>
      </c>
      <c r="BH64" s="1368">
        <f>IF(64=64,IF($U64="","",SUMPRODUCT(--ISNUMBER(SEARCH(" "&amp;$CR$1556:$CR$1655&amp;" ",$BJ64)))),"")</f>
        <v>0</v>
      </c>
      <c r="BI64" s="1368">
        <f>IF(64=64,IF($U64="","",SUMPRODUCT(--ISNUMBER(SEARCH(" "&amp;$CR$1656:$CR$1739&amp;" ",$BJ64)))),"")</f>
        <v>0</v>
      </c>
      <c r="BJ64" s="1368" t="str">
        <f>IF(64=64,IF($U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fruits a coque </v>
      </c>
      <c r="BK64" s="1368">
        <f>IF(64=64,IF($U64="","",SUMPRODUCT(--ISNUMBER(SEARCH(" "&amp;$CR$1790:$CR$1869&amp;" ",$BL64)))+SUMPRODUCT(--ISNUMBER(SEARCH(" "&amp;$CR$2440:$CR$2453&amp;" ",$BL64)))),"")</f>
        <v>0</v>
      </c>
      <c r="BL64" s="1368" t="str">
        <f>IF(64=64,IF($U64="","",SUBSTITUTE(SUBSTITUTE(SUBSTITUTE(SUBSTITUTE(SUBSTITUTE(SUBSTITUTE(SUBSTITUTE(SUBSTITUTE(SUBSTITUTE(SUBSTITUTE(SUBSTITUTE(SUBSTITUTE(SUBSTITUTE($BJ64," "&amp;$CR$1876&amp;" "," ")," "&amp;$CR$1874&amp;" "," ")," "&amp;$CR$2438&amp;" "," ")," "&amp;$CR$2439&amp;" "," ")," "&amp;$CR$1871&amp;" "," ")," "&amp;$CR$1875&amp;" "," ")," "&amp;$CR$1877&amp;" "," ")," "&amp;$CR$1872&amp;" "," ")," "&amp;$CR$1870&amp;" "," ")," "&amp;$CR$1367&amp;" "," ")," "&amp;$CR$1878&amp;" "," ")," "&amp;$CR$1366&amp;" "," ")," "&amp;$CR$1873&amp;" "," ")),"")</f>
        <v xml:space="preserve"> fruits a coque </v>
      </c>
      <c r="BM64" s="1368" t="str">
        <f>IF(64=64,IF($U64="","",IF(SUM(BG64:BI64)+SUMPRODUCT(--ISNUMBER(SEARCH(" "&amp;$CR$2423:$CR$2424&amp;" ",$BJ64)))&gt;0,"X",IF(BK64&gt;0,"?",""))),"")</f>
        <v/>
      </c>
      <c r="BN64" s="1368">
        <f>IF(64=64,IF($U64="","",SUMPRODUCT(--ISNUMBER(SEARCH(" "&amp;$CR$1879:$CR$1936&amp;" ",$BO64)))),"")</f>
        <v>0</v>
      </c>
      <c r="BO64" s="1368" t="str">
        <f>IF(64=64,IF($U64="","",SUBSTITUTE(SUBSTITUTE(SUBSTITUTE(SUBSTITUTE(SUBSTITUTE(SUBSTITUTE(SUBSTITUTE(SUBSTITUTE(SUBSTITUTE(SUBSTITUTE(SUBSTITUTE(SUBSTITUTE(SUBSTITUTE(SUBSTITUTE(SUBSTITUTE(SUBSTITUTE(SUBSTITUTE(SUBSTITUTE(SUBSTITUTE(SUBSTITUTE(SUBSTITUTE(SUBSTITUTE(SUBSTITUTE($AA64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fruits a coque </v>
      </c>
      <c r="BP64" s="1368">
        <f>IF(64=64,IF($U64="","",SUMPRODUCT(--ISNUMBER(SEARCH(" "&amp;$CR$1960:$CR$1976&amp;" ",$BO64)))),"")</f>
        <v>0</v>
      </c>
      <c r="BQ64" s="1368" t="str">
        <f>IF(64=64,IF($U64="","",IF(BN64&gt;0,"X",IF(BP64&gt;0,"?",""))),"")</f>
        <v/>
      </c>
      <c r="BR64" s="1368">
        <f>IF(64=64,IF($U64="","",SUMPRODUCT(--ISNUMBER(SEARCH(" "&amp;$CR$1977:$CR$1990&amp;" ",$AA64)))),"")</f>
        <v>0</v>
      </c>
      <c r="BS64" s="1368">
        <f>IF(64=64,IF($U64="","",SUMPRODUCT(--ISNUMBER(SEARCH(" "&amp;$CR$1991:$CR$2005&amp;" ",$AA64)))),"")</f>
        <v>0</v>
      </c>
      <c r="BT64" s="1368" t="str">
        <f>IF(64=64,IF($U64="","",IF((BR64)-(0)&gt;0,"X",IF((BS64)-(0)&gt;0,"?",""))),"")</f>
        <v/>
      </c>
      <c r="BU64" s="1368">
        <f>IF(64=64,IF($U64="","",SUMPRODUCT(--ISNUMBER(SEARCH(" "&amp;$CR$2006:$CR$2023&amp;" ",$AA64)))),"")</f>
        <v>0</v>
      </c>
      <c r="BV64" s="1368">
        <f>IF(64=64,IF($U64="","",SUMPRODUCT(--ISNUMBER(SEARCH(" "&amp;$CR$2024:$CR$2038&amp;" ",$AA64)))),"")</f>
        <v>0</v>
      </c>
      <c r="BW64" s="1368" t="str">
        <f>IF(64=64,IF($U64="","",IF((BU64)-(0)&gt;0,"X",IF((BV64)-(0)&gt;0,"?",""))),"")</f>
        <v/>
      </c>
      <c r="BX64" s="1368">
        <f>IF(64=64,IF($U64="","",SUMPRODUCT(--ISNUMBER(SEARCH(" "&amp;$CR$2039:$CR$2057&amp;" ",$AA64)))),"")</f>
        <v>0</v>
      </c>
      <c r="BY64" s="1368">
        <f>IF(64=64,IF($U64="","",SUMPRODUCT(--ISNUMBER(SEARCH(" "&amp;$CR$2058:$CR$2072&amp;" ",$AA64)))),"")</f>
        <v>0</v>
      </c>
      <c r="BZ64" s="1368" t="str">
        <f>IF(64=64,IF($U64="","",IF((BX64)-(0)&gt;0,"X",IF((BY64)-(0)&gt;0,"?",""))),"")</f>
        <v/>
      </c>
      <c r="CA64" s="1368">
        <f>IF(64=64,IF($U64="","",SUMPRODUCT(--ISNUMBER(SEARCH(" "&amp;$CR$2073:$CR$2093&amp;" ",$AA64)))),"")</f>
        <v>0</v>
      </c>
      <c r="CB64" s="1368">
        <f>IF(64=64,IF($U64="","",SUMPRODUCT(--ISNUMBER(SEARCH(" "&amp;$CR$2094:$CR$2133&amp;" ",SUBSTITUTE(SUBSTITUTE($AA64," "&amp;$CR$1367&amp;" "," ")," "&amp;$CR$1366&amp;" "," "))))+--ISNUMBER(SEARCH("poiré",$V64))),"")</f>
        <v>0</v>
      </c>
      <c r="CC64" s="1368" t="str">
        <f>IF(64=64,IF($U64="","",IF(OR(CA64&gt;0,ISNUMBER(SEARCH(" vinaigre de vin ",$AA64)),ISNUMBER(SEARCH(" vinaigre au vin ",$AA64))),"X",IF(CB64&gt;0,"?",""))),"")</f>
        <v/>
      </c>
      <c r="CD64" s="1368">
        <f>IF(64=64,IF($U64="","",SUMPRODUCT(--ISNUMBER(SEARCH(" "&amp;$CR$2134:$CR$2146&amp;" ",$AA64)))),"")</f>
        <v>0</v>
      </c>
      <c r="CE64" s="1368">
        <f>IF(64=64,IF($U64="","",SUMPRODUCT(--ISNUMBER(SEARCH(" "&amp;$CR$2147:$CR$2152&amp;" ",$AA64)))),"")</f>
        <v>0</v>
      </c>
      <c r="CF64" s="1368" t="str">
        <f>IF(64=64,IF($U64="","",IF((CD64)-(0)&gt;0,"X",IF((CE64)-(0)&gt;0,"?",""))),"")</f>
        <v/>
      </c>
      <c r="CG64" s="1368">
        <f>IF(64=64,IF($U64="","",SUMPRODUCT(--ISNUMBER(SEARCH(" "&amp;$CR$2153:$CR$2252&amp;" ",$CJ64)))),"")</f>
        <v>1</v>
      </c>
      <c r="CH64" s="1368">
        <f>IF(64=64,IF($U64="","",SUMPRODUCT(--ISNUMBER(SEARCH(" "&amp;$CR$2253:$CR$2352&amp;" ",$CJ64)))),"")</f>
        <v>0</v>
      </c>
      <c r="CI64" s="1368">
        <f>IF(64=64,IF($U64="","",SUMPRODUCT(--ISNUMBER(SEARCH(" "&amp;$CR$2353:$CR$2395&amp;" ",$CJ64)))),"")</f>
        <v>0</v>
      </c>
      <c r="CJ64" s="1368" t="str">
        <f>IF(64=64,IF($U64="","",SUBSTITUTE(SUBSTITUTE(SUBSTITUTE(SUBSTITUTE(SUBSTITUTE(SUBSTITUTE(SUBSTITUTE(SUBSTITUTE(SUBSTITUTE(SUBSTITUTE(SUBSTITUTE(SUBSTITUTE(SUBSTITUTE(SUBSTITUTE(SUBSTITUTE(SUBSTITUTE($AA64," "&amp;$CR$2401&amp;" "," ")," "&amp;$CR$2400&amp;" "," ")," "&amp;$CR$2399&amp;" "," ")," "&amp;$CR$2406&amp;" "," ")," "&amp;$CR$2398&amp;" "," ")," "&amp;$CR$2410&amp;" "," ")," "&amp;$CR$2397&amp;" "," ")," "&amp;$CR$2402&amp;" "," ")," "&amp;$CR$2405&amp;" "," ")," "&amp;$CR$2396&amp;" "," ")," "&amp;$CR$2404&amp;" "," ")," "&amp;$CR$2411&amp;" "," ")," "&amp;$CR$2408&amp;" "," ")," "&amp;$CR$2403&amp;" "," ")," "&amp;$CR$2407&amp;" "," ")," "&amp;$CR$2409&amp;" "," ")),"")</f>
        <v xml:space="preserve"> fruits a coque </v>
      </c>
      <c r="CK64" s="1368">
        <f>IF(64=64,IF($U64="","",SUMPRODUCT(--ISNUMBER(SEARCH(" "&amp;$CR$2412:$CR$2416&amp;" ",$CJ64)))),"")</f>
        <v>0</v>
      </c>
      <c r="CL64" s="1368" t="str">
        <f>IF(64=64,IF($U64="","",IF(SUM(CG64:CI64)&gt;0,"X",IF(CK64&gt;0,"?",""))),"")</f>
        <v>X</v>
      </c>
      <c r="CM64" s="1377"/>
      <c r="CN64" s="1388" t="s">
        <v>8375</v>
      </c>
      <c r="CO64" s="1388" t="s">
        <v>8105</v>
      </c>
      <c r="CP64" s="1388" t="s">
        <v>8106</v>
      </c>
      <c r="CQ64" s="1388" t="s">
        <v>8376</v>
      </c>
      <c r="CR64" s="1388" t="s">
        <v>8376</v>
      </c>
      <c r="CS64" s="1388" t="s">
        <v>8108</v>
      </c>
      <c r="CT64" s="1388" t="s">
        <v>8109</v>
      </c>
      <c r="CU64" s="1388" t="s">
        <v>8110</v>
      </c>
      <c r="CV64" s="1389" t="s">
        <v>8111</v>
      </c>
      <c r="CX64" s="1379">
        <v>1</v>
      </c>
    </row>
    <row r="65" spans="1:102" ht="21" customHeight="1" x14ac:dyDescent="0.25">
      <c r="A65" s="1412">
        <v>59</v>
      </c>
      <c r="B65" s="1413" t="s">
        <v>8127</v>
      </c>
      <c r="C65" s="1414" t="str">
        <f t="shared" si="0"/>
        <v>Soja *</v>
      </c>
      <c r="D65" s="1415" t="str">
        <f>IF(65=65,IF($B65="","",IF(E65="X",""&amp;"Céréales contenant du gluten","")&amp;IF(F65="X",IF(COUNTIF($E65:$E65,"X")&gt;0,", ","")&amp;"Crustacés","")&amp;IF(G65="X",IF(COUNTIF($E65:$F65,"X")&gt;0,", ","")&amp;"Œufs","")&amp;IF(H65="X",IF(COUNTIF($E65:$G65,"X")&gt;0,", ","")&amp;"Poissons","")&amp;IF(I65="X",IF(COUNTIF($E65:$H65,"X")&gt;0,", ","")&amp;"Arachides","")&amp;IF(J65="X",IF(COUNTIF($E65:$I65,"X")&gt;0,", ","")&amp;"Soja","")&amp;IF(K65="X",IF(COUNTIF($E65:$J65,"X")&gt;0,", ","")&amp;"Lait","")&amp;IF(L65="X",IF(COUNTIF($E65:$K65,"X")&gt;0,", ","")&amp;"Fruits à coque","")&amp;IF(M65="X",IF(COUNTIF($E65:$L65,"X")&gt;0,", ","")&amp;"Céleri","")&amp;IF(N65="X",IF(COUNTIF($E65:$M65,"X")&gt;0,", ","")&amp;"Moutarde","")&amp;IF(O65="X",IF(COUNTIF($E65:$N65,"X")&gt;0,", ","")&amp;"Sésame","")&amp;IF(P65="X",IF(COUNTIF($E65:$O65,"X")&gt;0,", ","")&amp;"Sulfites","")&amp;IF(Q65="X",IF(COUNTIF($E65:$P65,"X")&gt;0,", ","")&amp;"Lupin","")&amp;IF(R65="X",IF(COUNTIF($E65:$Q65,"X")&gt;0,", ","")&amp;"Mollusques","")),"")</f>
        <v>Soja</v>
      </c>
      <c r="E65" s="1416" t="str">
        <f>IF(65=65,IF($B65="","",AF65),"")</f>
        <v/>
      </c>
      <c r="F65" s="1416" t="str">
        <f>IF(65=65,IF($B65="","",AI65),"")</f>
        <v/>
      </c>
      <c r="G65" s="1416" t="str">
        <f>IF(65=65,IF($B65="","",AM65),"")</f>
        <v/>
      </c>
      <c r="H65" s="1416" t="str">
        <f>IF(65=65,IF($B65="","",IF(ISNUMBER(SEARCH(" colin ",$AA65)),"X",AZ65)),"")</f>
        <v/>
      </c>
      <c r="I65" s="1416" t="str">
        <f>IF(65=65,IF($B65="","",BB65),"")</f>
        <v/>
      </c>
      <c r="J65" s="1416" t="str">
        <f>IF(65=65,IF($B65="","",BF65),"")</f>
        <v>X</v>
      </c>
      <c r="K65" s="1416" t="str">
        <f>IF(65=65,IF($B65="","",BM65),"")</f>
        <v/>
      </c>
      <c r="L65" s="1416" t="str">
        <f>IF(65=65,IF($B65="","",BQ65),"")</f>
        <v/>
      </c>
      <c r="M65" s="1416" t="str">
        <f>IF(65=65,IF($B65="","",BT65),"")</f>
        <v/>
      </c>
      <c r="N65" s="1416" t="str">
        <f>IF(65=65,IF($B65="","",BW65),"")</f>
        <v/>
      </c>
      <c r="O65" s="1416" t="str">
        <f>IF(65=65,IF($B65="","",BZ65),"")</f>
        <v/>
      </c>
      <c r="P65" s="1416" t="str">
        <f>IF(65=65,IF($B65="","",CC65),"")</f>
        <v/>
      </c>
      <c r="Q65" s="1416" t="str">
        <f>IF(65=65,IF($B65="","",CF65),"")</f>
        <v/>
      </c>
      <c r="R65" s="1416" t="str">
        <f>IF(65=65,IF($B65="","",CL65),"")</f>
        <v/>
      </c>
      <c r="S65" s="1417" t="str">
        <f>IF(65=65,IF($B65="","",IF(E65="?",""&amp;"Céréales contenant du gluten","")&amp;IF(F65="?",IF(COUNTIF($E65:$E65,"~?")&gt;0,", ","")&amp;"Crustacés","")&amp;IF(G65="?",IF(COUNTIF($E65:$F65,"~?")&gt;0,", ","")&amp;"Œufs","")&amp;IF(H65="?",IF(COUNTIF($E65:$G65,"~?")&gt;0,", ","")&amp;"Poissons","")&amp;IF(I65="?",IF(COUNTIF($E65:$H65,"~?")&gt;0,", ","")&amp;"Arachides","")&amp;IF(J65="?",IF(COUNTIF($E65:$I65,"~?")&gt;0,", ","")&amp;"Soja","")&amp;IF(K65="?",IF(COUNTIF($E65:$J65,"~?")&gt;0,", ","")&amp;"Lait","")&amp;IF(L65="?",IF(COUNTIF($E65:$K65,"~?")&gt;0,", ","")&amp;"Fruits à coque","")&amp;IF(M65="?",IF(COUNTIF($E65:$L65,"~?")&gt;0,", ","")&amp;"Céleri","")&amp;IF(N65="?",IF(COUNTIF($E65:$M65,"~?")&gt;0,", ","")&amp;"Moutarde","")&amp;IF(O65="?",IF(COUNTIF($E65:$N65,"~?")&gt;0,", ","")&amp;"Sésame","")&amp;IF(P65="?",IF(COUNTIF($E65:$O65,"~?")&gt;0,", ","")&amp;"Sulfites","")&amp;IF(Q65="?",IF(COUNTIF($E65:$P65,"~?")&gt;0,", ","")&amp;"Lupin","")&amp;IF(R65="?",IF(COUNTIF($E65:$Q65,"~?")&gt;0,", ","")&amp;"Mollusques","")),"")</f>
        <v/>
      </c>
      <c r="U65" s="1368" t="str">
        <f>IF(65=65,IF($B65="","",$B65),"")</f>
        <v>Soja</v>
      </c>
      <c r="V65" s="1368" t="str">
        <f>IF(65=65,LOWER(CLEAN(SUBSTITUTE(SUBSTITUTE(SUBSTITUTE(SUBSTITUTE($U65,CHAR(160)," ")," "," "),CHAR(10)," "),CHAR(13)," "))),"")</f>
        <v>soja</v>
      </c>
      <c r="W65" s="1368" t="str">
        <f>IF(65=65,SUBSTITUTE(SUBSTITUTE(SUBSTITUTE(SUBSTITUTE(SUBSTITUTE(SUBSTITUTE(SUBSTITUTE(SUBSTITUTE(SUBSTITUTE(SUBSTITUTE(SUBSTITUTE(SUBSTITUTE($V65,"œ","oe"),"æ","ae"),"à","a"),"á","a"),"â","a"),"ä","a"),"ã","a"),"ç","c"),"è","e"),"é","e"),"ê","e"),"ë","e"),"")</f>
        <v>soja</v>
      </c>
      <c r="X65" s="1368" t="str">
        <f>IF(65=65,SUBSTITUTE(SUBSTITUTE(SUBSTITUTE(SUBSTITUTE(SUBSTITUTE(SUBSTITUTE(SUBSTITUTE(SUBSTITUTE(SUBSTITUTE(SUBSTITUTE(SUBSTITUTE(SUBSTITUTE(SUBSTITUTE(SUBSTITUTE(SUBSTITUTE(SUBSTITUTE($W65,"ì","i"),"í","i"),"î","i"),"ï","i"),"ñ","n"),"ò","o"),"ó","o"),"ô","o"),"ö","o"),"õ","o"),"ù","u"),"ú","u"),"û","u"),"ü","u"),"ý","y"),"ÿ","y"),"")</f>
        <v>soja</v>
      </c>
      <c r="Y65" s="1368" t="str">
        <f>IF(65=65,SUBSTITUTE(SUBSTITUTE(SUBSTITUTE(SUBSTITUTE(SUBSTITUTE(SUBSTITUTE(SUBSTITUTE(SUBSTITUTE(SUBSTITUTE(SUBSTITUTE(SUBSTITUTE(SUBSTITUTE(SUBSTITUTE(SUBSTITUTE($X65,"’"," "),"`"," "),"–"," "),"—"," "),"-"," "),"'"," "),"/"," "),"_"," "),","," "),"."," "),"("," "),")"," "),";"," "),":"," "),"")</f>
        <v>soja</v>
      </c>
      <c r="Z65" s="1368" t="str">
        <f>IF(65=65,SUBSTITUTE(SUBSTITUTE(SUBSTITUTE(SUBSTITUTE(SUBSTITUTE(SUBSTITUTE(SUBSTITUTE(SUBSTITUTE(SUBSTITUTE(SUBSTITUTE(SUBSTITUTE(SUBSTITUTE(SUBSTITUTE(SUBSTITUTE(SUBSTITUTE($Y65,"!"," "),"?"," "),"+"," "),"*"," "),"&amp;"," "),"["," "),"]"," "),"{"," "),"}"," "),"%"," "),"="," "),"\"," "),"|"," "),"&lt;"," "),"&gt;"," "),"")</f>
        <v>soja</v>
      </c>
      <c r="AA65" s="1368" t="str">
        <f>IF(65=65," "&amp;TRIM(SUBSTITUTE(SUBSTITUTE(SUBSTITUTE(SUBSTITUTE(SUBSTITUTE(SUBSTITUTE($Z65,CHAR(34)," "),"  "," "),"  "," "),"  "," "),"  "," "),"  "," "))&amp;" ","")</f>
        <v xml:space="preserve"> soja </v>
      </c>
      <c r="AB65" s="1368">
        <f>IF(65=65,IF($U65="","",SUMPRODUCT(--ISNUMBER(SEARCH(" "&amp;$CR$2:$CR$101&amp;" ",$AD65)))),"")</f>
        <v>0</v>
      </c>
      <c r="AC65" s="1368">
        <f>IF(65=65,IF($U65="","",SUMPRODUCT(--ISNUMBER(SEARCH(" "&amp;$CR$102:$CR$151&amp;" ",$AD65)))),"")</f>
        <v>0</v>
      </c>
      <c r="AD65" s="1368" t="str">
        <f t="shared" si="1"/>
        <v xml:space="preserve"> soja </v>
      </c>
      <c r="AE65" s="1368">
        <f t="shared" si="2"/>
        <v>0</v>
      </c>
      <c r="AF65" s="1368" t="str">
        <f>IF(65=65,IF($U65="","",IF(SUM(AB65:AC65)+SUMPRODUCT(--ISNUMBER(SEARCH(" "&amp;$CR$2418:$CR$2420&amp;" ",$AD65)))&gt;0,"X",IF(AE65&gt;0,"?",""))),"")</f>
        <v/>
      </c>
      <c r="AG65" s="1368">
        <f>IF(65=65,IF($U65="","",SUMPRODUCT(--ISNUMBER(SEARCH(" "&amp;$CR$206:$CR$305&amp;" ",$AA65)))),"")</f>
        <v>0</v>
      </c>
      <c r="AH65" s="1368">
        <f>IF(65=65,IF($U65="","",SUMPRODUCT(--ISNUMBER(SEARCH(" "&amp;$CR$306:$CR$340&amp;" ",$AA65)))),"")</f>
        <v>0</v>
      </c>
      <c r="AI65" s="1368" t="str">
        <f>IF(65=65,IF($U65="","",IF((SUM(AG65:AH65))-(0)&gt;0,"X",IF((0)-(0)&gt;0,"?",""))),"")</f>
        <v/>
      </c>
      <c r="AJ65" s="1368">
        <f>IF(65=65,IF($U65="","",SUMPRODUCT(--ISNUMBER(SEARCH(" "&amp;$CR$341:$CR$398&amp;" ",$AA65)))),"")</f>
        <v>0</v>
      </c>
      <c r="AK65" s="1368">
        <f>IF(65=65,IF($U65="","",SUMPRODUCT(--ISNUMBER(SEARCH(" "&amp;$CR$399:$CR$426&amp;" ",$AL65)))+SUMPRODUCT(--ISNUMBER(SEARCH(" "&amp;$CR$2440:$CR$2453&amp;" ",$AL65)))),"")</f>
        <v>0</v>
      </c>
      <c r="AL65" s="1368" t="str">
        <f>IF(65=65,IF($U65="","",SUBSTITUTE(SUBSTITUTE(SUBSTITUTE(SUBSTITUTE(SUBSTITUTE(SUBSTITUTE(SUBSTITUTE(SUBSTITUTE(SUBSTITUTE(SUBSTITUTE(SUBSTITUTE(SUBSTITUTE(SUBSTITUTE(SUBSTITUTE($AA65," "&amp;$CR$2455&amp;" "," ")," "&amp;$CR$433&amp;" "," ")," "&amp;$CR$431&amp;" "," ")," "&amp;$CR$2438&amp;" "," ")," "&amp;$CR$2439&amp;" "," ")," "&amp;$CR$428&amp;" "," ")," "&amp;$CR$432&amp;" "," ")," "&amp;$CR$434&amp;" "," ")," "&amp;$CR$429&amp;" "," ")," "&amp;$CR$427&amp;" "," ")," "&amp;$CR$1367&amp;" "," ")," "&amp;$CR$435&amp;" "," ")," "&amp;$CR$1366&amp;" "," ")," "&amp;$CR$430&amp;" "," ")),"")</f>
        <v xml:space="preserve"> soja </v>
      </c>
      <c r="AM65" s="1368" t="str">
        <f>IF(65=65,IF($U65="","",IF(AJ65&gt;0,"X",IF(AK65&gt;0,"?",""))),"")</f>
        <v/>
      </c>
      <c r="AN65" s="1368">
        <f>IF(65=65,IF($U65="","",SUMPRODUCT(--ISNUMBER(SEARCH(" "&amp;$CR$436:$CR$535&amp;" ",$AX65)))),"")</f>
        <v>0</v>
      </c>
      <c r="AO65" s="1368">
        <f>IF(65=65,IF($U65="","",SUMPRODUCT(--ISNUMBER(SEARCH(" "&amp;$CR$536:$CR$635&amp;" ",$AX65)))),"")</f>
        <v>0</v>
      </c>
      <c r="AP65" s="1368">
        <f>IF(65=65,IF($U65="","",SUMPRODUCT(--ISNUMBER(SEARCH(" "&amp;$CR$636:$CR$735&amp;" ",$AX65)))),"")</f>
        <v>0</v>
      </c>
      <c r="AQ65" s="1368">
        <f>IF(65=65,IF($U65="","",SUMPRODUCT(--ISNUMBER(SEARCH(" "&amp;$CR$736:$CR$835&amp;" ",$AX65)))),"")</f>
        <v>0</v>
      </c>
      <c r="AR65" s="1368">
        <f>IF(65=65,IF($U65="","",SUMPRODUCT(--ISNUMBER(SEARCH(" "&amp;$CR$836:$CR$935&amp;" ",$AX65)))),"")</f>
        <v>0</v>
      </c>
      <c r="AS65" s="1368">
        <f>IF(65=65,IF($U65="","",SUMPRODUCT(--ISNUMBER(SEARCH(" "&amp;$CR$936:$CR$1035&amp;" ",$AX65)))),"")</f>
        <v>0</v>
      </c>
      <c r="AT65" s="1368">
        <f>IF(65=65,IF($U65="","",SUMPRODUCT(--ISNUMBER(SEARCH(" "&amp;$CR$1036:$CR$1135&amp;" ",$AX65)))),"")</f>
        <v>0</v>
      </c>
      <c r="AU65" s="1368">
        <f>IF(65=65,IF($U65="","",SUMPRODUCT(--ISNUMBER(SEARCH(" "&amp;$CR$1136:$CR$1235&amp;" ",$AX65)))),"")</f>
        <v>0</v>
      </c>
      <c r="AV65" s="1368">
        <f>IF(65=65,IF($U65="","",SUMPRODUCT(--ISNUMBER(SEARCH(" "&amp;$CR$1236:$CR$1335&amp;" ",$AX65)))),"")</f>
        <v>0</v>
      </c>
      <c r="AW65" s="1368">
        <f>IF(65=65,IF($U65="","",SUMPRODUCT(--ISNUMBER(SEARCH(" "&amp;$CR$1336:$CR$1363&amp;" ",$AX65)))),"")</f>
        <v>0</v>
      </c>
      <c r="AX65" s="1368" t="str">
        <f>IF(65=65,IF($U65="","",SUBSTITUTE(SUBSTITUTE(SUBSTITUTE(SUBSTITUTE(SUBSTITUTE(SUBSTITUTE(SUBSTITUTE(SUBSTITUTE(SUBSTITUTE($AA65," "&amp;$CR$1365&amp;" "," ")," "&amp;$CR$1364&amp;" "," ")," "&amp;$CR$1370&amp;" "," ")," "&amp;$CR$1371&amp;" "," ")," "&amp;$CR$1367&amp;" "," ")," "&amp;$CR$1369&amp;" "," ")," "&amp;$CR$1366&amp;" "," ")," "&amp;$CR$1368&amp;" "," ")," "&amp;$CR$1372&amp;" "," ")),"")</f>
        <v xml:space="preserve"> soja </v>
      </c>
      <c r="AY65" s="1368">
        <f>IF(65=65,IF($U65="","",SUMPRODUCT(--ISNUMBER(SEARCH(" "&amp;$CR$1373:$CR$1383&amp;" ",$AX65)))),"")</f>
        <v>0</v>
      </c>
      <c r="AZ65" s="1368" t="str">
        <f>IF(65=65,IF($U65="","",IF(SUM(AN65:AW65)+SUMPRODUCT(--ISNUMBER(SEARCH(" "&amp;$CR$2421:$CR$2422&amp;" ",$AX65)))&gt;0,"X",IF(AY65&gt;0,"?",""))),"")</f>
        <v/>
      </c>
      <c r="BA65" s="1368">
        <f>IF(65=65,IF($U65="","",SUMPRODUCT(--ISNUMBER(SEARCH(" "&amp;$CR$1384:$CR$1404&amp;" ",$AA65)))),"")</f>
        <v>0</v>
      </c>
      <c r="BB65" s="1368" t="str">
        <f>IF(65=65,IF($U65="","",IF((BA65)-(0)&gt;0,"X",IF((0)-(0)&gt;0,"?",""))),"")</f>
        <v/>
      </c>
      <c r="BC65" s="1368">
        <f>IF(65=65,IF($U65="","",SUMPRODUCT(--ISNUMBER(SEARCH(" "&amp;$CR$1405:$CR$1442&amp;" ",$BD65)))),"")</f>
        <v>1</v>
      </c>
      <c r="BD65" s="1368" t="str">
        <f>IF(65=65,IF($U65="","",SUBSTITUTE(SUBSTITUTE($AA65," "&amp;$CR$1443&amp;" "," ")," "&amp;$CR$1444&amp;" "," ")),"")</f>
        <v xml:space="preserve"> soja </v>
      </c>
      <c r="BE65" s="1368">
        <f>IF(65=65,IF($U65="","",SUMPRODUCT(--ISNUMBER(SEARCH(" "&amp;$CR$1445:$CR$1455&amp;" ",$BD65)))),"")</f>
        <v>0</v>
      </c>
      <c r="BF65" s="1368" t="str">
        <f>IF(65=65,IF($U65="","",IF(BC65&gt;0,"X",IF(BE65&gt;0,"?",""))),"")</f>
        <v>X</v>
      </c>
      <c r="BG65" s="1368">
        <f>IF(65=65,IF($U65="","",SUMPRODUCT(--ISNUMBER(SEARCH(" "&amp;$CR$1456:$CR$1555&amp;" ",$BJ65)))),"")</f>
        <v>0</v>
      </c>
      <c r="BH65" s="1368">
        <f>IF(65=65,IF($U65="","",SUMPRODUCT(--ISNUMBER(SEARCH(" "&amp;$CR$1556:$CR$1655&amp;" ",$BJ65)))),"")</f>
        <v>0</v>
      </c>
      <c r="BI65" s="1368">
        <f>IF(65=65,IF($U65="","",SUMPRODUCT(--ISNUMBER(SEARCH(" "&amp;$CR$1656:$CR$1739&amp;" ",$BJ65)))),"")</f>
        <v>0</v>
      </c>
      <c r="BJ65" s="1368" t="str">
        <f>IF(65=65,IF($U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soja </v>
      </c>
      <c r="BK65" s="1368">
        <f>IF(65=65,IF($U65="","",SUMPRODUCT(--ISNUMBER(SEARCH(" "&amp;$CR$1790:$CR$1869&amp;" ",$BL65)))+SUMPRODUCT(--ISNUMBER(SEARCH(" "&amp;$CR$2440:$CR$2453&amp;" ",$BL65)))),"")</f>
        <v>0</v>
      </c>
      <c r="BL65" s="1368" t="str">
        <f>IF(65=65,IF($U65="","",SUBSTITUTE(SUBSTITUTE(SUBSTITUTE(SUBSTITUTE(SUBSTITUTE(SUBSTITUTE(SUBSTITUTE(SUBSTITUTE(SUBSTITUTE(SUBSTITUTE(SUBSTITUTE(SUBSTITUTE(SUBSTITUTE($BJ65," "&amp;$CR$1876&amp;" "," ")," "&amp;$CR$1874&amp;" "," ")," "&amp;$CR$2438&amp;" "," ")," "&amp;$CR$2439&amp;" "," ")," "&amp;$CR$1871&amp;" "," ")," "&amp;$CR$1875&amp;" "," ")," "&amp;$CR$1877&amp;" "," ")," "&amp;$CR$1872&amp;" "," ")," "&amp;$CR$1870&amp;" "," ")," "&amp;$CR$1367&amp;" "," ")," "&amp;$CR$1878&amp;" "," ")," "&amp;$CR$1366&amp;" "," ")," "&amp;$CR$1873&amp;" "," ")),"")</f>
        <v xml:space="preserve"> soja </v>
      </c>
      <c r="BM65" s="1368" t="str">
        <f>IF(65=65,IF($U65="","",IF(SUM(BG65:BI65)+SUMPRODUCT(--ISNUMBER(SEARCH(" "&amp;$CR$2423:$CR$2424&amp;" ",$BJ65)))&gt;0,"X",IF(BK65&gt;0,"?",""))),"")</f>
        <v/>
      </c>
      <c r="BN65" s="1368">
        <f>IF(65=65,IF($U65="","",SUMPRODUCT(--ISNUMBER(SEARCH(" "&amp;$CR$1879:$CR$1936&amp;" ",$BO65)))),"")</f>
        <v>0</v>
      </c>
      <c r="BO65" s="1368" t="str">
        <f>IF(65=65,IF($U65="","",SUBSTITUTE(SUBSTITUTE(SUBSTITUTE(SUBSTITUTE(SUBSTITUTE(SUBSTITUTE(SUBSTITUTE(SUBSTITUTE(SUBSTITUTE(SUBSTITUTE(SUBSTITUTE(SUBSTITUTE(SUBSTITUTE(SUBSTITUTE(SUBSTITUTE(SUBSTITUTE(SUBSTITUTE(SUBSTITUTE(SUBSTITUTE(SUBSTITUTE(SUBSTITUTE(SUBSTITUTE(SUBSTITUTE($AA65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soja </v>
      </c>
      <c r="BP65" s="1368">
        <f>IF(65=65,IF($U65="","",SUMPRODUCT(--ISNUMBER(SEARCH(" "&amp;$CR$1960:$CR$1976&amp;" ",$BO65)))),"")</f>
        <v>0</v>
      </c>
      <c r="BQ65" s="1368" t="str">
        <f>IF(65=65,IF($U65="","",IF(BN65&gt;0,"X",IF(BP65&gt;0,"?",""))),"")</f>
        <v/>
      </c>
      <c r="BR65" s="1368">
        <f>IF(65=65,IF($U65="","",SUMPRODUCT(--ISNUMBER(SEARCH(" "&amp;$CR$1977:$CR$1990&amp;" ",$AA65)))),"")</f>
        <v>0</v>
      </c>
      <c r="BS65" s="1368">
        <f>IF(65=65,IF($U65="","",SUMPRODUCT(--ISNUMBER(SEARCH(" "&amp;$CR$1991:$CR$2005&amp;" ",$AA65)))),"")</f>
        <v>0</v>
      </c>
      <c r="BT65" s="1368" t="str">
        <f>IF(65=65,IF($U65="","",IF((BR65)-(0)&gt;0,"X",IF((BS65)-(0)&gt;0,"?",""))),"")</f>
        <v/>
      </c>
      <c r="BU65" s="1368">
        <f>IF(65=65,IF($U65="","",SUMPRODUCT(--ISNUMBER(SEARCH(" "&amp;$CR$2006:$CR$2023&amp;" ",$AA65)))),"")</f>
        <v>0</v>
      </c>
      <c r="BV65" s="1368">
        <f>IF(65=65,IF($U65="","",SUMPRODUCT(--ISNUMBER(SEARCH(" "&amp;$CR$2024:$CR$2038&amp;" ",$AA65)))),"")</f>
        <v>0</v>
      </c>
      <c r="BW65" s="1368" t="str">
        <f>IF(65=65,IF($U65="","",IF((BU65)-(0)&gt;0,"X",IF((BV65)-(0)&gt;0,"?",""))),"")</f>
        <v/>
      </c>
      <c r="BX65" s="1368">
        <f>IF(65=65,IF($U65="","",SUMPRODUCT(--ISNUMBER(SEARCH(" "&amp;$CR$2039:$CR$2057&amp;" ",$AA65)))),"")</f>
        <v>0</v>
      </c>
      <c r="BY65" s="1368">
        <f>IF(65=65,IF($U65="","",SUMPRODUCT(--ISNUMBER(SEARCH(" "&amp;$CR$2058:$CR$2072&amp;" ",$AA65)))),"")</f>
        <v>0</v>
      </c>
      <c r="BZ65" s="1368" t="str">
        <f>IF(65=65,IF($U65="","",IF((BX65)-(0)&gt;0,"X",IF((BY65)-(0)&gt;0,"?",""))),"")</f>
        <v/>
      </c>
      <c r="CA65" s="1368">
        <f>IF(65=65,IF($U65="","",SUMPRODUCT(--ISNUMBER(SEARCH(" "&amp;$CR$2073:$CR$2093&amp;" ",$AA65)))),"")</f>
        <v>0</v>
      </c>
      <c r="CB65" s="1368">
        <f>IF(65=65,IF($U65="","",SUMPRODUCT(--ISNUMBER(SEARCH(" "&amp;$CR$2094:$CR$2133&amp;" ",SUBSTITUTE(SUBSTITUTE($AA65," "&amp;$CR$1367&amp;" "," ")," "&amp;$CR$1366&amp;" "," "))))+--ISNUMBER(SEARCH("poiré",$V65))),"")</f>
        <v>0</v>
      </c>
      <c r="CC65" s="1368" t="str">
        <f>IF(65=65,IF($U65="","",IF(OR(CA65&gt;0,ISNUMBER(SEARCH(" vinaigre de vin ",$AA65)),ISNUMBER(SEARCH(" vinaigre au vin ",$AA65))),"X",IF(CB65&gt;0,"?",""))),"")</f>
        <v/>
      </c>
      <c r="CD65" s="1368">
        <f>IF(65=65,IF($U65="","",SUMPRODUCT(--ISNUMBER(SEARCH(" "&amp;$CR$2134:$CR$2146&amp;" ",$AA65)))),"")</f>
        <v>0</v>
      </c>
      <c r="CE65" s="1368">
        <f>IF(65=65,IF($U65="","",SUMPRODUCT(--ISNUMBER(SEARCH(" "&amp;$CR$2147:$CR$2152&amp;" ",$AA65)))),"")</f>
        <v>0</v>
      </c>
      <c r="CF65" s="1368" t="str">
        <f>IF(65=65,IF($U65="","",IF((CD65)-(0)&gt;0,"X",IF((CE65)-(0)&gt;0,"?",""))),"")</f>
        <v/>
      </c>
      <c r="CG65" s="1368">
        <f>IF(65=65,IF($U65="","",SUMPRODUCT(--ISNUMBER(SEARCH(" "&amp;$CR$2153:$CR$2252&amp;" ",$CJ65)))),"")</f>
        <v>0</v>
      </c>
      <c r="CH65" s="1368">
        <f>IF(65=65,IF($U65="","",SUMPRODUCT(--ISNUMBER(SEARCH(" "&amp;$CR$2253:$CR$2352&amp;" ",$CJ65)))),"")</f>
        <v>0</v>
      </c>
      <c r="CI65" s="1368">
        <f>IF(65=65,IF($U65="","",SUMPRODUCT(--ISNUMBER(SEARCH(" "&amp;$CR$2353:$CR$2395&amp;" ",$CJ65)))),"")</f>
        <v>0</v>
      </c>
      <c r="CJ65" s="1368" t="str">
        <f>IF(65=65,IF($U65="","",SUBSTITUTE(SUBSTITUTE(SUBSTITUTE(SUBSTITUTE(SUBSTITUTE(SUBSTITUTE(SUBSTITUTE(SUBSTITUTE(SUBSTITUTE(SUBSTITUTE(SUBSTITUTE(SUBSTITUTE(SUBSTITUTE(SUBSTITUTE(SUBSTITUTE(SUBSTITUTE($AA65," "&amp;$CR$2401&amp;" "," ")," "&amp;$CR$2400&amp;" "," ")," "&amp;$CR$2399&amp;" "," ")," "&amp;$CR$2406&amp;" "," ")," "&amp;$CR$2398&amp;" "," ")," "&amp;$CR$2410&amp;" "," ")," "&amp;$CR$2397&amp;" "," ")," "&amp;$CR$2402&amp;" "," ")," "&amp;$CR$2405&amp;" "," ")," "&amp;$CR$2396&amp;" "," ")," "&amp;$CR$2404&amp;" "," ")," "&amp;$CR$2411&amp;" "," ")," "&amp;$CR$2408&amp;" "," ")," "&amp;$CR$2403&amp;" "," ")," "&amp;$CR$2407&amp;" "," ")," "&amp;$CR$2409&amp;" "," ")),"")</f>
        <v xml:space="preserve"> soja </v>
      </c>
      <c r="CK65" s="1368">
        <f>IF(65=65,IF($U65="","",SUMPRODUCT(--ISNUMBER(SEARCH(" "&amp;$CR$2412:$CR$2416&amp;" ",$CJ65)))),"")</f>
        <v>0</v>
      </c>
      <c r="CL65" s="1368" t="str">
        <f>IF(65=65,IF($U65="","",IF(SUM(CG65:CI65)&gt;0,"X",IF(CK65&gt;0,"?",""))),"")</f>
        <v/>
      </c>
      <c r="CM65" s="1377"/>
      <c r="CN65" s="1388" t="s">
        <v>8377</v>
      </c>
      <c r="CO65" s="1388" t="s">
        <v>8105</v>
      </c>
      <c r="CP65" s="1388" t="s">
        <v>8106</v>
      </c>
      <c r="CQ65" s="1388" t="s">
        <v>8378</v>
      </c>
      <c r="CR65" s="1388" t="s">
        <v>8379</v>
      </c>
      <c r="CS65" s="1388" t="s">
        <v>8108</v>
      </c>
      <c r="CT65" s="1388" t="s">
        <v>8109</v>
      </c>
      <c r="CU65" s="1388" t="s">
        <v>8110</v>
      </c>
      <c r="CV65" s="1389" t="s">
        <v>8111</v>
      </c>
      <c r="CX65" s="1379">
        <v>1</v>
      </c>
    </row>
    <row r="66" spans="1:102" ht="21" customHeight="1" x14ac:dyDescent="0.25">
      <c r="A66" s="1418">
        <v>60</v>
      </c>
      <c r="B66" s="1419" t="s">
        <v>13455</v>
      </c>
      <c r="C66" s="1420" t="str">
        <f t="shared" si="0"/>
        <v>huile d'arachide *</v>
      </c>
      <c r="D66" s="1421" t="str">
        <f>IF(66=66,IF($B66="","",IF(E66="X",""&amp;"Céréales contenant du gluten","")&amp;IF(F66="X",IF(COUNTIF($E66:$E66,"X")&gt;0,", ","")&amp;"Crustacés","")&amp;IF(G66="X",IF(COUNTIF($E66:$F66,"X")&gt;0,", ","")&amp;"Œufs","")&amp;IF(H66="X",IF(COUNTIF($E66:$G66,"X")&gt;0,", ","")&amp;"Poissons","")&amp;IF(I66="X",IF(COUNTIF($E66:$H66,"X")&gt;0,", ","")&amp;"Arachides","")&amp;IF(J66="X",IF(COUNTIF($E66:$I66,"X")&gt;0,", ","")&amp;"Soja","")&amp;IF(K66="X",IF(COUNTIF($E66:$J66,"X")&gt;0,", ","")&amp;"Lait","")&amp;IF(L66="X",IF(COUNTIF($E66:$K66,"X")&gt;0,", ","")&amp;"Fruits à coque","")&amp;IF(M66="X",IF(COUNTIF($E66:$L66,"X")&gt;0,", ","")&amp;"Céleri","")&amp;IF(N66="X",IF(COUNTIF($E66:$M66,"X")&gt;0,", ","")&amp;"Moutarde","")&amp;IF(O66="X",IF(COUNTIF($E66:$N66,"X")&gt;0,", ","")&amp;"Sésame","")&amp;IF(P66="X",IF(COUNTIF($E66:$O66,"X")&gt;0,", ","")&amp;"Sulfites","")&amp;IF(Q66="X",IF(COUNTIF($E66:$P66,"X")&gt;0,", ","")&amp;"Lupin","")&amp;IF(R66="X",IF(COUNTIF($E66:$Q66,"X")&gt;0,", ","")&amp;"Mollusques","")),"")</f>
        <v>Arachides</v>
      </c>
      <c r="E66" s="1422" t="str">
        <f>IF(66=66,IF($B66="","",AF66),"")</f>
        <v/>
      </c>
      <c r="F66" s="1422" t="str">
        <f>IF(66=66,IF($B66="","",AI66),"")</f>
        <v/>
      </c>
      <c r="G66" s="1422" t="str">
        <f>IF(66=66,IF($B66="","",AM66),"")</f>
        <v/>
      </c>
      <c r="H66" s="1422" t="str">
        <f>IF(66=66,IF($B66="","",IF(ISNUMBER(SEARCH(" colin ",$AA66)),"X",AZ66)),"")</f>
        <v/>
      </c>
      <c r="I66" s="1422" t="str">
        <f>IF(66=66,IF($B66="","",BB66),"")</f>
        <v>X</v>
      </c>
      <c r="J66" s="1422" t="str">
        <f>IF(66=66,IF($B66="","",BF66),"")</f>
        <v/>
      </c>
      <c r="K66" s="1422" t="str">
        <f>IF(66=66,IF($B66="","",BM66),"")</f>
        <v/>
      </c>
      <c r="L66" s="1422" t="str">
        <f>IF(66=66,IF($B66="","",BQ66),"")</f>
        <v/>
      </c>
      <c r="M66" s="1422" t="str">
        <f>IF(66=66,IF($B66="","",BT66),"")</f>
        <v/>
      </c>
      <c r="N66" s="1422" t="str">
        <f>IF(66=66,IF($B66="","",BW66),"")</f>
        <v/>
      </c>
      <c r="O66" s="1422" t="str">
        <f>IF(66=66,IF($B66="","",BZ66),"")</f>
        <v/>
      </c>
      <c r="P66" s="1422" t="str">
        <f>IF(66=66,IF($B66="","",CC66),"")</f>
        <v/>
      </c>
      <c r="Q66" s="1422" t="str">
        <f>IF(66=66,IF($B66="","",CF66),"")</f>
        <v/>
      </c>
      <c r="R66" s="1422" t="str">
        <f>IF(66=66,IF($B66="","",CL66),"")</f>
        <v/>
      </c>
      <c r="S66" s="1423" t="str">
        <f>IF(66=66,IF($B66="","",IF(E66="?",""&amp;"Céréales contenant du gluten","")&amp;IF(F66="?",IF(COUNTIF($E66:$E66,"~?")&gt;0,", ","")&amp;"Crustacés","")&amp;IF(G66="?",IF(COUNTIF($E66:$F66,"~?")&gt;0,", ","")&amp;"Œufs","")&amp;IF(H66="?",IF(COUNTIF($E66:$G66,"~?")&gt;0,", ","")&amp;"Poissons","")&amp;IF(I66="?",IF(COUNTIF($E66:$H66,"~?")&gt;0,", ","")&amp;"Arachides","")&amp;IF(J66="?",IF(COUNTIF($E66:$I66,"~?")&gt;0,", ","")&amp;"Soja","")&amp;IF(K66="?",IF(COUNTIF($E66:$J66,"~?")&gt;0,", ","")&amp;"Lait","")&amp;IF(L66="?",IF(COUNTIF($E66:$K66,"~?")&gt;0,", ","")&amp;"Fruits à coque","")&amp;IF(M66="?",IF(COUNTIF($E66:$L66,"~?")&gt;0,", ","")&amp;"Céleri","")&amp;IF(N66="?",IF(COUNTIF($E66:$M66,"~?")&gt;0,", ","")&amp;"Moutarde","")&amp;IF(O66="?",IF(COUNTIF($E66:$N66,"~?")&gt;0,", ","")&amp;"Sésame","")&amp;IF(P66="?",IF(COUNTIF($E66:$O66,"~?")&gt;0,", ","")&amp;"Sulfites","")&amp;IF(Q66="?",IF(COUNTIF($E66:$P66,"~?")&gt;0,", ","")&amp;"Lupin","")&amp;IF(R66="?",IF(COUNTIF($E66:$Q66,"~?")&gt;0,", ","")&amp;"Mollusques","")),"")</f>
        <v/>
      </c>
      <c r="U66" s="1368" t="str">
        <f>IF(66=66,IF($B66="","",$B66),"")</f>
        <v>huile d'arachide</v>
      </c>
      <c r="V66" s="1368" t="str">
        <f>IF(66=66,LOWER(CLEAN(SUBSTITUTE(SUBSTITUTE(SUBSTITUTE(SUBSTITUTE($U66,CHAR(160)," ")," "," "),CHAR(10)," "),CHAR(13)," "))),"")</f>
        <v>huile d'arachide</v>
      </c>
      <c r="W66" s="1368" t="str">
        <f>IF(66=66,SUBSTITUTE(SUBSTITUTE(SUBSTITUTE(SUBSTITUTE(SUBSTITUTE(SUBSTITUTE(SUBSTITUTE(SUBSTITUTE(SUBSTITUTE(SUBSTITUTE(SUBSTITUTE(SUBSTITUTE($V66,"œ","oe"),"æ","ae"),"à","a"),"á","a"),"â","a"),"ä","a"),"ã","a"),"ç","c"),"è","e"),"é","e"),"ê","e"),"ë","e"),"")</f>
        <v>huile d'arachide</v>
      </c>
      <c r="X66" s="1368" t="str">
        <f>IF(66=66,SUBSTITUTE(SUBSTITUTE(SUBSTITUTE(SUBSTITUTE(SUBSTITUTE(SUBSTITUTE(SUBSTITUTE(SUBSTITUTE(SUBSTITUTE(SUBSTITUTE(SUBSTITUTE(SUBSTITUTE(SUBSTITUTE(SUBSTITUTE(SUBSTITUTE(SUBSTITUTE($W66,"ì","i"),"í","i"),"î","i"),"ï","i"),"ñ","n"),"ò","o"),"ó","o"),"ô","o"),"ö","o"),"õ","o"),"ù","u"),"ú","u"),"û","u"),"ü","u"),"ý","y"),"ÿ","y"),"")</f>
        <v>huile d'arachide</v>
      </c>
      <c r="Y66" s="1368" t="str">
        <f>IF(66=66,SUBSTITUTE(SUBSTITUTE(SUBSTITUTE(SUBSTITUTE(SUBSTITUTE(SUBSTITUTE(SUBSTITUTE(SUBSTITUTE(SUBSTITUTE(SUBSTITUTE(SUBSTITUTE(SUBSTITUTE(SUBSTITUTE(SUBSTITUTE($X66,"’"," "),"`"," "),"–"," "),"—"," "),"-"," "),"'"," "),"/"," "),"_"," "),","," "),"."," "),"("," "),")"," "),";"," "),":"," "),"")</f>
        <v>huile d arachide</v>
      </c>
      <c r="Z66" s="1368" t="str">
        <f>IF(66=66,SUBSTITUTE(SUBSTITUTE(SUBSTITUTE(SUBSTITUTE(SUBSTITUTE(SUBSTITUTE(SUBSTITUTE(SUBSTITUTE(SUBSTITUTE(SUBSTITUTE(SUBSTITUTE(SUBSTITUTE(SUBSTITUTE(SUBSTITUTE(SUBSTITUTE($Y66,"!"," "),"?"," "),"+"," "),"*"," "),"&amp;"," "),"["," "),"]"," "),"{"," "),"}"," "),"%"," "),"="," "),"\"," "),"|"," "),"&lt;"," "),"&gt;"," "),"")</f>
        <v>huile d arachide</v>
      </c>
      <c r="AA66" s="1368" t="str">
        <f>IF(66=66," "&amp;TRIM(SUBSTITUTE(SUBSTITUTE(SUBSTITUTE(SUBSTITUTE(SUBSTITUTE(SUBSTITUTE($Z66,CHAR(34)," "),"  "," "),"  "," "),"  "," "),"  "," "),"  "," "))&amp;" ","")</f>
        <v xml:space="preserve"> huile d arachide </v>
      </c>
      <c r="AB66" s="1368">
        <f>IF(66=66,IF($U66="","",SUMPRODUCT(--ISNUMBER(SEARCH(" "&amp;$CR$2:$CR$101&amp;" ",$AD66)))),"")</f>
        <v>0</v>
      </c>
      <c r="AC66" s="1368">
        <f>IF(66=66,IF($U66="","",SUMPRODUCT(--ISNUMBER(SEARCH(" "&amp;$CR$102:$CR$151&amp;" ",$AD66)))),"")</f>
        <v>0</v>
      </c>
      <c r="AD66" s="1368" t="str">
        <f t="shared" si="1"/>
        <v xml:space="preserve"> huile d arachide </v>
      </c>
      <c r="AE66" s="1368">
        <f t="shared" si="2"/>
        <v>0</v>
      </c>
      <c r="AF66" s="1368" t="str">
        <f>IF(66=66,IF($U66="","",IF(SUM(AB66:AC66)+SUMPRODUCT(--ISNUMBER(SEARCH(" "&amp;$CR$2418:$CR$2420&amp;" ",$AD66)))&gt;0,"X",IF(AE66&gt;0,"?",""))),"")</f>
        <v/>
      </c>
      <c r="AG66" s="1368">
        <f>IF(66=66,IF($U66="","",SUMPRODUCT(--ISNUMBER(SEARCH(" "&amp;$CR$206:$CR$305&amp;" ",$AA66)))),"")</f>
        <v>0</v>
      </c>
      <c r="AH66" s="1368">
        <f>IF(66=66,IF($U66="","",SUMPRODUCT(--ISNUMBER(SEARCH(" "&amp;$CR$306:$CR$340&amp;" ",$AA66)))),"")</f>
        <v>0</v>
      </c>
      <c r="AI66" s="1368" t="str">
        <f>IF(66=66,IF($U66="","",IF((SUM(AG66:AH66))-(0)&gt;0,"X",IF((0)-(0)&gt;0,"?",""))),"")</f>
        <v/>
      </c>
      <c r="AJ66" s="1368">
        <f>IF(66=66,IF($U66="","",SUMPRODUCT(--ISNUMBER(SEARCH(" "&amp;$CR$341:$CR$398&amp;" ",$AA66)))),"")</f>
        <v>0</v>
      </c>
      <c r="AK66" s="1368">
        <f>IF(66=66,IF($U66="","",SUMPRODUCT(--ISNUMBER(SEARCH(" "&amp;$CR$399:$CR$426&amp;" ",$AL66)))+SUMPRODUCT(--ISNUMBER(SEARCH(" "&amp;$CR$2440:$CR$2453&amp;" ",$AL66)))),"")</f>
        <v>0</v>
      </c>
      <c r="AL66" s="1368" t="str">
        <f>IF(66=66,IF($U66="","",SUBSTITUTE(SUBSTITUTE(SUBSTITUTE(SUBSTITUTE(SUBSTITUTE(SUBSTITUTE(SUBSTITUTE(SUBSTITUTE(SUBSTITUTE(SUBSTITUTE(SUBSTITUTE(SUBSTITUTE(SUBSTITUTE(SUBSTITUTE($AA66," "&amp;$CR$2455&amp;" "," ")," "&amp;$CR$433&amp;" "," ")," "&amp;$CR$431&amp;" "," ")," "&amp;$CR$2438&amp;" "," ")," "&amp;$CR$2439&amp;" "," ")," "&amp;$CR$428&amp;" "," ")," "&amp;$CR$432&amp;" "," ")," "&amp;$CR$434&amp;" "," ")," "&amp;$CR$429&amp;" "," ")," "&amp;$CR$427&amp;" "," ")," "&amp;$CR$1367&amp;" "," ")," "&amp;$CR$435&amp;" "," ")," "&amp;$CR$1366&amp;" "," ")," "&amp;$CR$430&amp;" "," ")),"")</f>
        <v xml:space="preserve"> huile d arachide </v>
      </c>
      <c r="AM66" s="1368" t="str">
        <f>IF(66=66,IF($U66="","",IF(AJ66&gt;0,"X",IF(AK66&gt;0,"?",""))),"")</f>
        <v/>
      </c>
      <c r="AN66" s="1368">
        <f>IF(66=66,IF($U66="","",SUMPRODUCT(--ISNUMBER(SEARCH(" "&amp;$CR$436:$CR$535&amp;" ",$AX66)))),"")</f>
        <v>0</v>
      </c>
      <c r="AO66" s="1368">
        <f>IF(66=66,IF($U66="","",SUMPRODUCT(--ISNUMBER(SEARCH(" "&amp;$CR$536:$CR$635&amp;" ",$AX66)))),"")</f>
        <v>0</v>
      </c>
      <c r="AP66" s="1368">
        <f>IF(66=66,IF($U66="","",SUMPRODUCT(--ISNUMBER(SEARCH(" "&amp;$CR$636:$CR$735&amp;" ",$AX66)))),"")</f>
        <v>0</v>
      </c>
      <c r="AQ66" s="1368">
        <f>IF(66=66,IF($U66="","",SUMPRODUCT(--ISNUMBER(SEARCH(" "&amp;$CR$736:$CR$835&amp;" ",$AX66)))),"")</f>
        <v>0</v>
      </c>
      <c r="AR66" s="1368">
        <f>IF(66=66,IF($U66="","",SUMPRODUCT(--ISNUMBER(SEARCH(" "&amp;$CR$836:$CR$935&amp;" ",$AX66)))),"")</f>
        <v>0</v>
      </c>
      <c r="AS66" s="1368">
        <f>IF(66=66,IF($U66="","",SUMPRODUCT(--ISNUMBER(SEARCH(" "&amp;$CR$936:$CR$1035&amp;" ",$AX66)))),"")</f>
        <v>0</v>
      </c>
      <c r="AT66" s="1368">
        <f>IF(66=66,IF($U66="","",SUMPRODUCT(--ISNUMBER(SEARCH(" "&amp;$CR$1036:$CR$1135&amp;" ",$AX66)))),"")</f>
        <v>0</v>
      </c>
      <c r="AU66" s="1368">
        <f>IF(66=66,IF($U66="","",SUMPRODUCT(--ISNUMBER(SEARCH(" "&amp;$CR$1136:$CR$1235&amp;" ",$AX66)))),"")</f>
        <v>0</v>
      </c>
      <c r="AV66" s="1368">
        <f>IF(66=66,IF($U66="","",SUMPRODUCT(--ISNUMBER(SEARCH(" "&amp;$CR$1236:$CR$1335&amp;" ",$AX66)))),"")</f>
        <v>0</v>
      </c>
      <c r="AW66" s="1368">
        <f>IF(66=66,IF($U66="","",SUMPRODUCT(--ISNUMBER(SEARCH(" "&amp;$CR$1336:$CR$1363&amp;" ",$AX66)))),"")</f>
        <v>0</v>
      </c>
      <c r="AX66" s="1368" t="str">
        <f>IF(66=66,IF($U66="","",SUBSTITUTE(SUBSTITUTE(SUBSTITUTE(SUBSTITUTE(SUBSTITUTE(SUBSTITUTE(SUBSTITUTE(SUBSTITUTE(SUBSTITUTE($AA66," "&amp;$CR$1365&amp;" "," ")," "&amp;$CR$1364&amp;" "," ")," "&amp;$CR$1370&amp;" "," ")," "&amp;$CR$1371&amp;" "," ")," "&amp;$CR$1367&amp;" "," ")," "&amp;$CR$1369&amp;" "," ")," "&amp;$CR$1366&amp;" "," ")," "&amp;$CR$1368&amp;" "," ")," "&amp;$CR$1372&amp;" "," ")),"")</f>
        <v xml:space="preserve"> huile d arachide </v>
      </c>
      <c r="AY66" s="1368">
        <f>IF(66=66,IF($U66="","",SUMPRODUCT(--ISNUMBER(SEARCH(" "&amp;$CR$1373:$CR$1383&amp;" ",$AX66)))),"")</f>
        <v>0</v>
      </c>
      <c r="AZ66" s="1368" t="str">
        <f>IF(66=66,IF($U66="","",IF(SUM(AN66:AW66)+SUMPRODUCT(--ISNUMBER(SEARCH(" "&amp;$CR$2421:$CR$2422&amp;" ",$AX66)))&gt;0,"X",IF(AY66&gt;0,"?",""))),"")</f>
        <v/>
      </c>
      <c r="BA66" s="1368">
        <f>IF(66=66,IF($U66="","",SUMPRODUCT(--ISNUMBER(SEARCH(" "&amp;$CR$1384:$CR$1404&amp;" ",$AA66)))),"")</f>
        <v>2</v>
      </c>
      <c r="BB66" s="1368" t="str">
        <f>IF(66=66,IF($U66="","",IF((BA66)-(0)&gt;0,"X",IF((0)-(0)&gt;0,"?",""))),"")</f>
        <v>X</v>
      </c>
      <c r="BC66" s="1368">
        <f>IF(66=66,IF($U66="","",SUMPRODUCT(--ISNUMBER(SEARCH(" "&amp;$CR$1405:$CR$1442&amp;" ",$BD66)))),"")</f>
        <v>0</v>
      </c>
      <c r="BD66" s="1368" t="str">
        <f>IF(66=66,IF($U66="","",SUBSTITUTE(SUBSTITUTE($AA66," "&amp;$CR$1443&amp;" "," ")," "&amp;$CR$1444&amp;" "," ")),"")</f>
        <v xml:space="preserve"> huile d arachide </v>
      </c>
      <c r="BE66" s="1368">
        <f>IF(66=66,IF($U66="","",SUMPRODUCT(--ISNUMBER(SEARCH(" "&amp;$CR$1445:$CR$1455&amp;" ",$BD66)))),"")</f>
        <v>0</v>
      </c>
      <c r="BF66" s="1368" t="str">
        <f>IF(66=66,IF($U66="","",IF(BC66&gt;0,"X",IF(BE66&gt;0,"?",""))),"")</f>
        <v/>
      </c>
      <c r="BG66" s="1368">
        <f>IF(66=66,IF($U66="","",SUMPRODUCT(--ISNUMBER(SEARCH(" "&amp;$CR$1456:$CR$1555&amp;" ",$BJ66)))),"")</f>
        <v>0</v>
      </c>
      <c r="BH66" s="1368">
        <f>IF(66=66,IF($U66="","",SUMPRODUCT(--ISNUMBER(SEARCH(" "&amp;$CR$1556:$CR$1655&amp;" ",$BJ66)))),"")</f>
        <v>0</v>
      </c>
      <c r="BI66" s="1368">
        <f>IF(66=66,IF($U66="","",SUMPRODUCT(--ISNUMBER(SEARCH(" "&amp;$CR$1656:$CR$1739&amp;" ",$BJ66)))),"")</f>
        <v>0</v>
      </c>
      <c r="BJ66" s="1368" t="str">
        <f>IF(66=66,IF($U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arachide </v>
      </c>
      <c r="BK66" s="1368">
        <f>IF(66=66,IF($U66="","",SUMPRODUCT(--ISNUMBER(SEARCH(" "&amp;$CR$1790:$CR$1869&amp;" ",$BL66)))+SUMPRODUCT(--ISNUMBER(SEARCH(" "&amp;$CR$2440:$CR$2453&amp;" ",$BL66)))),"")</f>
        <v>0</v>
      </c>
      <c r="BL66" s="1368" t="str">
        <f>IF(66=66,IF($U66="","",SUBSTITUTE(SUBSTITUTE(SUBSTITUTE(SUBSTITUTE(SUBSTITUTE(SUBSTITUTE(SUBSTITUTE(SUBSTITUTE(SUBSTITUTE(SUBSTITUTE(SUBSTITUTE(SUBSTITUTE(SUBSTITUTE($BJ66," "&amp;$CR$1876&amp;" "," ")," "&amp;$CR$1874&amp;" "," ")," "&amp;$CR$2438&amp;" "," ")," "&amp;$CR$2439&amp;" "," ")," "&amp;$CR$1871&amp;" "," ")," "&amp;$CR$1875&amp;" "," ")," "&amp;$CR$1877&amp;" "," ")," "&amp;$CR$1872&amp;" "," ")," "&amp;$CR$1870&amp;" "," ")," "&amp;$CR$1367&amp;" "," ")," "&amp;$CR$1878&amp;" "," ")," "&amp;$CR$1366&amp;" "," ")," "&amp;$CR$1873&amp;" "," ")),"")</f>
        <v xml:space="preserve"> huile d arachide </v>
      </c>
      <c r="BM66" s="1368" t="str">
        <f>IF(66=66,IF($U66="","",IF(SUM(BG66:BI66)+SUMPRODUCT(--ISNUMBER(SEARCH(" "&amp;$CR$2423:$CR$2424&amp;" ",$BJ66)))&gt;0,"X",IF(BK66&gt;0,"?",""))),"")</f>
        <v/>
      </c>
      <c r="BN66" s="1368">
        <f>IF(66=66,IF($U66="","",SUMPRODUCT(--ISNUMBER(SEARCH(" "&amp;$CR$1879:$CR$1936&amp;" ",$BO66)))),"")</f>
        <v>0</v>
      </c>
      <c r="BO66" s="1368" t="str">
        <f>IF(66=66,IF($U66="","",SUBSTITUTE(SUBSTITUTE(SUBSTITUTE(SUBSTITUTE(SUBSTITUTE(SUBSTITUTE(SUBSTITUTE(SUBSTITUTE(SUBSTITUTE(SUBSTITUTE(SUBSTITUTE(SUBSTITUTE(SUBSTITUTE(SUBSTITUTE(SUBSTITUTE(SUBSTITUTE(SUBSTITUTE(SUBSTITUTE(SUBSTITUTE(SUBSTITUTE(SUBSTITUTE(SUBSTITUTE(SUBSTITUTE($AA66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arachide </v>
      </c>
      <c r="BP66" s="1368">
        <f>IF(66=66,IF($U66="","",SUMPRODUCT(--ISNUMBER(SEARCH(" "&amp;$CR$1960:$CR$1976&amp;" ",$BO66)))),"")</f>
        <v>0</v>
      </c>
      <c r="BQ66" s="1368" t="str">
        <f>IF(66=66,IF($U66="","",IF(BN66&gt;0,"X",IF(BP66&gt;0,"?",""))),"")</f>
        <v/>
      </c>
      <c r="BR66" s="1368">
        <f>IF(66=66,IF($U66="","",SUMPRODUCT(--ISNUMBER(SEARCH(" "&amp;$CR$1977:$CR$1990&amp;" ",$AA66)))),"")</f>
        <v>0</v>
      </c>
      <c r="BS66" s="1368">
        <f>IF(66=66,IF($U66="","",SUMPRODUCT(--ISNUMBER(SEARCH(" "&amp;$CR$1991:$CR$2005&amp;" ",$AA66)))),"")</f>
        <v>0</v>
      </c>
      <c r="BT66" s="1368" t="str">
        <f>IF(66=66,IF($U66="","",IF((BR66)-(0)&gt;0,"X",IF((BS66)-(0)&gt;0,"?",""))),"")</f>
        <v/>
      </c>
      <c r="BU66" s="1368">
        <f>IF(66=66,IF($U66="","",SUMPRODUCT(--ISNUMBER(SEARCH(" "&amp;$CR$2006:$CR$2023&amp;" ",$AA66)))),"")</f>
        <v>0</v>
      </c>
      <c r="BV66" s="1368">
        <f>IF(66=66,IF($U66="","",SUMPRODUCT(--ISNUMBER(SEARCH(" "&amp;$CR$2024:$CR$2038&amp;" ",$AA66)))),"")</f>
        <v>0</v>
      </c>
      <c r="BW66" s="1368" t="str">
        <f>IF(66=66,IF($U66="","",IF((BU66)-(0)&gt;0,"X",IF((BV66)-(0)&gt;0,"?",""))),"")</f>
        <v/>
      </c>
      <c r="BX66" s="1368">
        <f>IF(66=66,IF($U66="","",SUMPRODUCT(--ISNUMBER(SEARCH(" "&amp;$CR$2039:$CR$2057&amp;" ",$AA66)))),"")</f>
        <v>0</v>
      </c>
      <c r="BY66" s="1368">
        <f>IF(66=66,IF($U66="","",SUMPRODUCT(--ISNUMBER(SEARCH(" "&amp;$CR$2058:$CR$2072&amp;" ",$AA66)))),"")</f>
        <v>0</v>
      </c>
      <c r="BZ66" s="1368" t="str">
        <f>IF(66=66,IF($U66="","",IF((BX66)-(0)&gt;0,"X",IF((BY66)-(0)&gt;0,"?",""))),"")</f>
        <v/>
      </c>
      <c r="CA66" s="1368">
        <f>IF(66=66,IF($U66="","",SUMPRODUCT(--ISNUMBER(SEARCH(" "&amp;$CR$2073:$CR$2093&amp;" ",$AA66)))),"")</f>
        <v>0</v>
      </c>
      <c r="CB66" s="1368">
        <f>IF(66=66,IF($U66="","",SUMPRODUCT(--ISNUMBER(SEARCH(" "&amp;$CR$2094:$CR$2133&amp;" ",SUBSTITUTE(SUBSTITUTE($AA66," "&amp;$CR$1367&amp;" "," ")," "&amp;$CR$1366&amp;" "," "))))+--ISNUMBER(SEARCH("poiré",$V66))),"")</f>
        <v>0</v>
      </c>
      <c r="CC66" s="1368" t="str">
        <f>IF(66=66,IF($U66="","",IF(OR(CA66&gt;0,ISNUMBER(SEARCH(" vinaigre de vin ",$AA66)),ISNUMBER(SEARCH(" vinaigre au vin ",$AA66))),"X",IF(CB66&gt;0,"?",""))),"")</f>
        <v/>
      </c>
      <c r="CD66" s="1368">
        <f>IF(66=66,IF($U66="","",SUMPRODUCT(--ISNUMBER(SEARCH(" "&amp;$CR$2134:$CR$2146&amp;" ",$AA66)))),"")</f>
        <v>0</v>
      </c>
      <c r="CE66" s="1368">
        <f>IF(66=66,IF($U66="","",SUMPRODUCT(--ISNUMBER(SEARCH(" "&amp;$CR$2147:$CR$2152&amp;" ",$AA66)))),"")</f>
        <v>0</v>
      </c>
      <c r="CF66" s="1368" t="str">
        <f>IF(66=66,IF($U66="","",IF((CD66)-(0)&gt;0,"X",IF((CE66)-(0)&gt;0,"?",""))),"")</f>
        <v/>
      </c>
      <c r="CG66" s="1368">
        <f>IF(66=66,IF($U66="","",SUMPRODUCT(--ISNUMBER(SEARCH(" "&amp;$CR$2153:$CR$2252&amp;" ",$CJ66)))),"")</f>
        <v>0</v>
      </c>
      <c r="CH66" s="1368">
        <f>IF(66=66,IF($U66="","",SUMPRODUCT(--ISNUMBER(SEARCH(" "&amp;$CR$2253:$CR$2352&amp;" ",$CJ66)))),"")</f>
        <v>0</v>
      </c>
      <c r="CI66" s="1368">
        <f>IF(66=66,IF($U66="","",SUMPRODUCT(--ISNUMBER(SEARCH(" "&amp;$CR$2353:$CR$2395&amp;" ",$CJ66)))),"")</f>
        <v>0</v>
      </c>
      <c r="CJ66" s="1368" t="str">
        <f>IF(66=66,IF($U66="","",SUBSTITUTE(SUBSTITUTE(SUBSTITUTE(SUBSTITUTE(SUBSTITUTE(SUBSTITUTE(SUBSTITUTE(SUBSTITUTE(SUBSTITUTE(SUBSTITUTE(SUBSTITUTE(SUBSTITUTE(SUBSTITUTE(SUBSTITUTE(SUBSTITUTE(SUBSTITUTE($AA66," "&amp;$CR$2401&amp;" "," ")," "&amp;$CR$2400&amp;" "," ")," "&amp;$CR$2399&amp;" "," ")," "&amp;$CR$2406&amp;" "," ")," "&amp;$CR$2398&amp;" "," ")," "&amp;$CR$2410&amp;" "," ")," "&amp;$CR$2397&amp;" "," ")," "&amp;$CR$2402&amp;" "," ")," "&amp;$CR$2405&amp;" "," ")," "&amp;$CR$2396&amp;" "," ")," "&amp;$CR$2404&amp;" "," ")," "&amp;$CR$2411&amp;" "," ")," "&amp;$CR$2408&amp;" "," ")," "&amp;$CR$2403&amp;" "," ")," "&amp;$CR$2407&amp;" "," ")," "&amp;$CR$2409&amp;" "," ")),"")</f>
        <v xml:space="preserve"> huile d arachide </v>
      </c>
      <c r="CK66" s="1368">
        <f>IF(66=66,IF($U66="","",SUMPRODUCT(--ISNUMBER(SEARCH(" "&amp;$CR$2412:$CR$2416&amp;" ",$CJ66)))),"")</f>
        <v>0</v>
      </c>
      <c r="CL66" s="1368" t="str">
        <f>IF(66=66,IF($U66="","",IF(SUM(CG66:CI66)&gt;0,"X",IF(CK66&gt;0,"?",""))),"")</f>
        <v/>
      </c>
      <c r="CM66" s="1377"/>
      <c r="CN66" s="1388" t="s">
        <v>8380</v>
      </c>
      <c r="CO66" s="1388" t="s">
        <v>8105</v>
      </c>
      <c r="CP66" s="1388" t="s">
        <v>8106</v>
      </c>
      <c r="CQ66" s="1388" t="s">
        <v>8381</v>
      </c>
      <c r="CR66" s="1388" t="s">
        <v>8382</v>
      </c>
      <c r="CS66" s="1388" t="s">
        <v>8108</v>
      </c>
      <c r="CT66" s="1388" t="s">
        <v>8109</v>
      </c>
      <c r="CU66" s="1388" t="s">
        <v>8110</v>
      </c>
      <c r="CV66" s="1389" t="s">
        <v>8111</v>
      </c>
      <c r="CX66" s="1379">
        <v>1</v>
      </c>
    </row>
    <row r="67" spans="1:102" ht="21" customHeight="1" x14ac:dyDescent="0.25">
      <c r="A67" s="1343"/>
      <c r="B67" s="1344"/>
      <c r="C67" s="1345"/>
      <c r="D67" s="1345"/>
      <c r="E67" s="1343"/>
      <c r="F67" s="1343"/>
      <c r="G67" s="1343"/>
      <c r="H67" s="1343"/>
      <c r="I67" s="1343"/>
      <c r="J67" s="1343"/>
      <c r="K67" s="1343"/>
      <c r="L67" s="1343"/>
      <c r="M67" s="1343"/>
      <c r="N67" s="1343"/>
      <c r="O67" s="1343"/>
      <c r="P67" s="1343"/>
      <c r="Q67" s="1343"/>
      <c r="R67" s="1343"/>
      <c r="S67" s="1343"/>
      <c r="CM67" s="1377"/>
      <c r="CN67" s="1388" t="s">
        <v>8383</v>
      </c>
      <c r="CO67" s="1388" t="s">
        <v>8105</v>
      </c>
      <c r="CP67" s="1388" t="s">
        <v>8106</v>
      </c>
      <c r="CQ67" s="1388" t="s">
        <v>8384</v>
      </c>
      <c r="CR67" s="1388" t="s">
        <v>8384</v>
      </c>
      <c r="CS67" s="1388" t="s">
        <v>8108</v>
      </c>
      <c r="CT67" s="1388" t="s">
        <v>8109</v>
      </c>
      <c r="CU67" s="1388" t="s">
        <v>8110</v>
      </c>
      <c r="CV67" s="1389" t="s">
        <v>8111</v>
      </c>
      <c r="CX67" s="1379">
        <v>1</v>
      </c>
    </row>
    <row r="68" spans="1:102" ht="21" customHeight="1" x14ac:dyDescent="0.25">
      <c r="A68" s="1343"/>
      <c r="B68" s="1344"/>
      <c r="C68" s="1345"/>
      <c r="D68" s="1345"/>
      <c r="E68" s="1343"/>
      <c r="F68" s="1343"/>
      <c r="G68" s="1343"/>
      <c r="H68" s="1343"/>
      <c r="I68" s="1343"/>
      <c r="J68" s="1343"/>
      <c r="K68" s="1343"/>
      <c r="L68" s="1343"/>
      <c r="M68" s="1343"/>
      <c r="N68" s="1343"/>
      <c r="O68" s="1343"/>
      <c r="P68" s="1343"/>
      <c r="Q68" s="1343"/>
      <c r="R68" s="1343"/>
      <c r="S68" s="1343"/>
      <c r="CM68" s="1377"/>
      <c r="CN68" s="1388" t="s">
        <v>8385</v>
      </c>
      <c r="CO68" s="1388" t="s">
        <v>8105</v>
      </c>
      <c r="CP68" s="1388" t="s">
        <v>8106</v>
      </c>
      <c r="CQ68" s="1388" t="s">
        <v>8386</v>
      </c>
      <c r="CR68" s="1388" t="s">
        <v>8387</v>
      </c>
      <c r="CS68" s="1388" t="s">
        <v>8108</v>
      </c>
      <c r="CT68" s="1388" t="s">
        <v>8109</v>
      </c>
      <c r="CU68" s="1388" t="s">
        <v>8110</v>
      </c>
      <c r="CV68" s="1389" t="s">
        <v>8111</v>
      </c>
      <c r="CX68" s="1379">
        <v>1</v>
      </c>
    </row>
    <row r="69" spans="1:102" ht="21" customHeight="1" x14ac:dyDescent="0.25">
      <c r="A69" s="1343"/>
      <c r="B69" s="1344"/>
      <c r="C69" s="1345"/>
      <c r="D69" s="1345"/>
      <c r="E69" s="1343"/>
      <c r="F69" s="1343"/>
      <c r="G69" s="1343"/>
      <c r="H69" s="1343"/>
      <c r="I69" s="1343"/>
      <c r="J69" s="1343"/>
      <c r="K69" s="1343"/>
      <c r="L69" s="1343"/>
      <c r="M69" s="1343"/>
      <c r="N69" s="1343"/>
      <c r="O69" s="1343"/>
      <c r="P69" s="1343"/>
      <c r="Q69" s="1343"/>
      <c r="R69" s="1343"/>
      <c r="S69" s="1343"/>
      <c r="CM69" s="1377"/>
      <c r="CN69" s="1388" t="s">
        <v>8388</v>
      </c>
      <c r="CO69" s="1388" t="s">
        <v>8105</v>
      </c>
      <c r="CP69" s="1388" t="s">
        <v>8106</v>
      </c>
      <c r="CQ69" s="1388" t="s">
        <v>8389</v>
      </c>
      <c r="CR69" s="1388" t="s">
        <v>8390</v>
      </c>
      <c r="CS69" s="1388" t="s">
        <v>8108</v>
      </c>
      <c r="CT69" s="1388" t="s">
        <v>8109</v>
      </c>
      <c r="CU69" s="1388" t="s">
        <v>8110</v>
      </c>
      <c r="CV69" s="1389" t="s">
        <v>8111</v>
      </c>
      <c r="CX69" s="1379">
        <v>1</v>
      </c>
    </row>
    <row r="70" spans="1:102" ht="21" customHeight="1" x14ac:dyDescent="0.25">
      <c r="A70" s="2032" t="s">
        <v>15</v>
      </c>
      <c r="B70" s="2032"/>
      <c r="C70" s="2032"/>
      <c r="D70" s="2032"/>
      <c r="E70" s="2032"/>
      <c r="F70" s="2032"/>
      <c r="G70" s="2032"/>
      <c r="H70" s="2032"/>
      <c r="I70" s="2032"/>
      <c r="J70" s="2032"/>
      <c r="K70" s="2032"/>
      <c r="L70" s="2032"/>
      <c r="M70" s="2032"/>
      <c r="N70" s="2032"/>
      <c r="O70" s="2032"/>
      <c r="P70" s="2032"/>
      <c r="Q70" s="2032"/>
      <c r="R70" s="2032"/>
      <c r="S70" s="2032"/>
      <c r="CM70" s="1377"/>
      <c r="CN70" s="1388" t="s">
        <v>8391</v>
      </c>
      <c r="CO70" s="1388" t="s">
        <v>8105</v>
      </c>
      <c r="CP70" s="1388" t="s">
        <v>8106</v>
      </c>
      <c r="CQ70" s="1388" t="s">
        <v>8392</v>
      </c>
      <c r="CR70" s="1388" t="s">
        <v>8392</v>
      </c>
      <c r="CS70" s="1388" t="s">
        <v>8108</v>
      </c>
      <c r="CT70" s="1388" t="s">
        <v>8109</v>
      </c>
      <c r="CU70" s="1388" t="s">
        <v>8110</v>
      </c>
      <c r="CV70" s="1389" t="s">
        <v>8111</v>
      </c>
      <c r="CX70" s="1379">
        <v>1</v>
      </c>
    </row>
    <row r="71" spans="1:102" ht="21" customHeight="1" x14ac:dyDescent="0.25">
      <c r="A71" s="1343"/>
      <c r="B71" s="1344"/>
      <c r="C71" s="1345"/>
      <c r="D71" s="1345"/>
      <c r="E71" s="1343"/>
      <c r="F71" s="1343"/>
      <c r="G71" s="1343"/>
      <c r="H71" s="1343"/>
      <c r="I71" s="1343"/>
      <c r="J71" s="1343"/>
      <c r="K71" s="1343"/>
      <c r="L71" s="1343"/>
      <c r="M71" s="1343"/>
      <c r="N71" s="1343"/>
      <c r="O71" s="1343"/>
      <c r="P71" s="1343"/>
      <c r="Q71" s="1343"/>
      <c r="R71" s="1343"/>
      <c r="S71" s="1343"/>
      <c r="CM71" s="1377"/>
      <c r="CN71" s="1388" t="s">
        <v>8393</v>
      </c>
      <c r="CO71" s="1388" t="s">
        <v>8105</v>
      </c>
      <c r="CP71" s="1388" t="s">
        <v>8106</v>
      </c>
      <c r="CQ71" s="1388" t="s">
        <v>8394</v>
      </c>
      <c r="CR71" s="1388" t="s">
        <v>8394</v>
      </c>
      <c r="CS71" s="1388" t="s">
        <v>8108</v>
      </c>
      <c r="CT71" s="1388" t="s">
        <v>8109</v>
      </c>
      <c r="CU71" s="1388" t="s">
        <v>8110</v>
      </c>
      <c r="CV71" s="1389" t="s">
        <v>8111</v>
      </c>
      <c r="CX71" s="1379">
        <v>1</v>
      </c>
    </row>
    <row r="72" spans="1:102" ht="21" customHeight="1" x14ac:dyDescent="0.25">
      <c r="A72" s="1343"/>
      <c r="B72" s="1344"/>
      <c r="C72" s="1346" t="s">
        <v>8395</v>
      </c>
      <c r="D72" s="1345"/>
      <c r="E72" s="1343"/>
      <c r="F72" s="1343"/>
      <c r="G72" s="1343"/>
      <c r="H72" s="1343"/>
      <c r="I72" s="1343"/>
      <c r="J72" s="1343"/>
      <c r="K72" s="1343"/>
      <c r="L72" s="1343"/>
      <c r="M72" s="1343"/>
      <c r="N72" s="1343"/>
      <c r="O72" s="1343"/>
      <c r="P72" s="1343"/>
      <c r="Q72" s="1343"/>
      <c r="R72" s="1343"/>
      <c r="S72" s="1343"/>
      <c r="CM72" s="1377"/>
      <c r="CN72" s="1388" t="s">
        <v>8396</v>
      </c>
      <c r="CO72" s="1388" t="s">
        <v>8105</v>
      </c>
      <c r="CP72" s="1388" t="s">
        <v>8106</v>
      </c>
      <c r="CQ72" s="1388" t="s">
        <v>8397</v>
      </c>
      <c r="CR72" s="1388" t="s">
        <v>8397</v>
      </c>
      <c r="CS72" s="1388" t="s">
        <v>8108</v>
      </c>
      <c r="CT72" s="1388" t="s">
        <v>8109</v>
      </c>
      <c r="CU72" s="1388" t="s">
        <v>8110</v>
      </c>
      <c r="CV72" s="1389" t="s">
        <v>8111</v>
      </c>
      <c r="CX72" s="1379">
        <v>1</v>
      </c>
    </row>
    <row r="73" spans="1:102" ht="21" customHeight="1" x14ac:dyDescent="0.25">
      <c r="A73" s="1343"/>
      <c r="B73" s="1344"/>
      <c r="C73" s="1346" t="s">
        <v>8398</v>
      </c>
      <c r="D73" s="1345"/>
      <c r="E73" s="1343"/>
      <c r="F73" s="1343"/>
      <c r="G73" s="1343"/>
      <c r="H73" s="1343"/>
      <c r="I73" s="1343"/>
      <c r="J73" s="1343"/>
      <c r="K73" s="1343"/>
      <c r="L73" s="1343"/>
      <c r="M73" s="1343"/>
      <c r="N73" s="1343"/>
      <c r="O73" s="1343"/>
      <c r="P73" s="1343"/>
      <c r="Q73" s="1343"/>
      <c r="R73" s="1343"/>
      <c r="S73" s="1343"/>
      <c r="CM73" s="1377"/>
      <c r="CN73" s="1388" t="s">
        <v>8399</v>
      </c>
      <c r="CO73" s="1388" t="s">
        <v>8105</v>
      </c>
      <c r="CP73" s="1388" t="s">
        <v>8106</v>
      </c>
      <c r="CQ73" s="1388" t="s">
        <v>8400</v>
      </c>
      <c r="CR73" s="1388" t="s">
        <v>8400</v>
      </c>
      <c r="CS73" s="1388" t="s">
        <v>8108</v>
      </c>
      <c r="CT73" s="1388" t="s">
        <v>8109</v>
      </c>
      <c r="CU73" s="1388" t="s">
        <v>8110</v>
      </c>
      <c r="CV73" s="1389" t="s">
        <v>8111</v>
      </c>
      <c r="CX73" s="1379">
        <v>1</v>
      </c>
    </row>
    <row r="74" spans="1:102" ht="21" customHeight="1" x14ac:dyDescent="0.25">
      <c r="A74" s="1343"/>
      <c r="B74" s="1344"/>
      <c r="C74" s="1346" t="s">
        <v>8401</v>
      </c>
      <c r="D74" s="1345"/>
      <c r="E74" s="1343"/>
      <c r="F74" s="1343"/>
      <c r="G74" s="1343"/>
      <c r="H74" s="1343"/>
      <c r="I74" s="1343"/>
      <c r="J74" s="1343"/>
      <c r="K74" s="1343"/>
      <c r="L74" s="1343"/>
      <c r="M74" s="1343"/>
      <c r="N74" s="1343"/>
      <c r="O74" s="1343"/>
      <c r="P74" s="1343"/>
      <c r="Q74" s="1343"/>
      <c r="R74" s="1343"/>
      <c r="S74" s="1343"/>
      <c r="CM74" s="1377"/>
      <c r="CN74" s="1388" t="s">
        <v>8402</v>
      </c>
      <c r="CO74" s="1388" t="s">
        <v>8105</v>
      </c>
      <c r="CP74" s="1388" t="s">
        <v>8106</v>
      </c>
      <c r="CQ74" s="1388" t="s">
        <v>8403</v>
      </c>
      <c r="CR74" s="1388" t="s">
        <v>8403</v>
      </c>
      <c r="CS74" s="1388" t="s">
        <v>8108</v>
      </c>
      <c r="CT74" s="1388" t="s">
        <v>8109</v>
      </c>
      <c r="CU74" s="1388" t="s">
        <v>8110</v>
      </c>
      <c r="CV74" s="1389" t="s">
        <v>8111</v>
      </c>
      <c r="CX74" s="1379">
        <v>1</v>
      </c>
    </row>
    <row r="75" spans="1:102" ht="21" customHeight="1" x14ac:dyDescent="0.25">
      <c r="A75" s="1343"/>
      <c r="B75" s="1344"/>
      <c r="C75" s="1346" t="s">
        <v>8404</v>
      </c>
      <c r="D75" s="1345"/>
      <c r="E75" s="1343"/>
      <c r="F75" s="1343"/>
      <c r="G75" s="1343"/>
      <c r="H75" s="1343"/>
      <c r="I75" s="1343"/>
      <c r="J75" s="1343"/>
      <c r="K75" s="1343"/>
      <c r="L75" s="1343"/>
      <c r="M75" s="1343"/>
      <c r="N75" s="1343"/>
      <c r="O75" s="1343"/>
      <c r="P75" s="1343"/>
      <c r="Q75" s="1343"/>
      <c r="R75" s="1343"/>
      <c r="S75" s="1343"/>
      <c r="CM75" s="1377"/>
      <c r="CN75" s="1388" t="s">
        <v>8405</v>
      </c>
      <c r="CO75" s="1388" t="s">
        <v>8105</v>
      </c>
      <c r="CP75" s="1388" t="s">
        <v>8106</v>
      </c>
      <c r="CQ75" s="1388" t="s">
        <v>8406</v>
      </c>
      <c r="CR75" s="1388" t="s">
        <v>8406</v>
      </c>
      <c r="CS75" s="1388" t="s">
        <v>8108</v>
      </c>
      <c r="CT75" s="1388" t="s">
        <v>8109</v>
      </c>
      <c r="CU75" s="1388" t="s">
        <v>8110</v>
      </c>
      <c r="CV75" s="1389" t="s">
        <v>8111</v>
      </c>
      <c r="CX75" s="1379">
        <v>1</v>
      </c>
    </row>
    <row r="76" spans="1:102" ht="21" customHeight="1" x14ac:dyDescent="0.25">
      <c r="A76" s="1343"/>
      <c r="B76" s="1344"/>
      <c r="C76" s="1346" t="s">
        <v>8407</v>
      </c>
      <c r="D76" s="1345"/>
      <c r="E76" s="1343"/>
      <c r="F76" s="1343"/>
      <c r="G76" s="1343"/>
      <c r="H76" s="1343"/>
      <c r="I76" s="1343"/>
      <c r="J76" s="1343"/>
      <c r="K76" s="1343"/>
      <c r="L76" s="1343"/>
      <c r="M76" s="1343"/>
      <c r="N76" s="1343"/>
      <c r="O76" s="1343"/>
      <c r="P76" s="1343"/>
      <c r="Q76" s="1343"/>
      <c r="R76" s="1343"/>
      <c r="S76" s="1343"/>
      <c r="CM76" s="1377"/>
      <c r="CN76" s="1388" t="s">
        <v>8408</v>
      </c>
      <c r="CO76" s="1388" t="s">
        <v>8105</v>
      </c>
      <c r="CP76" s="1388" t="s">
        <v>8106</v>
      </c>
      <c r="CQ76" s="1388" t="s">
        <v>8409</v>
      </c>
      <c r="CR76" s="1388" t="s">
        <v>8409</v>
      </c>
      <c r="CS76" s="1388" t="s">
        <v>8108</v>
      </c>
      <c r="CT76" s="1388" t="s">
        <v>8109</v>
      </c>
      <c r="CU76" s="1388" t="s">
        <v>8110</v>
      </c>
      <c r="CV76" s="1389" t="s">
        <v>8111</v>
      </c>
      <c r="CX76" s="1379">
        <v>1</v>
      </c>
    </row>
    <row r="77" spans="1:102" ht="21" customHeight="1" x14ac:dyDescent="0.25">
      <c r="A77" s="1343"/>
      <c r="B77" s="1344"/>
      <c r="C77" s="1346" t="s">
        <v>8410</v>
      </c>
      <c r="D77" s="1345"/>
      <c r="E77" s="1343"/>
      <c r="F77" s="1343"/>
      <c r="G77" s="1343"/>
      <c r="H77" s="1343"/>
      <c r="I77" s="1343"/>
      <c r="J77" s="1343"/>
      <c r="K77" s="1343"/>
      <c r="L77" s="1343"/>
      <c r="M77" s="1343"/>
      <c r="N77" s="1343"/>
      <c r="O77" s="1343"/>
      <c r="P77" s="1343"/>
      <c r="Q77" s="1343"/>
      <c r="R77" s="1343"/>
      <c r="S77" s="1343"/>
      <c r="CM77" s="1377"/>
      <c r="CN77" s="1388" t="s">
        <v>8411</v>
      </c>
      <c r="CO77" s="1388" t="s">
        <v>8105</v>
      </c>
      <c r="CP77" s="1388" t="s">
        <v>8106</v>
      </c>
      <c r="CQ77" s="1388" t="s">
        <v>8412</v>
      </c>
      <c r="CR77" s="1388" t="s">
        <v>8412</v>
      </c>
      <c r="CS77" s="1388" t="s">
        <v>8108</v>
      </c>
      <c r="CT77" s="1388" t="s">
        <v>8109</v>
      </c>
      <c r="CU77" s="1388" t="s">
        <v>8110</v>
      </c>
      <c r="CV77" s="1389" t="s">
        <v>8111</v>
      </c>
      <c r="CX77" s="1379">
        <v>1</v>
      </c>
    </row>
    <row r="78" spans="1:102" ht="21" customHeight="1" x14ac:dyDescent="0.25">
      <c r="A78" s="1343"/>
      <c r="B78" s="1344"/>
      <c r="C78" s="1345"/>
      <c r="D78" s="1345"/>
      <c r="E78" s="1343"/>
      <c r="F78" s="1343"/>
      <c r="G78" s="1343"/>
      <c r="H78" s="1343"/>
      <c r="I78" s="1343"/>
      <c r="J78" s="1343"/>
      <c r="K78" s="1343"/>
      <c r="L78" s="1343"/>
      <c r="M78" s="1343"/>
      <c r="N78" s="1343"/>
      <c r="O78" s="1343"/>
      <c r="P78" s="1343"/>
      <c r="Q78" s="1343"/>
      <c r="R78" s="1343"/>
      <c r="S78" s="1343"/>
      <c r="CM78" s="1377"/>
      <c r="CN78" s="1388" t="s">
        <v>8413</v>
      </c>
      <c r="CO78" s="1388" t="s">
        <v>8105</v>
      </c>
      <c r="CP78" s="1388" t="s">
        <v>8106</v>
      </c>
      <c r="CQ78" s="1388" t="s">
        <v>8414</v>
      </c>
      <c r="CR78" s="1388" t="s">
        <v>8414</v>
      </c>
      <c r="CS78" s="1388" t="s">
        <v>8108</v>
      </c>
      <c r="CT78" s="1388" t="s">
        <v>8109</v>
      </c>
      <c r="CU78" s="1388" t="s">
        <v>8110</v>
      </c>
      <c r="CV78" s="1389" t="s">
        <v>8111</v>
      </c>
      <c r="CX78" s="1379">
        <v>1</v>
      </c>
    </row>
    <row r="79" spans="1:102" ht="21" customHeight="1" x14ac:dyDescent="0.25">
      <c r="A79" s="1343"/>
      <c r="B79" s="1344"/>
      <c r="C79" s="1345"/>
      <c r="D79" s="1345"/>
      <c r="E79" s="1343"/>
      <c r="F79" s="1343"/>
      <c r="G79" s="1343"/>
      <c r="H79" s="1343"/>
      <c r="I79" s="1343"/>
      <c r="J79" s="1343"/>
      <c r="K79" s="1343"/>
      <c r="L79" s="1343"/>
      <c r="M79" s="1343"/>
      <c r="N79" s="1343"/>
      <c r="O79" s="1343"/>
      <c r="P79" s="1343"/>
      <c r="Q79" s="1343"/>
      <c r="R79" s="1343"/>
      <c r="S79" s="1343"/>
      <c r="CM79" s="1377"/>
      <c r="CN79" s="1388" t="s">
        <v>8415</v>
      </c>
      <c r="CO79" s="1388" t="s">
        <v>8105</v>
      </c>
      <c r="CP79" s="1388" t="s">
        <v>8106</v>
      </c>
      <c r="CQ79" s="1388" t="s">
        <v>8416</v>
      </c>
      <c r="CR79" s="1388" t="s">
        <v>8417</v>
      </c>
      <c r="CS79" s="1388" t="s">
        <v>8108</v>
      </c>
      <c r="CT79" s="1388" t="s">
        <v>8418</v>
      </c>
      <c r="CU79" s="1388" t="s">
        <v>8419</v>
      </c>
      <c r="CV79" s="1389" t="s">
        <v>8196</v>
      </c>
      <c r="CX79" s="1379">
        <v>1</v>
      </c>
    </row>
    <row r="80" spans="1:102" ht="21" customHeight="1" x14ac:dyDescent="0.25">
      <c r="A80" s="2032" t="s">
        <v>8420</v>
      </c>
      <c r="B80" s="2032"/>
      <c r="C80" s="2032"/>
      <c r="D80" s="2032"/>
      <c r="E80" s="2032"/>
      <c r="F80" s="2032"/>
      <c r="G80" s="2032"/>
      <c r="H80" s="2032"/>
      <c r="I80" s="2032"/>
      <c r="J80" s="2032"/>
      <c r="K80" s="2032"/>
      <c r="L80" s="2032"/>
      <c r="M80" s="2032"/>
      <c r="N80" s="2032"/>
      <c r="O80" s="2032"/>
      <c r="P80" s="2032"/>
      <c r="Q80" s="2032"/>
      <c r="R80" s="2032"/>
      <c r="S80" s="2032"/>
      <c r="CM80" s="1377"/>
      <c r="CN80" s="1388" t="s">
        <v>8421</v>
      </c>
      <c r="CO80" s="1388" t="s">
        <v>8105</v>
      </c>
      <c r="CP80" s="1388" t="s">
        <v>8106</v>
      </c>
      <c r="CQ80" s="1388" t="s">
        <v>8422</v>
      </c>
      <c r="CR80" s="1388" t="s">
        <v>8422</v>
      </c>
      <c r="CS80" s="1388" t="s">
        <v>8108</v>
      </c>
      <c r="CT80" s="1388" t="s">
        <v>8109</v>
      </c>
      <c r="CU80" s="1388" t="s">
        <v>8110</v>
      </c>
      <c r="CV80" s="1389" t="s">
        <v>8111</v>
      </c>
      <c r="CX80" s="1379">
        <v>1</v>
      </c>
    </row>
    <row r="81" spans="1:102" ht="21" customHeight="1" x14ac:dyDescent="0.25">
      <c r="A81" s="1347" t="s">
        <v>8423</v>
      </c>
      <c r="B81" s="1348" t="s">
        <v>8424</v>
      </c>
      <c r="C81" s="1349" t="s">
        <v>8425</v>
      </c>
      <c r="D81" s="1350" t="s">
        <v>8426</v>
      </c>
      <c r="E81" s="1343"/>
      <c r="F81" s="1343"/>
      <c r="G81" s="1343"/>
      <c r="H81" s="1343"/>
      <c r="I81" s="1343"/>
      <c r="J81" s="1343"/>
      <c r="K81" s="1343"/>
      <c r="L81" s="1343"/>
      <c r="M81" s="1343"/>
      <c r="N81" s="1343"/>
      <c r="O81" s="1343"/>
      <c r="P81" s="1343"/>
      <c r="Q81" s="1343"/>
      <c r="R81" s="1343"/>
      <c r="S81" s="1343"/>
      <c r="CM81" s="1377"/>
      <c r="CN81" s="1388" t="s">
        <v>8427</v>
      </c>
      <c r="CO81" s="1388" t="s">
        <v>8105</v>
      </c>
      <c r="CP81" s="1388" t="s">
        <v>8106</v>
      </c>
      <c r="CQ81" s="1388" t="s">
        <v>8428</v>
      </c>
      <c r="CR81" s="1388" t="s">
        <v>8428</v>
      </c>
      <c r="CS81" s="1388" t="s">
        <v>8108</v>
      </c>
      <c r="CT81" s="1388" t="s">
        <v>8109</v>
      </c>
      <c r="CU81" s="1388" t="s">
        <v>8110</v>
      </c>
      <c r="CV81" s="1389" t="s">
        <v>8111</v>
      </c>
      <c r="CX81" s="1379">
        <v>1</v>
      </c>
    </row>
    <row r="82" spans="1:102" ht="21" customHeight="1" x14ac:dyDescent="0.25">
      <c r="A82" s="1351">
        <v>1</v>
      </c>
      <c r="B82" s="1352" t="s">
        <v>8429</v>
      </c>
      <c r="C82" s="1353" t="s">
        <v>8430</v>
      </c>
      <c r="D82" s="1354" t="s">
        <v>8431</v>
      </c>
      <c r="E82" s="1343"/>
      <c r="F82" s="1343"/>
      <c r="G82" s="1343"/>
      <c r="H82" s="1343"/>
      <c r="I82" s="1343"/>
      <c r="J82" s="1343"/>
      <c r="K82" s="1343"/>
      <c r="L82" s="1343"/>
      <c r="M82" s="1343"/>
      <c r="N82" s="1343"/>
      <c r="O82" s="1343"/>
      <c r="P82" s="1343"/>
      <c r="Q82" s="1343"/>
      <c r="R82" s="1343"/>
      <c r="S82" s="1343"/>
      <c r="CM82" s="1377"/>
      <c r="CN82" s="1388" t="s">
        <v>8432</v>
      </c>
      <c r="CO82" s="1388" t="s">
        <v>8105</v>
      </c>
      <c r="CP82" s="1388" t="s">
        <v>8106</v>
      </c>
      <c r="CQ82" s="1388" t="s">
        <v>8433</v>
      </c>
      <c r="CR82" s="1388" t="s">
        <v>8433</v>
      </c>
      <c r="CS82" s="1388" t="s">
        <v>8108</v>
      </c>
      <c r="CT82" s="1388" t="s">
        <v>8109</v>
      </c>
      <c r="CU82" s="1388" t="s">
        <v>8110</v>
      </c>
      <c r="CV82" s="1389" t="s">
        <v>8111</v>
      </c>
      <c r="CX82" s="1379">
        <v>1</v>
      </c>
    </row>
    <row r="83" spans="1:102" ht="21" customHeight="1" x14ac:dyDescent="0.25">
      <c r="A83" s="1351">
        <v>2</v>
      </c>
      <c r="B83" s="1352" t="s">
        <v>8434</v>
      </c>
      <c r="C83" s="1353" t="s">
        <v>8430</v>
      </c>
      <c r="D83" s="1354" t="s">
        <v>8435</v>
      </c>
      <c r="E83" s="1343"/>
      <c r="F83" s="1343"/>
      <c r="G83" s="1343"/>
      <c r="H83" s="1343"/>
      <c r="I83" s="1343"/>
      <c r="J83" s="1343"/>
      <c r="K83" s="1343"/>
      <c r="L83" s="1343"/>
      <c r="M83" s="1343"/>
      <c r="N83" s="1343"/>
      <c r="O83" s="1343"/>
      <c r="P83" s="1343"/>
      <c r="Q83" s="1343"/>
      <c r="R83" s="1343"/>
      <c r="S83" s="1343"/>
      <c r="CM83" s="1377"/>
      <c r="CN83" s="1388" t="s">
        <v>8436</v>
      </c>
      <c r="CO83" s="1388" t="s">
        <v>8105</v>
      </c>
      <c r="CP83" s="1388" t="s">
        <v>8106</v>
      </c>
      <c r="CQ83" s="1388" t="s">
        <v>8437</v>
      </c>
      <c r="CR83" s="1388" t="s">
        <v>8437</v>
      </c>
      <c r="CS83" s="1388" t="s">
        <v>8108</v>
      </c>
      <c r="CT83" s="1388" t="s">
        <v>8109</v>
      </c>
      <c r="CU83" s="1388" t="s">
        <v>8110</v>
      </c>
      <c r="CV83" s="1389" t="s">
        <v>8111</v>
      </c>
      <c r="CX83" s="1379">
        <v>1</v>
      </c>
    </row>
    <row r="84" spans="1:102" ht="21" customHeight="1" x14ac:dyDescent="0.25">
      <c r="A84" s="1351">
        <v>3</v>
      </c>
      <c r="B84" s="1352" t="s">
        <v>8438</v>
      </c>
      <c r="C84" s="1353" t="s">
        <v>8430</v>
      </c>
      <c r="D84" s="1354" t="s">
        <v>8439</v>
      </c>
      <c r="E84" s="1343"/>
      <c r="F84" s="1343"/>
      <c r="G84" s="1343"/>
      <c r="H84" s="1343"/>
      <c r="I84" s="1343"/>
      <c r="J84" s="1343"/>
      <c r="K84" s="1343"/>
      <c r="L84" s="1343"/>
      <c r="M84" s="1343"/>
      <c r="N84" s="1343"/>
      <c r="O84" s="1343"/>
      <c r="P84" s="1343"/>
      <c r="Q84" s="1343"/>
      <c r="R84" s="1343"/>
      <c r="S84" s="1343"/>
      <c r="CM84" s="1377"/>
      <c r="CN84" s="1388" t="s">
        <v>8440</v>
      </c>
      <c r="CO84" s="1388" t="s">
        <v>8105</v>
      </c>
      <c r="CP84" s="1388" t="s">
        <v>8106</v>
      </c>
      <c r="CQ84" s="1388" t="s">
        <v>8441</v>
      </c>
      <c r="CR84" s="1388" t="s">
        <v>8441</v>
      </c>
      <c r="CS84" s="1388" t="s">
        <v>8194</v>
      </c>
      <c r="CT84" s="1388" t="s">
        <v>8195</v>
      </c>
      <c r="CU84" s="1388" t="s">
        <v>8110</v>
      </c>
      <c r="CV84" s="1389" t="s">
        <v>8196</v>
      </c>
      <c r="CX84" s="1379">
        <v>1</v>
      </c>
    </row>
    <row r="85" spans="1:102" ht="21" customHeight="1" x14ac:dyDescent="0.25">
      <c r="A85" s="1351">
        <v>4</v>
      </c>
      <c r="B85" s="1352" t="s">
        <v>8442</v>
      </c>
      <c r="C85" s="1353" t="s">
        <v>8430</v>
      </c>
      <c r="D85" s="1354" t="s">
        <v>8443</v>
      </c>
      <c r="E85" s="1343"/>
      <c r="F85" s="1343"/>
      <c r="G85" s="1343"/>
      <c r="H85" s="1343"/>
      <c r="I85" s="1343"/>
      <c r="J85" s="1343"/>
      <c r="K85" s="1343"/>
      <c r="L85" s="1343"/>
      <c r="M85" s="1343"/>
      <c r="N85" s="1343"/>
      <c r="O85" s="1343"/>
      <c r="P85" s="1343"/>
      <c r="Q85" s="1343"/>
      <c r="R85" s="1343"/>
      <c r="S85" s="1343"/>
      <c r="CM85" s="1377"/>
      <c r="CN85" s="1388" t="s">
        <v>8444</v>
      </c>
      <c r="CO85" s="1388" t="s">
        <v>8105</v>
      </c>
      <c r="CP85" s="1388" t="s">
        <v>8106</v>
      </c>
      <c r="CQ85" s="1388" t="s">
        <v>8445</v>
      </c>
      <c r="CR85" s="1388" t="s">
        <v>8445</v>
      </c>
      <c r="CS85" s="1388" t="s">
        <v>8194</v>
      </c>
      <c r="CT85" s="1388" t="s">
        <v>8195</v>
      </c>
      <c r="CU85" s="1388" t="s">
        <v>8110</v>
      </c>
      <c r="CV85" s="1389" t="s">
        <v>8196</v>
      </c>
      <c r="CX85" s="1379">
        <v>1</v>
      </c>
    </row>
    <row r="86" spans="1:102" ht="21" customHeight="1" x14ac:dyDescent="0.25">
      <c r="A86" s="1351">
        <v>5</v>
      </c>
      <c r="B86" s="1352" t="s">
        <v>8446</v>
      </c>
      <c r="C86" s="1353" t="s">
        <v>8430</v>
      </c>
      <c r="D86" s="1354" t="s">
        <v>8447</v>
      </c>
      <c r="E86" s="1343"/>
      <c r="F86" s="1343"/>
      <c r="G86" s="1343"/>
      <c r="H86" s="1343"/>
      <c r="I86" s="1343"/>
      <c r="J86" s="1343"/>
      <c r="K86" s="1343"/>
      <c r="L86" s="1343"/>
      <c r="M86" s="1343"/>
      <c r="N86" s="1343"/>
      <c r="O86" s="1343"/>
      <c r="P86" s="1343"/>
      <c r="Q86" s="1343"/>
      <c r="R86" s="1343"/>
      <c r="S86" s="1343"/>
      <c r="CM86" s="1377"/>
      <c r="CN86" s="1388" t="s">
        <v>8448</v>
      </c>
      <c r="CO86" s="1388" t="s">
        <v>8105</v>
      </c>
      <c r="CP86" s="1388" t="s">
        <v>8106</v>
      </c>
      <c r="CQ86" s="1388" t="s">
        <v>8449</v>
      </c>
      <c r="CR86" s="1388" t="s">
        <v>8449</v>
      </c>
      <c r="CS86" s="1388" t="s">
        <v>8108</v>
      </c>
      <c r="CT86" s="1388" t="s">
        <v>8109</v>
      </c>
      <c r="CU86" s="1388" t="s">
        <v>8110</v>
      </c>
      <c r="CV86" s="1389" t="s">
        <v>8111</v>
      </c>
      <c r="CX86" s="1379">
        <v>1</v>
      </c>
    </row>
    <row r="87" spans="1:102" ht="21" customHeight="1" x14ac:dyDescent="0.25">
      <c r="A87" s="1351">
        <v>6</v>
      </c>
      <c r="B87" s="1352" t="s">
        <v>8450</v>
      </c>
      <c r="C87" s="1353" t="s">
        <v>8451</v>
      </c>
      <c r="D87" s="1354" t="s">
        <v>8452</v>
      </c>
      <c r="E87" s="1343"/>
      <c r="F87" s="1343"/>
      <c r="G87" s="1343"/>
      <c r="H87" s="1343"/>
      <c r="I87" s="1343"/>
      <c r="J87" s="1343"/>
      <c r="K87" s="1343"/>
      <c r="L87" s="1343"/>
      <c r="M87" s="1343"/>
      <c r="N87" s="1343"/>
      <c r="O87" s="1343"/>
      <c r="P87" s="1343"/>
      <c r="Q87" s="1343"/>
      <c r="R87" s="1343"/>
      <c r="S87" s="1343"/>
      <c r="CM87" s="1377"/>
      <c r="CN87" s="1388" t="s">
        <v>8453</v>
      </c>
      <c r="CO87" s="1388" t="s">
        <v>8105</v>
      </c>
      <c r="CP87" s="1388" t="s">
        <v>8106</v>
      </c>
      <c r="CQ87" s="1388" t="s">
        <v>8454</v>
      </c>
      <c r="CR87" s="1388" t="s">
        <v>8454</v>
      </c>
      <c r="CS87" s="1388" t="s">
        <v>8108</v>
      </c>
      <c r="CT87" s="1388" t="s">
        <v>8109</v>
      </c>
      <c r="CU87" s="1388" t="s">
        <v>8110</v>
      </c>
      <c r="CV87" s="1389" t="s">
        <v>8111</v>
      </c>
      <c r="CX87" s="1379">
        <v>1</v>
      </c>
    </row>
    <row r="88" spans="1:102" ht="21" customHeight="1" x14ac:dyDescent="0.25">
      <c r="A88" s="1351">
        <v>7</v>
      </c>
      <c r="B88" s="1352" t="s">
        <v>8455</v>
      </c>
      <c r="C88" s="1353" t="s">
        <v>8456</v>
      </c>
      <c r="D88" s="1354" t="s">
        <v>8457</v>
      </c>
      <c r="E88" s="1343"/>
      <c r="F88" s="1343"/>
      <c r="G88" s="1343"/>
      <c r="H88" s="1343"/>
      <c r="I88" s="1343"/>
      <c r="J88" s="1343"/>
      <c r="K88" s="1343"/>
      <c r="L88" s="1343"/>
      <c r="M88" s="1343"/>
      <c r="N88" s="1343"/>
      <c r="O88" s="1343"/>
      <c r="P88" s="1343"/>
      <c r="Q88" s="1343"/>
      <c r="R88" s="1343"/>
      <c r="S88" s="1343"/>
      <c r="CM88" s="1377"/>
      <c r="CN88" s="1388" t="s">
        <v>8458</v>
      </c>
      <c r="CO88" s="1388" t="s">
        <v>8105</v>
      </c>
      <c r="CP88" s="1388" t="s">
        <v>8106</v>
      </c>
      <c r="CQ88" s="1388" t="s">
        <v>8459</v>
      </c>
      <c r="CR88" s="1388" t="s">
        <v>8460</v>
      </c>
      <c r="CS88" s="1388" t="s">
        <v>8108</v>
      </c>
      <c r="CT88" s="1388" t="s">
        <v>8109</v>
      </c>
      <c r="CU88" s="1388" t="s">
        <v>8110</v>
      </c>
      <c r="CV88" s="1389" t="s">
        <v>8111</v>
      </c>
      <c r="CX88" s="1379">
        <v>1</v>
      </c>
    </row>
    <row r="89" spans="1:102" ht="21" customHeight="1" x14ac:dyDescent="0.25">
      <c r="A89" s="1351">
        <v>8</v>
      </c>
      <c r="B89" s="1352" t="s">
        <v>8461</v>
      </c>
      <c r="C89" s="1353" t="s">
        <v>8462</v>
      </c>
      <c r="D89" s="1354" t="s">
        <v>8463</v>
      </c>
      <c r="E89" s="1343"/>
      <c r="F89" s="1343"/>
      <c r="G89" s="1343"/>
      <c r="H89" s="1343"/>
      <c r="I89" s="1343"/>
      <c r="J89" s="1343"/>
      <c r="K89" s="1343"/>
      <c r="L89" s="1343"/>
      <c r="M89" s="1343"/>
      <c r="N89" s="1343"/>
      <c r="O89" s="1343"/>
      <c r="P89" s="1343"/>
      <c r="Q89" s="1343"/>
      <c r="R89" s="1343"/>
      <c r="S89" s="1343"/>
      <c r="CM89" s="1377"/>
      <c r="CN89" s="1388" t="s">
        <v>8464</v>
      </c>
      <c r="CO89" s="1388" t="s">
        <v>8105</v>
      </c>
      <c r="CP89" s="1388" t="s">
        <v>8106</v>
      </c>
      <c r="CQ89" s="1388" t="s">
        <v>8465</v>
      </c>
      <c r="CR89" s="1388" t="s">
        <v>8465</v>
      </c>
      <c r="CS89" s="1388" t="s">
        <v>8108</v>
      </c>
      <c r="CT89" s="1388" t="s">
        <v>8109</v>
      </c>
      <c r="CU89" s="1388" t="s">
        <v>8110</v>
      </c>
      <c r="CV89" s="1389" t="s">
        <v>8111</v>
      </c>
      <c r="CX89" s="1379">
        <v>1</v>
      </c>
    </row>
    <row r="90" spans="1:102" ht="21" customHeight="1" x14ac:dyDescent="0.25">
      <c r="A90" s="1351">
        <v>9</v>
      </c>
      <c r="B90" s="1352" t="s">
        <v>8466</v>
      </c>
      <c r="C90" s="1353" t="s">
        <v>8467</v>
      </c>
      <c r="D90" s="1354" t="s">
        <v>8468</v>
      </c>
      <c r="E90" s="1343"/>
      <c r="F90" s="1343"/>
      <c r="G90" s="1343"/>
      <c r="H90" s="1343"/>
      <c r="I90" s="1343"/>
      <c r="J90" s="1343"/>
      <c r="K90" s="1343"/>
      <c r="L90" s="1343"/>
      <c r="M90" s="1343"/>
      <c r="N90" s="1343"/>
      <c r="O90" s="1343"/>
      <c r="P90" s="1343"/>
      <c r="Q90" s="1343"/>
      <c r="R90" s="1343"/>
      <c r="S90" s="1343"/>
      <c r="CM90" s="1377"/>
      <c r="CN90" s="1388" t="s">
        <v>8469</v>
      </c>
      <c r="CO90" s="1388" t="s">
        <v>8105</v>
      </c>
      <c r="CP90" s="1388" t="s">
        <v>8106</v>
      </c>
      <c r="CQ90" s="1388" t="s">
        <v>8470</v>
      </c>
      <c r="CR90" s="1388" t="s">
        <v>8471</v>
      </c>
      <c r="CS90" s="1388" t="s">
        <v>8108</v>
      </c>
      <c r="CT90" s="1388" t="s">
        <v>8109</v>
      </c>
      <c r="CU90" s="1388" t="s">
        <v>8110</v>
      </c>
      <c r="CV90" s="1389" t="s">
        <v>8111</v>
      </c>
      <c r="CX90" s="1379">
        <v>1</v>
      </c>
    </row>
    <row r="91" spans="1:102" ht="21" customHeight="1" x14ac:dyDescent="0.25">
      <c r="A91" s="1355">
        <v>10</v>
      </c>
      <c r="B91" s="1356" t="s">
        <v>8472</v>
      </c>
      <c r="C91" s="1357" t="s">
        <v>8473</v>
      </c>
      <c r="D91" s="1358" t="s">
        <v>8474</v>
      </c>
      <c r="E91" s="1343"/>
      <c r="F91" s="1343"/>
      <c r="G91" s="1343"/>
      <c r="H91" s="1343"/>
      <c r="I91" s="1343"/>
      <c r="J91" s="1343"/>
      <c r="K91" s="1343"/>
      <c r="L91" s="1343"/>
      <c r="M91" s="1343"/>
      <c r="N91" s="1343"/>
      <c r="O91" s="1343"/>
      <c r="P91" s="1343"/>
      <c r="Q91" s="1343"/>
      <c r="R91" s="1343"/>
      <c r="S91" s="1343"/>
      <c r="CM91" s="1377"/>
      <c r="CN91" s="1388" t="s">
        <v>8475</v>
      </c>
      <c r="CO91" s="1388" t="s">
        <v>8105</v>
      </c>
      <c r="CP91" s="1388" t="s">
        <v>8106</v>
      </c>
      <c r="CQ91" s="1388" t="s">
        <v>8476</v>
      </c>
      <c r="CR91" s="1388" t="s">
        <v>8476</v>
      </c>
      <c r="CS91" s="1388" t="s">
        <v>8108</v>
      </c>
      <c r="CT91" s="1388" t="s">
        <v>8109</v>
      </c>
      <c r="CU91" s="1388" t="s">
        <v>8110</v>
      </c>
      <c r="CV91" s="1389" t="s">
        <v>8111</v>
      </c>
      <c r="CX91" s="1379">
        <v>1</v>
      </c>
    </row>
    <row r="92" spans="1:102" ht="21" customHeight="1" x14ac:dyDescent="0.25">
      <c r="A92" s="1343"/>
      <c r="B92" s="1344"/>
      <c r="C92" s="1345"/>
      <c r="D92" s="1345"/>
      <c r="E92" s="1343"/>
      <c r="F92" s="1343"/>
      <c r="G92" s="1343"/>
      <c r="H92" s="1343"/>
      <c r="I92" s="1343"/>
      <c r="J92" s="1343"/>
      <c r="K92" s="1343"/>
      <c r="L92" s="1343"/>
      <c r="M92" s="1343"/>
      <c r="N92" s="1343"/>
      <c r="O92" s="1343"/>
      <c r="P92" s="1343"/>
      <c r="Q92" s="1343"/>
      <c r="R92" s="1343"/>
      <c r="S92" s="1343"/>
      <c r="CM92" s="1377"/>
      <c r="CN92" s="1388" t="s">
        <v>8477</v>
      </c>
      <c r="CO92" s="1388" t="s">
        <v>8105</v>
      </c>
      <c r="CP92" s="1388" t="s">
        <v>8106</v>
      </c>
      <c r="CQ92" s="1388" t="s">
        <v>8478</v>
      </c>
      <c r="CR92" s="1388" t="s">
        <v>8478</v>
      </c>
      <c r="CS92" s="1388" t="s">
        <v>8108</v>
      </c>
      <c r="CT92" s="1388" t="s">
        <v>8109</v>
      </c>
      <c r="CU92" s="1388" t="s">
        <v>8110</v>
      </c>
      <c r="CV92" s="1389" t="s">
        <v>8111</v>
      </c>
      <c r="CX92" s="1379">
        <v>1</v>
      </c>
    </row>
    <row r="93" spans="1:102" ht="21" customHeight="1" x14ac:dyDescent="0.25">
      <c r="A93" s="1343"/>
      <c r="B93" s="1344"/>
      <c r="C93" s="1345"/>
      <c r="D93" s="1345"/>
      <c r="E93" s="1343"/>
      <c r="F93" s="1343"/>
      <c r="G93" s="1343"/>
      <c r="H93" s="1343"/>
      <c r="I93" s="1343"/>
      <c r="J93" s="1343"/>
      <c r="K93" s="1343"/>
      <c r="L93" s="1343"/>
      <c r="M93" s="1343"/>
      <c r="N93" s="1343"/>
      <c r="O93" s="1343"/>
      <c r="P93" s="1343"/>
      <c r="Q93" s="1343"/>
      <c r="R93" s="1343"/>
      <c r="S93" s="1343"/>
      <c r="CM93" s="1377"/>
      <c r="CN93" s="1388" t="s">
        <v>8479</v>
      </c>
      <c r="CO93" s="1388" t="s">
        <v>8105</v>
      </c>
      <c r="CP93" s="1388" t="s">
        <v>8106</v>
      </c>
      <c r="CQ93" s="1388" t="s">
        <v>8480</v>
      </c>
      <c r="CR93" s="1388" t="s">
        <v>8480</v>
      </c>
      <c r="CS93" s="1388" t="s">
        <v>8108</v>
      </c>
      <c r="CT93" s="1388" t="s">
        <v>8109</v>
      </c>
      <c r="CU93" s="1388" t="s">
        <v>8110</v>
      </c>
      <c r="CV93" s="1389" t="s">
        <v>8111</v>
      </c>
      <c r="CX93" s="1379">
        <v>1</v>
      </c>
    </row>
    <row r="94" spans="1:102" ht="21" customHeight="1" x14ac:dyDescent="0.25">
      <c r="A94" s="2032" t="s">
        <v>8481</v>
      </c>
      <c r="B94" s="2032"/>
      <c r="C94" s="2032"/>
      <c r="D94" s="2032"/>
      <c r="E94" s="2032"/>
      <c r="F94" s="2032"/>
      <c r="G94" s="2032"/>
      <c r="H94" s="2032"/>
      <c r="I94" s="2032"/>
      <c r="J94" s="2032"/>
      <c r="K94" s="2032"/>
      <c r="L94" s="2032"/>
      <c r="M94" s="2032"/>
      <c r="N94" s="2032"/>
      <c r="O94" s="2032"/>
      <c r="P94" s="2032"/>
      <c r="Q94" s="2032"/>
      <c r="R94" s="2032"/>
      <c r="S94" s="2032"/>
      <c r="CM94" s="1377"/>
      <c r="CN94" s="1388" t="s">
        <v>8482</v>
      </c>
      <c r="CO94" s="1388" t="s">
        <v>8105</v>
      </c>
      <c r="CP94" s="1388" t="s">
        <v>8106</v>
      </c>
      <c r="CQ94" s="1388" t="s">
        <v>8483</v>
      </c>
      <c r="CR94" s="1388" t="s">
        <v>8484</v>
      </c>
      <c r="CS94" s="1388" t="s">
        <v>8108</v>
      </c>
      <c r="CT94" s="1388" t="s">
        <v>8109</v>
      </c>
      <c r="CU94" s="1388" t="s">
        <v>8110</v>
      </c>
      <c r="CV94" s="1389" t="s">
        <v>8111</v>
      </c>
      <c r="CX94" s="1379">
        <v>1</v>
      </c>
    </row>
    <row r="95" spans="1:102" ht="21" customHeight="1" x14ac:dyDescent="0.25">
      <c r="A95" s="1343"/>
      <c r="B95" s="1359" t="s">
        <v>8485</v>
      </c>
      <c r="C95" s="1335"/>
      <c r="D95" s="1345"/>
      <c r="E95" s="1343"/>
      <c r="F95" s="1343"/>
      <c r="G95" s="1343"/>
      <c r="H95" s="1343"/>
      <c r="I95" s="1343"/>
      <c r="J95" s="1343"/>
      <c r="K95" s="1343"/>
      <c r="L95" s="1343"/>
      <c r="M95" s="1343"/>
      <c r="N95" s="1343"/>
      <c r="O95" s="1343"/>
      <c r="P95" s="1343"/>
      <c r="Q95" s="1343"/>
      <c r="R95" s="1343"/>
      <c r="S95" s="1343"/>
      <c r="CM95" s="1377"/>
      <c r="CN95" s="1388" t="s">
        <v>8486</v>
      </c>
      <c r="CO95" s="1388" t="s">
        <v>8105</v>
      </c>
      <c r="CP95" s="1388" t="s">
        <v>8106</v>
      </c>
      <c r="CQ95" s="1388" t="s">
        <v>8487</v>
      </c>
      <c r="CR95" s="1388" t="s">
        <v>8487</v>
      </c>
      <c r="CS95" s="1388" t="s">
        <v>8108</v>
      </c>
      <c r="CT95" s="1388" t="s">
        <v>8109</v>
      </c>
      <c r="CU95" s="1388" t="s">
        <v>8110</v>
      </c>
      <c r="CV95" s="1389" t="s">
        <v>8111</v>
      </c>
      <c r="CX95" s="1379">
        <v>1</v>
      </c>
    </row>
    <row r="96" spans="1:102" ht="21" customHeight="1" x14ac:dyDescent="0.25">
      <c r="A96" s="1343"/>
      <c r="B96" s="1336" t="s">
        <v>8488</v>
      </c>
      <c r="C96" s="1337" t="s">
        <v>8489</v>
      </c>
      <c r="D96" s="1345"/>
      <c r="E96" s="1343"/>
      <c r="F96" s="1343"/>
      <c r="G96" s="1343"/>
      <c r="H96" s="1343"/>
      <c r="I96" s="1343"/>
      <c r="J96" s="1343"/>
      <c r="K96" s="1343"/>
      <c r="L96" s="1343"/>
      <c r="M96" s="1343"/>
      <c r="N96" s="1343"/>
      <c r="O96" s="1343"/>
      <c r="P96" s="1343"/>
      <c r="Q96" s="1343"/>
      <c r="R96" s="1343"/>
      <c r="S96" s="1343"/>
      <c r="CM96" s="1377"/>
      <c r="CN96" s="1388" t="s">
        <v>8490</v>
      </c>
      <c r="CO96" s="1388" t="s">
        <v>8105</v>
      </c>
      <c r="CP96" s="1388" t="s">
        <v>8106</v>
      </c>
      <c r="CQ96" s="1388" t="s">
        <v>8491</v>
      </c>
      <c r="CR96" s="1388" t="s">
        <v>8491</v>
      </c>
      <c r="CS96" s="1388" t="s">
        <v>8108</v>
      </c>
      <c r="CT96" s="1388" t="s">
        <v>8109</v>
      </c>
      <c r="CU96" s="1388" t="s">
        <v>8110</v>
      </c>
      <c r="CV96" s="1389" t="s">
        <v>8111</v>
      </c>
      <c r="CX96" s="1379">
        <v>1</v>
      </c>
    </row>
    <row r="97" spans="1:102" ht="21" customHeight="1" x14ac:dyDescent="0.25">
      <c r="A97" s="1343"/>
      <c r="B97" s="1336" t="s">
        <v>8492</v>
      </c>
      <c r="C97" s="1337" t="s">
        <v>8493</v>
      </c>
      <c r="D97" s="1345"/>
      <c r="E97" s="1343"/>
      <c r="F97" s="1343"/>
      <c r="G97" s="1343"/>
      <c r="H97" s="1343"/>
      <c r="I97" s="1343"/>
      <c r="J97" s="1343"/>
      <c r="K97" s="1343"/>
      <c r="L97" s="1343"/>
      <c r="M97" s="1343"/>
      <c r="N97" s="1343"/>
      <c r="O97" s="1343"/>
      <c r="P97" s="1343"/>
      <c r="Q97" s="1343"/>
      <c r="R97" s="1343"/>
      <c r="S97" s="1343"/>
      <c r="CM97" s="1377"/>
      <c r="CN97" s="1388" t="s">
        <v>8494</v>
      </c>
      <c r="CO97" s="1388" t="s">
        <v>8105</v>
      </c>
      <c r="CP97" s="1388" t="s">
        <v>8106</v>
      </c>
      <c r="CQ97" s="1388" t="s">
        <v>8495</v>
      </c>
      <c r="CR97" s="1388" t="s">
        <v>8495</v>
      </c>
      <c r="CS97" s="1388" t="s">
        <v>8194</v>
      </c>
      <c r="CT97" s="1388" t="s">
        <v>8195</v>
      </c>
      <c r="CU97" s="1388" t="s">
        <v>8110</v>
      </c>
      <c r="CV97" s="1389" t="s">
        <v>8196</v>
      </c>
      <c r="CX97" s="1379">
        <v>1</v>
      </c>
    </row>
    <row r="98" spans="1:102" ht="21" customHeight="1" x14ac:dyDescent="0.25">
      <c r="A98" s="1343"/>
      <c r="B98" s="1336" t="s">
        <v>8496</v>
      </c>
      <c r="C98" s="1337" t="s">
        <v>8497</v>
      </c>
      <c r="D98" s="1345"/>
      <c r="E98" s="1343"/>
      <c r="F98" s="1343"/>
      <c r="G98" s="1343"/>
      <c r="H98" s="1343"/>
      <c r="I98" s="1343"/>
      <c r="J98" s="1343"/>
      <c r="K98" s="1343"/>
      <c r="L98" s="1343"/>
      <c r="M98" s="1343"/>
      <c r="N98" s="1343"/>
      <c r="O98" s="1343"/>
      <c r="P98" s="1343"/>
      <c r="Q98" s="1343"/>
      <c r="R98" s="1343"/>
      <c r="S98" s="1343"/>
      <c r="CM98" s="1377"/>
      <c r="CN98" s="1388" t="s">
        <v>8498</v>
      </c>
      <c r="CO98" s="1388" t="s">
        <v>8105</v>
      </c>
      <c r="CP98" s="1388" t="s">
        <v>8106</v>
      </c>
      <c r="CQ98" s="1388" t="s">
        <v>8499</v>
      </c>
      <c r="CR98" s="1388" t="s">
        <v>8500</v>
      </c>
      <c r="CS98" s="1388" t="s">
        <v>8108</v>
      </c>
      <c r="CT98" s="1388" t="s">
        <v>8109</v>
      </c>
      <c r="CU98" s="1388" t="s">
        <v>8110</v>
      </c>
      <c r="CV98" s="1389" t="s">
        <v>8111</v>
      </c>
      <c r="CX98" s="1379">
        <v>1</v>
      </c>
    </row>
    <row r="99" spans="1:102" ht="21" customHeight="1" x14ac:dyDescent="0.25">
      <c r="A99" s="1343"/>
      <c r="B99" s="1336" t="s">
        <v>4970</v>
      </c>
      <c r="C99" s="1337" t="s">
        <v>8501</v>
      </c>
      <c r="D99" s="1345"/>
      <c r="E99" s="1343"/>
      <c r="F99" s="1343"/>
      <c r="G99" s="1343"/>
      <c r="H99" s="1343"/>
      <c r="I99" s="1343"/>
      <c r="J99" s="1343"/>
      <c r="K99" s="1343"/>
      <c r="L99" s="1343"/>
      <c r="M99" s="1343"/>
      <c r="N99" s="1343"/>
      <c r="O99" s="1343"/>
      <c r="P99" s="1343"/>
      <c r="Q99" s="1343"/>
      <c r="R99" s="1343"/>
      <c r="S99" s="1343"/>
      <c r="CM99" s="1377"/>
      <c r="CN99" s="1388" t="s">
        <v>8502</v>
      </c>
      <c r="CO99" s="1388" t="s">
        <v>8105</v>
      </c>
      <c r="CP99" s="1388" t="s">
        <v>8106</v>
      </c>
      <c r="CQ99" s="1388" t="s">
        <v>8503</v>
      </c>
      <c r="CR99" s="1388" t="s">
        <v>8504</v>
      </c>
      <c r="CS99" s="1388" t="s">
        <v>8108</v>
      </c>
      <c r="CT99" s="1388" t="s">
        <v>8109</v>
      </c>
      <c r="CU99" s="1388" t="s">
        <v>8110</v>
      </c>
      <c r="CV99" s="1389" t="s">
        <v>8111</v>
      </c>
      <c r="CX99" s="1379">
        <v>1</v>
      </c>
    </row>
    <row r="100" spans="1:102" ht="21" customHeight="1" x14ac:dyDescent="0.25">
      <c r="A100" s="1343"/>
      <c r="B100" s="1336" t="s">
        <v>8505</v>
      </c>
      <c r="C100" s="1337" t="s">
        <v>8506</v>
      </c>
      <c r="D100" s="1345"/>
      <c r="E100" s="1343"/>
      <c r="F100" s="1343"/>
      <c r="G100" s="1343"/>
      <c r="H100" s="1343"/>
      <c r="I100" s="1343"/>
      <c r="J100" s="1343"/>
      <c r="K100" s="1343"/>
      <c r="L100" s="1343"/>
      <c r="M100" s="1343"/>
      <c r="N100" s="1343"/>
      <c r="O100" s="1343"/>
      <c r="P100" s="1343"/>
      <c r="Q100" s="1343"/>
      <c r="R100" s="1343"/>
      <c r="S100" s="1343"/>
      <c r="CM100" s="1377"/>
      <c r="CN100" s="1388" t="s">
        <v>8507</v>
      </c>
      <c r="CO100" s="1388" t="s">
        <v>8105</v>
      </c>
      <c r="CP100" s="1388" t="s">
        <v>8106</v>
      </c>
      <c r="CQ100" s="1388" t="s">
        <v>8508</v>
      </c>
      <c r="CR100" s="1388" t="s">
        <v>8509</v>
      </c>
      <c r="CS100" s="1388" t="s">
        <v>8108</v>
      </c>
      <c r="CT100" s="1388" t="s">
        <v>8109</v>
      </c>
      <c r="CU100" s="1388" t="s">
        <v>8110</v>
      </c>
      <c r="CV100" s="1389" t="s">
        <v>8111</v>
      </c>
      <c r="CX100" s="1379">
        <v>1</v>
      </c>
    </row>
    <row r="101" spans="1:102" ht="21" customHeight="1" x14ac:dyDescent="0.25">
      <c r="A101" s="1343"/>
      <c r="B101" s="1336" t="s">
        <v>8510</v>
      </c>
      <c r="C101" s="1337" t="s">
        <v>8511</v>
      </c>
      <c r="D101" s="1345"/>
      <c r="E101" s="1343"/>
      <c r="F101" s="1343"/>
      <c r="G101" s="1343"/>
      <c r="H101" s="1343"/>
      <c r="I101" s="1343"/>
      <c r="J101" s="1343"/>
      <c r="K101" s="1343"/>
      <c r="L101" s="1343"/>
      <c r="M101" s="1343"/>
      <c r="N101" s="1343"/>
      <c r="O101" s="1343"/>
      <c r="P101" s="1343"/>
      <c r="Q101" s="1343"/>
      <c r="R101" s="1343"/>
      <c r="S101" s="1343"/>
      <c r="CM101" s="1377"/>
      <c r="CN101" s="1388" t="s">
        <v>8512</v>
      </c>
      <c r="CO101" s="1388" t="s">
        <v>8105</v>
      </c>
      <c r="CP101" s="1388" t="s">
        <v>8106</v>
      </c>
      <c r="CQ101" s="1388" t="s">
        <v>8513</v>
      </c>
      <c r="CR101" s="1388" t="s">
        <v>8514</v>
      </c>
      <c r="CS101" s="1388" t="s">
        <v>8108</v>
      </c>
      <c r="CT101" s="1388" t="s">
        <v>8109</v>
      </c>
      <c r="CU101" s="1388" t="s">
        <v>8110</v>
      </c>
      <c r="CV101" s="1389" t="s">
        <v>8111</v>
      </c>
      <c r="CX101" s="1379">
        <v>1</v>
      </c>
    </row>
    <row r="102" spans="1:102" ht="21" customHeight="1" x14ac:dyDescent="0.25">
      <c r="A102" s="1343"/>
      <c r="B102" s="1338"/>
      <c r="C102" s="1339"/>
      <c r="D102" s="1345"/>
      <c r="E102" s="1343"/>
      <c r="F102" s="1343"/>
      <c r="G102" s="1343"/>
      <c r="H102" s="1343"/>
      <c r="I102" s="1343"/>
      <c r="J102" s="1343"/>
      <c r="K102" s="1343"/>
      <c r="L102" s="1343"/>
      <c r="M102" s="1343"/>
      <c r="N102" s="1343"/>
      <c r="O102" s="1343"/>
      <c r="P102" s="1343"/>
      <c r="Q102" s="1343"/>
      <c r="R102" s="1343"/>
      <c r="S102" s="1343"/>
      <c r="CM102" s="1377"/>
      <c r="CN102" s="1388" t="s">
        <v>8515</v>
      </c>
      <c r="CO102" s="1388" t="s">
        <v>8105</v>
      </c>
      <c r="CP102" s="1388" t="s">
        <v>8106</v>
      </c>
      <c r="CQ102" s="1388" t="s">
        <v>8516</v>
      </c>
      <c r="CR102" s="1388" t="s">
        <v>8517</v>
      </c>
      <c r="CS102" s="1388" t="s">
        <v>8108</v>
      </c>
      <c r="CT102" s="1388" t="s">
        <v>8109</v>
      </c>
      <c r="CU102" s="1388" t="s">
        <v>8110</v>
      </c>
      <c r="CV102" s="1389" t="s">
        <v>8111</v>
      </c>
      <c r="CX102" s="1379">
        <v>1</v>
      </c>
    </row>
    <row r="103" spans="1:102" ht="21" customHeight="1" x14ac:dyDescent="0.25">
      <c r="A103" s="1343"/>
      <c r="B103" s="1360" t="s">
        <v>8518</v>
      </c>
      <c r="C103" s="1335"/>
      <c r="D103" s="1345"/>
      <c r="E103" s="1343"/>
      <c r="F103" s="1343"/>
      <c r="G103" s="1343"/>
      <c r="H103" s="1343"/>
      <c r="I103" s="1343"/>
      <c r="J103" s="1343"/>
      <c r="K103" s="1343"/>
      <c r="L103" s="1343"/>
      <c r="M103" s="1343"/>
      <c r="N103" s="1343"/>
      <c r="O103" s="1343"/>
      <c r="P103" s="1343"/>
      <c r="Q103" s="1343"/>
      <c r="R103" s="1343"/>
      <c r="S103" s="1343"/>
      <c r="CM103" s="1377"/>
      <c r="CN103" s="1388" t="s">
        <v>8519</v>
      </c>
      <c r="CO103" s="1388" t="s">
        <v>8105</v>
      </c>
      <c r="CP103" s="1388" t="s">
        <v>8106</v>
      </c>
      <c r="CQ103" s="1388" t="s">
        <v>8520</v>
      </c>
      <c r="CR103" s="1388" t="s">
        <v>8521</v>
      </c>
      <c r="CS103" s="1388" t="s">
        <v>8108</v>
      </c>
      <c r="CT103" s="1388" t="s">
        <v>8109</v>
      </c>
      <c r="CU103" s="1388" t="s">
        <v>8110</v>
      </c>
      <c r="CV103" s="1389" t="s">
        <v>8111</v>
      </c>
      <c r="CX103" s="1379">
        <v>1</v>
      </c>
    </row>
    <row r="104" spans="1:102" ht="21" customHeight="1" x14ac:dyDescent="0.25">
      <c r="A104" s="1343"/>
      <c r="B104" s="1336" t="s">
        <v>8522</v>
      </c>
      <c r="C104" s="1337" t="s">
        <v>8523</v>
      </c>
      <c r="D104" s="1345"/>
      <c r="E104" s="1343"/>
      <c r="F104" s="1343"/>
      <c r="G104" s="1343"/>
      <c r="H104" s="1343"/>
      <c r="I104" s="1343"/>
      <c r="J104" s="1343"/>
      <c r="K104" s="1343"/>
      <c r="L104" s="1343"/>
      <c r="M104" s="1343"/>
      <c r="N104" s="1343"/>
      <c r="O104" s="1343"/>
      <c r="P104" s="1343"/>
      <c r="Q104" s="1343"/>
      <c r="R104" s="1343"/>
      <c r="S104" s="1343"/>
      <c r="CM104" s="1377"/>
      <c r="CN104" s="1388" t="s">
        <v>8524</v>
      </c>
      <c r="CO104" s="1388" t="s">
        <v>8105</v>
      </c>
      <c r="CP104" s="1388" t="s">
        <v>8106</v>
      </c>
      <c r="CQ104" s="1388" t="s">
        <v>8525</v>
      </c>
      <c r="CR104" s="1388" t="s">
        <v>8526</v>
      </c>
      <c r="CS104" s="1388" t="s">
        <v>8108</v>
      </c>
      <c r="CT104" s="1388" t="s">
        <v>8109</v>
      </c>
      <c r="CU104" s="1388" t="s">
        <v>8110</v>
      </c>
      <c r="CV104" s="1389" t="s">
        <v>8111</v>
      </c>
      <c r="CX104" s="1379">
        <v>1</v>
      </c>
    </row>
    <row r="105" spans="1:102" ht="21" customHeight="1" x14ac:dyDescent="0.25">
      <c r="A105" s="1343"/>
      <c r="B105" s="1336" t="s">
        <v>5471</v>
      </c>
      <c r="C105" s="1337" t="s">
        <v>8527</v>
      </c>
      <c r="D105" s="1345"/>
      <c r="E105" s="1343"/>
      <c r="F105" s="1343"/>
      <c r="G105" s="1343"/>
      <c r="H105" s="1343"/>
      <c r="I105" s="1343"/>
      <c r="J105" s="1343"/>
      <c r="K105" s="1343"/>
      <c r="L105" s="1343"/>
      <c r="M105" s="1343"/>
      <c r="N105" s="1343"/>
      <c r="O105" s="1343"/>
      <c r="P105" s="1343"/>
      <c r="Q105" s="1343"/>
      <c r="R105" s="1343"/>
      <c r="S105" s="1343"/>
      <c r="CM105" s="1377"/>
      <c r="CN105" s="1388" t="s">
        <v>8528</v>
      </c>
      <c r="CO105" s="1388" t="s">
        <v>8105</v>
      </c>
      <c r="CP105" s="1388" t="s">
        <v>8106</v>
      </c>
      <c r="CQ105" s="1388" t="s">
        <v>8529</v>
      </c>
      <c r="CR105" s="1388" t="s">
        <v>8530</v>
      </c>
      <c r="CS105" s="1388" t="s">
        <v>8108</v>
      </c>
      <c r="CT105" s="1388" t="s">
        <v>8109</v>
      </c>
      <c r="CU105" s="1388" t="s">
        <v>8110</v>
      </c>
      <c r="CV105" s="1389" t="s">
        <v>8111</v>
      </c>
      <c r="CX105" s="1379">
        <v>1</v>
      </c>
    </row>
    <row r="106" spans="1:102" ht="21" customHeight="1" x14ac:dyDescent="0.25">
      <c r="A106" s="1361"/>
      <c r="B106" s="1336" t="s">
        <v>8128</v>
      </c>
      <c r="C106" s="923" t="s">
        <v>8531</v>
      </c>
      <c r="D106" s="1361"/>
      <c r="E106" s="1361"/>
      <c r="F106" s="1361"/>
      <c r="G106" s="1361"/>
      <c r="H106" s="1361"/>
      <c r="I106" s="1361"/>
      <c r="J106" s="1361"/>
      <c r="K106" s="1361"/>
      <c r="L106" s="1361"/>
      <c r="M106" s="1361"/>
      <c r="N106" s="1361"/>
      <c r="O106" s="1361"/>
      <c r="P106" s="1361"/>
      <c r="Q106" s="1361"/>
      <c r="R106" s="1361"/>
      <c r="S106" s="1361"/>
      <c r="CM106" s="1377"/>
      <c r="CN106" s="1388" t="s">
        <v>8532</v>
      </c>
      <c r="CO106" s="1388" t="s">
        <v>8105</v>
      </c>
      <c r="CP106" s="1388" t="s">
        <v>8106</v>
      </c>
      <c r="CQ106" s="1388" t="s">
        <v>8533</v>
      </c>
      <c r="CR106" s="1388" t="s">
        <v>8534</v>
      </c>
      <c r="CS106" s="1388" t="s">
        <v>8108</v>
      </c>
      <c r="CT106" s="1388" t="s">
        <v>8109</v>
      </c>
      <c r="CU106" s="1388" t="s">
        <v>8110</v>
      </c>
      <c r="CV106" s="1389" t="s">
        <v>8111</v>
      </c>
      <c r="CX106" s="1379">
        <v>1</v>
      </c>
    </row>
    <row r="107" spans="1:102" ht="21" customHeight="1" x14ac:dyDescent="0.25">
      <c r="A107" s="1361"/>
      <c r="B107" s="1336" t="s">
        <v>8535</v>
      </c>
      <c r="C107" s="923" t="s">
        <v>8536</v>
      </c>
      <c r="D107" s="1361"/>
      <c r="E107" s="1361"/>
      <c r="F107" s="1361"/>
      <c r="G107" s="1361"/>
      <c r="H107" s="1361"/>
      <c r="I107" s="1361"/>
      <c r="J107" s="1361"/>
      <c r="K107" s="1361"/>
      <c r="L107" s="1361"/>
      <c r="M107" s="1361"/>
      <c r="N107" s="1361"/>
      <c r="O107" s="1361"/>
      <c r="P107" s="1361"/>
      <c r="Q107" s="1361"/>
      <c r="R107" s="1361"/>
      <c r="S107" s="1361"/>
      <c r="CM107" s="1377"/>
      <c r="CN107" s="1388" t="s">
        <v>8537</v>
      </c>
      <c r="CO107" s="1388" t="s">
        <v>8105</v>
      </c>
      <c r="CP107" s="1388" t="s">
        <v>8106</v>
      </c>
      <c r="CQ107" s="1388" t="s">
        <v>8538</v>
      </c>
      <c r="CR107" s="1388" t="s">
        <v>8539</v>
      </c>
      <c r="CS107" s="1388" t="s">
        <v>8108</v>
      </c>
      <c r="CT107" s="1388" t="s">
        <v>8109</v>
      </c>
      <c r="CU107" s="1388" t="s">
        <v>8110</v>
      </c>
      <c r="CV107" s="1389" t="s">
        <v>8111</v>
      </c>
      <c r="CX107" s="1379">
        <v>1</v>
      </c>
    </row>
    <row r="108" spans="1:102" ht="21" customHeight="1" x14ac:dyDescent="0.25">
      <c r="A108" s="1361"/>
      <c r="B108" s="1336" t="s">
        <v>8540</v>
      </c>
      <c r="C108" s="923" t="s">
        <v>8541</v>
      </c>
      <c r="D108" s="1361"/>
      <c r="E108" s="1361"/>
      <c r="F108" s="1361"/>
      <c r="G108" s="1361"/>
      <c r="H108" s="1361"/>
      <c r="I108" s="1361"/>
      <c r="J108" s="1361"/>
      <c r="K108" s="1361"/>
      <c r="L108" s="1361"/>
      <c r="M108" s="1361"/>
      <c r="N108" s="1361"/>
      <c r="O108" s="1361"/>
      <c r="P108" s="1361"/>
      <c r="Q108" s="1361"/>
      <c r="R108" s="1361"/>
      <c r="S108" s="1361"/>
      <c r="CM108" s="1377"/>
      <c r="CN108" s="1388" t="s">
        <v>8542</v>
      </c>
      <c r="CO108" s="1388" t="s">
        <v>8105</v>
      </c>
      <c r="CP108" s="1388" t="s">
        <v>8106</v>
      </c>
      <c r="CQ108" s="1388" t="s">
        <v>8543</v>
      </c>
      <c r="CR108" s="1388" t="s">
        <v>8543</v>
      </c>
      <c r="CS108" s="1388" t="s">
        <v>8108</v>
      </c>
      <c r="CT108" s="1388" t="s">
        <v>8109</v>
      </c>
      <c r="CU108" s="1388" t="s">
        <v>8110</v>
      </c>
      <c r="CV108" s="1389" t="s">
        <v>8111</v>
      </c>
      <c r="CX108" s="1379">
        <v>1</v>
      </c>
    </row>
    <row r="109" spans="1:102" ht="21" customHeight="1" x14ac:dyDescent="0.25">
      <c r="A109" s="1361"/>
      <c r="B109" s="1336" t="s">
        <v>8133</v>
      </c>
      <c r="C109" s="923" t="s">
        <v>8544</v>
      </c>
      <c r="D109" s="1361"/>
      <c r="E109" s="1361"/>
      <c r="F109" s="1361"/>
      <c r="G109" s="1361"/>
      <c r="H109" s="1361"/>
      <c r="I109" s="1361"/>
      <c r="J109" s="1361"/>
      <c r="K109" s="1361"/>
      <c r="L109" s="1361"/>
      <c r="M109" s="1361"/>
      <c r="N109" s="1361"/>
      <c r="O109" s="1361"/>
      <c r="P109" s="1361"/>
      <c r="Q109" s="1361"/>
      <c r="R109" s="1361"/>
      <c r="S109" s="1361"/>
      <c r="CM109" s="1377"/>
      <c r="CN109" s="1388" t="s">
        <v>8545</v>
      </c>
      <c r="CO109" s="1388" t="s">
        <v>8105</v>
      </c>
      <c r="CP109" s="1388" t="s">
        <v>8106</v>
      </c>
      <c r="CQ109" s="1388" t="s">
        <v>1914</v>
      </c>
      <c r="CR109" s="1388" t="s">
        <v>1914</v>
      </c>
      <c r="CS109" s="1388" t="s">
        <v>8108</v>
      </c>
      <c r="CT109" s="1388" t="s">
        <v>8109</v>
      </c>
      <c r="CU109" s="1388" t="s">
        <v>8110</v>
      </c>
      <c r="CV109" s="1389" t="s">
        <v>8111</v>
      </c>
      <c r="CX109" s="1379">
        <v>1</v>
      </c>
    </row>
    <row r="110" spans="1:102" ht="21" customHeight="1" x14ac:dyDescent="0.25">
      <c r="A110" s="1361"/>
      <c r="B110" s="1336" t="s">
        <v>8546</v>
      </c>
      <c r="C110" s="923" t="s">
        <v>13456</v>
      </c>
      <c r="D110" s="1361"/>
      <c r="E110" s="1361"/>
      <c r="F110" s="1361"/>
      <c r="G110" s="1361"/>
      <c r="H110" s="1361"/>
      <c r="I110" s="1361"/>
      <c r="J110" s="1361"/>
      <c r="K110" s="1361"/>
      <c r="L110" s="1361"/>
      <c r="M110" s="1361"/>
      <c r="N110" s="1361"/>
      <c r="O110" s="1361"/>
      <c r="P110" s="1361"/>
      <c r="Q110" s="1361"/>
      <c r="R110" s="1361"/>
      <c r="S110" s="1361"/>
      <c r="CM110" s="1377"/>
      <c r="CN110" s="1388" t="s">
        <v>8547</v>
      </c>
      <c r="CO110" s="1388" t="s">
        <v>8105</v>
      </c>
      <c r="CP110" s="1388" t="s">
        <v>8106</v>
      </c>
      <c r="CQ110" s="1388" t="s">
        <v>8548</v>
      </c>
      <c r="CR110" s="1388" t="s">
        <v>8548</v>
      </c>
      <c r="CS110" s="1388" t="s">
        <v>8108</v>
      </c>
      <c r="CT110" s="1388" t="s">
        <v>8109</v>
      </c>
      <c r="CU110" s="1388" t="s">
        <v>8110</v>
      </c>
      <c r="CV110" s="1389" t="s">
        <v>8111</v>
      </c>
      <c r="CX110" s="1379">
        <v>1</v>
      </c>
    </row>
    <row r="111" spans="1:102" ht="21" customHeight="1" x14ac:dyDescent="0.25">
      <c r="A111" s="1361"/>
      <c r="B111" s="1336"/>
      <c r="C111" s="923" t="s">
        <v>13457</v>
      </c>
      <c r="D111" s="1361"/>
      <c r="E111" s="1361"/>
      <c r="F111" s="1361"/>
      <c r="G111" s="1361"/>
      <c r="H111" s="1361"/>
      <c r="I111" s="1361"/>
      <c r="J111" s="1361"/>
      <c r="K111" s="1361"/>
      <c r="L111" s="1361"/>
      <c r="M111" s="1361"/>
      <c r="N111" s="1361"/>
      <c r="O111" s="1361"/>
      <c r="P111" s="1361"/>
      <c r="Q111" s="1361"/>
      <c r="R111" s="1361"/>
      <c r="S111" s="1361"/>
      <c r="CM111" s="1377"/>
      <c r="CN111" s="1388" t="s">
        <v>8551</v>
      </c>
      <c r="CO111" s="1388" t="s">
        <v>8105</v>
      </c>
      <c r="CP111" s="1388" t="s">
        <v>8106</v>
      </c>
      <c r="CQ111" s="1388" t="s">
        <v>8552</v>
      </c>
      <c r="CR111" s="1388" t="s">
        <v>8552</v>
      </c>
      <c r="CS111" s="1388" t="s">
        <v>8108</v>
      </c>
      <c r="CT111" s="1388" t="s">
        <v>8109</v>
      </c>
      <c r="CU111" s="1388" t="s">
        <v>8110</v>
      </c>
      <c r="CV111" s="1389" t="s">
        <v>8111</v>
      </c>
      <c r="CX111" s="1379">
        <v>1</v>
      </c>
    </row>
    <row r="112" spans="1:102" ht="21" customHeight="1" x14ac:dyDescent="0.25">
      <c r="A112" s="1361"/>
      <c r="B112" s="1336" t="s">
        <v>8549</v>
      </c>
      <c r="C112" s="923" t="s">
        <v>8550</v>
      </c>
      <c r="D112" s="1361"/>
      <c r="E112" s="1361"/>
      <c r="F112" s="1361"/>
      <c r="G112" s="1361"/>
      <c r="H112" s="1361"/>
      <c r="I112" s="1361"/>
      <c r="J112" s="1361"/>
      <c r="K112" s="1361"/>
      <c r="L112" s="1361"/>
      <c r="M112" s="1361"/>
      <c r="N112" s="1361"/>
      <c r="O112" s="1361"/>
      <c r="P112" s="1361"/>
      <c r="Q112" s="1361"/>
      <c r="R112" s="1361"/>
      <c r="S112" s="1361"/>
      <c r="CM112" s="1377"/>
      <c r="CN112" s="1388" t="s">
        <v>8554</v>
      </c>
      <c r="CO112" s="1388" t="s">
        <v>8105</v>
      </c>
      <c r="CP112" s="1388" t="s">
        <v>8555</v>
      </c>
      <c r="CQ112" s="1388" t="s">
        <v>8556</v>
      </c>
      <c r="CR112" s="1388" t="s">
        <v>8556</v>
      </c>
      <c r="CS112" s="1388" t="s">
        <v>8194</v>
      </c>
      <c r="CT112" s="1388" t="s">
        <v>8557</v>
      </c>
      <c r="CU112" s="1388" t="s">
        <v>8110</v>
      </c>
      <c r="CV112" s="1389" t="s">
        <v>8196</v>
      </c>
      <c r="CX112" s="1379">
        <v>1</v>
      </c>
    </row>
    <row r="113" spans="1:102" ht="21" customHeight="1" x14ac:dyDescent="0.25">
      <c r="A113" s="1361"/>
      <c r="B113" s="1336" t="s">
        <v>8553</v>
      </c>
      <c r="C113" s="950"/>
      <c r="D113" s="1361"/>
      <c r="E113" s="1361"/>
      <c r="F113" s="1361"/>
      <c r="G113" s="1361"/>
      <c r="H113" s="1361"/>
      <c r="I113" s="1361"/>
      <c r="J113" s="1361"/>
      <c r="K113" s="1361"/>
      <c r="L113" s="1361"/>
      <c r="M113" s="1361"/>
      <c r="N113" s="1361"/>
      <c r="O113" s="1361"/>
      <c r="P113" s="1361"/>
      <c r="Q113" s="1361"/>
      <c r="R113" s="1361"/>
      <c r="S113" s="1361"/>
      <c r="CM113" s="1377"/>
      <c r="CN113" s="1388" t="s">
        <v>8560</v>
      </c>
      <c r="CO113" s="1388" t="s">
        <v>8105</v>
      </c>
      <c r="CP113" s="1388" t="s">
        <v>8555</v>
      </c>
      <c r="CQ113" s="1388" t="s">
        <v>8561</v>
      </c>
      <c r="CR113" s="1388" t="s">
        <v>8561</v>
      </c>
      <c r="CS113" s="1388" t="s">
        <v>8108</v>
      </c>
      <c r="CT113" s="1388" t="s">
        <v>8562</v>
      </c>
      <c r="CU113" s="1388" t="s">
        <v>8110</v>
      </c>
      <c r="CV113" s="1389" t="s">
        <v>8111</v>
      </c>
      <c r="CX113" s="1379">
        <v>1</v>
      </c>
    </row>
    <row r="114" spans="1:102" ht="21" customHeight="1" x14ac:dyDescent="0.25">
      <c r="A114" s="1361"/>
      <c r="B114" s="1340" t="s">
        <v>8558</v>
      </c>
      <c r="C114" s="923" t="s">
        <v>8559</v>
      </c>
      <c r="D114" s="1361"/>
      <c r="E114" s="1361"/>
      <c r="F114" s="1361"/>
      <c r="G114" s="1361"/>
      <c r="H114" s="1361"/>
      <c r="I114" s="1361"/>
      <c r="J114" s="1361"/>
      <c r="K114" s="1361"/>
      <c r="L114" s="1361"/>
      <c r="M114" s="1361"/>
      <c r="N114" s="1361"/>
      <c r="O114" s="1361"/>
      <c r="P114" s="1361"/>
      <c r="Q114" s="1361"/>
      <c r="R114" s="1361"/>
      <c r="S114" s="1361"/>
      <c r="CM114" s="1377"/>
      <c r="CN114" s="1388" t="s">
        <v>8565</v>
      </c>
      <c r="CO114" s="1388" t="s">
        <v>8105</v>
      </c>
      <c r="CP114" s="1388" t="s">
        <v>8555</v>
      </c>
      <c r="CQ114" s="1388" t="s">
        <v>8566</v>
      </c>
      <c r="CR114" s="1388" t="s">
        <v>8566</v>
      </c>
      <c r="CS114" s="1388" t="s">
        <v>8108</v>
      </c>
      <c r="CT114" s="1388" t="s">
        <v>8562</v>
      </c>
      <c r="CU114" s="1388" t="s">
        <v>8110</v>
      </c>
      <c r="CV114" s="1389" t="s">
        <v>8111</v>
      </c>
      <c r="CX114" s="1379">
        <v>1</v>
      </c>
    </row>
    <row r="115" spans="1:102" ht="21" customHeight="1" x14ac:dyDescent="0.25">
      <c r="A115" s="1361"/>
      <c r="B115" s="1336" t="s">
        <v>8563</v>
      </c>
      <c r="C115" s="923" t="s">
        <v>8564</v>
      </c>
      <c r="D115" s="1361"/>
      <c r="E115" s="1361"/>
      <c r="F115" s="1361"/>
      <c r="G115" s="1361"/>
      <c r="H115" s="1361"/>
      <c r="I115" s="1361"/>
      <c r="J115" s="1361"/>
      <c r="K115" s="1361"/>
      <c r="L115" s="1361"/>
      <c r="M115" s="1361"/>
      <c r="N115" s="1361"/>
      <c r="O115" s="1361"/>
      <c r="P115" s="1361"/>
      <c r="Q115" s="1361"/>
      <c r="R115" s="1361"/>
      <c r="S115" s="1361"/>
      <c r="CM115" s="1377"/>
      <c r="CN115" s="1388" t="s">
        <v>8568</v>
      </c>
      <c r="CO115" s="1388" t="s">
        <v>8105</v>
      </c>
      <c r="CP115" s="1388" t="s">
        <v>8555</v>
      </c>
      <c r="CQ115" s="1388" t="s">
        <v>8569</v>
      </c>
      <c r="CR115" s="1388" t="s">
        <v>8570</v>
      </c>
      <c r="CS115" s="1388" t="s">
        <v>8108</v>
      </c>
      <c r="CT115" s="1388" t="s">
        <v>8562</v>
      </c>
      <c r="CU115" s="1388" t="s">
        <v>8110</v>
      </c>
      <c r="CV115" s="1389" t="s">
        <v>8111</v>
      </c>
      <c r="CX115" s="1379">
        <v>1</v>
      </c>
    </row>
    <row r="116" spans="1:102" ht="21" customHeight="1" x14ac:dyDescent="0.25">
      <c r="A116" s="1361"/>
      <c r="B116" s="1336" t="s">
        <v>8567</v>
      </c>
      <c r="C116" s="923" t="s">
        <v>8419</v>
      </c>
      <c r="D116" s="1361"/>
      <c r="E116" s="1361"/>
      <c r="F116" s="1361"/>
      <c r="G116" s="1361"/>
      <c r="H116" s="1361"/>
      <c r="I116" s="1361"/>
      <c r="J116" s="1361"/>
      <c r="K116" s="1361"/>
      <c r="L116" s="1361"/>
      <c r="M116" s="1361"/>
      <c r="N116" s="1361"/>
      <c r="O116" s="1361"/>
      <c r="P116" s="1361"/>
      <c r="Q116" s="1361"/>
      <c r="R116" s="1361"/>
      <c r="S116" s="1361"/>
      <c r="CM116" s="1377"/>
      <c r="CN116" s="1388" t="s">
        <v>8571</v>
      </c>
      <c r="CO116" s="1388" t="s">
        <v>8105</v>
      </c>
      <c r="CP116" s="1388" t="s">
        <v>8106</v>
      </c>
      <c r="CQ116" s="1388" t="s">
        <v>8572</v>
      </c>
      <c r="CR116" s="1388" t="s">
        <v>8572</v>
      </c>
      <c r="CS116" s="1388" t="s">
        <v>8108</v>
      </c>
      <c r="CT116" s="1388" t="s">
        <v>8109</v>
      </c>
      <c r="CU116" s="1388" t="s">
        <v>8110</v>
      </c>
      <c r="CV116" s="1389" t="s">
        <v>8111</v>
      </c>
      <c r="CX116" s="1379">
        <v>1</v>
      </c>
    </row>
    <row r="117" spans="1:102" ht="21" customHeight="1" x14ac:dyDescent="0.25">
      <c r="A117" s="1361"/>
      <c r="B117" s="1341"/>
      <c r="C117" s="923"/>
      <c r="D117" s="1361"/>
      <c r="E117" s="1361"/>
      <c r="F117" s="1361"/>
      <c r="G117" s="1361"/>
      <c r="H117" s="1361"/>
      <c r="I117" s="1361"/>
      <c r="J117" s="1361"/>
      <c r="K117" s="1361"/>
      <c r="L117" s="1361"/>
      <c r="M117" s="1361"/>
      <c r="N117" s="1361"/>
      <c r="O117" s="1361"/>
      <c r="P117" s="1361"/>
      <c r="Q117" s="1361"/>
      <c r="R117" s="1361"/>
      <c r="S117" s="1361"/>
      <c r="CM117" s="1377"/>
      <c r="CN117" s="1388" t="s">
        <v>8574</v>
      </c>
      <c r="CO117" s="1388" t="s">
        <v>8105</v>
      </c>
      <c r="CP117" s="1388" t="s">
        <v>8106</v>
      </c>
      <c r="CQ117" s="1388" t="s">
        <v>8575</v>
      </c>
      <c r="CR117" s="1388" t="s">
        <v>8575</v>
      </c>
      <c r="CS117" s="1388" t="s">
        <v>8108</v>
      </c>
      <c r="CT117" s="1388" t="s">
        <v>8109</v>
      </c>
      <c r="CU117" s="1388" t="s">
        <v>8110</v>
      </c>
      <c r="CV117" s="1389" t="s">
        <v>8111</v>
      </c>
      <c r="CX117" s="1379">
        <v>1</v>
      </c>
    </row>
    <row r="118" spans="1:102" ht="21" customHeight="1" x14ac:dyDescent="0.25">
      <c r="A118" s="1361"/>
      <c r="B118" s="1362" t="s">
        <v>8573</v>
      </c>
      <c r="C118" s="950"/>
      <c r="D118" s="1361"/>
      <c r="E118" s="1361"/>
      <c r="F118" s="1361"/>
      <c r="G118" s="1361"/>
      <c r="H118" s="1361"/>
      <c r="I118" s="1361"/>
      <c r="J118" s="1361"/>
      <c r="K118" s="1361"/>
      <c r="L118" s="1361"/>
      <c r="M118" s="1361"/>
      <c r="N118" s="1361"/>
      <c r="O118" s="1361"/>
      <c r="P118" s="1361"/>
      <c r="Q118" s="1361"/>
      <c r="R118" s="1361"/>
      <c r="S118" s="1361"/>
      <c r="CM118" s="1377"/>
      <c r="CN118" s="1388" t="s">
        <v>8577</v>
      </c>
      <c r="CO118" s="1388" t="s">
        <v>8105</v>
      </c>
      <c r="CP118" s="1388" t="s">
        <v>8106</v>
      </c>
      <c r="CQ118" s="1388" t="s">
        <v>8578</v>
      </c>
      <c r="CR118" s="1388" t="s">
        <v>8578</v>
      </c>
      <c r="CS118" s="1388" t="s">
        <v>8108</v>
      </c>
      <c r="CT118" s="1388" t="s">
        <v>8109</v>
      </c>
      <c r="CU118" s="1388" t="s">
        <v>8110</v>
      </c>
      <c r="CV118" s="1389" t="s">
        <v>8111</v>
      </c>
      <c r="CX118" s="1379">
        <v>1</v>
      </c>
    </row>
    <row r="119" spans="1:102" ht="21" customHeight="1" x14ac:dyDescent="0.25">
      <c r="A119" s="1361"/>
      <c r="B119" s="1336" t="s">
        <v>8209</v>
      </c>
      <c r="C119" s="923" t="s">
        <v>8576</v>
      </c>
      <c r="D119" s="1361"/>
      <c r="E119" s="1361"/>
      <c r="F119" s="1361"/>
      <c r="G119" s="1361"/>
      <c r="H119" s="1361"/>
      <c r="I119" s="1361"/>
      <c r="J119" s="1361"/>
      <c r="K119" s="1361"/>
      <c r="L119" s="1361"/>
      <c r="M119" s="1361"/>
      <c r="N119" s="1361"/>
      <c r="O119" s="1361"/>
      <c r="P119" s="1361"/>
      <c r="Q119" s="1361"/>
      <c r="R119" s="1361"/>
      <c r="S119" s="1361"/>
      <c r="CM119" s="1377"/>
      <c r="CN119" s="1388" t="s">
        <v>8581</v>
      </c>
      <c r="CO119" s="1388" t="s">
        <v>8105</v>
      </c>
      <c r="CP119" s="1388" t="s">
        <v>8106</v>
      </c>
      <c r="CQ119" s="1388" t="s">
        <v>8582</v>
      </c>
      <c r="CR119" s="1388" t="s">
        <v>8583</v>
      </c>
      <c r="CS119" s="1388" t="s">
        <v>8108</v>
      </c>
      <c r="CT119" s="1388" t="s">
        <v>8109</v>
      </c>
      <c r="CU119" s="1388" t="s">
        <v>8110</v>
      </c>
      <c r="CV119" s="1389" t="s">
        <v>8111</v>
      </c>
      <c r="CX119" s="1379">
        <v>1</v>
      </c>
    </row>
    <row r="120" spans="1:102" ht="21" customHeight="1" x14ac:dyDescent="0.25">
      <c r="A120" s="1361"/>
      <c r="B120" s="1336" t="s">
        <v>8579</v>
      </c>
      <c r="C120" s="923" t="s">
        <v>8580</v>
      </c>
      <c r="D120" s="1361"/>
      <c r="E120" s="1361"/>
      <c r="F120" s="1361"/>
      <c r="G120" s="1361"/>
      <c r="H120" s="1361"/>
      <c r="I120" s="1361"/>
      <c r="J120" s="1361"/>
      <c r="K120" s="1361"/>
      <c r="L120" s="1361"/>
      <c r="M120" s="1361"/>
      <c r="N120" s="1361"/>
      <c r="O120" s="1361"/>
      <c r="P120" s="1361"/>
      <c r="Q120" s="1361"/>
      <c r="R120" s="1361"/>
      <c r="S120" s="1361"/>
      <c r="CM120" s="1377"/>
      <c r="CN120" s="1388" t="s">
        <v>8586</v>
      </c>
      <c r="CO120" s="1388" t="s">
        <v>8105</v>
      </c>
      <c r="CP120" s="1388" t="s">
        <v>8106</v>
      </c>
      <c r="CQ120" s="1388" t="s">
        <v>8587</v>
      </c>
      <c r="CR120" s="1388" t="s">
        <v>8588</v>
      </c>
      <c r="CS120" s="1388" t="s">
        <v>8108</v>
      </c>
      <c r="CT120" s="1388" t="s">
        <v>8109</v>
      </c>
      <c r="CU120" s="1388" t="s">
        <v>8110</v>
      </c>
      <c r="CV120" s="1389" t="s">
        <v>8111</v>
      </c>
      <c r="CX120" s="1379">
        <v>1</v>
      </c>
    </row>
    <row r="121" spans="1:102" ht="21" customHeight="1" x14ac:dyDescent="0.25">
      <c r="A121" s="1361"/>
      <c r="B121" s="1336" t="s">
        <v>8584</v>
      </c>
      <c r="C121" s="923" t="s">
        <v>8585</v>
      </c>
      <c r="D121" s="1361"/>
      <c r="E121" s="1361"/>
      <c r="F121" s="1361"/>
      <c r="G121" s="1361"/>
      <c r="H121" s="1361"/>
      <c r="I121" s="1361"/>
      <c r="J121" s="1361"/>
      <c r="K121" s="1361"/>
      <c r="L121" s="1361"/>
      <c r="M121" s="1361"/>
      <c r="N121" s="1361"/>
      <c r="O121" s="1361"/>
      <c r="P121" s="1361"/>
      <c r="Q121" s="1361"/>
      <c r="R121" s="1361"/>
      <c r="S121" s="1361"/>
      <c r="CM121" s="1377"/>
      <c r="CN121" s="1388" t="s">
        <v>8591</v>
      </c>
      <c r="CO121" s="1388" t="s">
        <v>8105</v>
      </c>
      <c r="CP121" s="1388" t="s">
        <v>8106</v>
      </c>
      <c r="CQ121" s="1388" t="s">
        <v>8592</v>
      </c>
      <c r="CR121" s="1388" t="s">
        <v>8592</v>
      </c>
      <c r="CS121" s="1388" t="s">
        <v>8108</v>
      </c>
      <c r="CT121" s="1388" t="s">
        <v>8109</v>
      </c>
      <c r="CU121" s="1388" t="s">
        <v>8110</v>
      </c>
      <c r="CV121" s="1389" t="s">
        <v>8111</v>
      </c>
      <c r="CX121" s="1379">
        <v>1</v>
      </c>
    </row>
    <row r="122" spans="1:102" ht="21" customHeight="1" x14ac:dyDescent="0.25">
      <c r="A122" s="1361"/>
      <c r="B122" s="1340" t="s">
        <v>8589</v>
      </c>
      <c r="C122" s="923" t="s">
        <v>8590</v>
      </c>
      <c r="D122" s="1361"/>
      <c r="E122" s="1361"/>
      <c r="F122" s="1361"/>
      <c r="G122" s="1361"/>
      <c r="H122" s="1361"/>
      <c r="I122" s="1361"/>
      <c r="J122" s="1361"/>
      <c r="K122" s="1361"/>
      <c r="L122" s="1361"/>
      <c r="M122" s="1361"/>
      <c r="N122" s="1361"/>
      <c r="O122" s="1361"/>
      <c r="P122" s="1361"/>
      <c r="Q122" s="1361"/>
      <c r="R122" s="1361"/>
      <c r="S122" s="1361"/>
      <c r="CM122" s="1377"/>
      <c r="CN122" s="1388" t="s">
        <v>8594</v>
      </c>
      <c r="CO122" s="1388" t="s">
        <v>8105</v>
      </c>
      <c r="CP122" s="1388" t="s">
        <v>8106</v>
      </c>
      <c r="CQ122" s="1388" t="s">
        <v>2265</v>
      </c>
      <c r="CR122" s="1388" t="s">
        <v>2265</v>
      </c>
      <c r="CS122" s="1388" t="s">
        <v>8108</v>
      </c>
      <c r="CT122" s="1388" t="s">
        <v>8109</v>
      </c>
      <c r="CU122" s="1388" t="s">
        <v>8110</v>
      </c>
      <c r="CV122" s="1389" t="s">
        <v>8111</v>
      </c>
      <c r="CX122" s="1379">
        <v>1</v>
      </c>
    </row>
    <row r="123" spans="1:102" ht="21" customHeight="1" x14ac:dyDescent="0.25">
      <c r="A123" s="1361"/>
      <c r="B123" s="1336" t="s">
        <v>8593</v>
      </c>
      <c r="C123" s="923" t="s">
        <v>13458</v>
      </c>
      <c r="D123" s="1361"/>
      <c r="E123" s="1361"/>
      <c r="F123" s="1361"/>
      <c r="G123" s="1361"/>
      <c r="H123" s="1361"/>
      <c r="I123" s="1361"/>
      <c r="J123" s="1361"/>
      <c r="K123" s="1361"/>
      <c r="L123" s="1361"/>
      <c r="M123" s="1361"/>
      <c r="N123" s="1361"/>
      <c r="O123" s="1361"/>
      <c r="P123" s="1361"/>
      <c r="Q123" s="1361"/>
      <c r="R123" s="1361"/>
      <c r="S123" s="1361"/>
      <c r="CM123" s="1377"/>
      <c r="CN123" s="1388" t="s">
        <v>8596</v>
      </c>
      <c r="CO123" s="1388" t="s">
        <v>8105</v>
      </c>
      <c r="CP123" s="1388" t="s">
        <v>8106</v>
      </c>
      <c r="CQ123" s="1388" t="s">
        <v>8597</v>
      </c>
      <c r="CR123" s="1388" t="s">
        <v>8597</v>
      </c>
      <c r="CS123" s="1388" t="s">
        <v>8108</v>
      </c>
      <c r="CT123" s="1388" t="s">
        <v>8109</v>
      </c>
      <c r="CU123" s="1388" t="s">
        <v>8110</v>
      </c>
      <c r="CV123" s="1389" t="s">
        <v>8111</v>
      </c>
      <c r="CX123" s="1379">
        <v>1</v>
      </c>
    </row>
    <row r="124" spans="1:102" ht="21" customHeight="1" x14ac:dyDescent="0.25">
      <c r="A124" s="1361"/>
      <c r="B124" s="1336"/>
      <c r="C124" s="923" t="s">
        <v>13459</v>
      </c>
      <c r="D124" s="1361"/>
      <c r="E124" s="1361"/>
      <c r="F124" s="1361"/>
      <c r="G124" s="1361"/>
      <c r="H124" s="1361"/>
      <c r="I124" s="1361"/>
      <c r="J124" s="1361"/>
      <c r="K124" s="1361"/>
      <c r="L124" s="1361"/>
      <c r="M124" s="1361"/>
      <c r="N124" s="1361"/>
      <c r="O124" s="1361"/>
      <c r="P124" s="1361"/>
      <c r="Q124" s="1361"/>
      <c r="R124" s="1361"/>
      <c r="S124" s="1361"/>
      <c r="CM124" s="1377"/>
      <c r="CN124" s="1388" t="s">
        <v>8599</v>
      </c>
      <c r="CO124" s="1388" t="s">
        <v>8105</v>
      </c>
      <c r="CP124" s="1388" t="s">
        <v>8106</v>
      </c>
      <c r="CQ124" s="1388" t="s">
        <v>8600</v>
      </c>
      <c r="CR124" s="1388" t="s">
        <v>8600</v>
      </c>
      <c r="CS124" s="1388" t="s">
        <v>8108</v>
      </c>
      <c r="CT124" s="1388" t="s">
        <v>8109</v>
      </c>
      <c r="CU124" s="1388" t="s">
        <v>8110</v>
      </c>
      <c r="CV124" s="1389" t="s">
        <v>8111</v>
      </c>
      <c r="CX124" s="1379">
        <v>1</v>
      </c>
    </row>
    <row r="125" spans="1:102" ht="21" customHeight="1" x14ac:dyDescent="0.25">
      <c r="A125" s="1361"/>
      <c r="B125" s="1336" t="s">
        <v>8302</v>
      </c>
      <c r="C125" s="923" t="s">
        <v>8595</v>
      </c>
      <c r="D125" s="1361"/>
      <c r="E125" s="1361"/>
      <c r="F125" s="1361"/>
      <c r="G125" s="1361"/>
      <c r="H125" s="1361"/>
      <c r="I125" s="1361"/>
      <c r="J125" s="1361"/>
      <c r="K125" s="1361"/>
      <c r="L125" s="1361"/>
      <c r="M125" s="1361"/>
      <c r="N125" s="1361"/>
      <c r="O125" s="1361"/>
      <c r="P125" s="1361"/>
      <c r="Q125" s="1361"/>
      <c r="R125" s="1361"/>
      <c r="S125" s="1361"/>
      <c r="CM125" s="1377"/>
      <c r="CN125" s="1388" t="s">
        <v>8601</v>
      </c>
      <c r="CO125" s="1388" t="s">
        <v>8105</v>
      </c>
      <c r="CP125" s="1388" t="s">
        <v>8106</v>
      </c>
      <c r="CQ125" s="1388" t="s">
        <v>8602</v>
      </c>
      <c r="CR125" s="1388" t="s">
        <v>8602</v>
      </c>
      <c r="CS125" s="1388" t="s">
        <v>8194</v>
      </c>
      <c r="CT125" s="1388" t="s">
        <v>8195</v>
      </c>
      <c r="CU125" s="1388" t="s">
        <v>8110</v>
      </c>
      <c r="CV125" s="1389" t="s">
        <v>8196</v>
      </c>
      <c r="CX125" s="1379">
        <v>1</v>
      </c>
    </row>
    <row r="126" spans="1:102" ht="21" customHeight="1" x14ac:dyDescent="0.25">
      <c r="A126" s="1361"/>
      <c r="B126" s="1340" t="s">
        <v>8598</v>
      </c>
      <c r="C126" s="923" t="s">
        <v>13460</v>
      </c>
      <c r="D126" s="1361"/>
      <c r="E126" s="1361"/>
      <c r="F126" s="1361"/>
      <c r="G126" s="1361"/>
      <c r="H126" s="1361"/>
      <c r="I126" s="1361"/>
      <c r="J126" s="1361"/>
      <c r="K126" s="1361"/>
      <c r="L126" s="1361"/>
      <c r="M126" s="1361"/>
      <c r="N126" s="1361"/>
      <c r="O126" s="1361"/>
      <c r="P126" s="1361"/>
      <c r="Q126" s="1361"/>
      <c r="R126" s="1361"/>
      <c r="S126" s="1361"/>
      <c r="CM126" s="1377"/>
      <c r="CN126" s="1388" t="s">
        <v>8603</v>
      </c>
      <c r="CO126" s="1388" t="s">
        <v>8105</v>
      </c>
      <c r="CP126" s="1388" t="s">
        <v>8106</v>
      </c>
      <c r="CQ126" s="1388" t="s">
        <v>8604</v>
      </c>
      <c r="CR126" s="1388" t="s">
        <v>8604</v>
      </c>
      <c r="CS126" s="1388" t="s">
        <v>8108</v>
      </c>
      <c r="CT126" s="1388" t="s">
        <v>8109</v>
      </c>
      <c r="CU126" s="1388" t="s">
        <v>8110</v>
      </c>
      <c r="CV126" s="1389" t="s">
        <v>8111</v>
      </c>
      <c r="CX126" s="1020"/>
    </row>
    <row r="127" spans="1:102" ht="21" customHeight="1" x14ac:dyDescent="0.25">
      <c r="A127" s="1361"/>
      <c r="B127" s="1341"/>
      <c r="C127" s="923" t="s">
        <v>13461</v>
      </c>
      <c r="D127" s="1361"/>
      <c r="E127" s="1361"/>
      <c r="F127" s="1361"/>
      <c r="G127" s="1361"/>
      <c r="H127" s="1361"/>
      <c r="I127" s="1361"/>
      <c r="J127" s="1361"/>
      <c r="K127" s="1361"/>
      <c r="L127" s="1361"/>
      <c r="M127" s="1361"/>
      <c r="N127" s="1361"/>
      <c r="O127" s="1361"/>
      <c r="P127" s="1361"/>
      <c r="Q127" s="1361"/>
      <c r="R127" s="1361"/>
      <c r="S127" s="1361"/>
      <c r="CM127" s="1377"/>
      <c r="CN127" s="1388" t="s">
        <v>8606</v>
      </c>
      <c r="CO127" s="1388" t="s">
        <v>8105</v>
      </c>
      <c r="CP127" s="1388" t="s">
        <v>8106</v>
      </c>
      <c r="CQ127" s="1388" t="s">
        <v>8607</v>
      </c>
      <c r="CR127" s="1388" t="s">
        <v>8607</v>
      </c>
      <c r="CS127" s="1388" t="s">
        <v>8108</v>
      </c>
      <c r="CT127" s="1388" t="s">
        <v>8109</v>
      </c>
      <c r="CU127" s="1388" t="s">
        <v>8110</v>
      </c>
      <c r="CV127" s="1389" t="s">
        <v>8111</v>
      </c>
      <c r="CX127" s="1020"/>
    </row>
    <row r="128" spans="1:102" ht="21" customHeight="1" x14ac:dyDescent="0.25">
      <c r="A128" s="1361"/>
      <c r="B128" s="1341"/>
      <c r="C128" s="923"/>
      <c r="D128" s="1361"/>
      <c r="E128" s="1361"/>
      <c r="F128" s="1361"/>
      <c r="G128" s="1361"/>
      <c r="H128" s="1361"/>
      <c r="I128" s="1361"/>
      <c r="J128" s="1361"/>
      <c r="K128" s="1361"/>
      <c r="L128" s="1361"/>
      <c r="M128" s="1361"/>
      <c r="N128" s="1361"/>
      <c r="O128" s="1361"/>
      <c r="P128" s="1361"/>
      <c r="Q128" s="1361"/>
      <c r="R128" s="1361"/>
      <c r="S128" s="1361"/>
      <c r="CM128" s="1377"/>
      <c r="CN128" s="1388" t="s">
        <v>8609</v>
      </c>
      <c r="CO128" s="1388" t="s">
        <v>8105</v>
      </c>
      <c r="CP128" s="1388" t="s">
        <v>8106</v>
      </c>
      <c r="CQ128" s="1388" t="s">
        <v>435</v>
      </c>
      <c r="CR128" s="1388" t="s">
        <v>435</v>
      </c>
      <c r="CS128" s="1388" t="s">
        <v>8108</v>
      </c>
      <c r="CT128" s="1388" t="s">
        <v>8109</v>
      </c>
      <c r="CU128" s="1388" t="s">
        <v>8110</v>
      </c>
      <c r="CV128" s="1389" t="s">
        <v>8111</v>
      </c>
      <c r="CX128" s="1020"/>
    </row>
    <row r="129" spans="1:102" ht="21" customHeight="1" x14ac:dyDescent="0.25">
      <c r="A129" s="923"/>
      <c r="B129" s="1424" t="s">
        <v>13462</v>
      </c>
      <c r="C129" s="1425"/>
      <c r="D129" s="923"/>
      <c r="E129" s="923"/>
      <c r="F129" s="923"/>
      <c r="G129" s="923"/>
      <c r="H129" s="923"/>
      <c r="I129" s="923"/>
      <c r="J129" s="923"/>
      <c r="K129" s="923"/>
      <c r="L129" s="923"/>
      <c r="M129" s="923"/>
      <c r="N129" s="923"/>
      <c r="O129" s="923"/>
      <c r="P129" s="923"/>
      <c r="Q129" s="923"/>
      <c r="R129" s="923"/>
      <c r="S129" s="923"/>
      <c r="CM129" s="1377"/>
      <c r="CN129" s="1388" t="s">
        <v>8611</v>
      </c>
      <c r="CO129" s="1388" t="s">
        <v>8105</v>
      </c>
      <c r="CP129" s="1388" t="s">
        <v>8106</v>
      </c>
      <c r="CQ129" s="1388" t="s">
        <v>8612</v>
      </c>
      <c r="CR129" s="1388" t="s">
        <v>8613</v>
      </c>
      <c r="CS129" s="1388" t="s">
        <v>8108</v>
      </c>
      <c r="CT129" s="1388" t="s">
        <v>8109</v>
      </c>
      <c r="CU129" s="1388" t="s">
        <v>8110</v>
      </c>
      <c r="CV129" s="1389" t="s">
        <v>8111</v>
      </c>
      <c r="CX129" s="1020"/>
    </row>
    <row r="130" spans="1:102" ht="21" customHeight="1" x14ac:dyDescent="0.25">
      <c r="A130" s="923"/>
      <c r="B130" s="1426" t="s">
        <v>13463</v>
      </c>
      <c r="C130" s="1427" t="s">
        <v>13464</v>
      </c>
      <c r="D130" s="923"/>
      <c r="E130" s="923"/>
      <c r="F130" s="923"/>
      <c r="G130" s="923"/>
      <c r="H130" s="923"/>
      <c r="I130" s="923"/>
      <c r="J130" s="923"/>
      <c r="K130" s="923"/>
      <c r="L130" s="923"/>
      <c r="M130" s="923"/>
      <c r="N130" s="923"/>
      <c r="O130" s="923"/>
      <c r="P130" s="923"/>
      <c r="Q130" s="923"/>
      <c r="R130" s="923"/>
      <c r="S130" s="923"/>
      <c r="CM130" s="1377"/>
      <c r="CN130" s="1388" t="s">
        <v>8615</v>
      </c>
      <c r="CO130" s="1388" t="s">
        <v>8105</v>
      </c>
      <c r="CP130" s="1388" t="s">
        <v>8106</v>
      </c>
      <c r="CQ130" s="1388" t="s">
        <v>8616</v>
      </c>
      <c r="CR130" s="1388" t="s">
        <v>8616</v>
      </c>
      <c r="CS130" s="1388" t="s">
        <v>8108</v>
      </c>
      <c r="CT130" s="1388" t="s">
        <v>8109</v>
      </c>
      <c r="CU130" s="1388" t="s">
        <v>8110</v>
      </c>
      <c r="CV130" s="1389" t="s">
        <v>8111</v>
      </c>
      <c r="CX130" s="1020"/>
    </row>
    <row r="131" spans="1:102" ht="21" customHeight="1" x14ac:dyDescent="0.25">
      <c r="A131" s="923"/>
      <c r="B131" s="1426" t="s">
        <v>13465</v>
      </c>
      <c r="C131" s="1427" t="s">
        <v>13466</v>
      </c>
      <c r="D131" s="923"/>
      <c r="E131" s="923"/>
      <c r="F131" s="923"/>
      <c r="G131" s="923"/>
      <c r="H131" s="923"/>
      <c r="I131" s="923"/>
      <c r="J131" s="923"/>
      <c r="K131" s="923"/>
      <c r="L131" s="923"/>
      <c r="M131" s="923"/>
      <c r="N131" s="923"/>
      <c r="O131" s="923"/>
      <c r="P131" s="923"/>
      <c r="Q131" s="923"/>
      <c r="R131" s="923"/>
      <c r="S131" s="923"/>
      <c r="CM131" s="1377"/>
      <c r="CN131" s="1388" t="s">
        <v>8618</v>
      </c>
      <c r="CO131" s="1388" t="s">
        <v>8105</v>
      </c>
      <c r="CP131" s="1388" t="s">
        <v>8106</v>
      </c>
      <c r="CQ131" s="1388" t="s">
        <v>8619</v>
      </c>
      <c r="CR131" s="1388" t="s">
        <v>8619</v>
      </c>
      <c r="CS131" s="1388" t="s">
        <v>8108</v>
      </c>
      <c r="CT131" s="1388" t="s">
        <v>8109</v>
      </c>
      <c r="CU131" s="1388" t="s">
        <v>8110</v>
      </c>
      <c r="CV131" s="1389" t="s">
        <v>8111</v>
      </c>
      <c r="CX131" s="1020"/>
    </row>
    <row r="132" spans="1:102" ht="21" customHeight="1" x14ac:dyDescent="0.25">
      <c r="A132" s="923"/>
      <c r="B132" s="1426"/>
      <c r="C132" s="1427" t="s">
        <v>13467</v>
      </c>
      <c r="D132" s="923"/>
      <c r="E132" s="923"/>
      <c r="F132" s="923"/>
      <c r="G132" s="923"/>
      <c r="H132" s="923"/>
      <c r="I132" s="923"/>
      <c r="J132" s="923"/>
      <c r="K132" s="923"/>
      <c r="L132" s="923"/>
      <c r="M132" s="923"/>
      <c r="N132" s="923"/>
      <c r="O132" s="923"/>
      <c r="P132" s="923"/>
      <c r="Q132" s="923"/>
      <c r="R132" s="923"/>
      <c r="S132" s="923"/>
      <c r="CM132" s="1377"/>
      <c r="CN132" s="1388" t="s">
        <v>8621</v>
      </c>
      <c r="CO132" s="1388" t="s">
        <v>8105</v>
      </c>
      <c r="CP132" s="1388" t="s">
        <v>8106</v>
      </c>
      <c r="CQ132" s="1388" t="s">
        <v>8622</v>
      </c>
      <c r="CR132" s="1388" t="s">
        <v>8622</v>
      </c>
      <c r="CS132" s="1388" t="s">
        <v>8108</v>
      </c>
      <c r="CT132" s="1388" t="s">
        <v>8109</v>
      </c>
      <c r="CU132" s="1388" t="s">
        <v>8110</v>
      </c>
      <c r="CV132" s="1389" t="s">
        <v>8111</v>
      </c>
      <c r="CX132" s="1020"/>
    </row>
    <row r="133" spans="1:102" ht="21" customHeight="1" x14ac:dyDescent="0.25">
      <c r="A133" s="923"/>
      <c r="B133" s="1426" t="s">
        <v>13468</v>
      </c>
      <c r="C133" s="1427" t="s">
        <v>13469</v>
      </c>
      <c r="D133" s="923"/>
      <c r="E133" s="923"/>
      <c r="F133" s="923"/>
      <c r="G133" s="923"/>
      <c r="H133" s="923"/>
      <c r="I133" s="923"/>
      <c r="J133" s="923"/>
      <c r="K133" s="923"/>
      <c r="L133" s="923"/>
      <c r="M133" s="923"/>
      <c r="N133" s="923"/>
      <c r="O133" s="923"/>
      <c r="P133" s="923"/>
      <c r="Q133" s="923"/>
      <c r="R133" s="923"/>
      <c r="S133" s="923"/>
      <c r="CM133" s="1377"/>
      <c r="CN133" s="1388" t="s">
        <v>8624</v>
      </c>
      <c r="CO133" s="1388" t="s">
        <v>8105</v>
      </c>
      <c r="CP133" s="1388" t="s">
        <v>8106</v>
      </c>
      <c r="CQ133" s="1388" t="s">
        <v>8625</v>
      </c>
      <c r="CR133" s="1388" t="s">
        <v>8626</v>
      </c>
      <c r="CS133" s="1388" t="s">
        <v>8108</v>
      </c>
      <c r="CT133" s="1388" t="s">
        <v>8109</v>
      </c>
      <c r="CU133" s="1388" t="s">
        <v>8110</v>
      </c>
      <c r="CV133" s="1389" t="s">
        <v>8111</v>
      </c>
      <c r="CX133" s="1020"/>
    </row>
    <row r="134" spans="1:102" ht="21" customHeight="1" x14ac:dyDescent="0.25">
      <c r="A134" s="923"/>
      <c r="B134" s="1426"/>
      <c r="C134" s="1427" t="s">
        <v>13470</v>
      </c>
      <c r="D134" s="923"/>
      <c r="E134" s="923"/>
      <c r="F134" s="923"/>
      <c r="G134" s="923"/>
      <c r="H134" s="923"/>
      <c r="I134" s="923"/>
      <c r="J134" s="923"/>
      <c r="K134" s="923"/>
      <c r="L134" s="923"/>
      <c r="M134" s="923"/>
      <c r="N134" s="923"/>
      <c r="O134" s="923"/>
      <c r="P134" s="923"/>
      <c r="Q134" s="923"/>
      <c r="R134" s="923"/>
      <c r="S134" s="923"/>
      <c r="CM134" s="1377"/>
      <c r="CN134" s="1388" t="s">
        <v>8627</v>
      </c>
      <c r="CO134" s="1388" t="s">
        <v>8105</v>
      </c>
      <c r="CP134" s="1388" t="s">
        <v>8106</v>
      </c>
      <c r="CQ134" s="1388" t="s">
        <v>8628</v>
      </c>
      <c r="CR134" s="1388" t="s">
        <v>8628</v>
      </c>
      <c r="CS134" s="1388" t="s">
        <v>8108</v>
      </c>
      <c r="CT134" s="1388" t="s">
        <v>8109</v>
      </c>
      <c r="CU134" s="1388" t="s">
        <v>8110</v>
      </c>
      <c r="CV134" s="1389" t="s">
        <v>8111</v>
      </c>
      <c r="CX134" s="1020"/>
    </row>
    <row r="135" spans="1:102" ht="21" customHeight="1" x14ac:dyDescent="0.25">
      <c r="A135" s="923"/>
      <c r="B135" s="1428"/>
      <c r="C135" s="1428"/>
      <c r="D135" s="923"/>
      <c r="E135" s="923"/>
      <c r="F135" s="923"/>
      <c r="G135" s="923"/>
      <c r="H135" s="923"/>
      <c r="I135" s="923"/>
      <c r="J135" s="923"/>
      <c r="K135" s="923"/>
      <c r="L135" s="923"/>
      <c r="M135" s="923"/>
      <c r="N135" s="923"/>
      <c r="O135" s="923"/>
      <c r="P135" s="923"/>
      <c r="Q135" s="923"/>
      <c r="R135" s="923"/>
      <c r="S135" s="923"/>
      <c r="CM135" s="1377"/>
      <c r="CN135" s="1388" t="s">
        <v>8629</v>
      </c>
      <c r="CO135" s="1388" t="s">
        <v>8105</v>
      </c>
      <c r="CP135" s="1388" t="s">
        <v>8106</v>
      </c>
      <c r="CQ135" s="1388" t="s">
        <v>8630</v>
      </c>
      <c r="CR135" s="1388" t="s">
        <v>8630</v>
      </c>
      <c r="CS135" s="1388" t="s">
        <v>8194</v>
      </c>
      <c r="CT135" s="1388" t="s">
        <v>8195</v>
      </c>
      <c r="CU135" s="1388" t="s">
        <v>8110</v>
      </c>
      <c r="CV135" s="1389" t="s">
        <v>8196</v>
      </c>
      <c r="CX135" s="1020"/>
    </row>
    <row r="136" spans="1:102" ht="21" customHeight="1" x14ac:dyDescent="0.25">
      <c r="A136" s="923"/>
      <c r="B136" s="1429" t="s">
        <v>13471</v>
      </c>
      <c r="C136" s="1429" t="s">
        <v>13472</v>
      </c>
      <c r="D136" s="1361"/>
      <c r="E136" s="1361"/>
      <c r="F136" s="923"/>
      <c r="G136" s="923"/>
      <c r="H136" s="923"/>
      <c r="I136" s="1361"/>
      <c r="J136" s="923"/>
      <c r="K136" s="923"/>
      <c r="L136" s="1361"/>
      <c r="M136" s="923"/>
      <c r="N136" s="923"/>
      <c r="O136" s="923"/>
      <c r="P136" s="923"/>
      <c r="Q136" s="923"/>
      <c r="R136" s="923"/>
      <c r="S136" s="923"/>
      <c r="CM136" s="1377"/>
      <c r="CN136" s="1388" t="s">
        <v>8631</v>
      </c>
      <c r="CO136" s="1388" t="s">
        <v>8105</v>
      </c>
      <c r="CP136" s="1388" t="s">
        <v>8106</v>
      </c>
      <c r="CQ136" s="1388" t="s">
        <v>8632</v>
      </c>
      <c r="CR136" s="1388" t="s">
        <v>8632</v>
      </c>
      <c r="CS136" s="1388" t="s">
        <v>8108</v>
      </c>
      <c r="CT136" s="1388" t="s">
        <v>8109</v>
      </c>
      <c r="CU136" s="1388" t="s">
        <v>8110</v>
      </c>
      <c r="CV136" s="1389" t="s">
        <v>8111</v>
      </c>
      <c r="CX136" s="1020"/>
    </row>
    <row r="137" spans="1:102" ht="21" customHeight="1" x14ac:dyDescent="0.25">
      <c r="A137" s="923"/>
      <c r="B137" s="1430" t="s">
        <v>13473</v>
      </c>
      <c r="C137" s="1427" t="s">
        <v>13474</v>
      </c>
      <c r="D137" s="1361"/>
      <c r="E137" s="1361"/>
      <c r="F137" s="923"/>
      <c r="G137" s="923"/>
      <c r="H137" s="923"/>
      <c r="I137" s="1361"/>
      <c r="J137" s="923"/>
      <c r="K137" s="923"/>
      <c r="L137" s="1361"/>
      <c r="M137" s="923"/>
      <c r="N137" s="923"/>
      <c r="O137" s="923"/>
      <c r="P137" s="923"/>
      <c r="Q137" s="923"/>
      <c r="R137" s="923"/>
      <c r="S137" s="923"/>
      <c r="CM137" s="1377"/>
      <c r="CN137" s="1388" t="s">
        <v>8634</v>
      </c>
      <c r="CO137" s="1388" t="s">
        <v>8105</v>
      </c>
      <c r="CP137" s="1388" t="s">
        <v>8106</v>
      </c>
      <c r="CQ137" s="1388" t="s">
        <v>8635</v>
      </c>
      <c r="CR137" s="1388" t="s">
        <v>8635</v>
      </c>
      <c r="CS137" s="1388" t="s">
        <v>8108</v>
      </c>
      <c r="CT137" s="1388" t="s">
        <v>8109</v>
      </c>
      <c r="CU137" s="1388" t="s">
        <v>8110</v>
      </c>
      <c r="CV137" s="1389" t="s">
        <v>8111</v>
      </c>
      <c r="CX137" s="1020"/>
    </row>
    <row r="138" spans="1:102" ht="21" customHeight="1" x14ac:dyDescent="0.25">
      <c r="A138" s="923"/>
      <c r="B138" s="1430" t="s">
        <v>13475</v>
      </c>
      <c r="C138" s="1427" t="s">
        <v>13476</v>
      </c>
      <c r="D138" s="1361"/>
      <c r="E138" s="1361"/>
      <c r="F138" s="923"/>
      <c r="G138" s="923"/>
      <c r="H138" s="923"/>
      <c r="I138" s="1361"/>
      <c r="J138" s="923"/>
      <c r="K138" s="923"/>
      <c r="L138" s="1361"/>
      <c r="M138" s="923"/>
      <c r="N138" s="923"/>
      <c r="O138" s="923"/>
      <c r="P138" s="923"/>
      <c r="Q138" s="923"/>
      <c r="R138" s="923"/>
      <c r="S138" s="923"/>
      <c r="CM138" s="1377"/>
      <c r="CN138" s="1388" t="s">
        <v>8636</v>
      </c>
      <c r="CO138" s="1388" t="s">
        <v>8105</v>
      </c>
      <c r="CP138" s="1388" t="s">
        <v>8106</v>
      </c>
      <c r="CQ138" s="1388" t="s">
        <v>8637</v>
      </c>
      <c r="CR138" s="1388" t="s">
        <v>8638</v>
      </c>
      <c r="CS138" s="1388" t="s">
        <v>8108</v>
      </c>
      <c r="CT138" s="1388" t="s">
        <v>8109</v>
      </c>
      <c r="CU138" s="1388" t="s">
        <v>8110</v>
      </c>
      <c r="CV138" s="1389" t="s">
        <v>8111</v>
      </c>
      <c r="CX138" s="1020"/>
    </row>
    <row r="139" spans="1:102" ht="21" customHeight="1" x14ac:dyDescent="0.25">
      <c r="A139" s="923"/>
      <c r="B139" s="1430" t="s">
        <v>13477</v>
      </c>
      <c r="C139" s="1427" t="s">
        <v>13478</v>
      </c>
      <c r="D139" s="1361"/>
      <c r="E139" s="1361"/>
      <c r="F139" s="923"/>
      <c r="G139" s="923"/>
      <c r="H139" s="923"/>
      <c r="I139" s="1361"/>
      <c r="J139" s="923"/>
      <c r="K139" s="923"/>
      <c r="L139" s="1361"/>
      <c r="M139" s="923"/>
      <c r="N139" s="923"/>
      <c r="O139" s="923"/>
      <c r="P139" s="923"/>
      <c r="Q139" s="923"/>
      <c r="R139" s="923"/>
      <c r="S139" s="923"/>
      <c r="CM139" s="1377"/>
      <c r="CN139" s="1388" t="s">
        <v>8639</v>
      </c>
      <c r="CO139" s="1388" t="s">
        <v>8105</v>
      </c>
      <c r="CP139" s="1388" t="s">
        <v>8106</v>
      </c>
      <c r="CQ139" s="1388" t="s">
        <v>8640</v>
      </c>
      <c r="CR139" s="1388" t="s">
        <v>8640</v>
      </c>
      <c r="CS139" s="1388" t="s">
        <v>8108</v>
      </c>
      <c r="CT139" s="1388" t="s">
        <v>8109</v>
      </c>
      <c r="CU139" s="1388" t="s">
        <v>8110</v>
      </c>
      <c r="CV139" s="1389" t="s">
        <v>8111</v>
      </c>
      <c r="CX139" s="1020"/>
    </row>
    <row r="140" spans="1:102" ht="21" customHeight="1" x14ac:dyDescent="0.25">
      <c r="A140" s="923"/>
      <c r="B140" s="1430" t="s">
        <v>13479</v>
      </c>
      <c r="C140" s="1427" t="s">
        <v>13480</v>
      </c>
      <c r="D140" s="1361"/>
      <c r="E140" s="1361"/>
      <c r="F140" s="923"/>
      <c r="G140" s="923"/>
      <c r="H140" s="923"/>
      <c r="I140" s="1361"/>
      <c r="J140" s="923"/>
      <c r="K140" s="923"/>
      <c r="L140" s="1361"/>
      <c r="M140" s="923"/>
      <c r="N140" s="923"/>
      <c r="O140" s="923"/>
      <c r="P140" s="923"/>
      <c r="Q140" s="923"/>
      <c r="R140" s="923"/>
      <c r="S140" s="923"/>
      <c r="CM140" s="1377"/>
      <c r="CN140" s="1388" t="s">
        <v>8641</v>
      </c>
      <c r="CO140" s="1388" t="s">
        <v>8105</v>
      </c>
      <c r="CP140" s="1388" t="s">
        <v>8106</v>
      </c>
      <c r="CQ140" s="1388" t="s">
        <v>8642</v>
      </c>
      <c r="CR140" s="1388" t="s">
        <v>8642</v>
      </c>
      <c r="CS140" s="1388" t="s">
        <v>8108</v>
      </c>
      <c r="CT140" s="1388" t="s">
        <v>8109</v>
      </c>
      <c r="CU140" s="1388" t="s">
        <v>8110</v>
      </c>
      <c r="CV140" s="1389" t="s">
        <v>8111</v>
      </c>
      <c r="CX140" s="1020"/>
    </row>
    <row r="141" spans="1:102" ht="21" customHeight="1" x14ac:dyDescent="0.25">
      <c r="A141" s="923"/>
      <c r="B141" s="1430" t="s">
        <v>13481</v>
      </c>
      <c r="C141" s="1427" t="s">
        <v>13482</v>
      </c>
      <c r="D141" s="1361"/>
      <c r="E141" s="1361"/>
      <c r="F141" s="923"/>
      <c r="G141" s="923"/>
      <c r="H141" s="923"/>
      <c r="I141" s="1361"/>
      <c r="J141" s="923"/>
      <c r="K141" s="923"/>
      <c r="L141" s="1361"/>
      <c r="M141" s="923"/>
      <c r="N141" s="923"/>
      <c r="O141" s="923"/>
      <c r="P141" s="923"/>
      <c r="Q141" s="923"/>
      <c r="R141" s="923"/>
      <c r="S141" s="923"/>
      <c r="CM141" s="1377"/>
      <c r="CN141" s="1388" t="s">
        <v>8643</v>
      </c>
      <c r="CO141" s="1388" t="s">
        <v>8105</v>
      </c>
      <c r="CP141" s="1388" t="s">
        <v>8106</v>
      </c>
      <c r="CQ141" s="1388" t="s">
        <v>8644</v>
      </c>
      <c r="CR141" s="1388" t="s">
        <v>8644</v>
      </c>
      <c r="CS141" s="1388" t="s">
        <v>8108</v>
      </c>
      <c r="CT141" s="1388" t="s">
        <v>8109</v>
      </c>
      <c r="CU141" s="1388" t="s">
        <v>8110</v>
      </c>
      <c r="CV141" s="1389" t="s">
        <v>8111</v>
      </c>
      <c r="CX141" s="1020"/>
    </row>
    <row r="142" spans="1:102" ht="21" customHeight="1" x14ac:dyDescent="0.25">
      <c r="A142" s="923"/>
      <c r="B142" s="1430" t="s">
        <v>13483</v>
      </c>
      <c r="C142" s="1427" t="s">
        <v>13484</v>
      </c>
      <c r="D142" s="1361"/>
      <c r="E142" s="1361"/>
      <c r="F142" s="923"/>
      <c r="G142" s="923"/>
      <c r="H142" s="923"/>
      <c r="I142" s="1361"/>
      <c r="J142" s="923"/>
      <c r="K142" s="923"/>
      <c r="L142" s="1361"/>
      <c r="M142" s="923"/>
      <c r="N142" s="923"/>
      <c r="O142" s="923"/>
      <c r="P142" s="923"/>
      <c r="Q142" s="923"/>
      <c r="R142" s="923"/>
      <c r="S142" s="923"/>
      <c r="CM142" s="1377"/>
      <c r="CN142" s="1388" t="s">
        <v>8645</v>
      </c>
      <c r="CO142" s="1388" t="s">
        <v>8105</v>
      </c>
      <c r="CP142" s="1388" t="s">
        <v>8106</v>
      </c>
      <c r="CQ142" s="1388" t="s">
        <v>8646</v>
      </c>
      <c r="CR142" s="1388" t="s">
        <v>8646</v>
      </c>
      <c r="CS142" s="1388" t="s">
        <v>8108</v>
      </c>
      <c r="CT142" s="1388" t="s">
        <v>8109</v>
      </c>
      <c r="CU142" s="1388" t="s">
        <v>8110</v>
      </c>
      <c r="CV142" s="1389" t="s">
        <v>8111</v>
      </c>
      <c r="CX142" s="1020"/>
    </row>
    <row r="143" spans="1:102" ht="21" customHeight="1" x14ac:dyDescent="0.25">
      <c r="A143" s="923"/>
      <c r="B143" s="1430" t="s">
        <v>13485</v>
      </c>
      <c r="C143" s="1427" t="s">
        <v>13486</v>
      </c>
      <c r="D143" s="1361"/>
      <c r="E143" s="1361"/>
      <c r="F143" s="923"/>
      <c r="G143" s="923"/>
      <c r="H143" s="923"/>
      <c r="I143" s="1361"/>
      <c r="J143" s="923"/>
      <c r="K143" s="923"/>
      <c r="L143" s="1361"/>
      <c r="M143" s="923"/>
      <c r="N143" s="923"/>
      <c r="O143" s="923"/>
      <c r="P143" s="923"/>
      <c r="Q143" s="923"/>
      <c r="R143" s="923"/>
      <c r="S143" s="923"/>
      <c r="CM143" s="1377"/>
      <c r="CN143" s="1388" t="s">
        <v>8647</v>
      </c>
      <c r="CO143" s="1388" t="s">
        <v>8105</v>
      </c>
      <c r="CP143" s="1388" t="s">
        <v>8106</v>
      </c>
      <c r="CQ143" s="1388" t="s">
        <v>8648</v>
      </c>
      <c r="CR143" s="1388" t="s">
        <v>8649</v>
      </c>
      <c r="CS143" s="1388" t="s">
        <v>8108</v>
      </c>
      <c r="CT143" s="1388" t="s">
        <v>8109</v>
      </c>
      <c r="CU143" s="1388" t="s">
        <v>8110</v>
      </c>
      <c r="CV143" s="1389" t="s">
        <v>8111</v>
      </c>
      <c r="CX143" s="1020"/>
    </row>
    <row r="144" spans="1:102" ht="21" customHeight="1" x14ac:dyDescent="0.25">
      <c r="A144" s="923"/>
      <c r="B144" s="1430" t="s">
        <v>13487</v>
      </c>
      <c r="C144" s="1427" t="s">
        <v>13488</v>
      </c>
      <c r="D144" s="1361"/>
      <c r="E144" s="1361"/>
      <c r="F144" s="923"/>
      <c r="G144" s="923"/>
      <c r="H144" s="923"/>
      <c r="I144" s="1361"/>
      <c r="J144" s="923"/>
      <c r="K144" s="923"/>
      <c r="L144" s="1361"/>
      <c r="M144" s="923"/>
      <c r="N144" s="923"/>
      <c r="O144" s="923"/>
      <c r="P144" s="923"/>
      <c r="Q144" s="923"/>
      <c r="R144" s="923"/>
      <c r="S144" s="923"/>
      <c r="CM144" s="1377"/>
      <c r="CN144" s="1388" t="s">
        <v>8650</v>
      </c>
      <c r="CO144" s="1388" t="s">
        <v>8105</v>
      </c>
      <c r="CP144" s="1388" t="s">
        <v>8106</v>
      </c>
      <c r="CQ144" s="1388" t="s">
        <v>8651</v>
      </c>
      <c r="CR144" s="1388" t="s">
        <v>8651</v>
      </c>
      <c r="CS144" s="1388" t="s">
        <v>8108</v>
      </c>
      <c r="CT144" s="1388" t="s">
        <v>8109</v>
      </c>
      <c r="CU144" s="1388" t="s">
        <v>8110</v>
      </c>
      <c r="CV144" s="1389" t="s">
        <v>8111</v>
      </c>
      <c r="CX144" s="1020"/>
    </row>
    <row r="145" spans="1:102" ht="21" customHeight="1" x14ac:dyDescent="0.25">
      <c r="A145" s="923"/>
      <c r="B145" s="1430" t="s">
        <v>13489</v>
      </c>
      <c r="C145" s="1427" t="s">
        <v>13490</v>
      </c>
      <c r="D145" s="1361"/>
      <c r="E145" s="1361"/>
      <c r="F145" s="923"/>
      <c r="G145" s="923"/>
      <c r="H145" s="923"/>
      <c r="I145" s="1361"/>
      <c r="J145" s="923"/>
      <c r="K145" s="923"/>
      <c r="L145" s="1361"/>
      <c r="M145" s="923"/>
      <c r="N145" s="923"/>
      <c r="O145" s="923"/>
      <c r="P145" s="923"/>
      <c r="Q145" s="923"/>
      <c r="R145" s="923"/>
      <c r="S145" s="923"/>
      <c r="CM145" s="1377"/>
      <c r="CN145" s="1388" t="s">
        <v>8652</v>
      </c>
      <c r="CO145" s="1388" t="s">
        <v>8105</v>
      </c>
      <c r="CP145" s="1388" t="s">
        <v>8106</v>
      </c>
      <c r="CQ145" s="1388" t="s">
        <v>8653</v>
      </c>
      <c r="CR145" s="1388" t="s">
        <v>8653</v>
      </c>
      <c r="CS145" s="1388" t="s">
        <v>8108</v>
      </c>
      <c r="CT145" s="1388" t="s">
        <v>8109</v>
      </c>
      <c r="CU145" s="1388" t="s">
        <v>8110</v>
      </c>
      <c r="CV145" s="1389" t="s">
        <v>8111</v>
      </c>
      <c r="CX145" s="1020"/>
    </row>
    <row r="146" spans="1:102" ht="21" customHeight="1" x14ac:dyDescent="0.25">
      <c r="A146" s="923"/>
      <c r="B146" s="1430" t="s">
        <v>13491</v>
      </c>
      <c r="C146" s="1427" t="s">
        <v>13492</v>
      </c>
      <c r="D146" s="1361"/>
      <c r="E146" s="1361"/>
      <c r="F146" s="923"/>
      <c r="G146" s="923"/>
      <c r="H146" s="923"/>
      <c r="I146" s="1361"/>
      <c r="J146" s="923"/>
      <c r="K146" s="923"/>
      <c r="L146" s="1361"/>
      <c r="M146" s="923"/>
      <c r="N146" s="923"/>
      <c r="O146" s="923"/>
      <c r="P146" s="923"/>
      <c r="Q146" s="923"/>
      <c r="R146" s="923"/>
      <c r="S146" s="923"/>
      <c r="CM146" s="1377"/>
      <c r="CN146" s="1388" t="s">
        <v>8654</v>
      </c>
      <c r="CO146" s="1388" t="s">
        <v>8105</v>
      </c>
      <c r="CP146" s="1388" t="s">
        <v>8106</v>
      </c>
      <c r="CQ146" s="1388" t="s">
        <v>8655</v>
      </c>
      <c r="CR146" s="1388" t="s">
        <v>8655</v>
      </c>
      <c r="CS146" s="1388" t="s">
        <v>8108</v>
      </c>
      <c r="CT146" s="1388" t="s">
        <v>8109</v>
      </c>
      <c r="CU146" s="1388" t="s">
        <v>8110</v>
      </c>
      <c r="CV146" s="1389" t="s">
        <v>8111</v>
      </c>
      <c r="CX146" s="1020"/>
    </row>
    <row r="147" spans="1:102" ht="21" customHeight="1" x14ac:dyDescent="0.25">
      <c r="A147" s="923"/>
      <c r="B147" s="1430" t="s">
        <v>13493</v>
      </c>
      <c r="C147" s="1427" t="s">
        <v>13494</v>
      </c>
      <c r="D147" s="1361"/>
      <c r="E147" s="1361"/>
      <c r="F147" s="923"/>
      <c r="G147" s="923"/>
      <c r="H147" s="923"/>
      <c r="I147" s="1361"/>
      <c r="J147" s="923"/>
      <c r="K147" s="923"/>
      <c r="L147" s="1361"/>
      <c r="M147" s="923"/>
      <c r="N147" s="923"/>
      <c r="O147" s="923"/>
      <c r="P147" s="923"/>
      <c r="Q147" s="923"/>
      <c r="R147" s="923"/>
      <c r="S147" s="923"/>
      <c r="CM147" s="1377"/>
      <c r="CN147" s="1388" t="s">
        <v>8656</v>
      </c>
      <c r="CO147" s="1388" t="s">
        <v>8105</v>
      </c>
      <c r="CP147" s="1388" t="s">
        <v>8106</v>
      </c>
      <c r="CQ147" s="1388" t="s">
        <v>8657</v>
      </c>
      <c r="CR147" s="1388" t="s">
        <v>8657</v>
      </c>
      <c r="CS147" s="1388" t="s">
        <v>8108</v>
      </c>
      <c r="CT147" s="1388" t="s">
        <v>8109</v>
      </c>
      <c r="CU147" s="1388" t="s">
        <v>8110</v>
      </c>
      <c r="CV147" s="1389" t="s">
        <v>8111</v>
      </c>
      <c r="CX147" s="1020"/>
    </row>
    <row r="148" spans="1:102" ht="21" customHeight="1" x14ac:dyDescent="0.25">
      <c r="A148" s="923"/>
      <c r="B148" s="1430" t="s">
        <v>13495</v>
      </c>
      <c r="C148" s="1427" t="s">
        <v>13496</v>
      </c>
      <c r="D148" s="1361"/>
      <c r="E148" s="1361"/>
      <c r="F148" s="923"/>
      <c r="G148" s="923"/>
      <c r="H148" s="923"/>
      <c r="I148" s="1361"/>
      <c r="J148" s="923"/>
      <c r="K148" s="923"/>
      <c r="L148" s="1361"/>
      <c r="M148" s="923"/>
      <c r="N148" s="923"/>
      <c r="O148" s="923"/>
      <c r="P148" s="923"/>
      <c r="Q148" s="923"/>
      <c r="R148" s="923"/>
      <c r="S148" s="923"/>
      <c r="CM148" s="1377"/>
      <c r="CN148" s="1388" t="s">
        <v>8658</v>
      </c>
      <c r="CO148" s="1388" t="s">
        <v>8105</v>
      </c>
      <c r="CP148" s="1388" t="s">
        <v>8555</v>
      </c>
      <c r="CQ148" s="1388" t="s">
        <v>8659</v>
      </c>
      <c r="CR148" s="1388" t="s">
        <v>8659</v>
      </c>
      <c r="CS148" s="1388" t="s">
        <v>8108</v>
      </c>
      <c r="CT148" s="1388" t="s">
        <v>8562</v>
      </c>
      <c r="CU148" s="1388" t="s">
        <v>8110</v>
      </c>
      <c r="CV148" s="1389" t="s">
        <v>8111</v>
      </c>
      <c r="CX148" s="1020"/>
    </row>
    <row r="149" spans="1:102" ht="21" customHeight="1" x14ac:dyDescent="0.25">
      <c r="A149" s="923"/>
      <c r="B149" s="1430" t="s">
        <v>13497</v>
      </c>
      <c r="C149" s="1427" t="s">
        <v>13498</v>
      </c>
      <c r="D149" s="1361"/>
      <c r="E149" s="1361"/>
      <c r="F149" s="923"/>
      <c r="G149" s="923"/>
      <c r="H149" s="923"/>
      <c r="I149" s="1361"/>
      <c r="J149" s="923"/>
      <c r="K149" s="923"/>
      <c r="L149" s="1361"/>
      <c r="M149" s="923"/>
      <c r="N149" s="923"/>
      <c r="O149" s="923"/>
      <c r="P149" s="923"/>
      <c r="Q149" s="923"/>
      <c r="R149" s="923"/>
      <c r="S149" s="923"/>
      <c r="CM149" s="1377"/>
      <c r="CN149" s="1388" t="s">
        <v>8660</v>
      </c>
      <c r="CO149" s="1388" t="s">
        <v>8105</v>
      </c>
      <c r="CP149" s="1388" t="s">
        <v>8106</v>
      </c>
      <c r="CQ149" s="1388" t="s">
        <v>8661</v>
      </c>
      <c r="CR149" s="1388" t="s">
        <v>8661</v>
      </c>
      <c r="CS149" s="1388" t="s">
        <v>8194</v>
      </c>
      <c r="CT149" s="1388" t="s">
        <v>8195</v>
      </c>
      <c r="CU149" s="1388" t="s">
        <v>8110</v>
      </c>
      <c r="CV149" s="1389" t="s">
        <v>8196</v>
      </c>
      <c r="CX149" s="1020"/>
    </row>
    <row r="150" spans="1:102" ht="21" customHeight="1" x14ac:dyDescent="0.25">
      <c r="A150" s="923"/>
      <c r="B150" s="1430" t="s">
        <v>13499</v>
      </c>
      <c r="C150" s="1427" t="s">
        <v>13500</v>
      </c>
      <c r="D150" s="1361"/>
      <c r="E150" s="1361"/>
      <c r="F150" s="923"/>
      <c r="G150" s="923"/>
      <c r="H150" s="923"/>
      <c r="I150" s="1361"/>
      <c r="J150" s="923"/>
      <c r="K150" s="923"/>
      <c r="L150" s="1361"/>
      <c r="M150" s="923"/>
      <c r="N150" s="923"/>
      <c r="O150" s="923"/>
      <c r="P150" s="923"/>
      <c r="Q150" s="923"/>
      <c r="R150" s="923"/>
      <c r="S150" s="923"/>
      <c r="CM150" s="1377"/>
      <c r="CN150" s="1388" t="s">
        <v>8662</v>
      </c>
      <c r="CO150" s="1388" t="s">
        <v>8105</v>
      </c>
      <c r="CP150" s="1388" t="s">
        <v>8106</v>
      </c>
      <c r="CQ150" s="1388" t="s">
        <v>8663</v>
      </c>
      <c r="CR150" s="1388" t="s">
        <v>8663</v>
      </c>
      <c r="CS150" s="1388" t="s">
        <v>8108</v>
      </c>
      <c r="CT150" s="1388" t="s">
        <v>8109</v>
      </c>
      <c r="CU150" s="1388" t="s">
        <v>8110</v>
      </c>
      <c r="CV150" s="1389" t="s">
        <v>8111</v>
      </c>
      <c r="CX150" s="1020"/>
    </row>
    <row r="151" spans="1:102" ht="21" customHeight="1" x14ac:dyDescent="0.25">
      <c r="A151" s="923"/>
      <c r="B151" s="1428"/>
      <c r="C151" s="1428"/>
      <c r="D151" s="923"/>
      <c r="E151" s="923"/>
      <c r="F151" s="923"/>
      <c r="G151" s="923"/>
      <c r="H151" s="923"/>
      <c r="I151" s="923"/>
      <c r="J151" s="923"/>
      <c r="K151" s="923"/>
      <c r="L151" s="923"/>
      <c r="M151" s="923"/>
      <c r="N151" s="923"/>
      <c r="O151" s="923"/>
      <c r="P151" s="923"/>
      <c r="Q151" s="923"/>
      <c r="R151" s="923"/>
      <c r="S151" s="923"/>
      <c r="CM151" s="1377"/>
      <c r="CN151" s="1388" t="s">
        <v>8664</v>
      </c>
      <c r="CO151" s="1388" t="s">
        <v>8105</v>
      </c>
      <c r="CP151" s="1388" t="s">
        <v>8106</v>
      </c>
      <c r="CQ151" s="1388" t="s">
        <v>8665</v>
      </c>
      <c r="CR151" s="1388" t="s">
        <v>8665</v>
      </c>
      <c r="CS151" s="1388" t="s">
        <v>8108</v>
      </c>
      <c r="CT151" s="1388" t="s">
        <v>8109</v>
      </c>
      <c r="CU151" s="1388" t="s">
        <v>8110</v>
      </c>
      <c r="CV151" s="1389" t="s">
        <v>8111</v>
      </c>
      <c r="CX151" s="1020"/>
    </row>
    <row r="152" spans="1:102" ht="21" customHeight="1" x14ac:dyDescent="0.25">
      <c r="A152" s="923"/>
      <c r="B152" s="1429"/>
      <c r="C152" s="1429" t="s">
        <v>13501</v>
      </c>
      <c r="D152" s="923"/>
      <c r="E152" s="923"/>
      <c r="F152" s="923"/>
      <c r="G152" s="923"/>
      <c r="H152" s="923"/>
      <c r="I152" s="923"/>
      <c r="J152" s="923"/>
      <c r="K152" s="923"/>
      <c r="L152" s="923"/>
      <c r="M152" s="923"/>
      <c r="N152" s="923"/>
      <c r="O152" s="923"/>
      <c r="P152" s="923"/>
      <c r="Q152" s="923"/>
      <c r="R152" s="923"/>
      <c r="S152" s="923"/>
      <c r="CM152" s="1377"/>
      <c r="CN152" s="1388" t="s">
        <v>8666</v>
      </c>
      <c r="CO152" s="1388" t="s">
        <v>8105</v>
      </c>
      <c r="CP152" s="1388" t="s">
        <v>8555</v>
      </c>
      <c r="CQ152" s="1388" t="s">
        <v>8667</v>
      </c>
      <c r="CR152" s="1388" t="s">
        <v>8668</v>
      </c>
      <c r="CS152" s="1388" t="s">
        <v>8108</v>
      </c>
      <c r="CT152" s="1388" t="s">
        <v>8562</v>
      </c>
      <c r="CU152" s="1388" t="s">
        <v>8110</v>
      </c>
      <c r="CV152" s="1389" t="s">
        <v>8111</v>
      </c>
      <c r="CX152" s="1020"/>
    </row>
    <row r="153" spans="1:102" ht="21" customHeight="1" x14ac:dyDescent="0.25">
      <c r="A153" s="923"/>
      <c r="B153" s="1430" t="s">
        <v>13473</v>
      </c>
      <c r="C153" s="1427" t="s">
        <v>13502</v>
      </c>
      <c r="D153" s="923"/>
      <c r="E153" s="923"/>
      <c r="F153" s="923"/>
      <c r="G153" s="923"/>
      <c r="H153" s="923"/>
      <c r="I153" s="923"/>
      <c r="J153" s="923"/>
      <c r="K153" s="923"/>
      <c r="L153" s="923"/>
      <c r="M153" s="923"/>
      <c r="N153" s="923"/>
      <c r="O153" s="923"/>
      <c r="P153" s="923"/>
      <c r="Q153" s="923"/>
      <c r="R153" s="923"/>
      <c r="S153" s="923"/>
      <c r="CM153" s="1377"/>
      <c r="CN153" s="1388" t="s">
        <v>8669</v>
      </c>
      <c r="CO153" s="1388" t="s">
        <v>8105</v>
      </c>
      <c r="CP153" s="1388" t="s">
        <v>8555</v>
      </c>
      <c r="CQ153" s="1388" t="s">
        <v>8670</v>
      </c>
      <c r="CR153" s="1388" t="s">
        <v>8670</v>
      </c>
      <c r="CS153" s="1388" t="s">
        <v>8108</v>
      </c>
      <c r="CT153" s="1388" t="s">
        <v>8562</v>
      </c>
      <c r="CU153" s="1388" t="s">
        <v>8110</v>
      </c>
      <c r="CV153" s="1389" t="s">
        <v>8111</v>
      </c>
      <c r="CX153" s="1020"/>
    </row>
    <row r="154" spans="1:102" ht="21" customHeight="1" x14ac:dyDescent="0.25">
      <c r="A154" s="923"/>
      <c r="B154" s="1430" t="s">
        <v>13475</v>
      </c>
      <c r="C154" s="1427" t="s">
        <v>13503</v>
      </c>
      <c r="D154" s="923"/>
      <c r="E154" s="923"/>
      <c r="F154" s="923"/>
      <c r="G154" s="923"/>
      <c r="H154" s="923"/>
      <c r="I154" s="923"/>
      <c r="J154" s="923"/>
      <c r="K154" s="923"/>
      <c r="L154" s="923"/>
      <c r="M154" s="923"/>
      <c r="N154" s="923"/>
      <c r="O154" s="923"/>
      <c r="P154" s="923"/>
      <c r="Q154" s="923"/>
      <c r="R154" s="923"/>
      <c r="S154" s="923"/>
      <c r="CM154" s="1377"/>
      <c r="CN154" s="1388" t="s">
        <v>8671</v>
      </c>
      <c r="CO154" s="1388" t="s">
        <v>8105</v>
      </c>
      <c r="CP154" s="1388" t="s">
        <v>8555</v>
      </c>
      <c r="CQ154" s="1388" t="s">
        <v>8672</v>
      </c>
      <c r="CR154" s="1388" t="s">
        <v>8672</v>
      </c>
      <c r="CS154" s="1388" t="s">
        <v>8194</v>
      </c>
      <c r="CT154" s="1388" t="s">
        <v>8557</v>
      </c>
      <c r="CU154" s="1388" t="s">
        <v>8110</v>
      </c>
      <c r="CV154" s="1389" t="s">
        <v>8196</v>
      </c>
      <c r="CX154" s="1020"/>
    </row>
    <row r="155" spans="1:102" ht="21" customHeight="1" x14ac:dyDescent="0.25">
      <c r="A155" s="923"/>
      <c r="B155" s="1430" t="s">
        <v>13477</v>
      </c>
      <c r="C155" s="1427" t="s">
        <v>13504</v>
      </c>
      <c r="D155" s="923"/>
      <c r="E155" s="923"/>
      <c r="F155" s="923"/>
      <c r="G155" s="923"/>
      <c r="H155" s="923"/>
      <c r="I155" s="923"/>
      <c r="J155" s="923"/>
      <c r="K155" s="923"/>
      <c r="L155" s="923"/>
      <c r="M155" s="923"/>
      <c r="N155" s="923"/>
      <c r="O155" s="923"/>
      <c r="P155" s="923"/>
      <c r="Q155" s="923"/>
      <c r="R155" s="923"/>
      <c r="S155" s="923"/>
      <c r="CM155" s="1377"/>
      <c r="CN155" s="1388" t="s">
        <v>8673</v>
      </c>
      <c r="CO155" s="1388" t="s">
        <v>8105</v>
      </c>
      <c r="CP155" s="1388" t="s">
        <v>8555</v>
      </c>
      <c r="CQ155" s="1388" t="s">
        <v>8674</v>
      </c>
      <c r="CR155" s="1388" t="s">
        <v>8674</v>
      </c>
      <c r="CS155" s="1388" t="s">
        <v>8194</v>
      </c>
      <c r="CT155" s="1388" t="s">
        <v>8557</v>
      </c>
      <c r="CU155" s="1388" t="s">
        <v>8110</v>
      </c>
      <c r="CV155" s="1389" t="s">
        <v>8196</v>
      </c>
      <c r="CX155" s="1020"/>
    </row>
    <row r="156" spans="1:102" ht="21" customHeight="1" x14ac:dyDescent="0.25">
      <c r="A156" s="923"/>
      <c r="B156" s="1430" t="s">
        <v>13479</v>
      </c>
      <c r="C156" s="1427" t="s">
        <v>13505</v>
      </c>
      <c r="D156" s="923"/>
      <c r="E156" s="923"/>
      <c r="F156" s="923"/>
      <c r="G156" s="923"/>
      <c r="H156" s="923"/>
      <c r="I156" s="923"/>
      <c r="J156" s="923"/>
      <c r="K156" s="923"/>
      <c r="L156" s="923"/>
      <c r="M156" s="923"/>
      <c r="N156" s="923"/>
      <c r="O156" s="923"/>
      <c r="P156" s="923"/>
      <c r="Q156" s="923"/>
      <c r="R156" s="923"/>
      <c r="S156" s="923"/>
      <c r="CM156" s="1377"/>
      <c r="CN156" s="1388" t="s">
        <v>8675</v>
      </c>
      <c r="CO156" s="1388" t="s">
        <v>8105</v>
      </c>
      <c r="CP156" s="1388" t="s">
        <v>8555</v>
      </c>
      <c r="CQ156" s="1388" t="s">
        <v>8676</v>
      </c>
      <c r="CR156" s="1388" t="s">
        <v>8676</v>
      </c>
      <c r="CS156" s="1388" t="s">
        <v>8108</v>
      </c>
      <c r="CT156" s="1388" t="s">
        <v>8562</v>
      </c>
      <c r="CU156" s="1388" t="s">
        <v>8110</v>
      </c>
      <c r="CV156" s="1389" t="s">
        <v>8111</v>
      </c>
      <c r="CX156" s="1020"/>
    </row>
    <row r="157" spans="1:102" ht="21" customHeight="1" x14ac:dyDescent="0.25">
      <c r="A157" s="923"/>
      <c r="B157" s="1430" t="s">
        <v>13481</v>
      </c>
      <c r="C157" s="1427" t="s">
        <v>13506</v>
      </c>
      <c r="D157" s="923"/>
      <c r="E157" s="923"/>
      <c r="F157" s="923"/>
      <c r="G157" s="923"/>
      <c r="H157" s="923"/>
      <c r="I157" s="923"/>
      <c r="J157" s="923"/>
      <c r="K157" s="923"/>
      <c r="L157" s="923"/>
      <c r="M157" s="923"/>
      <c r="N157" s="923"/>
      <c r="O157" s="923"/>
      <c r="P157" s="923"/>
      <c r="Q157" s="923"/>
      <c r="R157" s="923"/>
      <c r="S157" s="923"/>
      <c r="CM157" s="1377"/>
      <c r="CN157" s="1388" t="s">
        <v>8677</v>
      </c>
      <c r="CO157" s="1388" t="s">
        <v>8105</v>
      </c>
      <c r="CP157" s="1388" t="s">
        <v>8555</v>
      </c>
      <c r="CQ157" s="1388" t="s">
        <v>8678</v>
      </c>
      <c r="CR157" s="1388" t="s">
        <v>8678</v>
      </c>
      <c r="CS157" s="1388" t="s">
        <v>8108</v>
      </c>
      <c r="CT157" s="1388" t="s">
        <v>8562</v>
      </c>
      <c r="CU157" s="1388" t="s">
        <v>8110</v>
      </c>
      <c r="CV157" s="1389" t="s">
        <v>8111</v>
      </c>
      <c r="CX157" s="1020"/>
    </row>
    <row r="158" spans="1:102" ht="21" customHeight="1" x14ac:dyDescent="0.25">
      <c r="A158" s="923"/>
      <c r="B158" s="1430" t="s">
        <v>13483</v>
      </c>
      <c r="C158" s="1427" t="s">
        <v>13507</v>
      </c>
      <c r="D158" s="923"/>
      <c r="E158" s="923"/>
      <c r="F158" s="923"/>
      <c r="G158" s="923"/>
      <c r="H158" s="923"/>
      <c r="I158" s="923"/>
      <c r="J158" s="923"/>
      <c r="K158" s="923"/>
      <c r="L158" s="923"/>
      <c r="M158" s="923"/>
      <c r="N158" s="923"/>
      <c r="O158" s="923"/>
      <c r="P158" s="923"/>
      <c r="Q158" s="923"/>
      <c r="R158" s="923"/>
      <c r="S158" s="923"/>
      <c r="CM158" s="1377"/>
      <c r="CN158" s="1388" t="s">
        <v>8679</v>
      </c>
      <c r="CO158" s="1388" t="s">
        <v>8105</v>
      </c>
      <c r="CP158" s="1388" t="s">
        <v>8555</v>
      </c>
      <c r="CQ158" s="1388" t="s">
        <v>8680</v>
      </c>
      <c r="CR158" s="1388" t="s">
        <v>8681</v>
      </c>
      <c r="CS158" s="1388" t="s">
        <v>8108</v>
      </c>
      <c r="CT158" s="1388" t="s">
        <v>8562</v>
      </c>
      <c r="CU158" s="1388" t="s">
        <v>8110</v>
      </c>
      <c r="CV158" s="1389" t="s">
        <v>8111</v>
      </c>
      <c r="CX158" s="1020"/>
    </row>
    <row r="159" spans="1:102" ht="21" customHeight="1" x14ac:dyDescent="0.25">
      <c r="A159" s="923"/>
      <c r="B159" s="1430" t="s">
        <v>13485</v>
      </c>
      <c r="C159" s="1427" t="s">
        <v>13508</v>
      </c>
      <c r="D159" s="923"/>
      <c r="E159" s="923"/>
      <c r="F159" s="923"/>
      <c r="G159" s="923"/>
      <c r="H159" s="923"/>
      <c r="I159" s="923"/>
      <c r="J159" s="923"/>
      <c r="K159" s="923"/>
      <c r="L159" s="923"/>
      <c r="M159" s="923"/>
      <c r="N159" s="923"/>
      <c r="O159" s="923"/>
      <c r="P159" s="923"/>
      <c r="Q159" s="923"/>
      <c r="R159" s="923"/>
      <c r="S159" s="923"/>
      <c r="CM159" s="1377"/>
      <c r="CN159" s="1388" t="s">
        <v>8682</v>
      </c>
      <c r="CO159" s="1388" t="s">
        <v>8105</v>
      </c>
      <c r="CP159" s="1388" t="s">
        <v>8555</v>
      </c>
      <c r="CQ159" s="1388" t="s">
        <v>8683</v>
      </c>
      <c r="CR159" s="1388" t="s">
        <v>8683</v>
      </c>
      <c r="CS159" s="1388" t="s">
        <v>8108</v>
      </c>
      <c r="CT159" s="1388" t="s">
        <v>8562</v>
      </c>
      <c r="CU159" s="1388" t="s">
        <v>8110</v>
      </c>
      <c r="CV159" s="1389" t="s">
        <v>8111</v>
      </c>
      <c r="CX159" s="1020"/>
    </row>
    <row r="160" spans="1:102" ht="21" customHeight="1" x14ac:dyDescent="0.25">
      <c r="A160" s="923"/>
      <c r="B160" s="1430" t="s">
        <v>13487</v>
      </c>
      <c r="C160" s="1427" t="s">
        <v>13509</v>
      </c>
      <c r="D160" s="923"/>
      <c r="E160" s="923"/>
      <c r="F160" s="923"/>
      <c r="G160" s="923"/>
      <c r="H160" s="923"/>
      <c r="I160" s="923"/>
      <c r="J160" s="923"/>
      <c r="K160" s="923"/>
      <c r="L160" s="923"/>
      <c r="M160" s="923"/>
      <c r="N160" s="923"/>
      <c r="O160" s="923"/>
      <c r="P160" s="923"/>
      <c r="Q160" s="923"/>
      <c r="R160" s="923"/>
      <c r="S160" s="923"/>
      <c r="CM160" s="1377"/>
      <c r="CN160" s="1388" t="s">
        <v>8684</v>
      </c>
      <c r="CO160" s="1388" t="s">
        <v>8105</v>
      </c>
      <c r="CP160" s="1388" t="s">
        <v>8555</v>
      </c>
      <c r="CQ160" s="1388" t="s">
        <v>8685</v>
      </c>
      <c r="CR160" s="1388" t="s">
        <v>8685</v>
      </c>
      <c r="CS160" s="1388" t="s">
        <v>8108</v>
      </c>
      <c r="CT160" s="1388" t="s">
        <v>8562</v>
      </c>
      <c r="CU160" s="1388" t="s">
        <v>8110</v>
      </c>
      <c r="CV160" s="1389" t="s">
        <v>8111</v>
      </c>
      <c r="CX160" s="1020"/>
    </row>
    <row r="161" spans="1:102" ht="21" customHeight="1" x14ac:dyDescent="0.25">
      <c r="A161" s="923"/>
      <c r="B161" s="1430" t="s">
        <v>13489</v>
      </c>
      <c r="C161" s="1427" t="s">
        <v>13510</v>
      </c>
      <c r="D161" s="923"/>
      <c r="E161" s="923"/>
      <c r="F161" s="923"/>
      <c r="G161" s="923"/>
      <c r="H161" s="923"/>
      <c r="I161" s="923"/>
      <c r="J161" s="923"/>
      <c r="K161" s="923"/>
      <c r="L161" s="923"/>
      <c r="M161" s="923"/>
      <c r="N161" s="923"/>
      <c r="O161" s="923"/>
      <c r="P161" s="923"/>
      <c r="Q161" s="923"/>
      <c r="R161" s="923"/>
      <c r="S161" s="923"/>
      <c r="CM161" s="1377"/>
      <c r="CN161" s="1388" t="s">
        <v>8686</v>
      </c>
      <c r="CO161" s="1388" t="s">
        <v>8105</v>
      </c>
      <c r="CP161" s="1388" t="s">
        <v>8555</v>
      </c>
      <c r="CQ161" s="1388" t="s">
        <v>8687</v>
      </c>
      <c r="CR161" s="1388" t="s">
        <v>8687</v>
      </c>
      <c r="CS161" s="1388" t="s">
        <v>8108</v>
      </c>
      <c r="CT161" s="1388" t="s">
        <v>8562</v>
      </c>
      <c r="CU161" s="1388" t="s">
        <v>8110</v>
      </c>
      <c r="CV161" s="1389" t="s">
        <v>8111</v>
      </c>
      <c r="CX161" s="1020"/>
    </row>
    <row r="162" spans="1:102" ht="21" customHeight="1" x14ac:dyDescent="0.25">
      <c r="A162" s="923"/>
      <c r="B162" s="1430" t="s">
        <v>13491</v>
      </c>
      <c r="C162" s="1427" t="s">
        <v>13511</v>
      </c>
      <c r="D162" s="923"/>
      <c r="E162" s="923"/>
      <c r="F162" s="923"/>
      <c r="G162" s="923"/>
      <c r="H162" s="923"/>
      <c r="I162" s="923"/>
      <c r="J162" s="923"/>
      <c r="K162" s="923"/>
      <c r="L162" s="923"/>
      <c r="M162" s="923"/>
      <c r="N162" s="923"/>
      <c r="O162" s="923"/>
      <c r="P162" s="923"/>
      <c r="Q162" s="923"/>
      <c r="R162" s="923"/>
      <c r="S162" s="923"/>
      <c r="CM162" s="1377"/>
      <c r="CN162" s="1388" t="s">
        <v>8688</v>
      </c>
      <c r="CO162" s="1388" t="s">
        <v>8105</v>
      </c>
      <c r="CP162" s="1388" t="s">
        <v>8555</v>
      </c>
      <c r="CQ162" s="1388" t="s">
        <v>8689</v>
      </c>
      <c r="CR162" s="1388" t="s">
        <v>8689</v>
      </c>
      <c r="CS162" s="1388" t="s">
        <v>8108</v>
      </c>
      <c r="CT162" s="1388" t="s">
        <v>8562</v>
      </c>
      <c r="CU162" s="1388" t="s">
        <v>8110</v>
      </c>
      <c r="CV162" s="1389" t="s">
        <v>8111</v>
      </c>
      <c r="CX162" s="1020"/>
    </row>
    <row r="163" spans="1:102" ht="21" customHeight="1" x14ac:dyDescent="0.25">
      <c r="A163" s="923"/>
      <c r="B163" s="1430" t="s">
        <v>13493</v>
      </c>
      <c r="C163" s="1427" t="s">
        <v>13512</v>
      </c>
      <c r="D163" s="923"/>
      <c r="E163" s="923"/>
      <c r="F163" s="923"/>
      <c r="G163" s="923"/>
      <c r="H163" s="923"/>
      <c r="I163" s="923"/>
      <c r="J163" s="923"/>
      <c r="K163" s="923"/>
      <c r="L163" s="923"/>
      <c r="M163" s="923"/>
      <c r="N163" s="923"/>
      <c r="O163" s="923"/>
      <c r="P163" s="923"/>
      <c r="Q163" s="923"/>
      <c r="R163" s="923"/>
      <c r="S163" s="923"/>
      <c r="CM163" s="1377"/>
      <c r="CN163" s="1388" t="s">
        <v>8690</v>
      </c>
      <c r="CO163" s="1388" t="s">
        <v>8105</v>
      </c>
      <c r="CP163" s="1388" t="s">
        <v>8555</v>
      </c>
      <c r="CQ163" s="1388" t="s">
        <v>8691</v>
      </c>
      <c r="CR163" s="1388" t="s">
        <v>8691</v>
      </c>
      <c r="CS163" s="1388" t="s">
        <v>8108</v>
      </c>
      <c r="CT163" s="1388" t="s">
        <v>8562</v>
      </c>
      <c r="CU163" s="1388" t="s">
        <v>8110</v>
      </c>
      <c r="CV163" s="1389" t="s">
        <v>8111</v>
      </c>
      <c r="CX163" s="1020"/>
    </row>
    <row r="164" spans="1:102" ht="21" customHeight="1" x14ac:dyDescent="0.25">
      <c r="A164" s="923"/>
      <c r="B164" s="1430" t="s">
        <v>13495</v>
      </c>
      <c r="C164" s="1427" t="s">
        <v>13513</v>
      </c>
      <c r="D164" s="923"/>
      <c r="E164" s="923"/>
      <c r="F164" s="923"/>
      <c r="G164" s="923"/>
      <c r="H164" s="923"/>
      <c r="I164" s="923"/>
      <c r="J164" s="923"/>
      <c r="K164" s="923"/>
      <c r="L164" s="923"/>
      <c r="M164" s="923"/>
      <c r="N164" s="923"/>
      <c r="O164" s="923"/>
      <c r="P164" s="923"/>
      <c r="Q164" s="923"/>
      <c r="R164" s="923"/>
      <c r="S164" s="923"/>
      <c r="CM164" s="1377"/>
      <c r="CN164" s="1388" t="s">
        <v>8692</v>
      </c>
      <c r="CO164" s="1388" t="s">
        <v>8105</v>
      </c>
      <c r="CP164" s="1388" t="s">
        <v>8555</v>
      </c>
      <c r="CQ164" s="1388" t="s">
        <v>8693</v>
      </c>
      <c r="CR164" s="1388" t="s">
        <v>8693</v>
      </c>
      <c r="CS164" s="1388" t="s">
        <v>8108</v>
      </c>
      <c r="CT164" s="1388" t="s">
        <v>8562</v>
      </c>
      <c r="CU164" s="1388" t="s">
        <v>8110</v>
      </c>
      <c r="CV164" s="1389" t="s">
        <v>8111</v>
      </c>
      <c r="CX164" s="1020"/>
    </row>
    <row r="165" spans="1:102" ht="21" customHeight="1" x14ac:dyDescent="0.25">
      <c r="A165" s="923"/>
      <c r="B165" s="1430" t="s">
        <v>13497</v>
      </c>
      <c r="C165" s="1427" t="s">
        <v>13514</v>
      </c>
      <c r="D165" s="923"/>
      <c r="E165" s="923"/>
      <c r="F165" s="923"/>
      <c r="G165" s="923"/>
      <c r="H165" s="923"/>
      <c r="I165" s="923"/>
      <c r="J165" s="923"/>
      <c r="K165" s="923"/>
      <c r="L165" s="923"/>
      <c r="M165" s="923"/>
      <c r="N165" s="923"/>
      <c r="O165" s="923"/>
      <c r="P165" s="923"/>
      <c r="Q165" s="923"/>
      <c r="R165" s="923"/>
      <c r="S165" s="923"/>
      <c r="CM165" s="1377"/>
      <c r="CN165" s="1388" t="s">
        <v>8694</v>
      </c>
      <c r="CO165" s="1388" t="s">
        <v>8105</v>
      </c>
      <c r="CP165" s="1388" t="s">
        <v>8555</v>
      </c>
      <c r="CQ165" s="1388" t="s">
        <v>8695</v>
      </c>
      <c r="CR165" s="1388" t="s">
        <v>8695</v>
      </c>
      <c r="CS165" s="1388" t="s">
        <v>8108</v>
      </c>
      <c r="CT165" s="1388" t="s">
        <v>8562</v>
      </c>
      <c r="CU165" s="1388" t="s">
        <v>8110</v>
      </c>
      <c r="CV165" s="1389" t="s">
        <v>8111</v>
      </c>
      <c r="CX165" s="1020"/>
    </row>
    <row r="166" spans="1:102" ht="21" customHeight="1" x14ac:dyDescent="0.25">
      <c r="A166" s="923"/>
      <c r="B166" s="1430" t="s">
        <v>13499</v>
      </c>
      <c r="C166" s="1427" t="s">
        <v>13515</v>
      </c>
      <c r="D166" s="923"/>
      <c r="E166" s="923"/>
      <c r="F166" s="923"/>
      <c r="G166" s="923"/>
      <c r="H166" s="923"/>
      <c r="I166" s="923"/>
      <c r="J166" s="923"/>
      <c r="K166" s="923"/>
      <c r="L166" s="923"/>
      <c r="M166" s="923"/>
      <c r="N166" s="923"/>
      <c r="O166" s="923"/>
      <c r="P166" s="923"/>
      <c r="Q166" s="923"/>
      <c r="R166" s="923"/>
      <c r="S166" s="923"/>
      <c r="CM166" s="1377"/>
      <c r="CN166" s="1388" t="s">
        <v>8696</v>
      </c>
      <c r="CO166" s="1388" t="s">
        <v>8105</v>
      </c>
      <c r="CP166" s="1388" t="s">
        <v>8555</v>
      </c>
      <c r="CQ166" s="1388" t="s">
        <v>8697</v>
      </c>
      <c r="CR166" s="1388" t="s">
        <v>8697</v>
      </c>
      <c r="CS166" s="1388" t="s">
        <v>8108</v>
      </c>
      <c r="CT166" s="1388" t="s">
        <v>8562</v>
      </c>
      <c r="CU166" s="1388" t="s">
        <v>8110</v>
      </c>
      <c r="CV166" s="1389" t="s">
        <v>8111</v>
      </c>
      <c r="CX166" s="1020"/>
    </row>
    <row r="167" spans="1:102" ht="21" customHeight="1" x14ac:dyDescent="0.25">
      <c r="A167" s="923"/>
      <c r="B167" s="1428"/>
      <c r="C167" s="1428"/>
      <c r="D167" s="923"/>
      <c r="E167" s="923"/>
      <c r="F167" s="923"/>
      <c r="G167" s="923"/>
      <c r="H167" s="923"/>
      <c r="I167" s="923"/>
      <c r="J167" s="923"/>
      <c r="K167" s="923"/>
      <c r="L167" s="923"/>
      <c r="M167" s="923"/>
      <c r="N167" s="923"/>
      <c r="O167" s="923"/>
      <c r="P167" s="923"/>
      <c r="Q167" s="923"/>
      <c r="R167" s="923"/>
      <c r="S167" s="923"/>
      <c r="CM167" s="1377"/>
      <c r="CN167" s="1388" t="s">
        <v>8698</v>
      </c>
      <c r="CO167" s="1388" t="s">
        <v>8105</v>
      </c>
      <c r="CP167" s="1388" t="s">
        <v>8555</v>
      </c>
      <c r="CQ167" s="1388" t="s">
        <v>8699</v>
      </c>
      <c r="CR167" s="1388" t="s">
        <v>8699</v>
      </c>
      <c r="CS167" s="1388" t="s">
        <v>8194</v>
      </c>
      <c r="CT167" s="1388" t="s">
        <v>8557</v>
      </c>
      <c r="CU167" s="1388" t="s">
        <v>8110</v>
      </c>
      <c r="CV167" s="1389" t="s">
        <v>8196</v>
      </c>
      <c r="CX167" s="1020"/>
    </row>
    <row r="168" spans="1:102" ht="21" customHeight="1" x14ac:dyDescent="0.25">
      <c r="A168" s="923"/>
      <c r="B168" s="1431"/>
      <c r="C168" s="1431" t="s">
        <v>13516</v>
      </c>
      <c r="D168" s="923"/>
      <c r="E168" s="923"/>
      <c r="F168" s="923"/>
      <c r="G168" s="923"/>
      <c r="H168" s="923"/>
      <c r="I168" s="923"/>
      <c r="J168" s="923"/>
      <c r="K168" s="923"/>
      <c r="L168" s="923"/>
      <c r="M168" s="923"/>
      <c r="N168" s="923"/>
      <c r="O168" s="923"/>
      <c r="P168" s="923"/>
      <c r="Q168" s="923"/>
      <c r="R168" s="923"/>
      <c r="S168" s="923"/>
      <c r="CM168" s="1377"/>
      <c r="CN168" s="1388" t="s">
        <v>8700</v>
      </c>
      <c r="CO168" s="1388" t="s">
        <v>8105</v>
      </c>
      <c r="CP168" s="1388" t="s">
        <v>8555</v>
      </c>
      <c r="CQ168" s="1388" t="s">
        <v>8701</v>
      </c>
      <c r="CR168" s="1388" t="s">
        <v>8702</v>
      </c>
      <c r="CS168" s="1388" t="s">
        <v>8194</v>
      </c>
      <c r="CT168" s="1388" t="s">
        <v>8557</v>
      </c>
      <c r="CU168" s="1388" t="s">
        <v>8110</v>
      </c>
      <c r="CV168" s="1389" t="s">
        <v>8196</v>
      </c>
      <c r="CX168" s="1020"/>
    </row>
    <row r="169" spans="1:102" ht="21" customHeight="1" x14ac:dyDescent="0.25">
      <c r="A169" s="923"/>
      <c r="B169" s="1432" t="s">
        <v>13473</v>
      </c>
      <c r="C169" s="1427" t="s">
        <v>13517</v>
      </c>
      <c r="D169" s="923"/>
      <c r="E169" s="923"/>
      <c r="F169" s="923"/>
      <c r="G169" s="923"/>
      <c r="H169" s="923"/>
      <c r="I169" s="923"/>
      <c r="J169" s="923"/>
      <c r="K169" s="923"/>
      <c r="L169" s="923"/>
      <c r="M169" s="923"/>
      <c r="N169" s="923"/>
      <c r="O169" s="923"/>
      <c r="P169" s="923"/>
      <c r="Q169" s="923"/>
      <c r="R169" s="923"/>
      <c r="S169" s="923"/>
      <c r="CM169" s="1377"/>
      <c r="CN169" s="1388" t="s">
        <v>8703</v>
      </c>
      <c r="CO169" s="1388" t="s">
        <v>8105</v>
      </c>
      <c r="CP169" s="1388" t="s">
        <v>8555</v>
      </c>
      <c r="CQ169" s="1388" t="s">
        <v>8704</v>
      </c>
      <c r="CR169" s="1388" t="s">
        <v>8705</v>
      </c>
      <c r="CS169" s="1388" t="s">
        <v>8194</v>
      </c>
      <c r="CT169" s="1388" t="s">
        <v>8557</v>
      </c>
      <c r="CU169" s="1388" t="s">
        <v>8110</v>
      </c>
      <c r="CV169" s="1389" t="s">
        <v>8196</v>
      </c>
      <c r="CX169" s="1020"/>
    </row>
    <row r="170" spans="1:102" ht="21" customHeight="1" x14ac:dyDescent="0.25">
      <c r="A170" s="923"/>
      <c r="B170" s="1430" t="s">
        <v>13475</v>
      </c>
      <c r="C170" s="1427" t="s">
        <v>13518</v>
      </c>
      <c r="D170" s="923"/>
      <c r="E170" s="923"/>
      <c r="F170" s="923"/>
      <c r="G170" s="923"/>
      <c r="H170" s="923"/>
      <c r="I170" s="923"/>
      <c r="J170" s="923"/>
      <c r="K170" s="923"/>
      <c r="L170" s="923"/>
      <c r="M170" s="923"/>
      <c r="N170" s="923"/>
      <c r="O170" s="923"/>
      <c r="P170" s="923"/>
      <c r="Q170" s="923"/>
      <c r="R170" s="923"/>
      <c r="S170" s="923"/>
      <c r="CM170" s="1377"/>
      <c r="CN170" s="1388" t="s">
        <v>8706</v>
      </c>
      <c r="CO170" s="1388" t="s">
        <v>8105</v>
      </c>
      <c r="CP170" s="1388" t="s">
        <v>8555</v>
      </c>
      <c r="CQ170" s="1388" t="s">
        <v>8707</v>
      </c>
      <c r="CR170" s="1388" t="s">
        <v>8708</v>
      </c>
      <c r="CS170" s="1388" t="s">
        <v>8194</v>
      </c>
      <c r="CT170" s="1388" t="s">
        <v>8557</v>
      </c>
      <c r="CU170" s="1388" t="s">
        <v>8110</v>
      </c>
      <c r="CV170" s="1389" t="s">
        <v>8196</v>
      </c>
      <c r="CX170" s="1020"/>
    </row>
    <row r="171" spans="1:102" ht="21" customHeight="1" x14ac:dyDescent="0.25">
      <c r="A171" s="923"/>
      <c r="B171" s="1430" t="s">
        <v>13477</v>
      </c>
      <c r="C171" s="1427" t="s">
        <v>13519</v>
      </c>
      <c r="D171" s="923"/>
      <c r="E171" s="923"/>
      <c r="F171" s="923"/>
      <c r="G171" s="923"/>
      <c r="H171" s="923"/>
      <c r="I171" s="923"/>
      <c r="J171" s="923"/>
      <c r="K171" s="923"/>
      <c r="L171" s="923"/>
      <c r="M171" s="923"/>
      <c r="N171" s="923"/>
      <c r="O171" s="923"/>
      <c r="P171" s="923"/>
      <c r="Q171" s="923"/>
      <c r="R171" s="923"/>
      <c r="S171" s="923"/>
      <c r="CM171" s="1377"/>
      <c r="CN171" s="1388" t="s">
        <v>8709</v>
      </c>
      <c r="CO171" s="1388" t="s">
        <v>8105</v>
      </c>
      <c r="CP171" s="1388" t="s">
        <v>8555</v>
      </c>
      <c r="CQ171" s="1388" t="s">
        <v>8710</v>
      </c>
      <c r="CR171" s="1388" t="s">
        <v>8711</v>
      </c>
      <c r="CS171" s="1388" t="s">
        <v>8194</v>
      </c>
      <c r="CT171" s="1388" t="s">
        <v>8557</v>
      </c>
      <c r="CU171" s="1388" t="s">
        <v>8110</v>
      </c>
      <c r="CV171" s="1389" t="s">
        <v>8196</v>
      </c>
      <c r="CX171" s="1020"/>
    </row>
    <row r="172" spans="1:102" ht="21" customHeight="1" x14ac:dyDescent="0.25">
      <c r="A172" s="923"/>
      <c r="B172" s="1430" t="s">
        <v>13479</v>
      </c>
      <c r="C172" s="1427" t="s">
        <v>13520</v>
      </c>
      <c r="D172" s="923"/>
      <c r="E172" s="923"/>
      <c r="F172" s="923"/>
      <c r="G172" s="923"/>
      <c r="H172" s="923"/>
      <c r="I172" s="923"/>
      <c r="J172" s="923"/>
      <c r="K172" s="923"/>
      <c r="L172" s="923"/>
      <c r="M172" s="923"/>
      <c r="N172" s="923"/>
      <c r="O172" s="923"/>
      <c r="P172" s="923"/>
      <c r="Q172" s="923"/>
      <c r="R172" s="923"/>
      <c r="S172" s="923"/>
      <c r="CM172" s="1377"/>
      <c r="CN172" s="1388" t="s">
        <v>8712</v>
      </c>
      <c r="CO172" s="1388" t="s">
        <v>8105</v>
      </c>
      <c r="CP172" s="1388" t="s">
        <v>8555</v>
      </c>
      <c r="CQ172" s="1388" t="s">
        <v>8713</v>
      </c>
      <c r="CR172" s="1388" t="s">
        <v>8714</v>
      </c>
      <c r="CS172" s="1388" t="s">
        <v>8194</v>
      </c>
      <c r="CT172" s="1388" t="s">
        <v>8557</v>
      </c>
      <c r="CU172" s="1388" t="s">
        <v>8110</v>
      </c>
      <c r="CV172" s="1389" t="s">
        <v>8196</v>
      </c>
      <c r="CX172" s="1020"/>
    </row>
    <row r="173" spans="1:102" ht="21" customHeight="1" x14ac:dyDescent="0.25">
      <c r="A173" s="923"/>
      <c r="B173" s="1430" t="s">
        <v>13481</v>
      </c>
      <c r="C173" s="1427" t="s">
        <v>13521</v>
      </c>
      <c r="D173" s="923"/>
      <c r="E173" s="923"/>
      <c r="F173" s="923"/>
      <c r="G173" s="923"/>
      <c r="H173" s="923"/>
      <c r="I173" s="923"/>
      <c r="J173" s="923"/>
      <c r="K173" s="923"/>
      <c r="L173" s="923"/>
      <c r="M173" s="923"/>
      <c r="N173" s="923"/>
      <c r="O173" s="923"/>
      <c r="P173" s="923"/>
      <c r="Q173" s="923"/>
      <c r="R173" s="923"/>
      <c r="S173" s="923"/>
      <c r="CM173" s="1377"/>
      <c r="CN173" s="1388" t="s">
        <v>8715</v>
      </c>
      <c r="CO173" s="1388" t="s">
        <v>8105</v>
      </c>
      <c r="CP173" s="1388" t="s">
        <v>8555</v>
      </c>
      <c r="CQ173" s="1388" t="s">
        <v>8716</v>
      </c>
      <c r="CR173" s="1388" t="s">
        <v>8717</v>
      </c>
      <c r="CS173" s="1388" t="s">
        <v>8194</v>
      </c>
      <c r="CT173" s="1388" t="s">
        <v>8557</v>
      </c>
      <c r="CU173" s="1388" t="s">
        <v>8110</v>
      </c>
      <c r="CV173" s="1389" t="s">
        <v>8196</v>
      </c>
      <c r="CX173" s="1020"/>
    </row>
    <row r="174" spans="1:102" ht="21" customHeight="1" x14ac:dyDescent="0.25">
      <c r="A174" s="923"/>
      <c r="B174" s="1430" t="s">
        <v>13483</v>
      </c>
      <c r="C174" s="1427" t="s">
        <v>13522</v>
      </c>
      <c r="D174" s="923"/>
      <c r="E174" s="923"/>
      <c r="F174" s="923"/>
      <c r="G174" s="923"/>
      <c r="H174" s="923"/>
      <c r="I174" s="923"/>
      <c r="J174" s="923"/>
      <c r="K174" s="923"/>
      <c r="L174" s="923"/>
      <c r="M174" s="923"/>
      <c r="N174" s="923"/>
      <c r="O174" s="923"/>
      <c r="P174" s="923"/>
      <c r="Q174" s="923"/>
      <c r="R174" s="923"/>
      <c r="S174" s="923"/>
      <c r="CM174" s="1377"/>
      <c r="CN174" s="1388" t="s">
        <v>8718</v>
      </c>
      <c r="CO174" s="1388" t="s">
        <v>8105</v>
      </c>
      <c r="CP174" s="1388" t="s">
        <v>8555</v>
      </c>
      <c r="CQ174" s="1388" t="s">
        <v>8719</v>
      </c>
      <c r="CR174" s="1388" t="s">
        <v>8720</v>
      </c>
      <c r="CS174" s="1388" t="s">
        <v>8194</v>
      </c>
      <c r="CT174" s="1388" t="s">
        <v>8557</v>
      </c>
      <c r="CU174" s="1388" t="s">
        <v>8110</v>
      </c>
      <c r="CV174" s="1389" t="s">
        <v>8196</v>
      </c>
      <c r="CX174" s="1020"/>
    </row>
    <row r="175" spans="1:102" ht="21" customHeight="1" x14ac:dyDescent="0.25">
      <c r="A175" s="923"/>
      <c r="B175" s="1430" t="s">
        <v>13485</v>
      </c>
      <c r="C175" s="1427" t="s">
        <v>13523</v>
      </c>
      <c r="D175" s="923"/>
      <c r="E175" s="923"/>
      <c r="F175" s="923"/>
      <c r="G175" s="923"/>
      <c r="H175" s="923"/>
      <c r="I175" s="923"/>
      <c r="J175" s="923"/>
      <c r="K175" s="923"/>
      <c r="L175" s="923"/>
      <c r="M175" s="923"/>
      <c r="N175" s="923"/>
      <c r="O175" s="923"/>
      <c r="P175" s="923"/>
      <c r="Q175" s="923"/>
      <c r="R175" s="923"/>
      <c r="S175" s="923"/>
      <c r="CM175" s="1377"/>
      <c r="CN175" s="1388" t="s">
        <v>8721</v>
      </c>
      <c r="CO175" s="1388" t="s">
        <v>8105</v>
      </c>
      <c r="CP175" s="1388" t="s">
        <v>8555</v>
      </c>
      <c r="CQ175" s="1388" t="s">
        <v>8722</v>
      </c>
      <c r="CR175" s="1388" t="s">
        <v>8722</v>
      </c>
      <c r="CS175" s="1388" t="s">
        <v>8108</v>
      </c>
      <c r="CT175" s="1388" t="s">
        <v>8562</v>
      </c>
      <c r="CU175" s="1388" t="s">
        <v>8110</v>
      </c>
      <c r="CV175" s="1389" t="s">
        <v>8111</v>
      </c>
      <c r="CX175" s="1020"/>
    </row>
    <row r="176" spans="1:102" ht="21" customHeight="1" x14ac:dyDescent="0.25">
      <c r="A176" s="923"/>
      <c r="B176" s="1430" t="s">
        <v>13487</v>
      </c>
      <c r="C176" s="1427" t="s">
        <v>13524</v>
      </c>
      <c r="D176" s="923"/>
      <c r="E176" s="923"/>
      <c r="F176" s="923"/>
      <c r="G176" s="923"/>
      <c r="H176" s="923"/>
      <c r="I176" s="923"/>
      <c r="J176" s="923"/>
      <c r="K176" s="923"/>
      <c r="L176" s="923"/>
      <c r="M176" s="923"/>
      <c r="N176" s="923"/>
      <c r="O176" s="923"/>
      <c r="P176" s="923"/>
      <c r="Q176" s="923"/>
      <c r="R176" s="923"/>
      <c r="S176" s="923"/>
      <c r="CM176" s="1377"/>
      <c r="CN176" s="1388" t="s">
        <v>8723</v>
      </c>
      <c r="CO176" s="1388" t="s">
        <v>8105</v>
      </c>
      <c r="CP176" s="1388" t="s">
        <v>8555</v>
      </c>
      <c r="CQ176" s="1388" t="s">
        <v>8724</v>
      </c>
      <c r="CR176" s="1388" t="s">
        <v>8724</v>
      </c>
      <c r="CS176" s="1388" t="s">
        <v>8194</v>
      </c>
      <c r="CT176" s="1388" t="s">
        <v>8557</v>
      </c>
      <c r="CU176" s="1388" t="s">
        <v>8110</v>
      </c>
      <c r="CV176" s="1389" t="s">
        <v>8196</v>
      </c>
      <c r="CX176" s="1020"/>
    </row>
    <row r="177" spans="1:102" ht="21" customHeight="1" x14ac:dyDescent="0.25">
      <c r="A177" s="923"/>
      <c r="B177" s="1430" t="s">
        <v>13489</v>
      </c>
      <c r="C177" s="1427" t="s">
        <v>13525</v>
      </c>
      <c r="D177" s="923"/>
      <c r="E177" s="923"/>
      <c r="F177" s="923"/>
      <c r="G177" s="923"/>
      <c r="H177" s="923"/>
      <c r="I177" s="923"/>
      <c r="J177" s="923"/>
      <c r="K177" s="923"/>
      <c r="L177" s="923"/>
      <c r="M177" s="923"/>
      <c r="N177" s="923"/>
      <c r="O177" s="923"/>
      <c r="P177" s="923"/>
      <c r="Q177" s="923"/>
      <c r="R177" s="923"/>
      <c r="S177" s="923"/>
      <c r="CM177" s="1377"/>
      <c r="CN177" s="1388" t="s">
        <v>8725</v>
      </c>
      <c r="CO177" s="1388" t="s">
        <v>8105</v>
      </c>
      <c r="CP177" s="1388" t="s">
        <v>8555</v>
      </c>
      <c r="CQ177" s="1388" t="s">
        <v>8726</v>
      </c>
      <c r="CR177" s="1388" t="s">
        <v>8726</v>
      </c>
      <c r="CS177" s="1388" t="s">
        <v>8194</v>
      </c>
      <c r="CT177" s="1388" t="s">
        <v>8557</v>
      </c>
      <c r="CU177" s="1388" t="s">
        <v>8110</v>
      </c>
      <c r="CV177" s="1389" t="s">
        <v>8196</v>
      </c>
      <c r="CX177" s="1020"/>
    </row>
    <row r="178" spans="1:102" ht="21" customHeight="1" x14ac:dyDescent="0.25">
      <c r="A178" s="923"/>
      <c r="B178" s="1430" t="s">
        <v>13491</v>
      </c>
      <c r="C178" s="1427" t="s">
        <v>13526</v>
      </c>
      <c r="D178" s="923"/>
      <c r="E178" s="923"/>
      <c r="F178" s="923"/>
      <c r="G178" s="923"/>
      <c r="H178" s="923"/>
      <c r="I178" s="923"/>
      <c r="J178" s="923"/>
      <c r="K178" s="923"/>
      <c r="L178" s="923"/>
      <c r="M178" s="923"/>
      <c r="N178" s="923"/>
      <c r="O178" s="923"/>
      <c r="P178" s="923"/>
      <c r="Q178" s="923"/>
      <c r="R178" s="923"/>
      <c r="S178" s="923"/>
      <c r="CM178" s="1377"/>
      <c r="CN178" s="1388" t="s">
        <v>8727</v>
      </c>
      <c r="CO178" s="1388" t="s">
        <v>8105</v>
      </c>
      <c r="CP178" s="1388" t="s">
        <v>8555</v>
      </c>
      <c r="CQ178" s="1388" t="s">
        <v>8728</v>
      </c>
      <c r="CR178" s="1388" t="s">
        <v>8729</v>
      </c>
      <c r="CS178" s="1388" t="s">
        <v>8108</v>
      </c>
      <c r="CT178" s="1388" t="s">
        <v>8562</v>
      </c>
      <c r="CU178" s="1388" t="s">
        <v>8110</v>
      </c>
      <c r="CV178" s="1389" t="s">
        <v>8111</v>
      </c>
      <c r="CX178" s="1020"/>
    </row>
    <row r="179" spans="1:102" ht="21" customHeight="1" x14ac:dyDescent="0.25">
      <c r="A179" s="923"/>
      <c r="B179" s="1430" t="s">
        <v>13493</v>
      </c>
      <c r="C179" s="1427" t="s">
        <v>13527</v>
      </c>
      <c r="D179" s="923"/>
      <c r="E179" s="923"/>
      <c r="F179" s="923"/>
      <c r="G179" s="923"/>
      <c r="H179" s="923"/>
      <c r="I179" s="923"/>
      <c r="J179" s="923"/>
      <c r="K179" s="923"/>
      <c r="L179" s="923"/>
      <c r="M179" s="923"/>
      <c r="N179" s="923"/>
      <c r="O179" s="923"/>
      <c r="P179" s="923"/>
      <c r="Q179" s="923"/>
      <c r="R179" s="923"/>
      <c r="S179" s="923"/>
      <c r="CM179" s="1377"/>
      <c r="CN179" s="1388" t="s">
        <v>8730</v>
      </c>
      <c r="CO179" s="1388" t="s">
        <v>8105</v>
      </c>
      <c r="CP179" s="1388" t="s">
        <v>8555</v>
      </c>
      <c r="CQ179" s="1388" t="s">
        <v>8731</v>
      </c>
      <c r="CR179" s="1388" t="s">
        <v>8731</v>
      </c>
      <c r="CS179" s="1388" t="s">
        <v>8108</v>
      </c>
      <c r="CT179" s="1388" t="s">
        <v>8562</v>
      </c>
      <c r="CU179" s="1388" t="s">
        <v>8110</v>
      </c>
      <c r="CV179" s="1389" t="s">
        <v>8111</v>
      </c>
      <c r="CX179" s="1020"/>
    </row>
    <row r="180" spans="1:102" ht="21" customHeight="1" x14ac:dyDescent="0.25">
      <c r="A180" s="923"/>
      <c r="B180" s="1430" t="s">
        <v>13495</v>
      </c>
      <c r="C180" s="1427" t="s">
        <v>13528</v>
      </c>
      <c r="D180" s="923"/>
      <c r="E180" s="923"/>
      <c r="F180" s="923"/>
      <c r="G180" s="923"/>
      <c r="H180" s="923"/>
      <c r="I180" s="923"/>
      <c r="J180" s="923"/>
      <c r="K180" s="923"/>
      <c r="L180" s="923"/>
      <c r="M180" s="923"/>
      <c r="N180" s="923"/>
      <c r="O180" s="923"/>
      <c r="P180" s="923"/>
      <c r="Q180" s="923"/>
      <c r="R180" s="923"/>
      <c r="S180" s="923"/>
      <c r="CM180" s="1377"/>
      <c r="CN180" s="1388" t="s">
        <v>8732</v>
      </c>
      <c r="CO180" s="1388" t="s">
        <v>8105</v>
      </c>
      <c r="CP180" s="1388" t="s">
        <v>8555</v>
      </c>
      <c r="CQ180" s="1388" t="s">
        <v>8733</v>
      </c>
      <c r="CR180" s="1388" t="s">
        <v>8733</v>
      </c>
      <c r="CS180" s="1388" t="s">
        <v>8108</v>
      </c>
      <c r="CT180" s="1388" t="s">
        <v>8562</v>
      </c>
      <c r="CU180" s="1388" t="s">
        <v>8110</v>
      </c>
      <c r="CV180" s="1389" t="s">
        <v>8111</v>
      </c>
      <c r="CX180" s="1020"/>
    </row>
    <row r="181" spans="1:102" ht="21" customHeight="1" x14ac:dyDescent="0.25">
      <c r="A181" s="923"/>
      <c r="B181" s="1430" t="s">
        <v>13497</v>
      </c>
      <c r="C181" s="1427" t="s">
        <v>13529</v>
      </c>
      <c r="D181" s="923"/>
      <c r="E181" s="923"/>
      <c r="F181" s="923"/>
      <c r="G181" s="923"/>
      <c r="H181" s="923"/>
      <c r="I181" s="923"/>
      <c r="J181" s="923"/>
      <c r="K181" s="923"/>
      <c r="L181" s="923"/>
      <c r="M181" s="923"/>
      <c r="N181" s="923"/>
      <c r="O181" s="923"/>
      <c r="P181" s="923"/>
      <c r="Q181" s="923"/>
      <c r="R181" s="923"/>
      <c r="S181" s="923"/>
      <c r="CM181" s="1377"/>
      <c r="CN181" s="1388" t="s">
        <v>8734</v>
      </c>
      <c r="CO181" s="1388" t="s">
        <v>8105</v>
      </c>
      <c r="CP181" s="1388" t="s">
        <v>8555</v>
      </c>
      <c r="CQ181" s="1388" t="s">
        <v>8735</v>
      </c>
      <c r="CR181" s="1388" t="s">
        <v>8735</v>
      </c>
      <c r="CS181" s="1388" t="s">
        <v>8108</v>
      </c>
      <c r="CT181" s="1388" t="s">
        <v>8562</v>
      </c>
      <c r="CU181" s="1388" t="s">
        <v>8110</v>
      </c>
      <c r="CV181" s="1389" t="s">
        <v>8111</v>
      </c>
      <c r="CX181" s="1020"/>
    </row>
    <row r="182" spans="1:102" ht="21" customHeight="1" x14ac:dyDescent="0.25">
      <c r="A182" s="923"/>
      <c r="B182" s="1430" t="s">
        <v>13499</v>
      </c>
      <c r="C182" s="1427" t="s">
        <v>13530</v>
      </c>
      <c r="D182" s="923"/>
      <c r="E182" s="923"/>
      <c r="F182" s="923"/>
      <c r="G182" s="923"/>
      <c r="H182" s="923"/>
      <c r="I182" s="923"/>
      <c r="J182" s="923"/>
      <c r="K182" s="923"/>
      <c r="L182" s="923"/>
      <c r="M182" s="923"/>
      <c r="N182" s="923"/>
      <c r="O182" s="923"/>
      <c r="P182" s="923"/>
      <c r="Q182" s="923"/>
      <c r="R182" s="923"/>
      <c r="S182" s="923"/>
      <c r="CM182" s="1377"/>
      <c r="CN182" s="1388" t="s">
        <v>8736</v>
      </c>
      <c r="CO182" s="1388" t="s">
        <v>8105</v>
      </c>
      <c r="CP182" s="1388" t="s">
        <v>8555</v>
      </c>
      <c r="CQ182" s="1388" t="s">
        <v>8737</v>
      </c>
      <c r="CR182" s="1388" t="s">
        <v>8737</v>
      </c>
      <c r="CS182" s="1388" t="s">
        <v>8108</v>
      </c>
      <c r="CT182" s="1388" t="s">
        <v>8562</v>
      </c>
      <c r="CU182" s="1388" t="s">
        <v>8110</v>
      </c>
      <c r="CV182" s="1389" t="s">
        <v>8111</v>
      </c>
      <c r="CX182" s="1020"/>
    </row>
    <row r="183" spans="1:102" ht="21" customHeight="1" x14ac:dyDescent="0.25">
      <c r="A183" s="923"/>
      <c r="B183" s="1430"/>
      <c r="C183" s="1427"/>
      <c r="D183" s="923"/>
      <c r="E183" s="923"/>
      <c r="F183" s="923"/>
      <c r="G183" s="923"/>
      <c r="H183" s="923"/>
      <c r="I183" s="923"/>
      <c r="J183" s="923"/>
      <c r="K183" s="923"/>
      <c r="L183" s="923"/>
      <c r="M183" s="923"/>
      <c r="N183" s="923"/>
      <c r="O183" s="923"/>
      <c r="P183" s="923"/>
      <c r="Q183" s="923"/>
      <c r="R183" s="923"/>
      <c r="S183" s="923"/>
      <c r="CM183" s="1377"/>
      <c r="CN183" s="1388" t="s">
        <v>8738</v>
      </c>
      <c r="CO183" s="1388" t="s">
        <v>8105</v>
      </c>
      <c r="CP183" s="1388" t="s">
        <v>8555</v>
      </c>
      <c r="CQ183" s="1388" t="s">
        <v>8739</v>
      </c>
      <c r="CR183" s="1388" t="s">
        <v>8739</v>
      </c>
      <c r="CS183" s="1388" t="s">
        <v>8108</v>
      </c>
      <c r="CT183" s="1388" t="s">
        <v>8562</v>
      </c>
      <c r="CU183" s="1388" t="s">
        <v>8110</v>
      </c>
      <c r="CV183" s="1389" t="s">
        <v>8111</v>
      </c>
      <c r="CX183" s="1020"/>
    </row>
    <row r="184" spans="1:102" ht="21" customHeight="1" x14ac:dyDescent="0.25">
      <c r="A184" s="923"/>
      <c r="B184" s="1433" t="s">
        <v>13531</v>
      </c>
      <c r="C184" s="1433"/>
      <c r="D184" s="923"/>
      <c r="E184" s="923"/>
      <c r="F184" s="923"/>
      <c r="G184" s="923"/>
      <c r="H184" s="923"/>
      <c r="I184" s="923"/>
      <c r="J184" s="923"/>
      <c r="K184" s="923"/>
      <c r="L184" s="923"/>
      <c r="M184" s="923"/>
      <c r="N184" s="923"/>
      <c r="O184" s="923"/>
      <c r="P184" s="923"/>
      <c r="Q184" s="923"/>
      <c r="R184" s="923"/>
      <c r="S184" s="923"/>
      <c r="CM184" s="1377"/>
      <c r="CN184" s="1388" t="s">
        <v>8740</v>
      </c>
      <c r="CO184" s="1388" t="s">
        <v>8105</v>
      </c>
      <c r="CP184" s="1388" t="s">
        <v>8741</v>
      </c>
      <c r="CQ184" s="1388" t="s">
        <v>8742</v>
      </c>
      <c r="CR184" s="1388" t="s">
        <v>8742</v>
      </c>
      <c r="CS184" s="1388" t="s">
        <v>8108</v>
      </c>
      <c r="CT184" s="1388" t="s">
        <v>8743</v>
      </c>
      <c r="CU184" s="1388" t="s">
        <v>8110</v>
      </c>
      <c r="CV184" s="1389" t="s">
        <v>8111</v>
      </c>
      <c r="CX184" s="1020"/>
    </row>
    <row r="185" spans="1:102" ht="21" customHeight="1" x14ac:dyDescent="0.25">
      <c r="A185" s="923"/>
      <c r="B185" s="1434" t="s">
        <v>4871</v>
      </c>
      <c r="C185" s="1427" t="s">
        <v>13532</v>
      </c>
      <c r="D185" s="923"/>
      <c r="E185" s="923"/>
      <c r="F185" s="923"/>
      <c r="G185" s="923"/>
      <c r="H185" s="923"/>
      <c r="I185" s="923"/>
      <c r="J185" s="923"/>
      <c r="K185" s="923"/>
      <c r="L185" s="923"/>
      <c r="M185" s="923"/>
      <c r="N185" s="923"/>
      <c r="O185" s="923"/>
      <c r="P185" s="923"/>
      <c r="Q185" s="923"/>
      <c r="R185" s="923"/>
      <c r="S185" s="923"/>
      <c r="CM185" s="1377"/>
      <c r="CN185" s="1388" t="s">
        <v>8744</v>
      </c>
      <c r="CO185" s="1388" t="s">
        <v>8105</v>
      </c>
      <c r="CP185" s="1388" t="s">
        <v>8741</v>
      </c>
      <c r="CQ185" s="1388" t="s">
        <v>8745</v>
      </c>
      <c r="CR185" s="1388" t="s">
        <v>8745</v>
      </c>
      <c r="CS185" s="1388" t="s">
        <v>8108</v>
      </c>
      <c r="CT185" s="1388" t="s">
        <v>8743</v>
      </c>
      <c r="CU185" s="1388" t="s">
        <v>8110</v>
      </c>
      <c r="CV185" s="1389" t="s">
        <v>8111</v>
      </c>
      <c r="CX185" s="1020"/>
    </row>
    <row r="186" spans="1:102" ht="21" customHeight="1" x14ac:dyDescent="0.25">
      <c r="A186" s="923"/>
      <c r="B186" s="1435"/>
      <c r="C186" s="1427" t="s">
        <v>13533</v>
      </c>
      <c r="D186" s="923"/>
      <c r="E186" s="923"/>
      <c r="F186" s="923"/>
      <c r="G186" s="923"/>
      <c r="H186" s="923"/>
      <c r="I186" s="923"/>
      <c r="J186" s="923"/>
      <c r="K186" s="923"/>
      <c r="L186" s="923"/>
      <c r="M186" s="923"/>
      <c r="N186" s="923"/>
      <c r="O186" s="923"/>
      <c r="P186" s="923"/>
      <c r="Q186" s="923"/>
      <c r="R186" s="923"/>
      <c r="S186" s="923"/>
      <c r="CM186" s="1377"/>
      <c r="CN186" s="1388" t="s">
        <v>8746</v>
      </c>
      <c r="CO186" s="1388" t="s">
        <v>8105</v>
      </c>
      <c r="CP186" s="1388" t="s">
        <v>8741</v>
      </c>
      <c r="CQ186" s="1388" t="s">
        <v>8747</v>
      </c>
      <c r="CR186" s="1388" t="s">
        <v>8747</v>
      </c>
      <c r="CS186" s="1388" t="s">
        <v>8194</v>
      </c>
      <c r="CT186" s="1388" t="s">
        <v>8748</v>
      </c>
      <c r="CU186" s="1388" t="s">
        <v>8110</v>
      </c>
      <c r="CV186" s="1389" t="s">
        <v>8196</v>
      </c>
      <c r="CX186" s="1020"/>
    </row>
    <row r="187" spans="1:102" ht="21" customHeight="1" x14ac:dyDescent="0.25">
      <c r="A187" s="923"/>
      <c r="B187" s="1434" t="s">
        <v>13534</v>
      </c>
      <c r="C187" s="1427" t="s">
        <v>13535</v>
      </c>
      <c r="D187" s="923"/>
      <c r="E187" s="923"/>
      <c r="F187" s="923"/>
      <c r="G187" s="923"/>
      <c r="H187" s="923"/>
      <c r="I187" s="923"/>
      <c r="J187" s="923"/>
      <c r="K187" s="923"/>
      <c r="L187" s="923"/>
      <c r="M187" s="923"/>
      <c r="N187" s="923"/>
      <c r="O187" s="923"/>
      <c r="P187" s="923"/>
      <c r="Q187" s="923"/>
      <c r="R187" s="923"/>
      <c r="S187" s="923"/>
      <c r="CM187" s="1377"/>
      <c r="CN187" s="1388" t="s">
        <v>8749</v>
      </c>
      <c r="CO187" s="1388" t="s">
        <v>8105</v>
      </c>
      <c r="CP187" s="1388" t="s">
        <v>8741</v>
      </c>
      <c r="CQ187" s="1388" t="s">
        <v>8750</v>
      </c>
      <c r="CR187" s="1388" t="s">
        <v>8750</v>
      </c>
      <c r="CS187" s="1388" t="s">
        <v>8194</v>
      </c>
      <c r="CT187" s="1388" t="s">
        <v>8748</v>
      </c>
      <c r="CU187" s="1388" t="s">
        <v>8110</v>
      </c>
      <c r="CV187" s="1389" t="s">
        <v>8196</v>
      </c>
      <c r="CX187" s="1020"/>
    </row>
    <row r="188" spans="1:102" ht="21" customHeight="1" x14ac:dyDescent="0.25">
      <c r="A188" s="923"/>
      <c r="B188" s="1427"/>
      <c r="C188" s="1427" t="s">
        <v>13536</v>
      </c>
      <c r="D188" s="923"/>
      <c r="E188" s="923"/>
      <c r="F188" s="923"/>
      <c r="G188" s="923"/>
      <c r="H188" s="923"/>
      <c r="I188" s="923"/>
      <c r="J188" s="923"/>
      <c r="K188" s="923"/>
      <c r="L188" s="923"/>
      <c r="M188" s="923"/>
      <c r="N188" s="923"/>
      <c r="O188" s="923"/>
      <c r="P188" s="923"/>
      <c r="Q188" s="923"/>
      <c r="R188" s="923"/>
      <c r="S188" s="923"/>
      <c r="CM188" s="1377"/>
      <c r="CN188" s="1388" t="s">
        <v>8751</v>
      </c>
      <c r="CO188" s="1388" t="s">
        <v>8105</v>
      </c>
      <c r="CP188" s="1388" t="s">
        <v>8741</v>
      </c>
      <c r="CQ188" s="1388" t="s">
        <v>678</v>
      </c>
      <c r="CR188" s="1388" t="s">
        <v>678</v>
      </c>
      <c r="CS188" s="1388" t="s">
        <v>8108</v>
      </c>
      <c r="CT188" s="1388" t="s">
        <v>8743</v>
      </c>
      <c r="CU188" s="1388" t="s">
        <v>8110</v>
      </c>
      <c r="CV188" s="1389" t="s">
        <v>8111</v>
      </c>
      <c r="CX188" s="1020"/>
    </row>
    <row r="189" spans="1:102" ht="21" customHeight="1" x14ac:dyDescent="0.25">
      <c r="A189" s="923"/>
      <c r="B189" s="1427"/>
      <c r="C189" s="1427"/>
      <c r="D189" s="923"/>
      <c r="E189" s="923"/>
      <c r="F189" s="923"/>
      <c r="G189" s="923"/>
      <c r="H189" s="923"/>
      <c r="I189" s="923"/>
      <c r="J189" s="923"/>
      <c r="K189" s="923"/>
      <c r="L189" s="923"/>
      <c r="M189" s="923"/>
      <c r="N189" s="923"/>
      <c r="O189" s="923"/>
      <c r="P189" s="923"/>
      <c r="Q189" s="923"/>
      <c r="R189" s="923"/>
      <c r="S189" s="923"/>
      <c r="CM189" s="1377"/>
      <c r="CN189" s="1388" t="s">
        <v>8752</v>
      </c>
      <c r="CO189" s="1388" t="s">
        <v>8105</v>
      </c>
      <c r="CP189" s="1388" t="s">
        <v>8741</v>
      </c>
      <c r="CQ189" s="1388" t="s">
        <v>8753</v>
      </c>
      <c r="CR189" s="1388" t="s">
        <v>8753</v>
      </c>
      <c r="CS189" s="1388" t="s">
        <v>8108</v>
      </c>
      <c r="CT189" s="1388" t="s">
        <v>8743</v>
      </c>
      <c r="CU189" s="1388" t="s">
        <v>8110</v>
      </c>
      <c r="CV189" s="1389" t="s">
        <v>8111</v>
      </c>
      <c r="CX189" s="1020"/>
    </row>
    <row r="190" spans="1:102" ht="21" customHeight="1" x14ac:dyDescent="0.25">
      <c r="A190" s="923"/>
      <c r="B190" s="1433" t="s">
        <v>13537</v>
      </c>
      <c r="C190" s="1433"/>
      <c r="D190" s="923"/>
      <c r="E190" s="923"/>
      <c r="F190" s="923"/>
      <c r="G190" s="923"/>
      <c r="H190" s="923"/>
      <c r="I190" s="923"/>
      <c r="J190" s="923"/>
      <c r="K190" s="923"/>
      <c r="L190" s="923"/>
      <c r="M190" s="923"/>
      <c r="N190" s="923"/>
      <c r="O190" s="923"/>
      <c r="P190" s="923"/>
      <c r="Q190" s="923"/>
      <c r="R190" s="923"/>
      <c r="S190" s="923"/>
      <c r="CM190" s="1377"/>
      <c r="CN190" s="1388" t="s">
        <v>8754</v>
      </c>
      <c r="CO190" s="1388" t="s">
        <v>8105</v>
      </c>
      <c r="CP190" s="1388" t="s">
        <v>8741</v>
      </c>
      <c r="CQ190" s="1388" t="s">
        <v>8755</v>
      </c>
      <c r="CR190" s="1388" t="s">
        <v>8755</v>
      </c>
      <c r="CS190" s="1388" t="s">
        <v>8108</v>
      </c>
      <c r="CT190" s="1388" t="s">
        <v>8743</v>
      </c>
      <c r="CU190" s="1388" t="s">
        <v>8110</v>
      </c>
      <c r="CV190" s="1389" t="s">
        <v>8111</v>
      </c>
      <c r="CX190" s="1020"/>
    </row>
    <row r="191" spans="1:102" ht="21" customHeight="1" x14ac:dyDescent="0.25">
      <c r="A191" s="923"/>
      <c r="B191" s="1430" t="s">
        <v>13538</v>
      </c>
      <c r="C191" s="1427" t="s">
        <v>13539</v>
      </c>
      <c r="D191" s="923"/>
      <c r="E191" s="923"/>
      <c r="F191" s="923"/>
      <c r="G191" s="923"/>
      <c r="H191" s="923"/>
      <c r="I191" s="923"/>
      <c r="J191" s="923"/>
      <c r="K191" s="923"/>
      <c r="L191" s="923"/>
      <c r="M191" s="923"/>
      <c r="N191" s="923"/>
      <c r="O191" s="923"/>
      <c r="P191" s="923"/>
      <c r="Q191" s="923"/>
      <c r="R191" s="923"/>
      <c r="S191" s="923"/>
      <c r="CM191" s="1377"/>
      <c r="CN191" s="1388" t="s">
        <v>8756</v>
      </c>
      <c r="CO191" s="1388" t="s">
        <v>8105</v>
      </c>
      <c r="CP191" s="1388" t="s">
        <v>8741</v>
      </c>
      <c r="CQ191" s="1388" t="s">
        <v>8757</v>
      </c>
      <c r="CR191" s="1388" t="s">
        <v>8757</v>
      </c>
      <c r="CS191" s="1388" t="s">
        <v>8108</v>
      </c>
      <c r="CT191" s="1388" t="s">
        <v>8743</v>
      </c>
      <c r="CU191" s="1388" t="s">
        <v>8110</v>
      </c>
      <c r="CV191" s="1389" t="s">
        <v>8111</v>
      </c>
      <c r="CX191" s="1020"/>
    </row>
    <row r="192" spans="1:102" ht="21" customHeight="1" x14ac:dyDescent="0.25">
      <c r="A192" s="923"/>
      <c r="B192" s="1430" t="s">
        <v>13540</v>
      </c>
      <c r="C192" s="1427" t="s">
        <v>13541</v>
      </c>
      <c r="D192" s="923"/>
      <c r="E192" s="923"/>
      <c r="F192" s="923"/>
      <c r="G192" s="923"/>
      <c r="H192" s="923"/>
      <c r="I192" s="923"/>
      <c r="J192" s="923"/>
      <c r="K192" s="923"/>
      <c r="L192" s="923"/>
      <c r="M192" s="923"/>
      <c r="N192" s="923"/>
      <c r="O192" s="923"/>
      <c r="P192" s="923"/>
      <c r="Q192" s="923"/>
      <c r="R192" s="923"/>
      <c r="S192" s="923"/>
      <c r="CM192" s="1377"/>
      <c r="CN192" s="1388" t="s">
        <v>8758</v>
      </c>
      <c r="CO192" s="1388" t="s">
        <v>8105</v>
      </c>
      <c r="CP192" s="1388" t="s">
        <v>8741</v>
      </c>
      <c r="CQ192" s="1388" t="s">
        <v>8759</v>
      </c>
      <c r="CR192" s="1388" t="s">
        <v>8759</v>
      </c>
      <c r="CS192" s="1388" t="s">
        <v>8108</v>
      </c>
      <c r="CT192" s="1388" t="s">
        <v>8743</v>
      </c>
      <c r="CU192" s="1388" t="s">
        <v>8110</v>
      </c>
      <c r="CV192" s="1389" t="s">
        <v>8111</v>
      </c>
      <c r="CX192" s="1020"/>
    </row>
    <row r="193" spans="1:102" ht="21" customHeight="1" x14ac:dyDescent="0.25">
      <c r="A193" s="923"/>
      <c r="B193" s="1430" t="s">
        <v>13542</v>
      </c>
      <c r="C193" s="1427" t="s">
        <v>13543</v>
      </c>
      <c r="D193" s="923"/>
      <c r="E193" s="923"/>
      <c r="F193" s="923"/>
      <c r="G193" s="923"/>
      <c r="H193" s="923"/>
      <c r="I193" s="923"/>
      <c r="J193" s="923"/>
      <c r="K193" s="923"/>
      <c r="L193" s="923"/>
      <c r="M193" s="923"/>
      <c r="N193" s="923"/>
      <c r="O193" s="923"/>
      <c r="P193" s="923"/>
      <c r="Q193" s="923"/>
      <c r="R193" s="923"/>
      <c r="S193" s="923"/>
      <c r="CM193" s="1377"/>
      <c r="CN193" s="1388" t="s">
        <v>8760</v>
      </c>
      <c r="CO193" s="1388" t="s">
        <v>8105</v>
      </c>
      <c r="CP193" s="1388" t="s">
        <v>8741</v>
      </c>
      <c r="CQ193" s="1388" t="s">
        <v>8761</v>
      </c>
      <c r="CR193" s="1388" t="s">
        <v>8761</v>
      </c>
      <c r="CS193" s="1388" t="s">
        <v>8108</v>
      </c>
      <c r="CT193" s="1388" t="s">
        <v>8743</v>
      </c>
      <c r="CU193" s="1388" t="s">
        <v>8110</v>
      </c>
      <c r="CV193" s="1389" t="s">
        <v>8111</v>
      </c>
      <c r="CX193" s="1020"/>
    </row>
    <row r="194" spans="1:102" ht="21" customHeight="1" x14ac:dyDescent="0.25">
      <c r="A194" s="923"/>
      <c r="B194" s="1430" t="s">
        <v>13544</v>
      </c>
      <c r="C194" s="1427" t="s">
        <v>13545</v>
      </c>
      <c r="D194" s="923"/>
      <c r="E194" s="923"/>
      <c r="F194" s="923"/>
      <c r="G194" s="923"/>
      <c r="H194" s="923"/>
      <c r="I194" s="923"/>
      <c r="J194" s="923"/>
      <c r="K194" s="923"/>
      <c r="L194" s="923"/>
      <c r="M194" s="923"/>
      <c r="N194" s="923"/>
      <c r="O194" s="923"/>
      <c r="P194" s="923"/>
      <c r="Q194" s="923"/>
      <c r="R194" s="923"/>
      <c r="S194" s="923"/>
      <c r="CM194" s="1377"/>
      <c r="CN194" s="1388" t="s">
        <v>8762</v>
      </c>
      <c r="CO194" s="1388" t="s">
        <v>8105</v>
      </c>
      <c r="CP194" s="1388" t="s">
        <v>8741</v>
      </c>
      <c r="CQ194" s="1388" t="s">
        <v>8763</v>
      </c>
      <c r="CR194" s="1388" t="s">
        <v>8763</v>
      </c>
      <c r="CS194" s="1388" t="s">
        <v>8108</v>
      </c>
      <c r="CT194" s="1388" t="s">
        <v>8743</v>
      </c>
      <c r="CU194" s="1388" t="s">
        <v>8110</v>
      </c>
      <c r="CV194" s="1389" t="s">
        <v>8111</v>
      </c>
      <c r="CX194" s="1020"/>
    </row>
    <row r="195" spans="1:102" ht="21" customHeight="1" x14ac:dyDescent="0.25">
      <c r="A195" s="923"/>
      <c r="B195" s="1430"/>
      <c r="C195" s="1427" t="s">
        <v>13546</v>
      </c>
      <c r="D195" s="923"/>
      <c r="E195" s="923"/>
      <c r="F195" s="923"/>
      <c r="G195" s="923"/>
      <c r="H195" s="923"/>
      <c r="I195" s="923"/>
      <c r="J195" s="923"/>
      <c r="K195" s="923"/>
      <c r="L195" s="923"/>
      <c r="M195" s="923"/>
      <c r="N195" s="923"/>
      <c r="O195" s="923"/>
      <c r="P195" s="923"/>
      <c r="Q195" s="923"/>
      <c r="R195" s="923"/>
      <c r="S195" s="923"/>
      <c r="CM195" s="1377"/>
      <c r="CN195" s="1388" t="s">
        <v>8764</v>
      </c>
      <c r="CO195" s="1388" t="s">
        <v>8105</v>
      </c>
      <c r="CP195" s="1388" t="s">
        <v>8741</v>
      </c>
      <c r="CQ195" s="1388" t="s">
        <v>8765</v>
      </c>
      <c r="CR195" s="1388" t="s">
        <v>8766</v>
      </c>
      <c r="CS195" s="1388" t="s">
        <v>8194</v>
      </c>
      <c r="CT195" s="1388" t="s">
        <v>8748</v>
      </c>
      <c r="CU195" s="1388" t="s">
        <v>8110</v>
      </c>
      <c r="CV195" s="1389" t="s">
        <v>8196</v>
      </c>
      <c r="CX195" s="1020"/>
    </row>
    <row r="196" spans="1:102" ht="21" customHeight="1" x14ac:dyDescent="0.25">
      <c r="A196" s="923"/>
      <c r="B196" s="1430" t="s">
        <v>13547</v>
      </c>
      <c r="C196" s="1427" t="s">
        <v>13548</v>
      </c>
      <c r="D196" s="923"/>
      <c r="E196" s="923"/>
      <c r="F196" s="923"/>
      <c r="G196" s="923"/>
      <c r="H196" s="923"/>
      <c r="I196" s="923"/>
      <c r="J196" s="923"/>
      <c r="K196" s="923"/>
      <c r="L196" s="923"/>
      <c r="M196" s="923"/>
      <c r="N196" s="923"/>
      <c r="O196" s="923"/>
      <c r="P196" s="923"/>
      <c r="Q196" s="923"/>
      <c r="R196" s="923"/>
      <c r="S196" s="923"/>
      <c r="CM196" s="1377"/>
      <c r="CN196" s="1388" t="s">
        <v>8767</v>
      </c>
      <c r="CO196" s="1388" t="s">
        <v>8105</v>
      </c>
      <c r="CP196" s="1388" t="s">
        <v>8741</v>
      </c>
      <c r="CQ196" s="1388" t="s">
        <v>8768</v>
      </c>
      <c r="CR196" s="1388" t="s">
        <v>8768</v>
      </c>
      <c r="CS196" s="1388" t="s">
        <v>8108</v>
      </c>
      <c r="CT196" s="1388" t="s">
        <v>8743</v>
      </c>
      <c r="CU196" s="1388" t="s">
        <v>8110</v>
      </c>
      <c r="CV196" s="1389" t="s">
        <v>8111</v>
      </c>
      <c r="CX196" s="1020"/>
    </row>
    <row r="197" spans="1:102" ht="21" customHeight="1" x14ac:dyDescent="0.25">
      <c r="A197" s="923"/>
      <c r="B197" s="1430"/>
      <c r="C197" s="1427"/>
      <c r="D197" s="923"/>
      <c r="E197" s="923"/>
      <c r="F197" s="923"/>
      <c r="G197" s="923"/>
      <c r="H197" s="923"/>
      <c r="I197" s="923"/>
      <c r="J197" s="923"/>
      <c r="K197" s="923"/>
      <c r="L197" s="923"/>
      <c r="M197" s="923"/>
      <c r="N197" s="923"/>
      <c r="O197" s="923"/>
      <c r="P197" s="923"/>
      <c r="Q197" s="923"/>
      <c r="R197" s="923"/>
      <c r="S197" s="923"/>
      <c r="CM197" s="1377"/>
      <c r="CN197" s="1388" t="s">
        <v>8769</v>
      </c>
      <c r="CO197" s="1388" t="s">
        <v>8105</v>
      </c>
      <c r="CP197" s="1388" t="s">
        <v>8741</v>
      </c>
      <c r="CQ197" s="1388" t="s">
        <v>8770</v>
      </c>
      <c r="CR197" s="1388" t="s">
        <v>8770</v>
      </c>
      <c r="CS197" s="1388" t="s">
        <v>8108</v>
      </c>
      <c r="CT197" s="1388" t="s">
        <v>8743</v>
      </c>
      <c r="CU197" s="1388" t="s">
        <v>8110</v>
      </c>
      <c r="CV197" s="1389" t="s">
        <v>8111</v>
      </c>
      <c r="CX197" s="1020"/>
    </row>
    <row r="198" spans="1:102" ht="21" customHeight="1" x14ac:dyDescent="0.25">
      <c r="A198" s="923"/>
      <c r="B198" s="1430" t="s">
        <v>13549</v>
      </c>
      <c r="C198" s="1427" t="s">
        <v>13550</v>
      </c>
      <c r="D198" s="923"/>
      <c r="E198" s="923"/>
      <c r="F198" s="923"/>
      <c r="G198" s="923"/>
      <c r="H198" s="923"/>
      <c r="I198" s="923"/>
      <c r="J198" s="923"/>
      <c r="K198" s="923"/>
      <c r="L198" s="923"/>
      <c r="M198" s="923"/>
      <c r="N198" s="923"/>
      <c r="O198" s="923"/>
      <c r="P198" s="923"/>
      <c r="Q198" s="923"/>
      <c r="R198" s="923"/>
      <c r="S198" s="923"/>
      <c r="CM198" s="1377"/>
      <c r="CN198" s="1388" t="s">
        <v>8771</v>
      </c>
      <c r="CO198" s="1388" t="s">
        <v>8105</v>
      </c>
      <c r="CP198" s="1388" t="s">
        <v>8741</v>
      </c>
      <c r="CQ198" s="1388" t="s">
        <v>8772</v>
      </c>
      <c r="CR198" s="1388" t="s">
        <v>8772</v>
      </c>
      <c r="CS198" s="1388" t="s">
        <v>8108</v>
      </c>
      <c r="CT198" s="1388" t="s">
        <v>8743</v>
      </c>
      <c r="CU198" s="1388" t="s">
        <v>8110</v>
      </c>
      <c r="CV198" s="1389" t="s">
        <v>8111</v>
      </c>
      <c r="CX198" s="1020"/>
    </row>
    <row r="199" spans="1:102" ht="21" customHeight="1" x14ac:dyDescent="0.25">
      <c r="A199" s="923"/>
      <c r="B199" s="1430" t="s">
        <v>13551</v>
      </c>
      <c r="C199" s="1427" t="s">
        <v>13552</v>
      </c>
      <c r="D199" s="923"/>
      <c r="E199" s="923"/>
      <c r="F199" s="923"/>
      <c r="G199" s="923"/>
      <c r="H199" s="923"/>
      <c r="I199" s="923"/>
      <c r="J199" s="923"/>
      <c r="K199" s="923"/>
      <c r="L199" s="923"/>
      <c r="M199" s="923"/>
      <c r="N199" s="923"/>
      <c r="O199" s="923"/>
      <c r="P199" s="923"/>
      <c r="Q199" s="923"/>
      <c r="R199" s="923"/>
      <c r="S199" s="923"/>
      <c r="CM199" s="1377"/>
      <c r="CN199" s="1388" t="s">
        <v>8773</v>
      </c>
      <c r="CO199" s="1388" t="s">
        <v>8105</v>
      </c>
      <c r="CP199" s="1388" t="s">
        <v>8741</v>
      </c>
      <c r="CQ199" s="1388" t="s">
        <v>8774</v>
      </c>
      <c r="CR199" s="1388" t="s">
        <v>8774</v>
      </c>
      <c r="CS199" s="1388" t="s">
        <v>8108</v>
      </c>
      <c r="CT199" s="1388" t="s">
        <v>8743</v>
      </c>
      <c r="CU199" s="1388" t="s">
        <v>8110</v>
      </c>
      <c r="CV199" s="1389" t="s">
        <v>8111</v>
      </c>
      <c r="CX199" s="1020"/>
    </row>
    <row r="200" spans="1:102" ht="21" customHeight="1" x14ac:dyDescent="0.25">
      <c r="A200" s="923"/>
      <c r="B200" s="1430"/>
      <c r="C200" s="1427" t="s">
        <v>13553</v>
      </c>
      <c r="D200" s="923"/>
      <c r="E200" s="923"/>
      <c r="F200" s="923"/>
      <c r="G200" s="923"/>
      <c r="H200" s="923"/>
      <c r="I200" s="923"/>
      <c r="J200" s="923"/>
      <c r="K200" s="923"/>
      <c r="L200" s="923"/>
      <c r="M200" s="923"/>
      <c r="N200" s="923"/>
      <c r="O200" s="923"/>
      <c r="P200" s="923"/>
      <c r="Q200" s="923"/>
      <c r="R200" s="923"/>
      <c r="S200" s="923"/>
      <c r="CM200" s="1377"/>
      <c r="CN200" s="1388" t="s">
        <v>8775</v>
      </c>
      <c r="CO200" s="1388" t="s">
        <v>8105</v>
      </c>
      <c r="CP200" s="1388" t="s">
        <v>8741</v>
      </c>
      <c r="CQ200" s="1388" t="s">
        <v>4895</v>
      </c>
      <c r="CR200" s="1388" t="s">
        <v>4895</v>
      </c>
      <c r="CS200" s="1388" t="s">
        <v>8108</v>
      </c>
      <c r="CT200" s="1388" t="s">
        <v>8743</v>
      </c>
      <c r="CU200" s="1388" t="s">
        <v>8110</v>
      </c>
      <c r="CV200" s="1389" t="s">
        <v>8111</v>
      </c>
      <c r="CX200" s="1020"/>
    </row>
    <row r="201" spans="1:102" ht="21" customHeight="1" x14ac:dyDescent="0.25">
      <c r="A201" s="923"/>
      <c r="B201" s="1430" t="s">
        <v>13554</v>
      </c>
      <c r="C201" s="1427" t="s">
        <v>13555</v>
      </c>
      <c r="D201" s="923"/>
      <c r="E201" s="923"/>
      <c r="F201" s="923"/>
      <c r="G201" s="923"/>
      <c r="H201" s="923"/>
      <c r="I201" s="923"/>
      <c r="J201" s="923"/>
      <c r="K201" s="923"/>
      <c r="L201" s="923"/>
      <c r="M201" s="923"/>
      <c r="N201" s="923"/>
      <c r="O201" s="923"/>
      <c r="P201" s="923"/>
      <c r="Q201" s="923"/>
      <c r="R201" s="923"/>
      <c r="S201" s="923"/>
      <c r="CM201" s="1377"/>
      <c r="CN201" s="1388" t="s">
        <v>8776</v>
      </c>
      <c r="CO201" s="1388" t="s">
        <v>8105</v>
      </c>
      <c r="CP201" s="1388" t="s">
        <v>8741</v>
      </c>
      <c r="CQ201" s="1388" t="s">
        <v>8777</v>
      </c>
      <c r="CR201" s="1388" t="s">
        <v>8777</v>
      </c>
      <c r="CS201" s="1388" t="s">
        <v>8108</v>
      </c>
      <c r="CT201" s="1388" t="s">
        <v>8743</v>
      </c>
      <c r="CU201" s="1388" t="s">
        <v>8110</v>
      </c>
      <c r="CV201" s="1389" t="s">
        <v>8111</v>
      </c>
      <c r="CX201" s="1020"/>
    </row>
    <row r="202" spans="1:102" ht="21" customHeight="1" x14ac:dyDescent="0.25">
      <c r="A202" s="923"/>
      <c r="B202" s="1430"/>
      <c r="C202" s="1427" t="s">
        <v>13556</v>
      </c>
      <c r="D202" s="923"/>
      <c r="E202" s="923"/>
      <c r="F202" s="923"/>
      <c r="G202" s="923"/>
      <c r="H202" s="923"/>
      <c r="I202" s="923"/>
      <c r="J202" s="923"/>
      <c r="K202" s="923"/>
      <c r="L202" s="923"/>
      <c r="M202" s="923"/>
      <c r="N202" s="923"/>
      <c r="O202" s="923"/>
      <c r="P202" s="923"/>
      <c r="Q202" s="923"/>
      <c r="R202" s="923"/>
      <c r="S202" s="923"/>
      <c r="CM202" s="1377"/>
      <c r="CN202" s="1388" t="s">
        <v>8778</v>
      </c>
      <c r="CO202" s="1388" t="s">
        <v>8105</v>
      </c>
      <c r="CP202" s="1388" t="s">
        <v>8741</v>
      </c>
      <c r="CQ202" s="1388" t="s">
        <v>8779</v>
      </c>
      <c r="CR202" s="1388" t="s">
        <v>8779</v>
      </c>
      <c r="CS202" s="1388" t="s">
        <v>8108</v>
      </c>
      <c r="CT202" s="1388" t="s">
        <v>8743</v>
      </c>
      <c r="CU202" s="1388" t="s">
        <v>8110</v>
      </c>
      <c r="CV202" s="1389" t="s">
        <v>8111</v>
      </c>
      <c r="CX202" s="1020"/>
    </row>
    <row r="203" spans="1:102" ht="21" customHeight="1" x14ac:dyDescent="0.25">
      <c r="A203" s="923"/>
      <c r="B203" s="1427"/>
      <c r="C203" s="1427"/>
      <c r="D203" s="923"/>
      <c r="E203" s="923"/>
      <c r="F203" s="923"/>
      <c r="G203" s="923"/>
      <c r="H203" s="923"/>
      <c r="I203" s="923"/>
      <c r="J203" s="923"/>
      <c r="K203" s="923"/>
      <c r="L203" s="923"/>
      <c r="M203" s="923"/>
      <c r="N203" s="923"/>
      <c r="O203" s="923"/>
      <c r="P203" s="923"/>
      <c r="Q203" s="923"/>
      <c r="R203" s="923"/>
      <c r="S203" s="923"/>
      <c r="CM203" s="1377"/>
      <c r="CN203" s="1388" t="s">
        <v>8780</v>
      </c>
      <c r="CO203" s="1388" t="s">
        <v>8105</v>
      </c>
      <c r="CP203" s="1388" t="s">
        <v>8741</v>
      </c>
      <c r="CQ203" s="1388" t="s">
        <v>8781</v>
      </c>
      <c r="CR203" s="1388" t="s">
        <v>8781</v>
      </c>
      <c r="CS203" s="1388" t="s">
        <v>8108</v>
      </c>
      <c r="CT203" s="1388" t="s">
        <v>8743</v>
      </c>
      <c r="CU203" s="1388" t="s">
        <v>8110</v>
      </c>
      <c r="CV203" s="1389" t="s">
        <v>8111</v>
      </c>
      <c r="CX203" s="1020"/>
    </row>
    <row r="204" spans="1:102" ht="21" customHeight="1" x14ac:dyDescent="0.25">
      <c r="A204" s="923"/>
      <c r="B204" s="1435" t="s">
        <v>13557</v>
      </c>
      <c r="C204" s="1436"/>
      <c r="D204" s="923"/>
      <c r="E204" s="923"/>
      <c r="F204" s="923"/>
      <c r="G204" s="923"/>
      <c r="H204" s="923"/>
      <c r="I204" s="923"/>
      <c r="J204" s="923"/>
      <c r="K204" s="923"/>
      <c r="L204" s="923"/>
      <c r="M204" s="923"/>
      <c r="N204" s="923"/>
      <c r="O204" s="923"/>
      <c r="P204" s="923"/>
      <c r="Q204" s="923"/>
      <c r="R204" s="923"/>
      <c r="S204" s="923"/>
      <c r="CM204" s="1377"/>
      <c r="CN204" s="1388" t="s">
        <v>8782</v>
      </c>
      <c r="CO204" s="1388" t="s">
        <v>8105</v>
      </c>
      <c r="CP204" s="1388" t="s">
        <v>8741</v>
      </c>
      <c r="CQ204" s="1388" t="s">
        <v>8783</v>
      </c>
      <c r="CR204" s="1388" t="s">
        <v>8783</v>
      </c>
      <c r="CS204" s="1388" t="s">
        <v>8108</v>
      </c>
      <c r="CT204" s="1388" t="s">
        <v>8743</v>
      </c>
      <c r="CU204" s="1388" t="s">
        <v>8110</v>
      </c>
      <c r="CV204" s="1389" t="s">
        <v>8111</v>
      </c>
      <c r="CX204" s="1020"/>
    </row>
    <row r="205" spans="1:102" ht="21" customHeight="1" x14ac:dyDescent="0.25">
      <c r="A205" s="923"/>
      <c r="B205" s="1430" t="s">
        <v>8605</v>
      </c>
      <c r="C205" s="1427" t="s">
        <v>13558</v>
      </c>
      <c r="D205" s="923"/>
      <c r="E205" s="923"/>
      <c r="F205" s="923"/>
      <c r="G205" s="923"/>
      <c r="H205" s="923"/>
      <c r="I205" s="923"/>
      <c r="J205" s="923"/>
      <c r="K205" s="923"/>
      <c r="L205" s="923"/>
      <c r="M205" s="923"/>
      <c r="N205" s="923"/>
      <c r="O205" s="923"/>
      <c r="P205" s="923"/>
      <c r="Q205" s="923"/>
      <c r="R205" s="923"/>
      <c r="S205" s="923"/>
      <c r="CM205" s="1377"/>
      <c r="CN205" s="1388" t="s">
        <v>8784</v>
      </c>
      <c r="CO205" s="1388" t="s">
        <v>8105</v>
      </c>
      <c r="CP205" s="1388" t="s">
        <v>8741</v>
      </c>
      <c r="CQ205" s="1388" t="s">
        <v>8785</v>
      </c>
      <c r="CR205" s="1388" t="s">
        <v>8785</v>
      </c>
      <c r="CS205" s="1388" t="s">
        <v>8108</v>
      </c>
      <c r="CT205" s="1388" t="s">
        <v>8743</v>
      </c>
      <c r="CU205" s="1388" t="s">
        <v>8110</v>
      </c>
      <c r="CV205" s="1389" t="s">
        <v>8111</v>
      </c>
      <c r="CX205" s="1020"/>
    </row>
    <row r="206" spans="1:102" ht="21" customHeight="1" x14ac:dyDescent="0.25">
      <c r="A206" s="923"/>
      <c r="B206" s="1430" t="s">
        <v>8608</v>
      </c>
      <c r="C206" s="1427" t="s">
        <v>13559</v>
      </c>
      <c r="D206" s="923"/>
      <c r="E206" s="923"/>
      <c r="F206" s="923"/>
      <c r="G206" s="923"/>
      <c r="H206" s="923"/>
      <c r="I206" s="923"/>
      <c r="J206" s="923"/>
      <c r="K206" s="923"/>
      <c r="L206" s="923"/>
      <c r="M206" s="923"/>
      <c r="N206" s="923"/>
      <c r="O206" s="923"/>
      <c r="P206" s="923"/>
      <c r="Q206" s="923"/>
      <c r="R206" s="923"/>
      <c r="S206" s="923"/>
      <c r="CM206" s="1377"/>
      <c r="CN206" s="1388" t="s">
        <v>8786</v>
      </c>
      <c r="CO206" s="1388" t="s">
        <v>8124</v>
      </c>
      <c r="CP206" s="1388" t="s">
        <v>8106</v>
      </c>
      <c r="CQ206" s="1388" t="s">
        <v>8787</v>
      </c>
      <c r="CR206" s="1388" t="s">
        <v>8787</v>
      </c>
      <c r="CS206" s="1388" t="s">
        <v>8788</v>
      </c>
      <c r="CT206" s="1388" t="s">
        <v>8789</v>
      </c>
      <c r="CU206" s="1388" t="s">
        <v>8790</v>
      </c>
      <c r="CV206" s="1389" t="s">
        <v>8791</v>
      </c>
      <c r="CX206" s="1020"/>
    </row>
    <row r="207" spans="1:102" ht="21" customHeight="1" x14ac:dyDescent="0.25">
      <c r="A207" s="923"/>
      <c r="B207" s="1430" t="s">
        <v>8610</v>
      </c>
      <c r="C207" s="1427" t="s">
        <v>13560</v>
      </c>
      <c r="D207" s="923"/>
      <c r="E207" s="923"/>
      <c r="F207" s="923"/>
      <c r="G207" s="923"/>
      <c r="H207" s="923"/>
      <c r="I207" s="923"/>
      <c r="J207" s="923"/>
      <c r="K207" s="923"/>
      <c r="L207" s="923"/>
      <c r="M207" s="923"/>
      <c r="N207" s="923"/>
      <c r="O207" s="923"/>
      <c r="P207" s="923"/>
      <c r="Q207" s="923"/>
      <c r="R207" s="923"/>
      <c r="S207" s="923"/>
      <c r="CM207" s="1377"/>
      <c r="CN207" s="1388" t="s">
        <v>8792</v>
      </c>
      <c r="CO207" s="1388" t="s">
        <v>8124</v>
      </c>
      <c r="CP207" s="1388" t="s">
        <v>8106</v>
      </c>
      <c r="CQ207" s="1388" t="s">
        <v>8793</v>
      </c>
      <c r="CR207" s="1388" t="s">
        <v>8794</v>
      </c>
      <c r="CS207" s="1388" t="s">
        <v>8788</v>
      </c>
      <c r="CT207" s="1388" t="s">
        <v>8795</v>
      </c>
      <c r="CU207" s="1388" t="s">
        <v>8110</v>
      </c>
      <c r="CV207" s="1389" t="s">
        <v>8111</v>
      </c>
      <c r="CX207" s="1020"/>
    </row>
    <row r="208" spans="1:102" ht="21" customHeight="1" x14ac:dyDescent="0.25">
      <c r="A208" s="923"/>
      <c r="B208" s="1430" t="s">
        <v>8614</v>
      </c>
      <c r="C208" s="1427" t="s">
        <v>13561</v>
      </c>
      <c r="D208" s="923"/>
      <c r="E208" s="923"/>
      <c r="F208" s="923"/>
      <c r="G208" s="923"/>
      <c r="H208" s="923"/>
      <c r="I208" s="923"/>
      <c r="J208" s="923"/>
      <c r="K208" s="923"/>
      <c r="L208" s="923"/>
      <c r="M208" s="923"/>
      <c r="N208" s="923"/>
      <c r="O208" s="923"/>
      <c r="P208" s="923"/>
      <c r="Q208" s="923"/>
      <c r="R208" s="923"/>
      <c r="S208" s="923"/>
      <c r="CM208" s="1377"/>
      <c r="CN208" s="1388" t="s">
        <v>8796</v>
      </c>
      <c r="CO208" s="1388" t="s">
        <v>8124</v>
      </c>
      <c r="CP208" s="1388" t="s">
        <v>8106</v>
      </c>
      <c r="CQ208" s="1388" t="s">
        <v>8797</v>
      </c>
      <c r="CR208" s="1388" t="s">
        <v>8798</v>
      </c>
      <c r="CS208" s="1388" t="s">
        <v>8788</v>
      </c>
      <c r="CT208" s="1388" t="s">
        <v>8795</v>
      </c>
      <c r="CU208" s="1388" t="s">
        <v>8110</v>
      </c>
      <c r="CV208" s="1389" t="s">
        <v>8111</v>
      </c>
      <c r="CX208" s="1020"/>
    </row>
    <row r="209" spans="1:102" ht="21" customHeight="1" x14ac:dyDescent="0.25">
      <c r="A209" s="923"/>
      <c r="B209" s="1430" t="s">
        <v>8617</v>
      </c>
      <c r="C209" s="1427" t="s">
        <v>13562</v>
      </c>
      <c r="D209" s="923"/>
      <c r="E209" s="923"/>
      <c r="F209" s="923"/>
      <c r="G209" s="923"/>
      <c r="H209" s="923"/>
      <c r="I209" s="923"/>
      <c r="J209" s="923"/>
      <c r="K209" s="923"/>
      <c r="L209" s="923"/>
      <c r="M209" s="923"/>
      <c r="N209" s="923"/>
      <c r="O209" s="923"/>
      <c r="P209" s="923"/>
      <c r="Q209" s="923"/>
      <c r="R209" s="923"/>
      <c r="S209" s="923"/>
      <c r="CM209" s="1377"/>
      <c r="CN209" s="1388" t="s">
        <v>8799</v>
      </c>
      <c r="CO209" s="1388" t="s">
        <v>8124</v>
      </c>
      <c r="CP209" s="1388" t="s">
        <v>8106</v>
      </c>
      <c r="CQ209" s="1388" t="s">
        <v>8800</v>
      </c>
      <c r="CR209" s="1388" t="s">
        <v>8800</v>
      </c>
      <c r="CS209" s="1388" t="s">
        <v>8788</v>
      </c>
      <c r="CT209" s="1388" t="s">
        <v>8795</v>
      </c>
      <c r="CU209" s="1388" t="s">
        <v>8110</v>
      </c>
      <c r="CV209" s="1389" t="s">
        <v>8111</v>
      </c>
      <c r="CX209" s="1020"/>
    </row>
    <row r="210" spans="1:102" ht="21" customHeight="1" x14ac:dyDescent="0.25">
      <c r="A210" s="923"/>
      <c r="B210" s="1430" t="s">
        <v>8620</v>
      </c>
      <c r="C210" s="1427" t="s">
        <v>13563</v>
      </c>
      <c r="D210" s="923"/>
      <c r="E210" s="923"/>
      <c r="F210" s="923"/>
      <c r="G210" s="923"/>
      <c r="H210" s="923"/>
      <c r="I210" s="923"/>
      <c r="J210" s="923"/>
      <c r="K210" s="923"/>
      <c r="L210" s="923"/>
      <c r="M210" s="923"/>
      <c r="N210" s="923"/>
      <c r="O210" s="923"/>
      <c r="P210" s="923"/>
      <c r="Q210" s="923"/>
      <c r="R210" s="923"/>
      <c r="S210" s="923"/>
      <c r="CM210" s="1377"/>
      <c r="CN210" s="1388" t="s">
        <v>8801</v>
      </c>
      <c r="CO210" s="1388" t="s">
        <v>8124</v>
      </c>
      <c r="CP210" s="1388" t="s">
        <v>8106</v>
      </c>
      <c r="CQ210" s="1388" t="s">
        <v>8802</v>
      </c>
      <c r="CR210" s="1388" t="s">
        <v>8802</v>
      </c>
      <c r="CS210" s="1388" t="s">
        <v>8788</v>
      </c>
      <c r="CT210" s="1388" t="s">
        <v>8789</v>
      </c>
      <c r="CU210" s="1388" t="s">
        <v>8790</v>
      </c>
      <c r="CV210" s="1389" t="s">
        <v>8791</v>
      </c>
      <c r="CX210" s="1020"/>
    </row>
    <row r="211" spans="1:102" ht="21" customHeight="1" x14ac:dyDescent="0.25">
      <c r="A211" s="923"/>
      <c r="B211" s="1430"/>
      <c r="C211" s="1427" t="s">
        <v>13564</v>
      </c>
      <c r="D211" s="923"/>
      <c r="E211" s="923"/>
      <c r="F211" s="923"/>
      <c r="G211" s="923"/>
      <c r="H211" s="923"/>
      <c r="I211" s="923"/>
      <c r="J211" s="923"/>
      <c r="K211" s="923"/>
      <c r="L211" s="923"/>
      <c r="M211" s="923"/>
      <c r="N211" s="923"/>
      <c r="O211" s="923"/>
      <c r="P211" s="923"/>
      <c r="Q211" s="923"/>
      <c r="R211" s="923"/>
      <c r="S211" s="923"/>
      <c r="CM211" s="1377"/>
      <c r="CN211" s="1388" t="s">
        <v>8803</v>
      </c>
      <c r="CO211" s="1388" t="s">
        <v>8124</v>
      </c>
      <c r="CP211" s="1388" t="s">
        <v>8106</v>
      </c>
      <c r="CQ211" s="1388" t="s">
        <v>8804</v>
      </c>
      <c r="CR211" s="1388" t="s">
        <v>8804</v>
      </c>
      <c r="CS211" s="1388" t="s">
        <v>8788</v>
      </c>
      <c r="CT211" s="1388" t="s">
        <v>8789</v>
      </c>
      <c r="CU211" s="1388" t="s">
        <v>8790</v>
      </c>
      <c r="CV211" s="1389" t="s">
        <v>8791</v>
      </c>
      <c r="CX211" s="1020"/>
    </row>
    <row r="212" spans="1:102" ht="21" customHeight="1" x14ac:dyDescent="0.25">
      <c r="A212" s="923"/>
      <c r="B212" s="1430" t="s">
        <v>8623</v>
      </c>
      <c r="C212" s="1427" t="s">
        <v>13565</v>
      </c>
      <c r="D212" s="923"/>
      <c r="E212" s="923"/>
      <c r="F212" s="923"/>
      <c r="G212" s="923"/>
      <c r="H212" s="923"/>
      <c r="I212" s="923"/>
      <c r="J212" s="923"/>
      <c r="K212" s="923"/>
      <c r="L212" s="923"/>
      <c r="M212" s="923"/>
      <c r="N212" s="923"/>
      <c r="O212" s="923"/>
      <c r="P212" s="923"/>
      <c r="Q212" s="923"/>
      <c r="R212" s="923"/>
      <c r="S212" s="923"/>
      <c r="CM212" s="1377"/>
      <c r="CN212" s="1388" t="s">
        <v>8805</v>
      </c>
      <c r="CO212" s="1388" t="s">
        <v>8124</v>
      </c>
      <c r="CP212" s="1388" t="s">
        <v>8106</v>
      </c>
      <c r="CQ212" s="1388" t="s">
        <v>8806</v>
      </c>
      <c r="CR212" s="1388" t="s">
        <v>8806</v>
      </c>
      <c r="CS212" s="1388" t="s">
        <v>8788</v>
      </c>
      <c r="CT212" s="1388" t="s">
        <v>8789</v>
      </c>
      <c r="CU212" s="1388" t="s">
        <v>8790</v>
      </c>
      <c r="CV212" s="1389" t="s">
        <v>8791</v>
      </c>
      <c r="CX212" s="1020"/>
    </row>
    <row r="213" spans="1:102" ht="21" customHeight="1" x14ac:dyDescent="0.25">
      <c r="A213" s="923"/>
      <c r="B213" s="1427"/>
      <c r="C213" s="1427"/>
      <c r="D213" s="923"/>
      <c r="E213" s="923"/>
      <c r="F213" s="923"/>
      <c r="G213" s="923"/>
      <c r="H213" s="923"/>
      <c r="I213" s="923"/>
      <c r="J213" s="923"/>
      <c r="K213" s="923"/>
      <c r="L213" s="923"/>
      <c r="M213" s="923"/>
      <c r="N213" s="923"/>
      <c r="O213" s="923"/>
      <c r="P213" s="923"/>
      <c r="Q213" s="923"/>
      <c r="R213" s="923"/>
      <c r="S213" s="923"/>
      <c r="CM213" s="1377"/>
      <c r="CN213" s="1388" t="s">
        <v>8807</v>
      </c>
      <c r="CO213" s="1388" t="s">
        <v>8124</v>
      </c>
      <c r="CP213" s="1388" t="s">
        <v>8106</v>
      </c>
      <c r="CQ213" s="1388" t="s">
        <v>8808</v>
      </c>
      <c r="CR213" s="1388" t="s">
        <v>8808</v>
      </c>
      <c r="CS213" s="1388" t="s">
        <v>8788</v>
      </c>
      <c r="CT213" s="1388" t="s">
        <v>8789</v>
      </c>
      <c r="CU213" s="1388" t="s">
        <v>8790</v>
      </c>
      <c r="CV213" s="1389" t="s">
        <v>8791</v>
      </c>
      <c r="CX213" s="1020"/>
    </row>
    <row r="214" spans="1:102" ht="21" customHeight="1" x14ac:dyDescent="0.25">
      <c r="A214" s="923"/>
      <c r="B214" s="1437" t="s">
        <v>13566</v>
      </c>
      <c r="C214" s="1436"/>
      <c r="D214" s="923"/>
      <c r="E214" s="923"/>
      <c r="F214" s="923"/>
      <c r="G214" s="923"/>
      <c r="H214" s="923"/>
      <c r="I214" s="923"/>
      <c r="J214" s="923"/>
      <c r="K214" s="923"/>
      <c r="L214" s="923"/>
      <c r="M214" s="923"/>
      <c r="N214" s="923"/>
      <c r="O214" s="923"/>
      <c r="P214" s="923"/>
      <c r="Q214" s="923"/>
      <c r="R214" s="923"/>
      <c r="S214" s="923"/>
      <c r="CM214" s="1377"/>
      <c r="CN214" s="1388" t="s">
        <v>8809</v>
      </c>
      <c r="CO214" s="1388" t="s">
        <v>8124</v>
      </c>
      <c r="CP214" s="1388" t="s">
        <v>8106</v>
      </c>
      <c r="CQ214" s="1388" t="s">
        <v>8810</v>
      </c>
      <c r="CR214" s="1388" t="s">
        <v>8810</v>
      </c>
      <c r="CS214" s="1388" t="s">
        <v>8788</v>
      </c>
      <c r="CT214" s="1388" t="s">
        <v>8789</v>
      </c>
      <c r="CU214" s="1388" t="s">
        <v>8790</v>
      </c>
      <c r="CV214" s="1389" t="s">
        <v>8791</v>
      </c>
      <c r="CX214" s="1020"/>
    </row>
    <row r="215" spans="1:102" ht="21" customHeight="1" x14ac:dyDescent="0.25">
      <c r="A215" s="923"/>
      <c r="B215" s="1430" t="s">
        <v>13567</v>
      </c>
      <c r="C215" s="1427" t="s">
        <v>13568</v>
      </c>
      <c r="D215" s="923"/>
      <c r="E215" s="923"/>
      <c r="F215" s="923"/>
      <c r="G215" s="923"/>
      <c r="H215" s="923"/>
      <c r="I215" s="923"/>
      <c r="J215" s="923"/>
      <c r="K215" s="923"/>
      <c r="L215" s="923"/>
      <c r="M215" s="923"/>
      <c r="N215" s="923"/>
      <c r="O215" s="923"/>
      <c r="P215" s="923"/>
      <c r="Q215" s="923"/>
      <c r="R215" s="923"/>
      <c r="S215" s="923"/>
      <c r="CM215" s="1377"/>
      <c r="CN215" s="1388" t="s">
        <v>8811</v>
      </c>
      <c r="CO215" s="1388" t="s">
        <v>8124</v>
      </c>
      <c r="CP215" s="1388" t="s">
        <v>8106</v>
      </c>
      <c r="CQ215" s="1388" t="s">
        <v>8812</v>
      </c>
      <c r="CR215" s="1388" t="s">
        <v>8812</v>
      </c>
      <c r="CS215" s="1388" t="s">
        <v>8788</v>
      </c>
      <c r="CT215" s="1388" t="s">
        <v>8795</v>
      </c>
      <c r="CU215" s="1388" t="s">
        <v>8110</v>
      </c>
      <c r="CV215" s="1389" t="s">
        <v>8111</v>
      </c>
      <c r="CX215" s="1020"/>
    </row>
    <row r="216" spans="1:102" ht="21" customHeight="1" x14ac:dyDescent="0.25">
      <c r="A216" s="923"/>
      <c r="B216" s="1430" t="s">
        <v>13569</v>
      </c>
      <c r="C216" s="1427" t="s">
        <v>13570</v>
      </c>
      <c r="D216" s="923"/>
      <c r="E216" s="923"/>
      <c r="F216" s="923"/>
      <c r="G216" s="923"/>
      <c r="H216" s="923"/>
      <c r="I216" s="923"/>
      <c r="J216" s="923"/>
      <c r="K216" s="923"/>
      <c r="L216" s="923"/>
      <c r="M216" s="923"/>
      <c r="N216" s="923"/>
      <c r="O216" s="923"/>
      <c r="P216" s="923"/>
      <c r="Q216" s="923"/>
      <c r="R216" s="923"/>
      <c r="S216" s="923"/>
      <c r="CM216" s="1377"/>
      <c r="CN216" s="1388" t="s">
        <v>8813</v>
      </c>
      <c r="CO216" s="1388" t="s">
        <v>8124</v>
      </c>
      <c r="CP216" s="1388" t="s">
        <v>8106</v>
      </c>
      <c r="CQ216" s="1388" t="s">
        <v>8814</v>
      </c>
      <c r="CR216" s="1388" t="s">
        <v>8814</v>
      </c>
      <c r="CS216" s="1388" t="s">
        <v>8788</v>
      </c>
      <c r="CT216" s="1388" t="s">
        <v>8789</v>
      </c>
      <c r="CU216" s="1388" t="s">
        <v>8790</v>
      </c>
      <c r="CV216" s="1389" t="s">
        <v>8791</v>
      </c>
      <c r="CX216" s="1020"/>
    </row>
    <row r="217" spans="1:102" ht="21" customHeight="1" x14ac:dyDescent="0.25">
      <c r="A217" s="923"/>
      <c r="B217" s="1430" t="s">
        <v>13571</v>
      </c>
      <c r="C217" s="1427" t="s">
        <v>13572</v>
      </c>
      <c r="D217" s="923"/>
      <c r="E217" s="923"/>
      <c r="F217" s="923"/>
      <c r="G217" s="923"/>
      <c r="H217" s="923"/>
      <c r="I217" s="923"/>
      <c r="J217" s="923"/>
      <c r="K217" s="923"/>
      <c r="L217" s="923"/>
      <c r="M217" s="923"/>
      <c r="N217" s="923"/>
      <c r="O217" s="923"/>
      <c r="P217" s="923"/>
      <c r="Q217" s="923"/>
      <c r="R217" s="923"/>
      <c r="S217" s="923"/>
      <c r="CM217" s="1377"/>
      <c r="CN217" s="1388" t="s">
        <v>8815</v>
      </c>
      <c r="CO217" s="1388" t="s">
        <v>8124</v>
      </c>
      <c r="CP217" s="1388" t="s">
        <v>8106</v>
      </c>
      <c r="CQ217" s="1388" t="s">
        <v>8816</v>
      </c>
      <c r="CR217" s="1388" t="s">
        <v>8816</v>
      </c>
      <c r="CS217" s="1388" t="s">
        <v>8788</v>
      </c>
      <c r="CT217" s="1388" t="s">
        <v>8789</v>
      </c>
      <c r="CU217" s="1388" t="s">
        <v>8790</v>
      </c>
      <c r="CV217" s="1389" t="s">
        <v>8791</v>
      </c>
      <c r="CX217" s="1020"/>
    </row>
    <row r="218" spans="1:102" ht="21" customHeight="1" x14ac:dyDescent="0.25">
      <c r="A218" s="923"/>
      <c r="B218" s="1434" t="s">
        <v>13573</v>
      </c>
      <c r="C218" s="1427" t="s">
        <v>13574</v>
      </c>
      <c r="D218" s="923"/>
      <c r="E218" s="923"/>
      <c r="F218" s="923"/>
      <c r="G218" s="923"/>
      <c r="H218" s="923"/>
      <c r="I218" s="923"/>
      <c r="J218" s="923"/>
      <c r="K218" s="923"/>
      <c r="L218" s="923"/>
      <c r="M218" s="923"/>
      <c r="N218" s="923"/>
      <c r="O218" s="923"/>
      <c r="P218" s="923"/>
      <c r="Q218" s="923"/>
      <c r="R218" s="923"/>
      <c r="S218" s="923"/>
      <c r="CM218" s="1377"/>
      <c r="CN218" s="1388" t="s">
        <v>8817</v>
      </c>
      <c r="CO218" s="1388" t="s">
        <v>8124</v>
      </c>
      <c r="CP218" s="1388" t="s">
        <v>8106</v>
      </c>
      <c r="CQ218" s="1388" t="s">
        <v>8818</v>
      </c>
      <c r="CR218" s="1388" t="s">
        <v>8818</v>
      </c>
      <c r="CS218" s="1388" t="s">
        <v>8788</v>
      </c>
      <c r="CT218" s="1388" t="s">
        <v>8789</v>
      </c>
      <c r="CU218" s="1388" t="s">
        <v>8790</v>
      </c>
      <c r="CV218" s="1389" t="s">
        <v>8791</v>
      </c>
      <c r="CX218" s="1020"/>
    </row>
    <row r="219" spans="1:102" ht="21" customHeight="1" x14ac:dyDescent="0.25">
      <c r="A219" s="923"/>
      <c r="B219" s="1430" t="s">
        <v>13575</v>
      </c>
      <c r="C219" s="1427" t="s">
        <v>13576</v>
      </c>
      <c r="D219" s="923"/>
      <c r="E219" s="923"/>
      <c r="F219" s="923"/>
      <c r="G219" s="923"/>
      <c r="H219" s="923"/>
      <c r="I219" s="923"/>
      <c r="J219" s="923"/>
      <c r="K219" s="923"/>
      <c r="L219" s="923"/>
      <c r="M219" s="923"/>
      <c r="N219" s="923"/>
      <c r="O219" s="923"/>
      <c r="P219" s="923"/>
      <c r="Q219" s="923"/>
      <c r="R219" s="923"/>
      <c r="S219" s="923"/>
      <c r="CM219" s="1377"/>
      <c r="CN219" s="1388" t="s">
        <v>8819</v>
      </c>
      <c r="CO219" s="1388" t="s">
        <v>8124</v>
      </c>
      <c r="CP219" s="1388" t="s">
        <v>8106</v>
      </c>
      <c r="CQ219" s="1388" t="s">
        <v>8820</v>
      </c>
      <c r="CR219" s="1388" t="s">
        <v>8820</v>
      </c>
      <c r="CS219" s="1388" t="s">
        <v>8788</v>
      </c>
      <c r="CT219" s="1388" t="s">
        <v>8789</v>
      </c>
      <c r="CU219" s="1388" t="s">
        <v>8790</v>
      </c>
      <c r="CV219" s="1389" t="s">
        <v>8791</v>
      </c>
      <c r="CX219" s="1020"/>
    </row>
    <row r="220" spans="1:102" ht="21" customHeight="1" x14ac:dyDescent="0.25">
      <c r="A220" s="923"/>
      <c r="B220" s="1430" t="s">
        <v>13577</v>
      </c>
      <c r="C220" s="1427" t="s">
        <v>13578</v>
      </c>
      <c r="D220" s="923"/>
      <c r="E220" s="923"/>
      <c r="F220" s="923"/>
      <c r="G220" s="923"/>
      <c r="H220" s="923"/>
      <c r="I220" s="923"/>
      <c r="J220" s="923"/>
      <c r="K220" s="923"/>
      <c r="L220" s="923"/>
      <c r="M220" s="923"/>
      <c r="N220" s="923"/>
      <c r="O220" s="923"/>
      <c r="P220" s="923"/>
      <c r="Q220" s="923"/>
      <c r="R220" s="923"/>
      <c r="S220" s="923"/>
      <c r="CM220" s="1377"/>
      <c r="CN220" s="1388" t="s">
        <v>8821</v>
      </c>
      <c r="CO220" s="1388" t="s">
        <v>8124</v>
      </c>
      <c r="CP220" s="1388" t="s">
        <v>8106</v>
      </c>
      <c r="CQ220" s="1388" t="s">
        <v>8822</v>
      </c>
      <c r="CR220" s="1388" t="s">
        <v>8822</v>
      </c>
      <c r="CS220" s="1388" t="s">
        <v>8788</v>
      </c>
      <c r="CT220" s="1388" t="s">
        <v>8795</v>
      </c>
      <c r="CU220" s="1388" t="s">
        <v>8110</v>
      </c>
      <c r="CV220" s="1389" t="s">
        <v>8111</v>
      </c>
      <c r="CX220" s="1020"/>
    </row>
    <row r="221" spans="1:102" ht="21" customHeight="1" x14ac:dyDescent="0.25">
      <c r="A221" s="923"/>
      <c r="B221" s="1438"/>
      <c r="C221" s="1427"/>
      <c r="D221" s="923"/>
      <c r="E221" s="923"/>
      <c r="F221" s="923"/>
      <c r="G221" s="923"/>
      <c r="H221" s="923"/>
      <c r="I221" s="923"/>
      <c r="J221" s="923"/>
      <c r="K221" s="923"/>
      <c r="L221" s="923"/>
      <c r="M221" s="923"/>
      <c r="N221" s="923"/>
      <c r="O221" s="923"/>
      <c r="P221" s="923"/>
      <c r="Q221" s="923"/>
      <c r="R221" s="923"/>
      <c r="S221" s="923"/>
      <c r="CM221" s="1377"/>
      <c r="CN221" s="1388" t="s">
        <v>8823</v>
      </c>
      <c r="CO221" s="1388" t="s">
        <v>8124</v>
      </c>
      <c r="CP221" s="1388" t="s">
        <v>8106</v>
      </c>
      <c r="CQ221" s="1388" t="s">
        <v>8824</v>
      </c>
      <c r="CR221" s="1388" t="s">
        <v>8824</v>
      </c>
      <c r="CS221" s="1388" t="s">
        <v>8194</v>
      </c>
      <c r="CT221" s="1388" t="s">
        <v>8195</v>
      </c>
      <c r="CU221" s="1388" t="s">
        <v>8110</v>
      </c>
      <c r="CV221" s="1389" t="s">
        <v>8196</v>
      </c>
      <c r="CX221" s="1020"/>
    </row>
    <row r="222" spans="1:102" ht="21" customHeight="1" x14ac:dyDescent="0.25">
      <c r="A222" s="923"/>
      <c r="B222" s="1437" t="s">
        <v>13579</v>
      </c>
      <c r="C222" s="1436"/>
      <c r="D222" s="923"/>
      <c r="E222" s="923"/>
      <c r="F222" s="923"/>
      <c r="G222" s="923"/>
      <c r="H222" s="923"/>
      <c r="I222" s="923"/>
      <c r="J222" s="923"/>
      <c r="K222" s="923"/>
      <c r="L222" s="923"/>
      <c r="M222" s="923"/>
      <c r="N222" s="923"/>
      <c r="O222" s="923"/>
      <c r="P222" s="923"/>
      <c r="Q222" s="923"/>
      <c r="R222" s="923"/>
      <c r="S222" s="923"/>
      <c r="CM222" s="1377"/>
      <c r="CN222" s="1388" t="s">
        <v>8825</v>
      </c>
      <c r="CO222" s="1388" t="s">
        <v>8124</v>
      </c>
      <c r="CP222" s="1388" t="s">
        <v>8106</v>
      </c>
      <c r="CQ222" s="1388" t="s">
        <v>8826</v>
      </c>
      <c r="CR222" s="1388" t="s">
        <v>8826</v>
      </c>
      <c r="CS222" s="1388" t="s">
        <v>8788</v>
      </c>
      <c r="CT222" s="1388" t="s">
        <v>8789</v>
      </c>
      <c r="CU222" s="1388" t="s">
        <v>8790</v>
      </c>
      <c r="CV222" s="1389" t="s">
        <v>8791</v>
      </c>
      <c r="CX222" s="1020"/>
    </row>
    <row r="223" spans="1:102" ht="21" customHeight="1" x14ac:dyDescent="0.25">
      <c r="A223" s="923"/>
      <c r="B223" s="1430" t="s">
        <v>13580</v>
      </c>
      <c r="C223" s="1427" t="s">
        <v>13581</v>
      </c>
      <c r="D223" s="923"/>
      <c r="E223" s="923"/>
      <c r="F223" s="923"/>
      <c r="G223" s="923"/>
      <c r="H223" s="923"/>
      <c r="I223" s="923"/>
      <c r="J223" s="923"/>
      <c r="K223" s="923"/>
      <c r="L223" s="923"/>
      <c r="M223" s="923"/>
      <c r="N223" s="923"/>
      <c r="O223" s="923"/>
      <c r="P223" s="923"/>
      <c r="Q223" s="923"/>
      <c r="R223" s="923"/>
      <c r="S223" s="923"/>
      <c r="CM223" s="1377"/>
      <c r="CN223" s="1388" t="s">
        <v>8827</v>
      </c>
      <c r="CO223" s="1388" t="s">
        <v>8124</v>
      </c>
      <c r="CP223" s="1388" t="s">
        <v>8106</v>
      </c>
      <c r="CQ223" s="1388" t="s">
        <v>8828</v>
      </c>
      <c r="CR223" s="1388" t="s">
        <v>8828</v>
      </c>
      <c r="CS223" s="1388" t="s">
        <v>8788</v>
      </c>
      <c r="CT223" s="1388" t="s">
        <v>8789</v>
      </c>
      <c r="CU223" s="1388" t="s">
        <v>8790</v>
      </c>
      <c r="CV223" s="1389" t="s">
        <v>8791</v>
      </c>
      <c r="CX223" s="1020"/>
    </row>
    <row r="224" spans="1:102" ht="21" customHeight="1" x14ac:dyDescent="0.25">
      <c r="A224" s="923"/>
      <c r="B224" s="1430" t="s">
        <v>13582</v>
      </c>
      <c r="C224" s="1427" t="s">
        <v>13583</v>
      </c>
      <c r="D224" s="923"/>
      <c r="E224" s="923"/>
      <c r="F224" s="923"/>
      <c r="G224" s="923"/>
      <c r="H224" s="923"/>
      <c r="I224" s="923"/>
      <c r="J224" s="923"/>
      <c r="K224" s="923"/>
      <c r="L224" s="923"/>
      <c r="M224" s="923"/>
      <c r="N224" s="923"/>
      <c r="O224" s="923"/>
      <c r="P224" s="923"/>
      <c r="Q224" s="923"/>
      <c r="R224" s="923"/>
      <c r="S224" s="923"/>
      <c r="CM224" s="1377"/>
      <c r="CN224" s="1388" t="s">
        <v>8829</v>
      </c>
      <c r="CO224" s="1388" t="s">
        <v>8124</v>
      </c>
      <c r="CP224" s="1388" t="s">
        <v>8106</v>
      </c>
      <c r="CQ224" s="1388" t="s">
        <v>8830</v>
      </c>
      <c r="CR224" s="1388" t="s">
        <v>8830</v>
      </c>
      <c r="CS224" s="1388" t="s">
        <v>8788</v>
      </c>
      <c r="CT224" s="1388" t="s">
        <v>8789</v>
      </c>
      <c r="CU224" s="1388" t="s">
        <v>8790</v>
      </c>
      <c r="CV224" s="1389" t="s">
        <v>8791</v>
      </c>
      <c r="CX224" s="1020"/>
    </row>
    <row r="225" spans="1:102" ht="21" customHeight="1" x14ac:dyDescent="0.25">
      <c r="A225" s="923"/>
      <c r="B225" s="1430"/>
      <c r="C225" s="1427" t="s">
        <v>13584</v>
      </c>
      <c r="D225" s="923"/>
      <c r="E225" s="923"/>
      <c r="F225" s="923"/>
      <c r="G225" s="923"/>
      <c r="H225" s="923"/>
      <c r="I225" s="923"/>
      <c r="J225" s="923"/>
      <c r="K225" s="923"/>
      <c r="L225" s="923"/>
      <c r="M225" s="923"/>
      <c r="N225" s="923"/>
      <c r="O225" s="923"/>
      <c r="P225" s="923"/>
      <c r="Q225" s="923"/>
      <c r="R225" s="923"/>
      <c r="S225" s="923"/>
      <c r="CM225" s="1377"/>
      <c r="CN225" s="1388" t="s">
        <v>8831</v>
      </c>
      <c r="CO225" s="1388" t="s">
        <v>8124</v>
      </c>
      <c r="CP225" s="1388" t="s">
        <v>8106</v>
      </c>
      <c r="CQ225" s="1388" t="s">
        <v>8832</v>
      </c>
      <c r="CR225" s="1388" t="s">
        <v>8832</v>
      </c>
      <c r="CS225" s="1388" t="s">
        <v>8788</v>
      </c>
      <c r="CT225" s="1388" t="s">
        <v>8789</v>
      </c>
      <c r="CU225" s="1388" t="s">
        <v>8790</v>
      </c>
      <c r="CV225" s="1389" t="s">
        <v>8791</v>
      </c>
      <c r="CX225" s="1020"/>
    </row>
    <row r="226" spans="1:102" ht="21" customHeight="1" x14ac:dyDescent="0.25">
      <c r="A226" s="923"/>
      <c r="B226" s="1430" t="s">
        <v>13585</v>
      </c>
      <c r="C226" s="1427" t="s">
        <v>13586</v>
      </c>
      <c r="D226" s="923"/>
      <c r="E226" s="923"/>
      <c r="F226" s="923"/>
      <c r="G226" s="923"/>
      <c r="H226" s="923"/>
      <c r="I226" s="923"/>
      <c r="J226" s="923"/>
      <c r="K226" s="923"/>
      <c r="L226" s="923"/>
      <c r="M226" s="923"/>
      <c r="N226" s="923"/>
      <c r="O226" s="923"/>
      <c r="P226" s="923"/>
      <c r="Q226" s="923"/>
      <c r="R226" s="923"/>
      <c r="S226" s="923"/>
      <c r="CM226" s="1377"/>
      <c r="CN226" s="1388" t="s">
        <v>8833</v>
      </c>
      <c r="CO226" s="1388" t="s">
        <v>8124</v>
      </c>
      <c r="CP226" s="1388" t="s">
        <v>8106</v>
      </c>
      <c r="CQ226" s="1388" t="s">
        <v>8834</v>
      </c>
      <c r="CR226" s="1388" t="s">
        <v>8834</v>
      </c>
      <c r="CS226" s="1388" t="s">
        <v>8788</v>
      </c>
      <c r="CT226" s="1388" t="s">
        <v>8789</v>
      </c>
      <c r="CU226" s="1388" t="s">
        <v>8790</v>
      </c>
      <c r="CV226" s="1389" t="s">
        <v>8791</v>
      </c>
      <c r="CX226" s="1379">
        <v>1</v>
      </c>
    </row>
    <row r="227" spans="1:102" ht="21" customHeight="1" x14ac:dyDescent="0.25">
      <c r="A227" s="923"/>
      <c r="B227" s="1430" t="s">
        <v>13587</v>
      </c>
      <c r="C227" s="1427" t="s">
        <v>13588</v>
      </c>
      <c r="D227" s="923"/>
      <c r="E227" s="923"/>
      <c r="F227" s="923"/>
      <c r="G227" s="923"/>
      <c r="H227" s="923"/>
      <c r="I227" s="923"/>
      <c r="J227" s="923"/>
      <c r="K227" s="923"/>
      <c r="L227" s="923"/>
      <c r="M227" s="923"/>
      <c r="N227" s="923"/>
      <c r="O227" s="923"/>
      <c r="P227" s="923"/>
      <c r="Q227" s="923"/>
      <c r="R227" s="923"/>
      <c r="S227" s="923"/>
      <c r="CM227" s="1377"/>
      <c r="CN227" s="1388" t="s">
        <v>8835</v>
      </c>
      <c r="CO227" s="1388" t="s">
        <v>8124</v>
      </c>
      <c r="CP227" s="1388" t="s">
        <v>8106</v>
      </c>
      <c r="CQ227" s="1388" t="s">
        <v>8836</v>
      </c>
      <c r="CR227" s="1388" t="s">
        <v>8836</v>
      </c>
      <c r="CS227" s="1388" t="s">
        <v>8788</v>
      </c>
      <c r="CT227" s="1388" t="s">
        <v>8789</v>
      </c>
      <c r="CU227" s="1388" t="s">
        <v>8790</v>
      </c>
      <c r="CV227" s="1389" t="s">
        <v>8791</v>
      </c>
      <c r="CX227" s="1379">
        <v>1</v>
      </c>
    </row>
    <row r="228" spans="1:102" ht="21" customHeight="1" x14ac:dyDescent="0.25">
      <c r="A228" s="923"/>
      <c r="B228" s="1427"/>
      <c r="C228" s="1427"/>
      <c r="D228" s="923"/>
      <c r="E228" s="923"/>
      <c r="F228" s="923"/>
      <c r="G228" s="923"/>
      <c r="H228" s="923"/>
      <c r="I228" s="923"/>
      <c r="J228" s="923"/>
      <c r="K228" s="923"/>
      <c r="L228" s="923"/>
      <c r="M228" s="923"/>
      <c r="N228" s="923"/>
      <c r="O228" s="923"/>
      <c r="P228" s="923"/>
      <c r="Q228" s="923"/>
      <c r="R228" s="923"/>
      <c r="S228" s="923"/>
      <c r="CM228" s="1377"/>
      <c r="CN228" s="1388" t="s">
        <v>8837</v>
      </c>
      <c r="CO228" s="1388" t="s">
        <v>8124</v>
      </c>
      <c r="CP228" s="1388" t="s">
        <v>8106</v>
      </c>
      <c r="CQ228" s="1388" t="s">
        <v>8838</v>
      </c>
      <c r="CR228" s="1388" t="s">
        <v>8838</v>
      </c>
      <c r="CS228" s="1388" t="s">
        <v>8788</v>
      </c>
      <c r="CT228" s="1388" t="s">
        <v>8789</v>
      </c>
      <c r="CU228" s="1388" t="s">
        <v>8790</v>
      </c>
      <c r="CV228" s="1389" t="s">
        <v>8791</v>
      </c>
      <c r="CX228" s="1379">
        <v>1</v>
      </c>
    </row>
    <row r="229" spans="1:102" ht="21" customHeight="1" x14ac:dyDescent="0.25">
      <c r="A229" s="923"/>
      <c r="B229" s="1435" t="s">
        <v>13589</v>
      </c>
      <c r="C229" s="1433"/>
      <c r="D229" s="923"/>
      <c r="E229" s="923"/>
      <c r="F229" s="923"/>
      <c r="G229" s="923"/>
      <c r="H229" s="923"/>
      <c r="I229" s="923"/>
      <c r="J229" s="923"/>
      <c r="K229" s="923"/>
      <c r="L229" s="923"/>
      <c r="M229" s="923"/>
      <c r="N229" s="923"/>
      <c r="O229" s="923"/>
      <c r="P229" s="923"/>
      <c r="Q229" s="923"/>
      <c r="R229" s="923"/>
      <c r="S229" s="923"/>
      <c r="CM229" s="1377"/>
      <c r="CN229" s="1388" t="s">
        <v>8839</v>
      </c>
      <c r="CO229" s="1388" t="s">
        <v>8124</v>
      </c>
      <c r="CP229" s="1388" t="s">
        <v>8106</v>
      </c>
      <c r="CQ229" s="1388" t="s">
        <v>8840</v>
      </c>
      <c r="CR229" s="1388" t="s">
        <v>8840</v>
      </c>
      <c r="CS229" s="1388" t="s">
        <v>8788</v>
      </c>
      <c r="CT229" s="1388" t="s">
        <v>8789</v>
      </c>
      <c r="CU229" s="1388" t="s">
        <v>8790</v>
      </c>
      <c r="CV229" s="1389" t="s">
        <v>8791</v>
      </c>
      <c r="CX229" s="1379">
        <v>1</v>
      </c>
    </row>
    <row r="230" spans="1:102" ht="21" customHeight="1" x14ac:dyDescent="0.25">
      <c r="A230" s="923"/>
      <c r="B230" s="1430" t="s">
        <v>13590</v>
      </c>
      <c r="C230" s="1427" t="s">
        <v>13591</v>
      </c>
      <c r="D230" s="923"/>
      <c r="E230" s="923"/>
      <c r="F230" s="923"/>
      <c r="G230" s="923"/>
      <c r="H230" s="923"/>
      <c r="I230" s="923"/>
      <c r="J230" s="923"/>
      <c r="K230" s="923"/>
      <c r="L230" s="923"/>
      <c r="M230" s="923"/>
      <c r="N230" s="923"/>
      <c r="O230" s="923"/>
      <c r="P230" s="923"/>
      <c r="Q230" s="923"/>
      <c r="R230" s="923"/>
      <c r="S230" s="923"/>
      <c r="CM230" s="1377"/>
      <c r="CN230" s="1388" t="s">
        <v>8841</v>
      </c>
      <c r="CO230" s="1388" t="s">
        <v>8124</v>
      </c>
      <c r="CP230" s="1388" t="s">
        <v>8106</v>
      </c>
      <c r="CQ230" s="1388" t="s">
        <v>8842</v>
      </c>
      <c r="CR230" s="1388" t="s">
        <v>8842</v>
      </c>
      <c r="CS230" s="1388" t="s">
        <v>8788</v>
      </c>
      <c r="CT230" s="1388" t="s">
        <v>8789</v>
      </c>
      <c r="CU230" s="1388" t="s">
        <v>8790</v>
      </c>
      <c r="CV230" s="1389" t="s">
        <v>8791</v>
      </c>
      <c r="CX230" s="1379">
        <v>1</v>
      </c>
    </row>
    <row r="231" spans="1:102" ht="21" customHeight="1" x14ac:dyDescent="0.25">
      <c r="A231" s="923"/>
      <c r="B231" s="1430" t="s">
        <v>13592</v>
      </c>
      <c r="C231" s="1427" t="s">
        <v>13593</v>
      </c>
      <c r="D231" s="923"/>
      <c r="E231" s="923"/>
      <c r="F231" s="923"/>
      <c r="G231" s="923"/>
      <c r="H231" s="923"/>
      <c r="I231" s="923"/>
      <c r="J231" s="923"/>
      <c r="K231" s="923"/>
      <c r="L231" s="923"/>
      <c r="M231" s="923"/>
      <c r="N231" s="923"/>
      <c r="O231" s="923"/>
      <c r="P231" s="923"/>
      <c r="Q231" s="923"/>
      <c r="R231" s="923"/>
      <c r="S231" s="923"/>
      <c r="CM231" s="1377"/>
      <c r="CN231" s="1388" t="s">
        <v>8843</v>
      </c>
      <c r="CO231" s="1388" t="s">
        <v>8124</v>
      </c>
      <c r="CP231" s="1388" t="s">
        <v>8106</v>
      </c>
      <c r="CQ231" s="1388" t="s">
        <v>8844</v>
      </c>
      <c r="CR231" s="1388" t="s">
        <v>8844</v>
      </c>
      <c r="CS231" s="1388" t="s">
        <v>8788</v>
      </c>
      <c r="CT231" s="1388" t="s">
        <v>8789</v>
      </c>
      <c r="CU231" s="1388" t="s">
        <v>8790</v>
      </c>
      <c r="CV231" s="1389" t="s">
        <v>8791</v>
      </c>
      <c r="CX231" s="1379">
        <v>1</v>
      </c>
    </row>
    <row r="232" spans="1:102" ht="21" customHeight="1" x14ac:dyDescent="0.25">
      <c r="A232" s="923"/>
      <c r="B232" s="1430" t="s">
        <v>13594</v>
      </c>
      <c r="C232" s="1427" t="s">
        <v>13595</v>
      </c>
      <c r="D232" s="923"/>
      <c r="E232" s="923"/>
      <c r="F232" s="923"/>
      <c r="G232" s="923"/>
      <c r="H232" s="923"/>
      <c r="I232" s="923"/>
      <c r="J232" s="923"/>
      <c r="K232" s="923"/>
      <c r="L232" s="923"/>
      <c r="M232" s="923"/>
      <c r="N232" s="923"/>
      <c r="O232" s="923"/>
      <c r="P232" s="923"/>
      <c r="Q232" s="923"/>
      <c r="R232" s="923"/>
      <c r="S232" s="923"/>
      <c r="CM232" s="1377"/>
      <c r="CN232" s="1388" t="s">
        <v>8845</v>
      </c>
      <c r="CO232" s="1388" t="s">
        <v>8124</v>
      </c>
      <c r="CP232" s="1388" t="s">
        <v>8106</v>
      </c>
      <c r="CQ232" s="1388" t="s">
        <v>8846</v>
      </c>
      <c r="CR232" s="1388" t="s">
        <v>8846</v>
      </c>
      <c r="CS232" s="1388" t="s">
        <v>8788</v>
      </c>
      <c r="CT232" s="1388" t="s">
        <v>8789</v>
      </c>
      <c r="CU232" s="1388" t="s">
        <v>8790</v>
      </c>
      <c r="CV232" s="1389" t="s">
        <v>8791</v>
      </c>
      <c r="CX232" s="1379">
        <v>1</v>
      </c>
    </row>
    <row r="233" spans="1:102" ht="21" customHeight="1" x14ac:dyDescent="0.25">
      <c r="A233" s="923"/>
      <c r="B233" s="1430" t="s">
        <v>13596</v>
      </c>
      <c r="C233" s="1427" t="s">
        <v>13597</v>
      </c>
      <c r="D233" s="923"/>
      <c r="E233" s="923"/>
      <c r="F233" s="923"/>
      <c r="G233" s="923"/>
      <c r="H233" s="923"/>
      <c r="I233" s="923"/>
      <c r="J233" s="923"/>
      <c r="K233" s="923"/>
      <c r="L233" s="923"/>
      <c r="M233" s="923"/>
      <c r="N233" s="923"/>
      <c r="O233" s="923"/>
      <c r="P233" s="923"/>
      <c r="Q233" s="923"/>
      <c r="R233" s="923"/>
      <c r="S233" s="923"/>
      <c r="CM233" s="1377"/>
      <c r="CN233" s="1388" t="s">
        <v>8847</v>
      </c>
      <c r="CO233" s="1388" t="s">
        <v>8124</v>
      </c>
      <c r="CP233" s="1388" t="s">
        <v>8106</v>
      </c>
      <c r="CQ233" s="1388" t="s">
        <v>8848</v>
      </c>
      <c r="CR233" s="1388" t="s">
        <v>8848</v>
      </c>
      <c r="CS233" s="1388" t="s">
        <v>8788</v>
      </c>
      <c r="CT233" s="1388" t="s">
        <v>8789</v>
      </c>
      <c r="CU233" s="1388" t="s">
        <v>8790</v>
      </c>
      <c r="CV233" s="1389" t="s">
        <v>8791</v>
      </c>
      <c r="CX233" s="1379">
        <v>1</v>
      </c>
    </row>
    <row r="234" spans="1:102" ht="21" customHeight="1" x14ac:dyDescent="0.25">
      <c r="A234" s="923"/>
      <c r="B234" s="1435"/>
      <c r="C234" s="1427" t="s">
        <v>13598</v>
      </c>
      <c r="D234" s="923"/>
      <c r="E234" s="923"/>
      <c r="F234" s="923"/>
      <c r="G234" s="923"/>
      <c r="H234" s="923"/>
      <c r="I234" s="923"/>
      <c r="J234" s="923"/>
      <c r="K234" s="923"/>
      <c r="L234" s="923"/>
      <c r="M234" s="923"/>
      <c r="N234" s="923"/>
      <c r="O234" s="923"/>
      <c r="P234" s="923"/>
      <c r="Q234" s="923"/>
      <c r="R234" s="923"/>
      <c r="S234" s="923"/>
      <c r="CM234" s="1377"/>
      <c r="CN234" s="1388" t="s">
        <v>8849</v>
      </c>
      <c r="CO234" s="1388" t="s">
        <v>8124</v>
      </c>
      <c r="CP234" s="1388" t="s">
        <v>8106</v>
      </c>
      <c r="CQ234" s="1388" t="s">
        <v>8850</v>
      </c>
      <c r="CR234" s="1388" t="s">
        <v>8850</v>
      </c>
      <c r="CS234" s="1388" t="s">
        <v>8788</v>
      </c>
      <c r="CT234" s="1388" t="s">
        <v>8789</v>
      </c>
      <c r="CU234" s="1388" t="s">
        <v>8790</v>
      </c>
      <c r="CV234" s="1389" t="s">
        <v>8791</v>
      </c>
      <c r="CX234" s="1379">
        <v>1</v>
      </c>
    </row>
    <row r="235" spans="1:102" ht="21" customHeight="1" x14ac:dyDescent="0.25">
      <c r="A235" s="923"/>
      <c r="B235" s="1438"/>
      <c r="C235" s="1427"/>
      <c r="D235" s="923"/>
      <c r="E235" s="923"/>
      <c r="F235" s="923"/>
      <c r="G235" s="923"/>
      <c r="H235" s="923"/>
      <c r="I235" s="923"/>
      <c r="J235" s="923"/>
      <c r="K235" s="923"/>
      <c r="L235" s="923"/>
      <c r="M235" s="923"/>
      <c r="N235" s="923"/>
      <c r="O235" s="923"/>
      <c r="P235" s="923"/>
      <c r="Q235" s="923"/>
      <c r="R235" s="923"/>
      <c r="S235" s="923"/>
      <c r="CM235" s="1377"/>
      <c r="CN235" s="1388" t="s">
        <v>8851</v>
      </c>
      <c r="CO235" s="1388" t="s">
        <v>8124</v>
      </c>
      <c r="CP235" s="1388" t="s">
        <v>8106</v>
      </c>
      <c r="CQ235" s="1388" t="s">
        <v>8852</v>
      </c>
      <c r="CR235" s="1388" t="s">
        <v>8852</v>
      </c>
      <c r="CS235" s="1388" t="s">
        <v>8788</v>
      </c>
      <c r="CT235" s="1388" t="s">
        <v>8795</v>
      </c>
      <c r="CU235" s="1388" t="s">
        <v>8110</v>
      </c>
      <c r="CV235" s="1389" t="s">
        <v>8111</v>
      </c>
      <c r="CX235" s="1379">
        <v>1</v>
      </c>
    </row>
    <row r="236" spans="1:102" ht="21" customHeight="1" x14ac:dyDescent="0.25">
      <c r="A236" s="923"/>
      <c r="B236" s="1437" t="s">
        <v>13599</v>
      </c>
      <c r="C236" s="1436"/>
      <c r="D236" s="923"/>
      <c r="E236" s="923"/>
      <c r="F236" s="923"/>
      <c r="G236" s="923"/>
      <c r="H236" s="923"/>
      <c r="I236" s="923"/>
      <c r="J236" s="923"/>
      <c r="K236" s="923"/>
      <c r="L236" s="923"/>
      <c r="M236" s="923"/>
      <c r="N236" s="923"/>
      <c r="O236" s="923"/>
      <c r="P236" s="923"/>
      <c r="Q236" s="923"/>
      <c r="R236" s="923"/>
      <c r="S236" s="923"/>
      <c r="CM236" s="1377"/>
      <c r="CN236" s="1388" t="s">
        <v>8853</v>
      </c>
      <c r="CO236" s="1388" t="s">
        <v>8124</v>
      </c>
      <c r="CP236" s="1388" t="s">
        <v>8106</v>
      </c>
      <c r="CQ236" s="1388" t="s">
        <v>8854</v>
      </c>
      <c r="CR236" s="1388" t="s">
        <v>8854</v>
      </c>
      <c r="CS236" s="1388" t="s">
        <v>8194</v>
      </c>
      <c r="CT236" s="1388" t="s">
        <v>8195</v>
      </c>
      <c r="CU236" s="1388" t="s">
        <v>8110</v>
      </c>
      <c r="CV236" s="1389" t="s">
        <v>8196</v>
      </c>
      <c r="CX236" s="1379">
        <v>1</v>
      </c>
    </row>
    <row r="237" spans="1:102" ht="21" customHeight="1" x14ac:dyDescent="0.25">
      <c r="A237" s="923"/>
      <c r="B237" s="1430" t="s">
        <v>13600</v>
      </c>
      <c r="C237" s="1427" t="s">
        <v>13601</v>
      </c>
      <c r="D237" s="923"/>
      <c r="E237" s="923"/>
      <c r="F237" s="923"/>
      <c r="G237" s="923"/>
      <c r="H237" s="923"/>
      <c r="I237" s="923"/>
      <c r="J237" s="923"/>
      <c r="K237" s="923"/>
      <c r="L237" s="923"/>
      <c r="M237" s="923"/>
      <c r="N237" s="923"/>
      <c r="O237" s="923"/>
      <c r="P237" s="923"/>
      <c r="Q237" s="923"/>
      <c r="R237" s="923"/>
      <c r="S237" s="923"/>
      <c r="CM237" s="1377"/>
      <c r="CN237" s="1388" t="s">
        <v>8855</v>
      </c>
      <c r="CO237" s="1388" t="s">
        <v>8124</v>
      </c>
      <c r="CP237" s="1388" t="s">
        <v>8106</v>
      </c>
      <c r="CQ237" s="1388" t="s">
        <v>8856</v>
      </c>
      <c r="CR237" s="1388" t="s">
        <v>8856</v>
      </c>
      <c r="CS237" s="1388" t="s">
        <v>8194</v>
      </c>
      <c r="CT237" s="1388" t="s">
        <v>8195</v>
      </c>
      <c r="CU237" s="1388" t="s">
        <v>8110</v>
      </c>
      <c r="CV237" s="1389" t="s">
        <v>8196</v>
      </c>
      <c r="CX237" s="1379">
        <v>1</v>
      </c>
    </row>
    <row r="238" spans="1:102" ht="21" customHeight="1" x14ac:dyDescent="0.25">
      <c r="A238" s="923"/>
      <c r="B238" s="1430" t="s">
        <v>13602</v>
      </c>
      <c r="C238" s="1427" t="s">
        <v>13603</v>
      </c>
      <c r="D238" s="923"/>
      <c r="E238" s="923"/>
      <c r="F238" s="923"/>
      <c r="G238" s="923"/>
      <c r="H238" s="923"/>
      <c r="I238" s="923"/>
      <c r="J238" s="923"/>
      <c r="K238" s="923"/>
      <c r="L238" s="923"/>
      <c r="M238" s="923"/>
      <c r="N238" s="923"/>
      <c r="O238" s="923"/>
      <c r="P238" s="923"/>
      <c r="Q238" s="923"/>
      <c r="R238" s="923"/>
      <c r="S238" s="923"/>
      <c r="CM238" s="1377"/>
      <c r="CN238" s="1388" t="s">
        <v>8857</v>
      </c>
      <c r="CO238" s="1388" t="s">
        <v>8124</v>
      </c>
      <c r="CP238" s="1388" t="s">
        <v>8106</v>
      </c>
      <c r="CQ238" s="1388" t="s">
        <v>8858</v>
      </c>
      <c r="CR238" s="1388" t="s">
        <v>8858</v>
      </c>
      <c r="CS238" s="1388" t="s">
        <v>8788</v>
      </c>
      <c r="CT238" s="1388" t="s">
        <v>8789</v>
      </c>
      <c r="CU238" s="1388" t="s">
        <v>8790</v>
      </c>
      <c r="CV238" s="1389" t="s">
        <v>8791</v>
      </c>
      <c r="CX238" s="1379">
        <v>1</v>
      </c>
    </row>
    <row r="239" spans="1:102" ht="21" customHeight="1" x14ac:dyDescent="0.25">
      <c r="A239" s="1361"/>
      <c r="B239" s="1439" t="s">
        <v>13604</v>
      </c>
      <c r="C239" s="1427" t="s">
        <v>13605</v>
      </c>
      <c r="D239" s="1361"/>
      <c r="E239" s="1361"/>
      <c r="F239" s="1361"/>
      <c r="G239" s="1361"/>
      <c r="H239" s="1361"/>
      <c r="I239" s="1361"/>
      <c r="J239" s="1361"/>
      <c r="K239" s="1361"/>
      <c r="L239" s="1361"/>
      <c r="M239" s="1361"/>
      <c r="N239" s="1361"/>
      <c r="O239" s="1361"/>
      <c r="P239" s="1361"/>
      <c r="Q239" s="1361"/>
      <c r="R239" s="1361"/>
      <c r="S239" s="1361"/>
      <c r="CM239" s="1377"/>
      <c r="CN239" s="1388" t="s">
        <v>8859</v>
      </c>
      <c r="CO239" s="1388" t="s">
        <v>8124</v>
      </c>
      <c r="CP239" s="1388" t="s">
        <v>8106</v>
      </c>
      <c r="CQ239" s="1388" t="s">
        <v>8860</v>
      </c>
      <c r="CR239" s="1388" t="s">
        <v>8860</v>
      </c>
      <c r="CS239" s="1388" t="s">
        <v>8788</v>
      </c>
      <c r="CT239" s="1388" t="s">
        <v>8789</v>
      </c>
      <c r="CU239" s="1388" t="s">
        <v>8790</v>
      </c>
      <c r="CV239" s="1389" t="s">
        <v>8791</v>
      </c>
      <c r="CX239" s="1379">
        <v>1</v>
      </c>
    </row>
    <row r="240" spans="1:102" ht="21" customHeight="1" x14ac:dyDescent="0.25">
      <c r="A240" s="1361"/>
      <c r="B240" s="1439" t="s">
        <v>13606</v>
      </c>
      <c r="C240" s="1427" t="s">
        <v>13607</v>
      </c>
      <c r="D240" s="1361"/>
      <c r="E240" s="1361"/>
      <c r="F240" s="1361"/>
      <c r="G240" s="1361"/>
      <c r="H240" s="1361"/>
      <c r="I240" s="1361"/>
      <c r="J240" s="1361"/>
      <c r="K240" s="1361"/>
      <c r="L240" s="1361"/>
      <c r="M240" s="1361"/>
      <c r="N240" s="1361"/>
      <c r="O240" s="1361"/>
      <c r="P240" s="1361"/>
      <c r="Q240" s="1361"/>
      <c r="R240" s="1361"/>
      <c r="S240" s="1361"/>
      <c r="CM240" s="1377"/>
      <c r="CN240" s="1388" t="s">
        <v>8861</v>
      </c>
      <c r="CO240" s="1388" t="s">
        <v>8124</v>
      </c>
      <c r="CP240" s="1388" t="s">
        <v>8106</v>
      </c>
      <c r="CQ240" s="1388" t="s">
        <v>8862</v>
      </c>
      <c r="CR240" s="1388" t="s">
        <v>8862</v>
      </c>
      <c r="CS240" s="1388" t="s">
        <v>8788</v>
      </c>
      <c r="CT240" s="1388" t="s">
        <v>8789</v>
      </c>
      <c r="CU240" s="1388" t="s">
        <v>8790</v>
      </c>
      <c r="CV240" s="1389" t="s">
        <v>8791</v>
      </c>
      <c r="CX240" s="1379">
        <v>1</v>
      </c>
    </row>
    <row r="241" spans="1:102" ht="21" customHeight="1" x14ac:dyDescent="0.25">
      <c r="A241" s="1361"/>
      <c r="B241" s="1430" t="s">
        <v>13608</v>
      </c>
      <c r="C241" s="1427" t="s">
        <v>13609</v>
      </c>
      <c r="D241" s="1361"/>
      <c r="E241" s="1361"/>
      <c r="F241" s="1361"/>
      <c r="G241" s="1361"/>
      <c r="H241" s="1361"/>
      <c r="I241" s="1361"/>
      <c r="J241" s="1361"/>
      <c r="K241" s="1361"/>
      <c r="L241" s="1361"/>
      <c r="M241" s="1361"/>
      <c r="N241" s="1361"/>
      <c r="O241" s="1361"/>
      <c r="P241" s="1361"/>
      <c r="Q241" s="1361"/>
      <c r="R241" s="1361"/>
      <c r="S241" s="1361"/>
      <c r="CM241" s="1377"/>
      <c r="CN241" s="1388" t="s">
        <v>8863</v>
      </c>
      <c r="CO241" s="1388" t="s">
        <v>8124</v>
      </c>
      <c r="CP241" s="1388" t="s">
        <v>8106</v>
      </c>
      <c r="CQ241" s="1388" t="s">
        <v>8864</v>
      </c>
      <c r="CR241" s="1388" t="s">
        <v>8864</v>
      </c>
      <c r="CS241" s="1388" t="s">
        <v>8788</v>
      </c>
      <c r="CT241" s="1388" t="s">
        <v>8789</v>
      </c>
      <c r="CU241" s="1388" t="s">
        <v>8790</v>
      </c>
      <c r="CV241" s="1389" t="s">
        <v>8791</v>
      </c>
      <c r="CX241" s="1379"/>
    </row>
    <row r="242" spans="1:102" ht="21" customHeight="1" x14ac:dyDescent="0.25">
      <c r="A242" s="1361"/>
      <c r="B242" s="1439" t="s">
        <v>13610</v>
      </c>
      <c r="C242" s="1427" t="s">
        <v>13611</v>
      </c>
      <c r="D242" s="1361"/>
      <c r="E242" s="1361"/>
      <c r="F242" s="1361"/>
      <c r="G242" s="1361"/>
      <c r="H242" s="1361"/>
      <c r="I242" s="1361"/>
      <c r="J242" s="1361"/>
      <c r="K242" s="1361"/>
      <c r="L242" s="1361"/>
      <c r="M242" s="1361"/>
      <c r="N242" s="1361"/>
      <c r="O242" s="1361"/>
      <c r="P242" s="1361"/>
      <c r="Q242" s="1361"/>
      <c r="R242" s="1361"/>
      <c r="S242" s="1361"/>
      <c r="CM242" s="1377"/>
      <c r="CN242" s="1388" t="s">
        <v>8865</v>
      </c>
      <c r="CO242" s="1388" t="s">
        <v>8124</v>
      </c>
      <c r="CP242" s="1388" t="s">
        <v>8106</v>
      </c>
      <c r="CQ242" s="1388" t="s">
        <v>8866</v>
      </c>
      <c r="CR242" s="1388" t="s">
        <v>8866</v>
      </c>
      <c r="CS242" s="1388" t="s">
        <v>8788</v>
      </c>
      <c r="CT242" s="1388" t="s">
        <v>8789</v>
      </c>
      <c r="CU242" s="1388" t="s">
        <v>8790</v>
      </c>
      <c r="CV242" s="1389" t="s">
        <v>8791</v>
      </c>
      <c r="CX242" s="1379">
        <v>1</v>
      </c>
    </row>
    <row r="243" spans="1:102" ht="21" customHeight="1" x14ac:dyDescent="0.25">
      <c r="A243" s="1361"/>
      <c r="B243" s="1439"/>
      <c r="C243" s="1427"/>
      <c r="D243" s="1361"/>
      <c r="E243" s="1361"/>
      <c r="F243" s="1361"/>
      <c r="G243" s="1361"/>
      <c r="H243" s="1361"/>
      <c r="I243" s="1361"/>
      <c r="J243" s="1361"/>
      <c r="K243" s="1361"/>
      <c r="L243" s="1361"/>
      <c r="M243" s="1361"/>
      <c r="N243" s="1361"/>
      <c r="O243" s="1361"/>
      <c r="P243" s="1361"/>
      <c r="Q243" s="1361"/>
      <c r="R243" s="1361"/>
      <c r="S243" s="1361"/>
      <c r="CM243" s="1377"/>
      <c r="CN243" s="1388" t="s">
        <v>8867</v>
      </c>
      <c r="CO243" s="1388" t="s">
        <v>8124</v>
      </c>
      <c r="CP243" s="1388" t="s">
        <v>8106</v>
      </c>
      <c r="CQ243" s="1388" t="s">
        <v>8868</v>
      </c>
      <c r="CR243" s="1388" t="s">
        <v>8868</v>
      </c>
      <c r="CS243" s="1388" t="s">
        <v>8788</v>
      </c>
      <c r="CT243" s="1388" t="s">
        <v>8789</v>
      </c>
      <c r="CU243" s="1388" t="s">
        <v>8790</v>
      </c>
      <c r="CV243" s="1389" t="s">
        <v>8791</v>
      </c>
      <c r="CX243" s="1379">
        <v>1</v>
      </c>
    </row>
    <row r="244" spans="1:102" ht="21" customHeight="1" x14ac:dyDescent="0.25">
      <c r="A244" s="1361"/>
      <c r="B244" s="1437" t="s">
        <v>13612</v>
      </c>
      <c r="C244" s="1436"/>
      <c r="D244" s="1361"/>
      <c r="E244" s="1361"/>
      <c r="F244" s="1361"/>
      <c r="G244" s="1361"/>
      <c r="H244" s="1361"/>
      <c r="I244" s="1361"/>
      <c r="J244" s="1361"/>
      <c r="K244" s="1361"/>
      <c r="L244" s="1361"/>
      <c r="M244" s="1361"/>
      <c r="N244" s="1361"/>
      <c r="O244" s="1361"/>
      <c r="P244" s="1361"/>
      <c r="Q244" s="1361"/>
      <c r="R244" s="1361"/>
      <c r="S244" s="1361"/>
      <c r="CM244" s="1377"/>
      <c r="CN244" s="1388" t="s">
        <v>8869</v>
      </c>
      <c r="CO244" s="1388" t="s">
        <v>8124</v>
      </c>
      <c r="CP244" s="1388" t="s">
        <v>8106</v>
      </c>
      <c r="CQ244" s="1388" t="s">
        <v>8870</v>
      </c>
      <c r="CR244" s="1388" t="s">
        <v>8870</v>
      </c>
      <c r="CS244" s="1388" t="s">
        <v>8788</v>
      </c>
      <c r="CT244" s="1388" t="s">
        <v>8789</v>
      </c>
      <c r="CU244" s="1388" t="s">
        <v>8790</v>
      </c>
      <c r="CV244" s="1389" t="s">
        <v>8791</v>
      </c>
      <c r="CX244" s="1379">
        <v>1</v>
      </c>
    </row>
    <row r="245" spans="1:102" ht="21" customHeight="1" x14ac:dyDescent="0.25">
      <c r="A245" s="1361"/>
      <c r="B245" s="1430" t="s">
        <v>13613</v>
      </c>
      <c r="C245" s="1427" t="s">
        <v>13614</v>
      </c>
      <c r="D245" s="1361"/>
      <c r="E245" s="1361"/>
      <c r="F245" s="1361"/>
      <c r="G245" s="1361"/>
      <c r="H245" s="1361"/>
      <c r="I245" s="1361"/>
      <c r="J245" s="1361"/>
      <c r="K245" s="1361"/>
      <c r="L245" s="1361"/>
      <c r="M245" s="1361"/>
      <c r="N245" s="1361"/>
      <c r="O245" s="1361"/>
      <c r="P245" s="1361"/>
      <c r="Q245" s="1361"/>
      <c r="R245" s="1361"/>
      <c r="S245" s="1361"/>
      <c r="CM245" s="1377"/>
      <c r="CN245" s="1388" t="s">
        <v>8871</v>
      </c>
      <c r="CO245" s="1388" t="s">
        <v>8124</v>
      </c>
      <c r="CP245" s="1388" t="s">
        <v>8106</v>
      </c>
      <c r="CQ245" s="1388" t="s">
        <v>8872</v>
      </c>
      <c r="CR245" s="1388" t="s">
        <v>8872</v>
      </c>
      <c r="CS245" s="1388" t="s">
        <v>8788</v>
      </c>
      <c r="CT245" s="1388" t="s">
        <v>8789</v>
      </c>
      <c r="CU245" s="1388" t="s">
        <v>8790</v>
      </c>
      <c r="CV245" s="1389" t="s">
        <v>8791</v>
      </c>
      <c r="CX245" s="1379">
        <v>1</v>
      </c>
    </row>
    <row r="246" spans="1:102" ht="21" customHeight="1" x14ac:dyDescent="0.25">
      <c r="A246" s="1361"/>
      <c r="B246" s="1439" t="s">
        <v>13615</v>
      </c>
      <c r="C246" s="1440" t="s">
        <v>13616</v>
      </c>
      <c r="D246" s="1361"/>
      <c r="E246" s="1361"/>
      <c r="F246" s="1361"/>
      <c r="G246" s="1361"/>
      <c r="H246" s="1361"/>
      <c r="I246" s="1361"/>
      <c r="J246" s="1361"/>
      <c r="K246" s="1361"/>
      <c r="L246" s="1361"/>
      <c r="M246" s="1361"/>
      <c r="N246" s="1361"/>
      <c r="O246" s="1361"/>
      <c r="P246" s="1361"/>
      <c r="Q246" s="1361"/>
      <c r="R246" s="1361"/>
      <c r="S246" s="1361"/>
      <c r="CM246" s="1377"/>
      <c r="CN246" s="1388" t="s">
        <v>8873</v>
      </c>
      <c r="CO246" s="1388" t="s">
        <v>8124</v>
      </c>
      <c r="CP246" s="1388" t="s">
        <v>8106</v>
      </c>
      <c r="CQ246" s="1388" t="s">
        <v>8874</v>
      </c>
      <c r="CR246" s="1388" t="s">
        <v>8874</v>
      </c>
      <c r="CS246" s="1388" t="s">
        <v>8788</v>
      </c>
      <c r="CT246" s="1388" t="s">
        <v>8789</v>
      </c>
      <c r="CU246" s="1388" t="s">
        <v>8790</v>
      </c>
      <c r="CV246" s="1389" t="s">
        <v>8791</v>
      </c>
      <c r="CX246" s="1379">
        <v>1</v>
      </c>
    </row>
    <row r="247" spans="1:102" ht="21" customHeight="1" x14ac:dyDescent="0.25">
      <c r="A247" s="1361"/>
      <c r="B247" s="1439" t="s">
        <v>13617</v>
      </c>
      <c r="C247" s="1440" t="s">
        <v>13618</v>
      </c>
      <c r="D247" s="1361"/>
      <c r="E247" s="1361"/>
      <c r="F247" s="1361"/>
      <c r="G247" s="1361"/>
      <c r="H247" s="1361"/>
      <c r="I247" s="1361"/>
      <c r="J247" s="1361"/>
      <c r="K247" s="1361"/>
      <c r="L247" s="1361"/>
      <c r="M247" s="1361"/>
      <c r="N247" s="1361"/>
      <c r="O247" s="1361"/>
      <c r="P247" s="1361"/>
      <c r="Q247" s="1361"/>
      <c r="R247" s="1361"/>
      <c r="S247" s="1361"/>
      <c r="CM247" s="1377"/>
      <c r="CN247" s="1388" t="s">
        <v>8875</v>
      </c>
      <c r="CO247" s="1388" t="s">
        <v>8124</v>
      </c>
      <c r="CP247" s="1388" t="s">
        <v>8106</v>
      </c>
      <c r="CQ247" s="1388" t="s">
        <v>8876</v>
      </c>
      <c r="CR247" s="1388" t="s">
        <v>8876</v>
      </c>
      <c r="CS247" s="1388" t="s">
        <v>8788</v>
      </c>
      <c r="CT247" s="1388" t="s">
        <v>8789</v>
      </c>
      <c r="CU247" s="1388" t="s">
        <v>8790</v>
      </c>
      <c r="CV247" s="1389" t="s">
        <v>8791</v>
      </c>
      <c r="CX247" s="1379">
        <v>1</v>
      </c>
    </row>
    <row r="248" spans="1:102" ht="21" customHeight="1" x14ac:dyDescent="0.25">
      <c r="A248" s="1361"/>
      <c r="B248" s="1439" t="s">
        <v>13619</v>
      </c>
      <c r="C248" s="1427" t="s">
        <v>13620</v>
      </c>
      <c r="D248" s="1361"/>
      <c r="E248" s="1361"/>
      <c r="F248" s="1361"/>
      <c r="G248" s="1361"/>
      <c r="H248" s="1361"/>
      <c r="I248" s="1361"/>
      <c r="J248" s="1361"/>
      <c r="K248" s="1361"/>
      <c r="L248" s="1361"/>
      <c r="M248" s="1361"/>
      <c r="N248" s="1361"/>
      <c r="O248" s="1361"/>
      <c r="P248" s="1361"/>
      <c r="Q248" s="1361"/>
      <c r="R248" s="1361"/>
      <c r="S248" s="1361"/>
      <c r="CM248" s="1377"/>
      <c r="CN248" s="1388" t="s">
        <v>8877</v>
      </c>
      <c r="CO248" s="1388" t="s">
        <v>8124</v>
      </c>
      <c r="CP248" s="1388" t="s">
        <v>8106</v>
      </c>
      <c r="CQ248" s="1388" t="s">
        <v>8878</v>
      </c>
      <c r="CR248" s="1388" t="s">
        <v>8878</v>
      </c>
      <c r="CS248" s="1388" t="s">
        <v>8788</v>
      </c>
      <c r="CT248" s="1388" t="s">
        <v>8789</v>
      </c>
      <c r="CU248" s="1388" t="s">
        <v>8790</v>
      </c>
      <c r="CV248" s="1389" t="s">
        <v>8791</v>
      </c>
      <c r="CX248" s="1379">
        <v>1</v>
      </c>
    </row>
    <row r="249" spans="1:102" ht="21" customHeight="1" x14ac:dyDescent="0.25">
      <c r="A249" s="1361"/>
      <c r="B249" s="1439" t="s">
        <v>13621</v>
      </c>
      <c r="C249" s="1427" t="s">
        <v>13622</v>
      </c>
      <c r="D249" s="1361"/>
      <c r="E249" s="1361"/>
      <c r="F249" s="1361"/>
      <c r="G249" s="1361"/>
      <c r="H249" s="1361"/>
      <c r="I249" s="1361"/>
      <c r="J249" s="1361"/>
      <c r="K249" s="1361"/>
      <c r="L249" s="1361"/>
      <c r="M249" s="1361"/>
      <c r="N249" s="1361"/>
      <c r="O249" s="1361"/>
      <c r="P249" s="1361"/>
      <c r="Q249" s="1361"/>
      <c r="R249" s="1361"/>
      <c r="S249" s="1361"/>
      <c r="CM249" s="1377"/>
      <c r="CN249" s="1388" t="s">
        <v>8879</v>
      </c>
      <c r="CO249" s="1388" t="s">
        <v>8124</v>
      </c>
      <c r="CP249" s="1388" t="s">
        <v>8106</v>
      </c>
      <c r="CQ249" s="1388" t="s">
        <v>8880</v>
      </c>
      <c r="CR249" s="1388" t="s">
        <v>8880</v>
      </c>
      <c r="CS249" s="1388" t="s">
        <v>8788</v>
      </c>
      <c r="CT249" s="1388" t="s">
        <v>8789</v>
      </c>
      <c r="CU249" s="1388" t="s">
        <v>8790</v>
      </c>
      <c r="CV249" s="1389" t="s">
        <v>8791</v>
      </c>
      <c r="CX249" s="1379">
        <v>1</v>
      </c>
    </row>
    <row r="250" spans="1:102" ht="21" customHeight="1" x14ac:dyDescent="0.25">
      <c r="A250" s="1361"/>
      <c r="B250" s="1439"/>
      <c r="C250" s="1427"/>
      <c r="D250" s="1361"/>
      <c r="E250" s="1361"/>
      <c r="F250" s="1361"/>
      <c r="G250" s="1361"/>
      <c r="H250" s="1361"/>
      <c r="I250" s="1361"/>
      <c r="J250" s="1361"/>
      <c r="K250" s="1361"/>
      <c r="L250" s="1361"/>
      <c r="M250" s="1361"/>
      <c r="N250" s="1361"/>
      <c r="O250" s="1361"/>
      <c r="P250" s="1361"/>
      <c r="Q250" s="1361"/>
      <c r="R250" s="1361"/>
      <c r="S250" s="1361"/>
      <c r="CM250" s="1377"/>
      <c r="CN250" s="1388" t="s">
        <v>8881</v>
      </c>
      <c r="CO250" s="1388" t="s">
        <v>8124</v>
      </c>
      <c r="CP250" s="1388" t="s">
        <v>8106</v>
      </c>
      <c r="CQ250" s="1388" t="s">
        <v>8882</v>
      </c>
      <c r="CR250" s="1388" t="s">
        <v>8882</v>
      </c>
      <c r="CS250" s="1388" t="s">
        <v>8788</v>
      </c>
      <c r="CT250" s="1388" t="s">
        <v>8789</v>
      </c>
      <c r="CU250" s="1388" t="s">
        <v>8790</v>
      </c>
      <c r="CV250" s="1389" t="s">
        <v>8791</v>
      </c>
      <c r="CX250" s="1379">
        <v>1</v>
      </c>
    </row>
    <row r="251" spans="1:102" ht="21" customHeight="1" x14ac:dyDescent="0.25">
      <c r="A251" s="1361"/>
      <c r="B251" s="1435" t="s">
        <v>13623</v>
      </c>
      <c r="C251" s="1433"/>
      <c r="D251" s="1361"/>
      <c r="E251" s="1361"/>
      <c r="F251" s="1361"/>
      <c r="G251" s="1361"/>
      <c r="H251" s="1361"/>
      <c r="I251" s="1361"/>
      <c r="J251" s="1361"/>
      <c r="K251" s="1361"/>
      <c r="L251" s="1361"/>
      <c r="M251" s="1361"/>
      <c r="N251" s="1361"/>
      <c r="O251" s="1361"/>
      <c r="P251" s="1361"/>
      <c r="Q251" s="1361"/>
      <c r="R251" s="1361"/>
      <c r="S251" s="1361"/>
      <c r="CM251" s="1377"/>
      <c r="CN251" s="1388" t="s">
        <v>8883</v>
      </c>
      <c r="CO251" s="1388" t="s">
        <v>8124</v>
      </c>
      <c r="CP251" s="1388" t="s">
        <v>8106</v>
      </c>
      <c r="CQ251" s="1388" t="s">
        <v>8884</v>
      </c>
      <c r="CR251" s="1388" t="s">
        <v>8884</v>
      </c>
      <c r="CS251" s="1388" t="s">
        <v>8788</v>
      </c>
      <c r="CT251" s="1388" t="s">
        <v>8789</v>
      </c>
      <c r="CU251" s="1388" t="s">
        <v>8790</v>
      </c>
      <c r="CV251" s="1389" t="s">
        <v>8791</v>
      </c>
      <c r="CX251" s="1379">
        <v>1</v>
      </c>
    </row>
    <row r="252" spans="1:102" ht="21" customHeight="1" x14ac:dyDescent="0.25">
      <c r="A252" s="1361"/>
      <c r="B252" s="1439"/>
      <c r="C252" s="1438" t="s">
        <v>13624</v>
      </c>
      <c r="D252" s="1361"/>
      <c r="E252" s="1361"/>
      <c r="F252" s="1361"/>
      <c r="G252" s="1361"/>
      <c r="H252" s="1361"/>
      <c r="I252" s="1361"/>
      <c r="J252" s="1361"/>
      <c r="K252" s="1361"/>
      <c r="L252" s="1361"/>
      <c r="M252" s="1361"/>
      <c r="N252" s="1361"/>
      <c r="O252" s="1361"/>
      <c r="P252" s="1361"/>
      <c r="Q252" s="1361"/>
      <c r="R252" s="1361"/>
      <c r="S252" s="1361"/>
      <c r="CM252" s="1377"/>
      <c r="CN252" s="1388" t="s">
        <v>8885</v>
      </c>
      <c r="CO252" s="1388" t="s">
        <v>8124</v>
      </c>
      <c r="CP252" s="1388" t="s">
        <v>8106</v>
      </c>
      <c r="CQ252" s="1388" t="s">
        <v>8886</v>
      </c>
      <c r="CR252" s="1388" t="s">
        <v>8886</v>
      </c>
      <c r="CS252" s="1388" t="s">
        <v>8788</v>
      </c>
      <c r="CT252" s="1388" t="s">
        <v>8789</v>
      </c>
      <c r="CU252" s="1388" t="s">
        <v>8790</v>
      </c>
      <c r="CV252" s="1389" t="s">
        <v>8791</v>
      </c>
      <c r="CX252" s="1379">
        <v>1</v>
      </c>
    </row>
    <row r="253" spans="1:102" ht="21" customHeight="1" x14ac:dyDescent="0.25">
      <c r="A253" s="1361"/>
      <c r="B253" s="1439" t="s">
        <v>13625</v>
      </c>
      <c r="C253" s="1438" t="s">
        <v>13626</v>
      </c>
      <c r="D253" s="1361"/>
      <c r="E253" s="1361"/>
      <c r="F253" s="1361"/>
      <c r="G253" s="1361"/>
      <c r="H253" s="1361"/>
      <c r="I253" s="1361"/>
      <c r="J253" s="1361"/>
      <c r="K253" s="1361"/>
      <c r="L253" s="1361"/>
      <c r="M253" s="1361"/>
      <c r="N253" s="1361"/>
      <c r="O253" s="1361"/>
      <c r="P253" s="1361"/>
      <c r="Q253" s="1361"/>
      <c r="R253" s="1361"/>
      <c r="S253" s="1361"/>
      <c r="CM253" s="1377"/>
      <c r="CN253" s="1388" t="s">
        <v>8887</v>
      </c>
      <c r="CO253" s="1388" t="s">
        <v>8124</v>
      </c>
      <c r="CP253" s="1388" t="s">
        <v>8106</v>
      </c>
      <c r="CQ253" s="1388" t="s">
        <v>8888</v>
      </c>
      <c r="CR253" s="1388" t="s">
        <v>8888</v>
      </c>
      <c r="CS253" s="1388" t="s">
        <v>8788</v>
      </c>
      <c r="CT253" s="1388" t="s">
        <v>8789</v>
      </c>
      <c r="CU253" s="1388" t="s">
        <v>8790</v>
      </c>
      <c r="CV253" s="1389" t="s">
        <v>8791</v>
      </c>
      <c r="CX253" s="1379">
        <v>1</v>
      </c>
    </row>
    <row r="254" spans="1:102" ht="21" customHeight="1" x14ac:dyDescent="0.25">
      <c r="A254" s="1361"/>
      <c r="B254" s="1439" t="s">
        <v>7213</v>
      </c>
      <c r="C254" s="1438" t="s">
        <v>13627</v>
      </c>
      <c r="D254" s="1361"/>
      <c r="E254" s="1361"/>
      <c r="F254" s="1361"/>
      <c r="G254" s="1361"/>
      <c r="H254" s="1361"/>
      <c r="I254" s="1361"/>
      <c r="J254" s="1361"/>
      <c r="K254" s="1361"/>
      <c r="L254" s="1361"/>
      <c r="M254" s="1361"/>
      <c r="N254" s="1361"/>
      <c r="O254" s="1361"/>
      <c r="P254" s="1361"/>
      <c r="Q254" s="1361"/>
      <c r="R254" s="1361"/>
      <c r="S254" s="1361"/>
      <c r="CM254" s="1377"/>
      <c r="CN254" s="1388" t="s">
        <v>8889</v>
      </c>
      <c r="CO254" s="1388" t="s">
        <v>8124</v>
      </c>
      <c r="CP254" s="1388" t="s">
        <v>8106</v>
      </c>
      <c r="CQ254" s="1388" t="s">
        <v>8890</v>
      </c>
      <c r="CR254" s="1388" t="s">
        <v>8890</v>
      </c>
      <c r="CS254" s="1388" t="s">
        <v>8788</v>
      </c>
      <c r="CT254" s="1388" t="s">
        <v>8789</v>
      </c>
      <c r="CU254" s="1388" t="s">
        <v>8790</v>
      </c>
      <c r="CV254" s="1389" t="s">
        <v>8791</v>
      </c>
      <c r="CX254" s="1379">
        <v>1</v>
      </c>
    </row>
    <row r="255" spans="1:102" ht="21" customHeight="1" x14ac:dyDescent="0.25">
      <c r="A255" s="1361"/>
      <c r="B255" s="1439" t="s">
        <v>13628</v>
      </c>
      <c r="C255" s="1441" t="s">
        <v>13629</v>
      </c>
      <c r="D255" s="1361"/>
      <c r="E255" s="1361"/>
      <c r="F255" s="1361"/>
      <c r="G255" s="1361"/>
      <c r="H255" s="1361"/>
      <c r="I255" s="1361"/>
      <c r="J255" s="1361"/>
      <c r="K255" s="1361"/>
      <c r="L255" s="1361"/>
      <c r="M255" s="1361"/>
      <c r="N255" s="1361"/>
      <c r="O255" s="1361"/>
      <c r="P255" s="1361"/>
      <c r="Q255" s="1361"/>
      <c r="R255" s="1361"/>
      <c r="S255" s="1361"/>
      <c r="CM255" s="1377"/>
      <c r="CN255" s="1388" t="s">
        <v>8891</v>
      </c>
      <c r="CO255" s="1388" t="s">
        <v>8124</v>
      </c>
      <c r="CP255" s="1388" t="s">
        <v>8106</v>
      </c>
      <c r="CQ255" s="1388" t="s">
        <v>8892</v>
      </c>
      <c r="CR255" s="1388" t="s">
        <v>8892</v>
      </c>
      <c r="CS255" s="1388" t="s">
        <v>8788</v>
      </c>
      <c r="CT255" s="1388" t="s">
        <v>8789</v>
      </c>
      <c r="CU255" s="1388" t="s">
        <v>8790</v>
      </c>
      <c r="CV255" s="1389" t="s">
        <v>8791</v>
      </c>
      <c r="CX255" s="1379">
        <v>1</v>
      </c>
    </row>
    <row r="256" spans="1:102" ht="21" customHeight="1" x14ac:dyDescent="0.25">
      <c r="A256" s="1361"/>
      <c r="B256" s="1439" t="s">
        <v>13630</v>
      </c>
      <c r="C256" s="1441" t="s">
        <v>13631</v>
      </c>
      <c r="D256" s="1361"/>
      <c r="E256" s="1361"/>
      <c r="F256" s="1361"/>
      <c r="G256" s="1361"/>
      <c r="H256" s="1361"/>
      <c r="I256" s="1361"/>
      <c r="J256" s="1361"/>
      <c r="K256" s="1361"/>
      <c r="L256" s="1361"/>
      <c r="M256" s="1361"/>
      <c r="N256" s="1361"/>
      <c r="O256" s="1361"/>
      <c r="P256" s="1361"/>
      <c r="Q256" s="1361"/>
      <c r="R256" s="1361"/>
      <c r="S256" s="1361"/>
      <c r="CM256" s="1377"/>
      <c r="CN256" s="1388" t="s">
        <v>8893</v>
      </c>
      <c r="CO256" s="1388" t="s">
        <v>8124</v>
      </c>
      <c r="CP256" s="1388" t="s">
        <v>8106</v>
      </c>
      <c r="CQ256" s="1388" t="s">
        <v>8894</v>
      </c>
      <c r="CR256" s="1388" t="s">
        <v>8894</v>
      </c>
      <c r="CS256" s="1388" t="s">
        <v>8788</v>
      </c>
      <c r="CT256" s="1388" t="s">
        <v>8789</v>
      </c>
      <c r="CU256" s="1388" t="s">
        <v>8790</v>
      </c>
      <c r="CV256" s="1389" t="s">
        <v>8791</v>
      </c>
      <c r="CX256" s="1379">
        <v>1</v>
      </c>
    </row>
    <row r="257" spans="1:102" ht="21" customHeight="1" x14ac:dyDescent="0.25">
      <c r="A257" s="1361"/>
      <c r="B257" s="1439" t="s">
        <v>13594</v>
      </c>
      <c r="C257" s="1441" t="s">
        <v>13632</v>
      </c>
      <c r="D257" s="1361"/>
      <c r="E257" s="1361"/>
      <c r="F257" s="1361"/>
      <c r="G257" s="1361"/>
      <c r="H257" s="1361"/>
      <c r="I257" s="1361"/>
      <c r="J257" s="1361"/>
      <c r="K257" s="1361"/>
      <c r="L257" s="1361"/>
      <c r="M257" s="1361"/>
      <c r="N257" s="1361"/>
      <c r="O257" s="1361"/>
      <c r="P257" s="1361"/>
      <c r="Q257" s="1361"/>
      <c r="R257" s="1361"/>
      <c r="S257" s="1361"/>
      <c r="CM257" s="1377"/>
      <c r="CN257" s="1388" t="s">
        <v>8895</v>
      </c>
      <c r="CO257" s="1388" t="s">
        <v>8124</v>
      </c>
      <c r="CP257" s="1388" t="s">
        <v>8106</v>
      </c>
      <c r="CQ257" s="1388" t="s">
        <v>8896</v>
      </c>
      <c r="CR257" s="1388" t="s">
        <v>8896</v>
      </c>
      <c r="CS257" s="1388" t="s">
        <v>8788</v>
      </c>
      <c r="CT257" s="1388" t="s">
        <v>8789</v>
      </c>
      <c r="CU257" s="1388" t="s">
        <v>8790</v>
      </c>
      <c r="CV257" s="1389" t="s">
        <v>8791</v>
      </c>
      <c r="CX257" s="1379">
        <v>1</v>
      </c>
    </row>
    <row r="258" spans="1:102" ht="21" customHeight="1" x14ac:dyDescent="0.25">
      <c r="A258" s="1361"/>
      <c r="B258" s="1439" t="s">
        <v>13633</v>
      </c>
      <c r="C258" s="1441" t="s">
        <v>13634</v>
      </c>
      <c r="D258" s="1361"/>
      <c r="E258" s="1361"/>
      <c r="F258" s="1361"/>
      <c r="G258" s="1361"/>
      <c r="H258" s="1361"/>
      <c r="I258" s="1361"/>
      <c r="J258" s="1361"/>
      <c r="K258" s="1361"/>
      <c r="L258" s="1361"/>
      <c r="M258" s="1361"/>
      <c r="N258" s="1361"/>
      <c r="O258" s="1361"/>
      <c r="P258" s="1361"/>
      <c r="Q258" s="1361"/>
      <c r="R258" s="1361"/>
      <c r="S258" s="1361"/>
      <c r="CM258" s="1377"/>
      <c r="CN258" s="1388" t="s">
        <v>8897</v>
      </c>
      <c r="CO258" s="1388" t="s">
        <v>8124</v>
      </c>
      <c r="CP258" s="1388" t="s">
        <v>8106</v>
      </c>
      <c r="CQ258" s="1388" t="s">
        <v>8898</v>
      </c>
      <c r="CR258" s="1388" t="s">
        <v>8898</v>
      </c>
      <c r="CS258" s="1388" t="s">
        <v>8788</v>
      </c>
      <c r="CT258" s="1388" t="s">
        <v>8789</v>
      </c>
      <c r="CU258" s="1388" t="s">
        <v>8790</v>
      </c>
      <c r="CV258" s="1389" t="s">
        <v>8791</v>
      </c>
      <c r="CX258" s="1379">
        <v>1</v>
      </c>
    </row>
    <row r="259" spans="1:102" ht="21" customHeight="1" x14ac:dyDescent="0.25">
      <c r="A259" s="1361"/>
      <c r="B259" s="1442"/>
      <c r="C259" s="1440"/>
      <c r="D259" s="1361"/>
      <c r="E259" s="1361"/>
      <c r="F259" s="1361"/>
      <c r="G259" s="1361"/>
      <c r="H259" s="1361"/>
      <c r="I259" s="1361"/>
      <c r="J259" s="1361"/>
      <c r="K259" s="1361"/>
      <c r="L259" s="1361"/>
      <c r="M259" s="1361"/>
      <c r="N259" s="1361"/>
      <c r="O259" s="1361"/>
      <c r="P259" s="1361"/>
      <c r="Q259" s="1361"/>
      <c r="R259" s="1361"/>
      <c r="S259" s="1361"/>
      <c r="CM259" s="1377"/>
      <c r="CN259" s="1388" t="s">
        <v>8899</v>
      </c>
      <c r="CO259" s="1388" t="s">
        <v>8124</v>
      </c>
      <c r="CP259" s="1388" t="s">
        <v>8106</v>
      </c>
      <c r="CQ259" s="1388" t="s">
        <v>8900</v>
      </c>
      <c r="CR259" s="1388" t="s">
        <v>8900</v>
      </c>
      <c r="CS259" s="1388" t="s">
        <v>8788</v>
      </c>
      <c r="CT259" s="1388" t="s">
        <v>8795</v>
      </c>
      <c r="CU259" s="1388" t="s">
        <v>8110</v>
      </c>
      <c r="CV259" s="1389" t="s">
        <v>8111</v>
      </c>
      <c r="CX259" s="1379">
        <v>1</v>
      </c>
    </row>
    <row r="260" spans="1:102" ht="21" customHeight="1" x14ac:dyDescent="0.25">
      <c r="A260" s="1361"/>
      <c r="B260" s="1435" t="s">
        <v>13635</v>
      </c>
      <c r="C260" s="1433" t="s">
        <v>13636</v>
      </c>
      <c r="D260" s="1361"/>
      <c r="E260" s="1361"/>
      <c r="F260" s="1361"/>
      <c r="G260" s="1361"/>
      <c r="H260" s="1361"/>
      <c r="I260" s="1361"/>
      <c r="J260" s="1361"/>
      <c r="K260" s="1361"/>
      <c r="L260" s="1361"/>
      <c r="M260" s="1361"/>
      <c r="N260" s="1361"/>
      <c r="O260" s="1361"/>
      <c r="P260" s="1361"/>
      <c r="Q260" s="1361"/>
      <c r="R260" s="1361"/>
      <c r="S260" s="1361"/>
      <c r="CM260" s="1377"/>
      <c r="CN260" s="1388" t="s">
        <v>8901</v>
      </c>
      <c r="CO260" s="1388" t="s">
        <v>8124</v>
      </c>
      <c r="CP260" s="1388" t="s">
        <v>8106</v>
      </c>
      <c r="CQ260" s="1388" t="s">
        <v>8902</v>
      </c>
      <c r="CR260" s="1388" t="s">
        <v>8902</v>
      </c>
      <c r="CS260" s="1388" t="s">
        <v>8788</v>
      </c>
      <c r="CT260" s="1388" t="s">
        <v>8789</v>
      </c>
      <c r="CU260" s="1388" t="s">
        <v>8790</v>
      </c>
      <c r="CV260" s="1389" t="s">
        <v>8791</v>
      </c>
      <c r="CX260" s="1379">
        <v>1</v>
      </c>
    </row>
    <row r="261" spans="1:102" ht="21" customHeight="1" x14ac:dyDescent="0.25">
      <c r="A261" s="1361"/>
      <c r="B261" s="1442"/>
      <c r="C261" s="1433" t="s">
        <v>13637</v>
      </c>
      <c r="D261" s="1361"/>
      <c r="E261" s="1361"/>
      <c r="F261" s="1361"/>
      <c r="G261" s="1361"/>
      <c r="H261" s="1361"/>
      <c r="I261" s="1361"/>
      <c r="J261" s="1361"/>
      <c r="K261" s="1361"/>
      <c r="L261" s="1361"/>
      <c r="M261" s="1361"/>
      <c r="N261" s="1361"/>
      <c r="O261" s="1361"/>
      <c r="P261" s="1361"/>
      <c r="Q261" s="1361"/>
      <c r="R261" s="1361"/>
      <c r="S261" s="1361"/>
      <c r="CM261" s="1377"/>
      <c r="CN261" s="1388" t="s">
        <v>8903</v>
      </c>
      <c r="CO261" s="1388" t="s">
        <v>8124</v>
      </c>
      <c r="CP261" s="1388" t="s">
        <v>8106</v>
      </c>
      <c r="CQ261" s="1388" t="s">
        <v>8904</v>
      </c>
      <c r="CR261" s="1388" t="s">
        <v>8904</v>
      </c>
      <c r="CS261" s="1388" t="s">
        <v>8788</v>
      </c>
      <c r="CT261" s="1388" t="s">
        <v>8789</v>
      </c>
      <c r="CU261" s="1388" t="s">
        <v>8790</v>
      </c>
      <c r="CV261" s="1389" t="s">
        <v>8791</v>
      </c>
      <c r="CX261" s="1379">
        <v>1</v>
      </c>
    </row>
    <row r="262" spans="1:102" ht="21" customHeight="1" x14ac:dyDescent="0.25">
      <c r="A262" s="1361"/>
      <c r="B262" s="1442"/>
      <c r="C262" s="1440"/>
      <c r="D262" s="1361"/>
      <c r="E262" s="1361"/>
      <c r="F262" s="1361"/>
      <c r="G262" s="1361"/>
      <c r="H262" s="1361"/>
      <c r="I262" s="1361"/>
      <c r="J262" s="1361"/>
      <c r="K262" s="1361"/>
      <c r="L262" s="1361"/>
      <c r="M262" s="1361"/>
      <c r="N262" s="1361"/>
      <c r="O262" s="1361"/>
      <c r="P262" s="1361"/>
      <c r="Q262" s="1361"/>
      <c r="R262" s="1361"/>
      <c r="S262" s="1361"/>
      <c r="CM262" s="1377"/>
      <c r="CN262" s="1388" t="s">
        <v>8905</v>
      </c>
      <c r="CO262" s="1388" t="s">
        <v>8124</v>
      </c>
      <c r="CP262" s="1388" t="s">
        <v>8106</v>
      </c>
      <c r="CQ262" s="1388" t="s">
        <v>8906</v>
      </c>
      <c r="CR262" s="1388" t="s">
        <v>8906</v>
      </c>
      <c r="CS262" s="1388" t="s">
        <v>8788</v>
      </c>
      <c r="CT262" s="1388" t="s">
        <v>8789</v>
      </c>
      <c r="CU262" s="1388" t="s">
        <v>8790</v>
      </c>
      <c r="CV262" s="1389" t="s">
        <v>8791</v>
      </c>
      <c r="CX262" s="1379">
        <v>1</v>
      </c>
    </row>
    <row r="263" spans="1:102" ht="21" customHeight="1" x14ac:dyDescent="0.25">
      <c r="A263" s="1361"/>
      <c r="B263" s="1363" t="s">
        <v>13638</v>
      </c>
      <c r="C263" s="1361"/>
      <c r="D263" s="1361"/>
      <c r="E263" s="1361"/>
      <c r="F263" s="1361"/>
      <c r="G263" s="1361"/>
      <c r="H263" s="1361"/>
      <c r="I263" s="1361"/>
      <c r="J263" s="1361"/>
      <c r="K263" s="1361"/>
      <c r="L263" s="1361"/>
      <c r="M263" s="1361"/>
      <c r="N263" s="1361"/>
      <c r="O263" s="1361"/>
      <c r="P263" s="1361"/>
      <c r="Q263" s="1361"/>
      <c r="R263" s="1361"/>
      <c r="S263" s="1361"/>
      <c r="CM263" s="1377"/>
      <c r="CN263" s="1388" t="s">
        <v>8907</v>
      </c>
      <c r="CO263" s="1388" t="s">
        <v>8124</v>
      </c>
      <c r="CP263" s="1388" t="s">
        <v>8106</v>
      </c>
      <c r="CQ263" s="1388" t="s">
        <v>8908</v>
      </c>
      <c r="CR263" s="1388" t="s">
        <v>8908</v>
      </c>
      <c r="CS263" s="1388" t="s">
        <v>8788</v>
      </c>
      <c r="CT263" s="1388" t="s">
        <v>8789</v>
      </c>
      <c r="CU263" s="1388" t="s">
        <v>8790</v>
      </c>
      <c r="CV263" s="1389" t="s">
        <v>8791</v>
      </c>
      <c r="CX263" s="1379">
        <v>1</v>
      </c>
    </row>
    <row r="264" spans="1:102" ht="21" customHeight="1" x14ac:dyDescent="0.25">
      <c r="A264" s="1361"/>
      <c r="B264" s="1364" t="s">
        <v>13639</v>
      </c>
      <c r="C264" s="1361"/>
      <c r="D264" s="1361"/>
      <c r="E264" s="1361"/>
      <c r="F264" s="1361"/>
      <c r="G264" s="1361"/>
      <c r="H264" s="1361"/>
      <c r="I264" s="1361"/>
      <c r="J264" s="1361"/>
      <c r="K264" s="1361"/>
      <c r="L264" s="1361"/>
      <c r="M264" s="1361"/>
      <c r="N264" s="1361"/>
      <c r="O264" s="1361"/>
      <c r="P264" s="1361"/>
      <c r="Q264" s="1361"/>
      <c r="R264" s="1361"/>
      <c r="S264" s="1361"/>
      <c r="CM264" s="1377"/>
      <c r="CN264" s="1388" t="s">
        <v>8909</v>
      </c>
      <c r="CO264" s="1388" t="s">
        <v>8124</v>
      </c>
      <c r="CP264" s="1388" t="s">
        <v>8106</v>
      </c>
      <c r="CQ264" s="1388" t="s">
        <v>8910</v>
      </c>
      <c r="CR264" s="1388" t="s">
        <v>8910</v>
      </c>
      <c r="CS264" s="1388" t="s">
        <v>8788</v>
      </c>
      <c r="CT264" s="1388" t="s">
        <v>8789</v>
      </c>
      <c r="CU264" s="1388" t="s">
        <v>8790</v>
      </c>
      <c r="CV264" s="1389" t="s">
        <v>8791</v>
      </c>
      <c r="CX264" s="1379">
        <v>1</v>
      </c>
    </row>
    <row r="265" spans="1:102" ht="21" customHeight="1" x14ac:dyDescent="0.25">
      <c r="A265" s="1361"/>
      <c r="B265" s="1364" t="s">
        <v>13640</v>
      </c>
      <c r="C265" s="1361"/>
      <c r="D265" s="1361"/>
      <c r="E265" s="1361"/>
      <c r="F265" s="1361"/>
      <c r="G265" s="1361"/>
      <c r="H265" s="1361"/>
      <c r="I265" s="1361"/>
      <c r="J265" s="1361"/>
      <c r="K265" s="1361"/>
      <c r="L265" s="1361"/>
      <c r="M265" s="1361"/>
      <c r="N265" s="1361"/>
      <c r="O265" s="1361"/>
      <c r="P265" s="1361"/>
      <c r="Q265" s="1361"/>
      <c r="R265" s="1361"/>
      <c r="S265" s="1361"/>
      <c r="CM265" s="1377"/>
      <c r="CN265" s="1388" t="s">
        <v>8911</v>
      </c>
      <c r="CO265" s="1388" t="s">
        <v>8124</v>
      </c>
      <c r="CP265" s="1388" t="s">
        <v>8106</v>
      </c>
      <c r="CQ265" s="1388" t="s">
        <v>8912</v>
      </c>
      <c r="CR265" s="1388" t="s">
        <v>8912</v>
      </c>
      <c r="CS265" s="1388" t="s">
        <v>8788</v>
      </c>
      <c r="CT265" s="1388" t="s">
        <v>8789</v>
      </c>
      <c r="CU265" s="1388" t="s">
        <v>8790</v>
      </c>
      <c r="CV265" s="1389" t="s">
        <v>8791</v>
      </c>
      <c r="CX265" s="1379">
        <v>1</v>
      </c>
    </row>
    <row r="266" spans="1:102" ht="21" customHeight="1" x14ac:dyDescent="0.25">
      <c r="A266" s="1361"/>
      <c r="B266" s="1364" t="s">
        <v>13641</v>
      </c>
      <c r="C266" s="1361"/>
      <c r="D266" s="1361"/>
      <c r="E266" s="1361"/>
      <c r="F266" s="1361"/>
      <c r="G266" s="1361"/>
      <c r="H266" s="1361"/>
      <c r="I266" s="1361"/>
      <c r="J266" s="1361"/>
      <c r="K266" s="1361"/>
      <c r="L266" s="1361"/>
      <c r="M266" s="1361"/>
      <c r="N266" s="1361"/>
      <c r="O266" s="1361"/>
      <c r="P266" s="1361"/>
      <c r="Q266" s="1361"/>
      <c r="R266" s="1361"/>
      <c r="S266" s="1361"/>
      <c r="CM266" s="1377"/>
      <c r="CN266" s="1388" t="s">
        <v>8913</v>
      </c>
      <c r="CO266" s="1388" t="s">
        <v>8124</v>
      </c>
      <c r="CP266" s="1388" t="s">
        <v>8106</v>
      </c>
      <c r="CQ266" s="1388" t="s">
        <v>8914</v>
      </c>
      <c r="CR266" s="1388" t="s">
        <v>8914</v>
      </c>
      <c r="CS266" s="1388" t="s">
        <v>8788</v>
      </c>
      <c r="CT266" s="1388" t="s">
        <v>8789</v>
      </c>
      <c r="CU266" s="1388" t="s">
        <v>8790</v>
      </c>
      <c r="CV266" s="1389" t="s">
        <v>8791</v>
      </c>
      <c r="CX266" s="1379">
        <v>1</v>
      </c>
    </row>
    <row r="267" spans="1:102" ht="21" customHeight="1" x14ac:dyDescent="0.25">
      <c r="A267" s="1361"/>
      <c r="B267" s="1364" t="s">
        <v>13642</v>
      </c>
      <c r="C267" s="1361"/>
      <c r="D267" s="1361"/>
      <c r="E267" s="1361"/>
      <c r="F267" s="1361"/>
      <c r="G267" s="1361"/>
      <c r="H267" s="1361"/>
      <c r="I267" s="1361"/>
      <c r="J267" s="1361"/>
      <c r="K267" s="1361"/>
      <c r="L267" s="1361"/>
      <c r="M267" s="1361"/>
      <c r="N267" s="1361"/>
      <c r="O267" s="1361"/>
      <c r="P267" s="1361"/>
      <c r="Q267" s="1361"/>
      <c r="R267" s="1361"/>
      <c r="S267" s="1361"/>
      <c r="CM267" s="1377"/>
      <c r="CN267" s="1388" t="s">
        <v>8915</v>
      </c>
      <c r="CO267" s="1388" t="s">
        <v>8124</v>
      </c>
      <c r="CP267" s="1388" t="s">
        <v>8106</v>
      </c>
      <c r="CQ267" s="1388" t="s">
        <v>8916</v>
      </c>
      <c r="CR267" s="1388" t="s">
        <v>8917</v>
      </c>
      <c r="CS267" s="1388" t="s">
        <v>8788</v>
      </c>
      <c r="CT267" s="1388" t="s">
        <v>8795</v>
      </c>
      <c r="CU267" s="1388" t="s">
        <v>8110</v>
      </c>
      <c r="CV267" s="1389" t="s">
        <v>8111</v>
      </c>
      <c r="CX267" s="1379">
        <v>1</v>
      </c>
    </row>
    <row r="268" spans="1:102" ht="21" customHeight="1" x14ac:dyDescent="0.25">
      <c r="A268" s="1361"/>
      <c r="B268" s="1364" t="s">
        <v>13643</v>
      </c>
      <c r="C268" s="1361"/>
      <c r="D268" s="1361"/>
      <c r="E268" s="1361"/>
      <c r="F268" s="1361"/>
      <c r="G268" s="1361"/>
      <c r="H268" s="1361"/>
      <c r="I268" s="1361"/>
      <c r="J268" s="1361"/>
      <c r="K268" s="1361"/>
      <c r="L268" s="1361"/>
      <c r="M268" s="1361"/>
      <c r="N268" s="1361"/>
      <c r="O268" s="1361"/>
      <c r="P268" s="1361"/>
      <c r="Q268" s="1361"/>
      <c r="R268" s="1361"/>
      <c r="S268" s="1361"/>
      <c r="CM268" s="1377"/>
      <c r="CN268" s="1388" t="s">
        <v>8918</v>
      </c>
      <c r="CO268" s="1388" t="s">
        <v>8124</v>
      </c>
      <c r="CP268" s="1388" t="s">
        <v>8106</v>
      </c>
      <c r="CQ268" s="1388" t="s">
        <v>8919</v>
      </c>
      <c r="CR268" s="1388" t="s">
        <v>8919</v>
      </c>
      <c r="CS268" s="1388" t="s">
        <v>8788</v>
      </c>
      <c r="CT268" s="1388" t="s">
        <v>8789</v>
      </c>
      <c r="CU268" s="1388" t="s">
        <v>8790</v>
      </c>
      <c r="CV268" s="1389" t="s">
        <v>8791</v>
      </c>
      <c r="CX268" s="1379">
        <v>1</v>
      </c>
    </row>
    <row r="269" spans="1:102" ht="21" customHeight="1" x14ac:dyDescent="0.25">
      <c r="A269" s="1361"/>
      <c r="B269" s="1364" t="s">
        <v>13644</v>
      </c>
      <c r="C269" s="1361"/>
      <c r="D269" s="1361"/>
      <c r="E269" s="1361"/>
      <c r="F269" s="1361"/>
      <c r="G269" s="1361"/>
      <c r="H269" s="1361"/>
      <c r="I269" s="1361"/>
      <c r="J269" s="1361"/>
      <c r="K269" s="1361"/>
      <c r="L269" s="1361"/>
      <c r="M269" s="1361"/>
      <c r="N269" s="1361"/>
      <c r="O269" s="1361"/>
      <c r="P269" s="1361"/>
      <c r="Q269" s="1361"/>
      <c r="R269" s="1361"/>
      <c r="S269" s="1361"/>
      <c r="CM269" s="1377"/>
      <c r="CN269" s="1388" t="s">
        <v>8920</v>
      </c>
      <c r="CO269" s="1388" t="s">
        <v>8124</v>
      </c>
      <c r="CP269" s="1388" t="s">
        <v>8106</v>
      </c>
      <c r="CQ269" s="1388" t="s">
        <v>8921</v>
      </c>
      <c r="CR269" s="1388" t="s">
        <v>8922</v>
      </c>
      <c r="CS269" s="1388" t="s">
        <v>8788</v>
      </c>
      <c r="CT269" s="1388" t="s">
        <v>8795</v>
      </c>
      <c r="CU269" s="1388" t="s">
        <v>8110</v>
      </c>
      <c r="CV269" s="1389" t="s">
        <v>8111</v>
      </c>
      <c r="CX269" s="1379">
        <v>1</v>
      </c>
    </row>
    <row r="270" spans="1:102" ht="21" customHeight="1" x14ac:dyDescent="0.25">
      <c r="A270" s="1361"/>
      <c r="B270" s="1364" t="s">
        <v>13645</v>
      </c>
      <c r="C270" s="1361"/>
      <c r="D270" s="1361"/>
      <c r="E270" s="1361"/>
      <c r="F270" s="1361"/>
      <c r="G270" s="1361"/>
      <c r="H270" s="1361"/>
      <c r="I270" s="1361"/>
      <c r="J270" s="1361"/>
      <c r="K270" s="1361"/>
      <c r="L270" s="1361"/>
      <c r="M270" s="1361"/>
      <c r="N270" s="1361"/>
      <c r="O270" s="1361"/>
      <c r="P270" s="1361"/>
      <c r="Q270" s="1361"/>
      <c r="R270" s="1361"/>
      <c r="S270" s="1361"/>
      <c r="CM270" s="1377"/>
      <c r="CN270" s="1388" t="s">
        <v>8923</v>
      </c>
      <c r="CO270" s="1388" t="s">
        <v>8124</v>
      </c>
      <c r="CP270" s="1388" t="s">
        <v>8106</v>
      </c>
      <c r="CQ270" s="1388" t="s">
        <v>8924</v>
      </c>
      <c r="CR270" s="1388" t="s">
        <v>8925</v>
      </c>
      <c r="CS270" s="1388" t="s">
        <v>8788</v>
      </c>
      <c r="CT270" s="1388" t="s">
        <v>8795</v>
      </c>
      <c r="CU270" s="1388" t="s">
        <v>8110</v>
      </c>
      <c r="CV270" s="1389" t="s">
        <v>8111</v>
      </c>
      <c r="CX270" s="1379">
        <v>1</v>
      </c>
    </row>
    <row r="271" spans="1:102" ht="21" customHeight="1" x14ac:dyDescent="0.25">
      <c r="A271" s="1361"/>
      <c r="B271" s="1364" t="s">
        <v>13646</v>
      </c>
      <c r="C271" s="1361"/>
      <c r="D271" s="1361"/>
      <c r="E271" s="1361"/>
      <c r="F271" s="1361"/>
      <c r="G271" s="1361"/>
      <c r="H271" s="1361"/>
      <c r="I271" s="1361"/>
      <c r="J271" s="1361"/>
      <c r="K271" s="1361"/>
      <c r="L271" s="1361"/>
      <c r="M271" s="1361"/>
      <c r="N271" s="1361"/>
      <c r="O271" s="1361"/>
      <c r="P271" s="1361"/>
      <c r="Q271" s="1361"/>
      <c r="R271" s="1361"/>
      <c r="S271" s="1361"/>
      <c r="CM271" s="1377"/>
      <c r="CN271" s="1388" t="s">
        <v>8926</v>
      </c>
      <c r="CO271" s="1388" t="s">
        <v>8124</v>
      </c>
      <c r="CP271" s="1388" t="s">
        <v>8106</v>
      </c>
      <c r="CQ271" s="1388" t="s">
        <v>8927</v>
      </c>
      <c r="CR271" s="1388" t="s">
        <v>8927</v>
      </c>
      <c r="CS271" s="1388" t="s">
        <v>8788</v>
      </c>
      <c r="CT271" s="1388" t="s">
        <v>8789</v>
      </c>
      <c r="CU271" s="1388" t="s">
        <v>8790</v>
      </c>
      <c r="CV271" s="1389" t="s">
        <v>8791</v>
      </c>
      <c r="CX271" s="1379">
        <v>1</v>
      </c>
    </row>
    <row r="272" spans="1:102" ht="21" customHeight="1" x14ac:dyDescent="0.25">
      <c r="A272" s="1361"/>
      <c r="B272" s="1364" t="s">
        <v>13647</v>
      </c>
      <c r="C272" s="1361"/>
      <c r="D272" s="1361"/>
      <c r="E272" s="1361"/>
      <c r="F272" s="1361"/>
      <c r="G272" s="1361"/>
      <c r="H272" s="1361"/>
      <c r="I272" s="1361"/>
      <c r="J272" s="1361"/>
      <c r="K272" s="1361"/>
      <c r="L272" s="1361"/>
      <c r="M272" s="1361"/>
      <c r="N272" s="1361"/>
      <c r="O272" s="1361"/>
      <c r="P272" s="1361"/>
      <c r="Q272" s="1361"/>
      <c r="R272" s="1361"/>
      <c r="S272" s="1361"/>
      <c r="CM272" s="1377"/>
      <c r="CN272" s="1388" t="s">
        <v>8928</v>
      </c>
      <c r="CO272" s="1388" t="s">
        <v>8124</v>
      </c>
      <c r="CP272" s="1388" t="s">
        <v>8106</v>
      </c>
      <c r="CQ272" s="1388" t="s">
        <v>8929</v>
      </c>
      <c r="CR272" s="1388" t="s">
        <v>8929</v>
      </c>
      <c r="CS272" s="1388" t="s">
        <v>8788</v>
      </c>
      <c r="CT272" s="1388" t="s">
        <v>8789</v>
      </c>
      <c r="CU272" s="1388" t="s">
        <v>8790</v>
      </c>
      <c r="CV272" s="1389" t="s">
        <v>8791</v>
      </c>
      <c r="CX272" s="1379">
        <v>1</v>
      </c>
    </row>
    <row r="273" spans="1:102" ht="21" customHeight="1" x14ac:dyDescent="0.25">
      <c r="A273" s="1361"/>
      <c r="B273" s="1364"/>
      <c r="C273" s="1361"/>
      <c r="D273" s="1361"/>
      <c r="E273" s="1361"/>
      <c r="F273" s="1361"/>
      <c r="G273" s="1361"/>
      <c r="H273" s="1361"/>
      <c r="I273" s="1361"/>
      <c r="J273" s="1361"/>
      <c r="K273" s="1361"/>
      <c r="L273" s="1361"/>
      <c r="M273" s="1361"/>
      <c r="N273" s="1361"/>
      <c r="O273" s="1361"/>
      <c r="P273" s="1361"/>
      <c r="Q273" s="1361"/>
      <c r="R273" s="1361"/>
      <c r="S273" s="1361"/>
      <c r="CM273" s="1377"/>
      <c r="CN273" s="1388" t="s">
        <v>8930</v>
      </c>
      <c r="CO273" s="1388" t="s">
        <v>8124</v>
      </c>
      <c r="CP273" s="1388" t="s">
        <v>8106</v>
      </c>
      <c r="CQ273" s="1388" t="s">
        <v>8931</v>
      </c>
      <c r="CR273" s="1388" t="s">
        <v>8931</v>
      </c>
      <c r="CS273" s="1388" t="s">
        <v>8788</v>
      </c>
      <c r="CT273" s="1388" t="s">
        <v>8789</v>
      </c>
      <c r="CU273" s="1388" t="s">
        <v>8790</v>
      </c>
      <c r="CV273" s="1389" t="s">
        <v>8791</v>
      </c>
      <c r="CX273" s="1379">
        <v>1</v>
      </c>
    </row>
    <row r="274" spans="1:102" ht="21" customHeight="1" x14ac:dyDescent="0.25">
      <c r="CM274" s="1377"/>
      <c r="CN274" s="1388" t="s">
        <v>8932</v>
      </c>
      <c r="CO274" s="1388" t="s">
        <v>8124</v>
      </c>
      <c r="CP274" s="1388" t="s">
        <v>8106</v>
      </c>
      <c r="CQ274" s="1388" t="s">
        <v>8933</v>
      </c>
      <c r="CR274" s="1388" t="s">
        <v>8933</v>
      </c>
      <c r="CS274" s="1388" t="s">
        <v>8788</v>
      </c>
      <c r="CT274" s="1388" t="s">
        <v>8789</v>
      </c>
      <c r="CU274" s="1388" t="s">
        <v>8790</v>
      </c>
      <c r="CV274" s="1389" t="s">
        <v>8791</v>
      </c>
      <c r="CX274" s="1379">
        <v>1</v>
      </c>
    </row>
    <row r="275" spans="1:102" ht="21" customHeight="1" x14ac:dyDescent="0.25">
      <c r="CM275" s="1377"/>
      <c r="CN275" s="1388" t="s">
        <v>8934</v>
      </c>
      <c r="CO275" s="1388" t="s">
        <v>8124</v>
      </c>
      <c r="CP275" s="1388" t="s">
        <v>8106</v>
      </c>
      <c r="CQ275" s="1388" t="s">
        <v>8935</v>
      </c>
      <c r="CR275" s="1388" t="s">
        <v>8935</v>
      </c>
      <c r="CS275" s="1388" t="s">
        <v>8788</v>
      </c>
      <c r="CT275" s="1388" t="s">
        <v>8795</v>
      </c>
      <c r="CU275" s="1388" t="s">
        <v>8110</v>
      </c>
      <c r="CV275" s="1389" t="s">
        <v>8111</v>
      </c>
      <c r="CX275" s="1379">
        <v>1</v>
      </c>
    </row>
    <row r="276" spans="1:102" ht="21" customHeight="1" x14ac:dyDescent="0.25">
      <c r="CM276" s="1377"/>
      <c r="CN276" s="1388" t="s">
        <v>8936</v>
      </c>
      <c r="CO276" s="1388" t="s">
        <v>8124</v>
      </c>
      <c r="CP276" s="1388" t="s">
        <v>8106</v>
      </c>
      <c r="CQ276" s="1388" t="s">
        <v>8937</v>
      </c>
      <c r="CR276" s="1388" t="s">
        <v>8937</v>
      </c>
      <c r="CS276" s="1388" t="s">
        <v>8788</v>
      </c>
      <c r="CT276" s="1388" t="s">
        <v>8795</v>
      </c>
      <c r="CU276" s="1388" t="s">
        <v>8110</v>
      </c>
      <c r="CV276" s="1389" t="s">
        <v>8111</v>
      </c>
      <c r="CX276" s="1379">
        <v>1</v>
      </c>
    </row>
    <row r="277" spans="1:102" ht="21" customHeight="1" x14ac:dyDescent="0.25">
      <c r="CM277" s="1377"/>
      <c r="CN277" s="1388" t="s">
        <v>8938</v>
      </c>
      <c r="CO277" s="1388" t="s">
        <v>8124</v>
      </c>
      <c r="CP277" s="1388" t="s">
        <v>8106</v>
      </c>
      <c r="CQ277" s="1388" t="s">
        <v>8939</v>
      </c>
      <c r="CR277" s="1388" t="s">
        <v>8939</v>
      </c>
      <c r="CS277" s="1388" t="s">
        <v>8788</v>
      </c>
      <c r="CT277" s="1388" t="s">
        <v>8789</v>
      </c>
      <c r="CU277" s="1388" t="s">
        <v>8790</v>
      </c>
      <c r="CV277" s="1389" t="s">
        <v>8791</v>
      </c>
      <c r="CX277" s="1379">
        <v>1</v>
      </c>
    </row>
    <row r="278" spans="1:102" ht="21" customHeight="1" x14ac:dyDescent="0.25">
      <c r="CM278" s="1377"/>
      <c r="CN278" s="1388" t="s">
        <v>8940</v>
      </c>
      <c r="CO278" s="1388" t="s">
        <v>8124</v>
      </c>
      <c r="CP278" s="1388" t="s">
        <v>8106</v>
      </c>
      <c r="CQ278" s="1388" t="s">
        <v>8941</v>
      </c>
      <c r="CR278" s="1388" t="s">
        <v>8941</v>
      </c>
      <c r="CS278" s="1388" t="s">
        <v>8788</v>
      </c>
      <c r="CT278" s="1388" t="s">
        <v>8789</v>
      </c>
      <c r="CU278" s="1388" t="s">
        <v>8790</v>
      </c>
      <c r="CV278" s="1389" t="s">
        <v>8791</v>
      </c>
      <c r="CX278" s="1379">
        <v>1</v>
      </c>
    </row>
    <row r="279" spans="1:102" ht="21" customHeight="1" x14ac:dyDescent="0.25">
      <c r="CM279" s="1377"/>
      <c r="CN279" s="1388" t="s">
        <v>8942</v>
      </c>
      <c r="CO279" s="1388" t="s">
        <v>8124</v>
      </c>
      <c r="CP279" s="1388" t="s">
        <v>8106</v>
      </c>
      <c r="CQ279" s="1388" t="s">
        <v>8943</v>
      </c>
      <c r="CR279" s="1388" t="s">
        <v>8943</v>
      </c>
      <c r="CS279" s="1388" t="s">
        <v>8788</v>
      </c>
      <c r="CT279" s="1388" t="s">
        <v>8789</v>
      </c>
      <c r="CU279" s="1388" t="s">
        <v>8790</v>
      </c>
      <c r="CV279" s="1389" t="s">
        <v>8791</v>
      </c>
      <c r="CX279" s="1379">
        <v>1</v>
      </c>
    </row>
    <row r="280" spans="1:102" ht="21" customHeight="1" x14ac:dyDescent="0.25">
      <c r="CM280" s="1377"/>
      <c r="CN280" s="1388" t="s">
        <v>8944</v>
      </c>
      <c r="CO280" s="1388" t="s">
        <v>8124</v>
      </c>
      <c r="CP280" s="1388" t="s">
        <v>8106</v>
      </c>
      <c r="CQ280" s="1388" t="s">
        <v>8945</v>
      </c>
      <c r="CR280" s="1388" t="s">
        <v>8945</v>
      </c>
      <c r="CS280" s="1388" t="s">
        <v>8788</v>
      </c>
      <c r="CT280" s="1388" t="s">
        <v>8789</v>
      </c>
      <c r="CU280" s="1388" t="s">
        <v>8790</v>
      </c>
      <c r="CV280" s="1389" t="s">
        <v>8791</v>
      </c>
      <c r="CX280" s="1379">
        <v>1</v>
      </c>
    </row>
    <row r="281" spans="1:102" ht="21" customHeight="1" x14ac:dyDescent="0.25">
      <c r="CM281" s="1377"/>
      <c r="CN281" s="1388" t="s">
        <v>8946</v>
      </c>
      <c r="CO281" s="1388" t="s">
        <v>8124</v>
      </c>
      <c r="CP281" s="1388" t="s">
        <v>8106</v>
      </c>
      <c r="CQ281" s="1388" t="s">
        <v>8947</v>
      </c>
      <c r="CR281" s="1388" t="s">
        <v>8947</v>
      </c>
      <c r="CS281" s="1388" t="s">
        <v>8788</v>
      </c>
      <c r="CT281" s="1388" t="s">
        <v>8789</v>
      </c>
      <c r="CU281" s="1388" t="s">
        <v>8790</v>
      </c>
      <c r="CV281" s="1389" t="s">
        <v>8791</v>
      </c>
      <c r="CX281" s="1379">
        <v>1</v>
      </c>
    </row>
    <row r="282" spans="1:102" ht="21" customHeight="1" x14ac:dyDescent="0.25">
      <c r="CM282" s="1377"/>
      <c r="CN282" s="1388" t="s">
        <v>8948</v>
      </c>
      <c r="CO282" s="1388" t="s">
        <v>8124</v>
      </c>
      <c r="CP282" s="1388" t="s">
        <v>8106</v>
      </c>
      <c r="CQ282" s="1388" t="s">
        <v>8949</v>
      </c>
      <c r="CR282" s="1388" t="s">
        <v>8949</v>
      </c>
      <c r="CS282" s="1388" t="s">
        <v>8788</v>
      </c>
      <c r="CT282" s="1388" t="s">
        <v>8795</v>
      </c>
      <c r="CU282" s="1388" t="s">
        <v>8110</v>
      </c>
      <c r="CV282" s="1389" t="s">
        <v>8111</v>
      </c>
      <c r="CX282" s="1379">
        <v>1</v>
      </c>
    </row>
    <row r="283" spans="1:102" ht="21" customHeight="1" x14ac:dyDescent="0.25">
      <c r="CM283" s="1377"/>
      <c r="CN283" s="1388" t="s">
        <v>8950</v>
      </c>
      <c r="CO283" s="1388" t="s">
        <v>8124</v>
      </c>
      <c r="CP283" s="1388" t="s">
        <v>8106</v>
      </c>
      <c r="CQ283" s="1388" t="s">
        <v>8951</v>
      </c>
      <c r="CR283" s="1388" t="s">
        <v>8951</v>
      </c>
      <c r="CS283" s="1388" t="s">
        <v>8788</v>
      </c>
      <c r="CT283" s="1388" t="s">
        <v>8789</v>
      </c>
      <c r="CU283" s="1388" t="s">
        <v>8790</v>
      </c>
      <c r="CV283" s="1389" t="s">
        <v>8791</v>
      </c>
      <c r="CX283" s="1379">
        <v>1</v>
      </c>
    </row>
    <row r="284" spans="1:102" ht="21" customHeight="1" x14ac:dyDescent="0.25">
      <c r="CM284" s="1377"/>
      <c r="CN284" s="1388" t="s">
        <v>8952</v>
      </c>
      <c r="CO284" s="1388" t="s">
        <v>8124</v>
      </c>
      <c r="CP284" s="1388" t="s">
        <v>8106</v>
      </c>
      <c r="CQ284" s="1388" t="s">
        <v>8953</v>
      </c>
      <c r="CR284" s="1388" t="s">
        <v>8953</v>
      </c>
      <c r="CS284" s="1388" t="s">
        <v>8788</v>
      </c>
      <c r="CT284" s="1388" t="s">
        <v>8789</v>
      </c>
      <c r="CU284" s="1388" t="s">
        <v>8790</v>
      </c>
      <c r="CV284" s="1389" t="s">
        <v>8791</v>
      </c>
      <c r="CX284" s="1379">
        <v>1</v>
      </c>
    </row>
    <row r="285" spans="1:102" ht="21" customHeight="1" x14ac:dyDescent="0.25">
      <c r="CM285" s="1377"/>
      <c r="CN285" s="1388" t="s">
        <v>8954</v>
      </c>
      <c r="CO285" s="1388" t="s">
        <v>8124</v>
      </c>
      <c r="CP285" s="1388" t="s">
        <v>8106</v>
      </c>
      <c r="CQ285" s="1388" t="s">
        <v>8955</v>
      </c>
      <c r="CR285" s="1388" t="s">
        <v>8956</v>
      </c>
      <c r="CS285" s="1388" t="s">
        <v>8788</v>
      </c>
      <c r="CT285" s="1388" t="s">
        <v>8795</v>
      </c>
      <c r="CU285" s="1388" t="s">
        <v>8110</v>
      </c>
      <c r="CV285" s="1389" t="s">
        <v>8111</v>
      </c>
      <c r="CX285" s="1379">
        <v>1</v>
      </c>
    </row>
    <row r="286" spans="1:102" ht="21" customHeight="1" x14ac:dyDescent="0.25">
      <c r="CM286" s="1377"/>
      <c r="CN286" s="1388" t="s">
        <v>8957</v>
      </c>
      <c r="CO286" s="1388" t="s">
        <v>8124</v>
      </c>
      <c r="CP286" s="1388" t="s">
        <v>8106</v>
      </c>
      <c r="CQ286" s="1388" t="s">
        <v>8958</v>
      </c>
      <c r="CR286" s="1388" t="s">
        <v>8958</v>
      </c>
      <c r="CS286" s="1388" t="s">
        <v>8788</v>
      </c>
      <c r="CT286" s="1388" t="s">
        <v>8789</v>
      </c>
      <c r="CU286" s="1388" t="s">
        <v>8790</v>
      </c>
      <c r="CV286" s="1389" t="s">
        <v>8791</v>
      </c>
      <c r="CX286" s="1379">
        <v>1</v>
      </c>
    </row>
    <row r="287" spans="1:102" ht="21" customHeight="1" x14ac:dyDescent="0.25">
      <c r="CM287" s="1377"/>
      <c r="CN287" s="1388" t="s">
        <v>8959</v>
      </c>
      <c r="CO287" s="1388" t="s">
        <v>8124</v>
      </c>
      <c r="CP287" s="1388" t="s">
        <v>8106</v>
      </c>
      <c r="CQ287" s="1388" t="s">
        <v>8960</v>
      </c>
      <c r="CR287" s="1388" t="s">
        <v>8960</v>
      </c>
      <c r="CS287" s="1388" t="s">
        <v>8788</v>
      </c>
      <c r="CT287" s="1388" t="s">
        <v>8789</v>
      </c>
      <c r="CU287" s="1388" t="s">
        <v>8790</v>
      </c>
      <c r="CV287" s="1389" t="s">
        <v>8791</v>
      </c>
      <c r="CX287" s="1379">
        <v>1</v>
      </c>
    </row>
    <row r="288" spans="1:102" ht="21" customHeight="1" x14ac:dyDescent="0.25">
      <c r="CM288" s="1377"/>
      <c r="CN288" s="1388" t="s">
        <v>8961</v>
      </c>
      <c r="CO288" s="1388" t="s">
        <v>8124</v>
      </c>
      <c r="CP288" s="1388" t="s">
        <v>8106</v>
      </c>
      <c r="CQ288" s="1388" t="s">
        <v>8962</v>
      </c>
      <c r="CR288" s="1388" t="s">
        <v>8962</v>
      </c>
      <c r="CS288" s="1388" t="s">
        <v>8788</v>
      </c>
      <c r="CT288" s="1388" t="s">
        <v>8789</v>
      </c>
      <c r="CU288" s="1388" t="s">
        <v>8790</v>
      </c>
      <c r="CV288" s="1389" t="s">
        <v>8791</v>
      </c>
      <c r="CX288" s="1379">
        <v>1</v>
      </c>
    </row>
    <row r="289" spans="91:102" ht="21" customHeight="1" x14ac:dyDescent="0.25">
      <c r="CM289" s="1377"/>
      <c r="CN289" s="1388" t="s">
        <v>8963</v>
      </c>
      <c r="CO289" s="1388" t="s">
        <v>8124</v>
      </c>
      <c r="CP289" s="1388" t="s">
        <v>8106</v>
      </c>
      <c r="CQ289" s="1388" t="s">
        <v>8964</v>
      </c>
      <c r="CR289" s="1388" t="s">
        <v>8964</v>
      </c>
      <c r="CS289" s="1388" t="s">
        <v>8788</v>
      </c>
      <c r="CT289" s="1388" t="s">
        <v>8789</v>
      </c>
      <c r="CU289" s="1388" t="s">
        <v>8790</v>
      </c>
      <c r="CV289" s="1389" t="s">
        <v>8791</v>
      </c>
      <c r="CX289" s="1379">
        <v>1</v>
      </c>
    </row>
    <row r="290" spans="91:102" ht="21" customHeight="1" x14ac:dyDescent="0.25">
      <c r="CM290" s="1377"/>
      <c r="CN290" s="1388" t="s">
        <v>8965</v>
      </c>
      <c r="CO290" s="1388" t="s">
        <v>8124</v>
      </c>
      <c r="CP290" s="1388" t="s">
        <v>8106</v>
      </c>
      <c r="CQ290" s="1388" t="s">
        <v>8966</v>
      </c>
      <c r="CR290" s="1388" t="s">
        <v>8966</v>
      </c>
      <c r="CS290" s="1388" t="s">
        <v>8788</v>
      </c>
      <c r="CT290" s="1388" t="s">
        <v>8789</v>
      </c>
      <c r="CU290" s="1388" t="s">
        <v>8790</v>
      </c>
      <c r="CV290" s="1389" t="s">
        <v>8791</v>
      </c>
      <c r="CX290" s="1379">
        <v>1</v>
      </c>
    </row>
    <row r="291" spans="91:102" ht="21" customHeight="1" x14ac:dyDescent="0.25">
      <c r="CM291" s="1377"/>
      <c r="CN291" s="1388" t="s">
        <v>8967</v>
      </c>
      <c r="CO291" s="1388" t="s">
        <v>8124</v>
      </c>
      <c r="CP291" s="1388" t="s">
        <v>8106</v>
      </c>
      <c r="CQ291" s="1388" t="s">
        <v>8968</v>
      </c>
      <c r="CR291" s="1388" t="s">
        <v>8968</v>
      </c>
      <c r="CS291" s="1388" t="s">
        <v>8788</v>
      </c>
      <c r="CT291" s="1388" t="s">
        <v>8789</v>
      </c>
      <c r="CU291" s="1388" t="s">
        <v>8790</v>
      </c>
      <c r="CV291" s="1389" t="s">
        <v>8791</v>
      </c>
      <c r="CX291" s="1379">
        <v>1</v>
      </c>
    </row>
    <row r="292" spans="91:102" ht="21" customHeight="1" x14ac:dyDescent="0.25">
      <c r="CM292" s="1377"/>
      <c r="CN292" s="1388" t="s">
        <v>8969</v>
      </c>
      <c r="CO292" s="1388" t="s">
        <v>8124</v>
      </c>
      <c r="CP292" s="1388" t="s">
        <v>8106</v>
      </c>
      <c r="CQ292" s="1388" t="s">
        <v>8970</v>
      </c>
      <c r="CR292" s="1388" t="s">
        <v>8970</v>
      </c>
      <c r="CS292" s="1388" t="s">
        <v>8788</v>
      </c>
      <c r="CT292" s="1388" t="s">
        <v>8789</v>
      </c>
      <c r="CU292" s="1388" t="s">
        <v>8790</v>
      </c>
      <c r="CV292" s="1389" t="s">
        <v>8791</v>
      </c>
      <c r="CX292" s="1379">
        <v>1</v>
      </c>
    </row>
    <row r="293" spans="91:102" ht="21" customHeight="1" x14ac:dyDescent="0.25">
      <c r="CM293" s="1377"/>
      <c r="CN293" s="1388" t="s">
        <v>8971</v>
      </c>
      <c r="CO293" s="1388" t="s">
        <v>8124</v>
      </c>
      <c r="CP293" s="1388" t="s">
        <v>8106</v>
      </c>
      <c r="CQ293" s="1388" t="s">
        <v>8972</v>
      </c>
      <c r="CR293" s="1388" t="s">
        <v>8972</v>
      </c>
      <c r="CS293" s="1388" t="s">
        <v>8788</v>
      </c>
      <c r="CT293" s="1388" t="s">
        <v>8789</v>
      </c>
      <c r="CU293" s="1388" t="s">
        <v>8790</v>
      </c>
      <c r="CV293" s="1389" t="s">
        <v>8791</v>
      </c>
      <c r="CX293" s="1379">
        <v>1</v>
      </c>
    </row>
    <row r="294" spans="91:102" ht="21" customHeight="1" x14ac:dyDescent="0.25">
      <c r="CM294" s="1377"/>
      <c r="CN294" s="1388" t="s">
        <v>8973</v>
      </c>
      <c r="CO294" s="1388" t="s">
        <v>8124</v>
      </c>
      <c r="CP294" s="1388" t="s">
        <v>8106</v>
      </c>
      <c r="CQ294" s="1388" t="s">
        <v>8974</v>
      </c>
      <c r="CR294" s="1388" t="s">
        <v>8974</v>
      </c>
      <c r="CS294" s="1388" t="s">
        <v>8788</v>
      </c>
      <c r="CT294" s="1388" t="s">
        <v>8789</v>
      </c>
      <c r="CU294" s="1388" t="s">
        <v>8790</v>
      </c>
      <c r="CV294" s="1389" t="s">
        <v>8791</v>
      </c>
      <c r="CX294" s="1379">
        <v>1</v>
      </c>
    </row>
    <row r="295" spans="91:102" ht="21" customHeight="1" x14ac:dyDescent="0.25">
      <c r="CM295" s="1377"/>
      <c r="CN295" s="1388" t="s">
        <v>8975</v>
      </c>
      <c r="CO295" s="1388" t="s">
        <v>8124</v>
      </c>
      <c r="CP295" s="1388" t="s">
        <v>8106</v>
      </c>
      <c r="CQ295" s="1388" t="s">
        <v>8976</v>
      </c>
      <c r="CR295" s="1388" t="s">
        <v>8976</v>
      </c>
      <c r="CS295" s="1388" t="s">
        <v>8788</v>
      </c>
      <c r="CT295" s="1388" t="s">
        <v>8789</v>
      </c>
      <c r="CU295" s="1388" t="s">
        <v>8790</v>
      </c>
      <c r="CV295" s="1389" t="s">
        <v>8791</v>
      </c>
      <c r="CX295" s="1379">
        <v>1</v>
      </c>
    </row>
    <row r="296" spans="91:102" ht="21" customHeight="1" x14ac:dyDescent="0.25">
      <c r="CM296" s="1377"/>
      <c r="CN296" s="1388" t="s">
        <v>8977</v>
      </c>
      <c r="CO296" s="1388" t="s">
        <v>8124</v>
      </c>
      <c r="CP296" s="1388" t="s">
        <v>8106</v>
      </c>
      <c r="CQ296" s="1388" t="s">
        <v>8978</v>
      </c>
      <c r="CR296" s="1388" t="s">
        <v>8978</v>
      </c>
      <c r="CS296" s="1388" t="s">
        <v>8788</v>
      </c>
      <c r="CT296" s="1388" t="s">
        <v>8789</v>
      </c>
      <c r="CU296" s="1388" t="s">
        <v>8790</v>
      </c>
      <c r="CV296" s="1389" t="s">
        <v>8791</v>
      </c>
      <c r="CX296" s="1379">
        <v>1</v>
      </c>
    </row>
    <row r="297" spans="91:102" ht="21" customHeight="1" x14ac:dyDescent="0.25">
      <c r="CM297" s="1377"/>
      <c r="CN297" s="1388" t="s">
        <v>8979</v>
      </c>
      <c r="CO297" s="1388" t="s">
        <v>8124</v>
      </c>
      <c r="CP297" s="1388" t="s">
        <v>8106</v>
      </c>
      <c r="CQ297" s="1388" t="s">
        <v>8980</v>
      </c>
      <c r="CR297" s="1388" t="s">
        <v>8980</v>
      </c>
      <c r="CS297" s="1388" t="s">
        <v>8788</v>
      </c>
      <c r="CT297" s="1388" t="s">
        <v>8789</v>
      </c>
      <c r="CU297" s="1388" t="s">
        <v>8790</v>
      </c>
      <c r="CV297" s="1389" t="s">
        <v>8791</v>
      </c>
      <c r="CX297" s="1379">
        <v>1</v>
      </c>
    </row>
    <row r="298" spans="91:102" ht="21" customHeight="1" x14ac:dyDescent="0.25">
      <c r="CM298" s="1377"/>
      <c r="CN298" s="1388" t="s">
        <v>8981</v>
      </c>
      <c r="CO298" s="1388" t="s">
        <v>8124</v>
      </c>
      <c r="CP298" s="1388" t="s">
        <v>8106</v>
      </c>
      <c r="CQ298" s="1388" t="s">
        <v>8982</v>
      </c>
      <c r="CR298" s="1388" t="s">
        <v>8982</v>
      </c>
      <c r="CS298" s="1388" t="s">
        <v>8788</v>
      </c>
      <c r="CT298" s="1388" t="s">
        <v>8789</v>
      </c>
      <c r="CU298" s="1388" t="s">
        <v>8790</v>
      </c>
      <c r="CV298" s="1389" t="s">
        <v>8791</v>
      </c>
      <c r="CX298" s="1379">
        <v>1</v>
      </c>
    </row>
    <row r="299" spans="91:102" ht="21" customHeight="1" x14ac:dyDescent="0.25">
      <c r="CM299" s="1377"/>
      <c r="CN299" s="1388" t="s">
        <v>8983</v>
      </c>
      <c r="CO299" s="1388" t="s">
        <v>8124</v>
      </c>
      <c r="CP299" s="1388" t="s">
        <v>8106</v>
      </c>
      <c r="CQ299" s="1388" t="s">
        <v>8984</v>
      </c>
      <c r="CR299" s="1388" t="s">
        <v>8984</v>
      </c>
      <c r="CS299" s="1388" t="s">
        <v>8788</v>
      </c>
      <c r="CT299" s="1388" t="s">
        <v>8789</v>
      </c>
      <c r="CU299" s="1388" t="s">
        <v>8790</v>
      </c>
      <c r="CV299" s="1389" t="s">
        <v>8791</v>
      </c>
      <c r="CX299" s="1379">
        <v>1</v>
      </c>
    </row>
    <row r="300" spans="91:102" ht="21" customHeight="1" x14ac:dyDescent="0.25">
      <c r="CM300" s="1377"/>
      <c r="CN300" s="1388" t="s">
        <v>8985</v>
      </c>
      <c r="CO300" s="1388" t="s">
        <v>8124</v>
      </c>
      <c r="CP300" s="1388" t="s">
        <v>8106</v>
      </c>
      <c r="CQ300" s="1388" t="s">
        <v>8986</v>
      </c>
      <c r="CR300" s="1388" t="s">
        <v>8986</v>
      </c>
      <c r="CS300" s="1388" t="s">
        <v>8788</v>
      </c>
      <c r="CT300" s="1388" t="s">
        <v>8789</v>
      </c>
      <c r="CU300" s="1388" t="s">
        <v>8790</v>
      </c>
      <c r="CV300" s="1389" t="s">
        <v>8791</v>
      </c>
      <c r="CX300" s="1379">
        <v>1</v>
      </c>
    </row>
    <row r="301" spans="91:102" ht="21" customHeight="1" x14ac:dyDescent="0.25">
      <c r="CM301" s="1377"/>
      <c r="CN301" s="1388" t="s">
        <v>8987</v>
      </c>
      <c r="CO301" s="1388" t="s">
        <v>8124</v>
      </c>
      <c r="CP301" s="1388" t="s">
        <v>8106</v>
      </c>
      <c r="CQ301" s="1388" t="s">
        <v>8988</v>
      </c>
      <c r="CR301" s="1388" t="s">
        <v>8988</v>
      </c>
      <c r="CS301" s="1388" t="s">
        <v>8788</v>
      </c>
      <c r="CT301" s="1388" t="s">
        <v>8789</v>
      </c>
      <c r="CU301" s="1388" t="s">
        <v>8790</v>
      </c>
      <c r="CV301" s="1389" t="s">
        <v>8791</v>
      </c>
      <c r="CX301" s="1379">
        <v>1</v>
      </c>
    </row>
    <row r="302" spans="91:102" ht="21" customHeight="1" x14ac:dyDescent="0.25">
      <c r="CM302" s="1377"/>
      <c r="CN302" s="1388" t="s">
        <v>8989</v>
      </c>
      <c r="CO302" s="1388" t="s">
        <v>8124</v>
      </c>
      <c r="CP302" s="1388" t="s">
        <v>8106</v>
      </c>
      <c r="CQ302" s="1388" t="s">
        <v>8990</v>
      </c>
      <c r="CR302" s="1388" t="s">
        <v>8990</v>
      </c>
      <c r="CS302" s="1388" t="s">
        <v>8788</v>
      </c>
      <c r="CT302" s="1388" t="s">
        <v>8789</v>
      </c>
      <c r="CU302" s="1388" t="s">
        <v>8790</v>
      </c>
      <c r="CV302" s="1389" t="s">
        <v>8791</v>
      </c>
      <c r="CX302" s="1379">
        <v>1</v>
      </c>
    </row>
    <row r="303" spans="91:102" ht="21" customHeight="1" x14ac:dyDescent="0.25">
      <c r="CM303" s="1377"/>
      <c r="CN303" s="1388" t="s">
        <v>8991</v>
      </c>
      <c r="CO303" s="1388" t="s">
        <v>8124</v>
      </c>
      <c r="CP303" s="1388" t="s">
        <v>8106</v>
      </c>
      <c r="CQ303" s="1388" t="s">
        <v>8992</v>
      </c>
      <c r="CR303" s="1388" t="s">
        <v>8992</v>
      </c>
      <c r="CS303" s="1388" t="s">
        <v>8788</v>
      </c>
      <c r="CT303" s="1388" t="s">
        <v>8789</v>
      </c>
      <c r="CU303" s="1388" t="s">
        <v>8790</v>
      </c>
      <c r="CV303" s="1389" t="s">
        <v>8791</v>
      </c>
      <c r="CX303" s="1379">
        <v>1</v>
      </c>
    </row>
    <row r="304" spans="91:102" ht="21" customHeight="1" x14ac:dyDescent="0.25">
      <c r="CM304" s="1377"/>
      <c r="CN304" s="1388" t="s">
        <v>8993</v>
      </c>
      <c r="CO304" s="1388" t="s">
        <v>8124</v>
      </c>
      <c r="CP304" s="1388" t="s">
        <v>8106</v>
      </c>
      <c r="CQ304" s="1388" t="s">
        <v>8994</v>
      </c>
      <c r="CR304" s="1388" t="s">
        <v>8994</v>
      </c>
      <c r="CS304" s="1388" t="s">
        <v>8788</v>
      </c>
      <c r="CT304" s="1388" t="s">
        <v>8789</v>
      </c>
      <c r="CU304" s="1388" t="s">
        <v>8790</v>
      </c>
      <c r="CV304" s="1389" t="s">
        <v>8791</v>
      </c>
      <c r="CX304" s="1379">
        <v>1</v>
      </c>
    </row>
    <row r="305" spans="91:102" ht="21" customHeight="1" x14ac:dyDescent="0.25">
      <c r="CM305" s="1377"/>
      <c r="CN305" s="1388" t="s">
        <v>8995</v>
      </c>
      <c r="CO305" s="1388" t="s">
        <v>8124</v>
      </c>
      <c r="CP305" s="1388" t="s">
        <v>8106</v>
      </c>
      <c r="CQ305" s="1388" t="s">
        <v>8996</v>
      </c>
      <c r="CR305" s="1388" t="s">
        <v>8996</v>
      </c>
      <c r="CS305" s="1388" t="s">
        <v>8788</v>
      </c>
      <c r="CT305" s="1388" t="s">
        <v>8789</v>
      </c>
      <c r="CU305" s="1388" t="s">
        <v>8790</v>
      </c>
      <c r="CV305" s="1389" t="s">
        <v>8791</v>
      </c>
      <c r="CX305" s="1379">
        <v>1</v>
      </c>
    </row>
    <row r="306" spans="91:102" ht="21" customHeight="1" x14ac:dyDescent="0.25">
      <c r="CM306" s="1377"/>
      <c r="CN306" s="1388" t="s">
        <v>8997</v>
      </c>
      <c r="CO306" s="1388" t="s">
        <v>8124</v>
      </c>
      <c r="CP306" s="1388" t="s">
        <v>8106</v>
      </c>
      <c r="CQ306" s="1388" t="s">
        <v>8998</v>
      </c>
      <c r="CR306" s="1388" t="s">
        <v>8998</v>
      </c>
      <c r="CS306" s="1388" t="s">
        <v>8788</v>
      </c>
      <c r="CT306" s="1388" t="s">
        <v>8789</v>
      </c>
      <c r="CU306" s="1388" t="s">
        <v>8790</v>
      </c>
      <c r="CV306" s="1389" t="s">
        <v>8791</v>
      </c>
      <c r="CX306" s="1379">
        <v>1</v>
      </c>
    </row>
    <row r="307" spans="91:102" ht="21" customHeight="1" x14ac:dyDescent="0.25">
      <c r="CM307" s="1377"/>
      <c r="CN307" s="1388" t="s">
        <v>8999</v>
      </c>
      <c r="CO307" s="1388" t="s">
        <v>8124</v>
      </c>
      <c r="CP307" s="1388" t="s">
        <v>8106</v>
      </c>
      <c r="CQ307" s="1388" t="s">
        <v>9000</v>
      </c>
      <c r="CR307" s="1388" t="s">
        <v>9000</v>
      </c>
      <c r="CS307" s="1388" t="s">
        <v>8788</v>
      </c>
      <c r="CT307" s="1388" t="s">
        <v>8789</v>
      </c>
      <c r="CU307" s="1388" t="s">
        <v>8790</v>
      </c>
      <c r="CV307" s="1389" t="s">
        <v>8791</v>
      </c>
      <c r="CX307" s="1379">
        <v>1</v>
      </c>
    </row>
    <row r="308" spans="91:102" ht="21" customHeight="1" x14ac:dyDescent="0.25">
      <c r="CM308" s="1377"/>
      <c r="CN308" s="1388" t="s">
        <v>9001</v>
      </c>
      <c r="CO308" s="1388" t="s">
        <v>8124</v>
      </c>
      <c r="CP308" s="1388" t="s">
        <v>8106</v>
      </c>
      <c r="CQ308" s="1388" t="s">
        <v>9002</v>
      </c>
      <c r="CR308" s="1388" t="s">
        <v>9002</v>
      </c>
      <c r="CS308" s="1388" t="s">
        <v>8788</v>
      </c>
      <c r="CT308" s="1388" t="s">
        <v>8789</v>
      </c>
      <c r="CU308" s="1388" t="s">
        <v>8790</v>
      </c>
      <c r="CV308" s="1389" t="s">
        <v>8791</v>
      </c>
      <c r="CX308" s="1379">
        <v>1</v>
      </c>
    </row>
    <row r="309" spans="91:102" ht="21" customHeight="1" x14ac:dyDescent="0.25">
      <c r="CM309" s="1377"/>
      <c r="CN309" s="1388" t="s">
        <v>9003</v>
      </c>
      <c r="CO309" s="1388" t="s">
        <v>8124</v>
      </c>
      <c r="CP309" s="1388" t="s">
        <v>8106</v>
      </c>
      <c r="CQ309" s="1388" t="s">
        <v>9004</v>
      </c>
      <c r="CR309" s="1388" t="s">
        <v>9004</v>
      </c>
      <c r="CS309" s="1388" t="s">
        <v>8788</v>
      </c>
      <c r="CT309" s="1388" t="s">
        <v>8789</v>
      </c>
      <c r="CU309" s="1388" t="s">
        <v>8790</v>
      </c>
      <c r="CV309" s="1389" t="s">
        <v>8791</v>
      </c>
      <c r="CX309" s="1379">
        <v>1</v>
      </c>
    </row>
    <row r="310" spans="91:102" ht="21" customHeight="1" x14ac:dyDescent="0.25">
      <c r="CM310" s="1377"/>
      <c r="CN310" s="1388" t="s">
        <v>9005</v>
      </c>
      <c r="CO310" s="1388" t="s">
        <v>8124</v>
      </c>
      <c r="CP310" s="1388" t="s">
        <v>8106</v>
      </c>
      <c r="CQ310" s="1388" t="s">
        <v>9006</v>
      </c>
      <c r="CR310" s="1388" t="s">
        <v>9006</v>
      </c>
      <c r="CS310" s="1388" t="s">
        <v>8788</v>
      </c>
      <c r="CT310" s="1388" t="s">
        <v>8789</v>
      </c>
      <c r="CU310" s="1388" t="s">
        <v>8790</v>
      </c>
      <c r="CV310" s="1389" t="s">
        <v>8791</v>
      </c>
      <c r="CX310" s="1379">
        <v>1</v>
      </c>
    </row>
    <row r="311" spans="91:102" ht="21" customHeight="1" x14ac:dyDescent="0.25">
      <c r="CM311" s="1377"/>
      <c r="CN311" s="1388" t="s">
        <v>9007</v>
      </c>
      <c r="CO311" s="1388" t="s">
        <v>8124</v>
      </c>
      <c r="CP311" s="1388" t="s">
        <v>8106</v>
      </c>
      <c r="CQ311" s="1388" t="s">
        <v>9008</v>
      </c>
      <c r="CR311" s="1388" t="s">
        <v>9008</v>
      </c>
      <c r="CS311" s="1388" t="s">
        <v>8788</v>
      </c>
      <c r="CT311" s="1388" t="s">
        <v>8789</v>
      </c>
      <c r="CU311" s="1388" t="s">
        <v>8790</v>
      </c>
      <c r="CV311" s="1389" t="s">
        <v>8791</v>
      </c>
      <c r="CX311" s="1379">
        <v>1</v>
      </c>
    </row>
    <row r="312" spans="91:102" ht="21" customHeight="1" x14ac:dyDescent="0.25">
      <c r="CM312" s="1377"/>
      <c r="CN312" s="1388" t="s">
        <v>9009</v>
      </c>
      <c r="CO312" s="1388" t="s">
        <v>8124</v>
      </c>
      <c r="CP312" s="1388" t="s">
        <v>8106</v>
      </c>
      <c r="CQ312" s="1388" t="s">
        <v>9010</v>
      </c>
      <c r="CR312" s="1388" t="s">
        <v>9010</v>
      </c>
      <c r="CS312" s="1388" t="s">
        <v>8788</v>
      </c>
      <c r="CT312" s="1388" t="s">
        <v>8789</v>
      </c>
      <c r="CU312" s="1388" t="s">
        <v>8790</v>
      </c>
      <c r="CV312" s="1389" t="s">
        <v>8791</v>
      </c>
      <c r="CX312" s="1379">
        <v>1</v>
      </c>
    </row>
    <row r="313" spans="91:102" ht="21" customHeight="1" x14ac:dyDescent="0.25">
      <c r="CM313" s="1377"/>
      <c r="CN313" s="1388" t="s">
        <v>9011</v>
      </c>
      <c r="CO313" s="1388" t="s">
        <v>8124</v>
      </c>
      <c r="CP313" s="1388" t="s">
        <v>8106</v>
      </c>
      <c r="CQ313" s="1388" t="s">
        <v>9012</v>
      </c>
      <c r="CR313" s="1388" t="s">
        <v>9012</v>
      </c>
      <c r="CS313" s="1388" t="s">
        <v>8788</v>
      </c>
      <c r="CT313" s="1388" t="s">
        <v>8789</v>
      </c>
      <c r="CU313" s="1388" t="s">
        <v>8790</v>
      </c>
      <c r="CV313" s="1389" t="s">
        <v>8791</v>
      </c>
      <c r="CX313" s="1379">
        <v>1</v>
      </c>
    </row>
    <row r="314" spans="91:102" ht="21" customHeight="1" x14ac:dyDescent="0.25">
      <c r="CM314" s="1377"/>
      <c r="CN314" s="1388" t="s">
        <v>9013</v>
      </c>
      <c r="CO314" s="1388" t="s">
        <v>8124</v>
      </c>
      <c r="CP314" s="1388" t="s">
        <v>8106</v>
      </c>
      <c r="CQ314" s="1388" t="s">
        <v>9014</v>
      </c>
      <c r="CR314" s="1388" t="s">
        <v>9014</v>
      </c>
      <c r="CS314" s="1388" t="s">
        <v>8788</v>
      </c>
      <c r="CT314" s="1388" t="s">
        <v>8795</v>
      </c>
      <c r="CU314" s="1388" t="s">
        <v>8110</v>
      </c>
      <c r="CV314" s="1389" t="s">
        <v>8111</v>
      </c>
      <c r="CX314" s="1379">
        <v>1</v>
      </c>
    </row>
    <row r="315" spans="91:102" ht="21" customHeight="1" x14ac:dyDescent="0.25">
      <c r="CM315" s="1377"/>
      <c r="CN315" s="1388" t="s">
        <v>9015</v>
      </c>
      <c r="CO315" s="1388" t="s">
        <v>8124</v>
      </c>
      <c r="CP315" s="1388" t="s">
        <v>8106</v>
      </c>
      <c r="CQ315" s="1388" t="s">
        <v>9016</v>
      </c>
      <c r="CR315" s="1388" t="s">
        <v>9016</v>
      </c>
      <c r="CS315" s="1388" t="s">
        <v>8788</v>
      </c>
      <c r="CT315" s="1388" t="s">
        <v>8789</v>
      </c>
      <c r="CU315" s="1388" t="s">
        <v>8790</v>
      </c>
      <c r="CV315" s="1389" t="s">
        <v>8791</v>
      </c>
      <c r="CX315" s="1379">
        <v>1</v>
      </c>
    </row>
    <row r="316" spans="91:102" ht="21" customHeight="1" x14ac:dyDescent="0.25">
      <c r="CM316" s="1377"/>
      <c r="CN316" s="1388" t="s">
        <v>9017</v>
      </c>
      <c r="CO316" s="1388" t="s">
        <v>8124</v>
      </c>
      <c r="CP316" s="1388" t="s">
        <v>8106</v>
      </c>
      <c r="CQ316" s="1388" t="s">
        <v>9018</v>
      </c>
      <c r="CR316" s="1388" t="s">
        <v>9018</v>
      </c>
      <c r="CS316" s="1388" t="s">
        <v>8788</v>
      </c>
      <c r="CT316" s="1388" t="s">
        <v>8789</v>
      </c>
      <c r="CU316" s="1388" t="s">
        <v>8790</v>
      </c>
      <c r="CV316" s="1389" t="s">
        <v>8791</v>
      </c>
      <c r="CX316" s="1379">
        <v>1</v>
      </c>
    </row>
    <row r="317" spans="91:102" ht="21" customHeight="1" x14ac:dyDescent="0.25">
      <c r="CM317" s="1377"/>
      <c r="CN317" s="1388" t="s">
        <v>9019</v>
      </c>
      <c r="CO317" s="1388" t="s">
        <v>8124</v>
      </c>
      <c r="CP317" s="1388" t="s">
        <v>8106</v>
      </c>
      <c r="CQ317" s="1388" t="s">
        <v>9020</v>
      </c>
      <c r="CR317" s="1388" t="s">
        <v>9020</v>
      </c>
      <c r="CS317" s="1388" t="s">
        <v>8788</v>
      </c>
      <c r="CT317" s="1388" t="s">
        <v>8789</v>
      </c>
      <c r="CU317" s="1388" t="s">
        <v>8790</v>
      </c>
      <c r="CV317" s="1389" t="s">
        <v>8791</v>
      </c>
      <c r="CX317" s="1379">
        <v>1</v>
      </c>
    </row>
    <row r="318" spans="91:102" ht="21" customHeight="1" x14ac:dyDescent="0.25">
      <c r="CM318" s="1377"/>
      <c r="CN318" s="1388" t="s">
        <v>9021</v>
      </c>
      <c r="CO318" s="1388" t="s">
        <v>8124</v>
      </c>
      <c r="CP318" s="1388" t="s">
        <v>8106</v>
      </c>
      <c r="CQ318" s="1388" t="s">
        <v>9022</v>
      </c>
      <c r="CR318" s="1388" t="s">
        <v>9022</v>
      </c>
      <c r="CS318" s="1388" t="s">
        <v>8788</v>
      </c>
      <c r="CT318" s="1388" t="s">
        <v>8789</v>
      </c>
      <c r="CU318" s="1388" t="s">
        <v>8790</v>
      </c>
      <c r="CV318" s="1389" t="s">
        <v>8791</v>
      </c>
      <c r="CX318" s="1379">
        <v>1</v>
      </c>
    </row>
    <row r="319" spans="91:102" ht="21" customHeight="1" x14ac:dyDescent="0.25">
      <c r="CM319" s="1377"/>
      <c r="CN319" s="1388" t="s">
        <v>9023</v>
      </c>
      <c r="CO319" s="1388" t="s">
        <v>8124</v>
      </c>
      <c r="CP319" s="1388" t="s">
        <v>8106</v>
      </c>
      <c r="CQ319" s="1388" t="s">
        <v>9024</v>
      </c>
      <c r="CR319" s="1388" t="s">
        <v>9024</v>
      </c>
      <c r="CS319" s="1388" t="s">
        <v>8788</v>
      </c>
      <c r="CT319" s="1388" t="s">
        <v>8795</v>
      </c>
      <c r="CU319" s="1388" t="s">
        <v>8110</v>
      </c>
      <c r="CV319" s="1389" t="s">
        <v>8111</v>
      </c>
      <c r="CX319" s="1379">
        <v>1</v>
      </c>
    </row>
    <row r="320" spans="91:102" ht="21" customHeight="1" x14ac:dyDescent="0.25">
      <c r="CM320" s="1377"/>
      <c r="CN320" s="1388" t="s">
        <v>9025</v>
      </c>
      <c r="CO320" s="1388" t="s">
        <v>8124</v>
      </c>
      <c r="CP320" s="1388" t="s">
        <v>8106</v>
      </c>
      <c r="CQ320" s="1388" t="s">
        <v>9026</v>
      </c>
      <c r="CR320" s="1388" t="s">
        <v>9026</v>
      </c>
      <c r="CS320" s="1388" t="s">
        <v>8194</v>
      </c>
      <c r="CT320" s="1388" t="s">
        <v>8195</v>
      </c>
      <c r="CU320" s="1388" t="s">
        <v>8110</v>
      </c>
      <c r="CV320" s="1389" t="s">
        <v>8196</v>
      </c>
      <c r="CX320" s="1379">
        <v>1</v>
      </c>
    </row>
    <row r="321" spans="91:102" ht="21" customHeight="1" x14ac:dyDescent="0.25">
      <c r="CM321" s="1377"/>
      <c r="CN321" s="1388" t="s">
        <v>9027</v>
      </c>
      <c r="CO321" s="1388" t="s">
        <v>8124</v>
      </c>
      <c r="CP321" s="1388" t="s">
        <v>8106</v>
      </c>
      <c r="CQ321" s="1388" t="s">
        <v>9028</v>
      </c>
      <c r="CR321" s="1388" t="s">
        <v>9028</v>
      </c>
      <c r="CS321" s="1388" t="s">
        <v>8194</v>
      </c>
      <c r="CT321" s="1388" t="s">
        <v>8195</v>
      </c>
      <c r="CU321" s="1388" t="s">
        <v>8110</v>
      </c>
      <c r="CV321" s="1389" t="s">
        <v>8196</v>
      </c>
      <c r="CX321" s="1379">
        <v>1</v>
      </c>
    </row>
    <row r="322" spans="91:102" ht="21" customHeight="1" x14ac:dyDescent="0.25">
      <c r="CM322" s="1377"/>
      <c r="CN322" s="1388" t="s">
        <v>9029</v>
      </c>
      <c r="CO322" s="1388" t="s">
        <v>8124</v>
      </c>
      <c r="CP322" s="1388" t="s">
        <v>8106</v>
      </c>
      <c r="CQ322" s="1388" t="s">
        <v>9030</v>
      </c>
      <c r="CR322" s="1388" t="s">
        <v>9030</v>
      </c>
      <c r="CS322" s="1388" t="s">
        <v>8788</v>
      </c>
      <c r="CT322" s="1388" t="s">
        <v>8789</v>
      </c>
      <c r="CU322" s="1388" t="s">
        <v>8790</v>
      </c>
      <c r="CV322" s="1389" t="s">
        <v>8791</v>
      </c>
      <c r="CX322" s="1379">
        <v>1</v>
      </c>
    </row>
    <row r="323" spans="91:102" ht="21" customHeight="1" x14ac:dyDescent="0.25">
      <c r="CM323" s="1377"/>
      <c r="CN323" s="1388" t="s">
        <v>9031</v>
      </c>
      <c r="CO323" s="1388" t="s">
        <v>8124</v>
      </c>
      <c r="CP323" s="1388" t="s">
        <v>8106</v>
      </c>
      <c r="CQ323" s="1388" t="s">
        <v>9032</v>
      </c>
      <c r="CR323" s="1388" t="s">
        <v>9032</v>
      </c>
      <c r="CS323" s="1388" t="s">
        <v>8788</v>
      </c>
      <c r="CT323" s="1388" t="s">
        <v>8789</v>
      </c>
      <c r="CU323" s="1388" t="s">
        <v>8790</v>
      </c>
      <c r="CV323" s="1389" t="s">
        <v>8791</v>
      </c>
      <c r="CX323" s="1379">
        <v>1</v>
      </c>
    </row>
    <row r="324" spans="91:102" ht="21" customHeight="1" x14ac:dyDescent="0.25">
      <c r="CM324" s="1377"/>
      <c r="CN324" s="1388" t="s">
        <v>9033</v>
      </c>
      <c r="CO324" s="1388" t="s">
        <v>8124</v>
      </c>
      <c r="CP324" s="1388" t="s">
        <v>8106</v>
      </c>
      <c r="CQ324" s="1388" t="s">
        <v>9034</v>
      </c>
      <c r="CR324" s="1388" t="s">
        <v>9034</v>
      </c>
      <c r="CS324" s="1388" t="s">
        <v>8788</v>
      </c>
      <c r="CT324" s="1388" t="s">
        <v>8789</v>
      </c>
      <c r="CU324" s="1388" t="s">
        <v>8790</v>
      </c>
      <c r="CV324" s="1389" t="s">
        <v>8791</v>
      </c>
      <c r="CX324" s="1379">
        <v>1</v>
      </c>
    </row>
    <row r="325" spans="91:102" ht="21" customHeight="1" x14ac:dyDescent="0.25">
      <c r="CM325" s="1377"/>
      <c r="CN325" s="1388" t="s">
        <v>9035</v>
      </c>
      <c r="CO325" s="1388" t="s">
        <v>8124</v>
      </c>
      <c r="CP325" s="1388" t="s">
        <v>8106</v>
      </c>
      <c r="CQ325" s="1388" t="s">
        <v>9036</v>
      </c>
      <c r="CR325" s="1388" t="s">
        <v>9037</v>
      </c>
      <c r="CS325" s="1388" t="s">
        <v>8788</v>
      </c>
      <c r="CT325" s="1388" t="s">
        <v>8795</v>
      </c>
      <c r="CU325" s="1388" t="s">
        <v>8110</v>
      </c>
      <c r="CV325" s="1389" t="s">
        <v>8111</v>
      </c>
      <c r="CX325" s="1379">
        <v>1</v>
      </c>
    </row>
    <row r="326" spans="91:102" ht="21" customHeight="1" x14ac:dyDescent="0.25">
      <c r="CM326" s="1377"/>
      <c r="CN326" s="1388" t="s">
        <v>9038</v>
      </c>
      <c r="CO326" s="1388" t="s">
        <v>8124</v>
      </c>
      <c r="CP326" s="1388" t="s">
        <v>8106</v>
      </c>
      <c r="CQ326" s="1388" t="s">
        <v>9039</v>
      </c>
      <c r="CR326" s="1388" t="s">
        <v>9039</v>
      </c>
      <c r="CS326" s="1388" t="s">
        <v>8788</v>
      </c>
      <c r="CT326" s="1388" t="s">
        <v>8789</v>
      </c>
      <c r="CU326" s="1388" t="s">
        <v>8790</v>
      </c>
      <c r="CV326" s="1389" t="s">
        <v>8791</v>
      </c>
      <c r="CX326" s="1379">
        <v>1</v>
      </c>
    </row>
    <row r="327" spans="91:102" ht="21" customHeight="1" x14ac:dyDescent="0.25">
      <c r="CM327" s="1377"/>
      <c r="CN327" s="1388" t="s">
        <v>9040</v>
      </c>
      <c r="CO327" s="1388" t="s">
        <v>8124</v>
      </c>
      <c r="CP327" s="1388" t="s">
        <v>8106</v>
      </c>
      <c r="CQ327" s="1388" t="s">
        <v>9041</v>
      </c>
      <c r="CR327" s="1388" t="s">
        <v>9041</v>
      </c>
      <c r="CS327" s="1388" t="s">
        <v>8788</v>
      </c>
      <c r="CT327" s="1388" t="s">
        <v>8789</v>
      </c>
      <c r="CU327" s="1388" t="s">
        <v>8790</v>
      </c>
      <c r="CV327" s="1389" t="s">
        <v>8791</v>
      </c>
      <c r="CX327" s="1379">
        <v>1</v>
      </c>
    </row>
    <row r="328" spans="91:102" ht="21" customHeight="1" x14ac:dyDescent="0.25">
      <c r="CM328" s="1377"/>
      <c r="CN328" s="1388" t="s">
        <v>9042</v>
      </c>
      <c r="CO328" s="1388" t="s">
        <v>8124</v>
      </c>
      <c r="CP328" s="1388" t="s">
        <v>8106</v>
      </c>
      <c r="CQ328" s="1388" t="s">
        <v>9043</v>
      </c>
      <c r="CR328" s="1388" t="s">
        <v>9043</v>
      </c>
      <c r="CS328" s="1388" t="s">
        <v>8788</v>
      </c>
      <c r="CT328" s="1388" t="s">
        <v>8795</v>
      </c>
      <c r="CU328" s="1388" t="s">
        <v>8110</v>
      </c>
      <c r="CV328" s="1389" t="s">
        <v>8111</v>
      </c>
      <c r="CX328" s="1379">
        <v>1</v>
      </c>
    </row>
    <row r="329" spans="91:102" ht="21" customHeight="1" x14ac:dyDescent="0.25">
      <c r="CM329" s="1377"/>
      <c r="CN329" s="1388" t="s">
        <v>9044</v>
      </c>
      <c r="CO329" s="1388" t="s">
        <v>8124</v>
      </c>
      <c r="CP329" s="1388" t="s">
        <v>8106</v>
      </c>
      <c r="CQ329" s="1388" t="s">
        <v>9045</v>
      </c>
      <c r="CR329" s="1388" t="s">
        <v>9045</v>
      </c>
      <c r="CS329" s="1388" t="s">
        <v>8194</v>
      </c>
      <c r="CT329" s="1388" t="s">
        <v>8195</v>
      </c>
      <c r="CU329" s="1388" t="s">
        <v>8110</v>
      </c>
      <c r="CV329" s="1389" t="s">
        <v>8196</v>
      </c>
      <c r="CX329" s="1379">
        <v>1</v>
      </c>
    </row>
    <row r="330" spans="91:102" ht="21" customHeight="1" x14ac:dyDescent="0.25">
      <c r="CM330" s="1377"/>
      <c r="CN330" s="1388" t="s">
        <v>9046</v>
      </c>
      <c r="CO330" s="1388" t="s">
        <v>8124</v>
      </c>
      <c r="CP330" s="1388" t="s">
        <v>8106</v>
      </c>
      <c r="CQ330" s="1388" t="s">
        <v>9047</v>
      </c>
      <c r="CR330" s="1388" t="s">
        <v>9047</v>
      </c>
      <c r="CS330" s="1388" t="s">
        <v>8194</v>
      </c>
      <c r="CT330" s="1388" t="s">
        <v>8195</v>
      </c>
      <c r="CU330" s="1388" t="s">
        <v>8110</v>
      </c>
      <c r="CV330" s="1389" t="s">
        <v>8196</v>
      </c>
      <c r="CX330" s="1379">
        <v>1</v>
      </c>
    </row>
    <row r="331" spans="91:102" ht="21" customHeight="1" x14ac:dyDescent="0.25">
      <c r="CM331" s="1377"/>
      <c r="CN331" s="1388" t="s">
        <v>9048</v>
      </c>
      <c r="CO331" s="1388" t="s">
        <v>8124</v>
      </c>
      <c r="CP331" s="1388" t="s">
        <v>8106</v>
      </c>
      <c r="CQ331" s="1388" t="s">
        <v>9049</v>
      </c>
      <c r="CR331" s="1388" t="s">
        <v>9050</v>
      </c>
      <c r="CS331" s="1388" t="s">
        <v>8788</v>
      </c>
      <c r="CT331" s="1388" t="s">
        <v>8795</v>
      </c>
      <c r="CU331" s="1388" t="s">
        <v>8110</v>
      </c>
      <c r="CV331" s="1389" t="s">
        <v>8111</v>
      </c>
      <c r="CX331" s="1379">
        <v>1</v>
      </c>
    </row>
    <row r="332" spans="91:102" ht="21" customHeight="1" x14ac:dyDescent="0.25">
      <c r="CM332" s="1377"/>
      <c r="CN332" s="1388" t="s">
        <v>9051</v>
      </c>
      <c r="CO332" s="1388" t="s">
        <v>8124</v>
      </c>
      <c r="CP332" s="1388" t="s">
        <v>8106</v>
      </c>
      <c r="CQ332" s="1388" t="s">
        <v>9052</v>
      </c>
      <c r="CR332" s="1388" t="s">
        <v>9052</v>
      </c>
      <c r="CS332" s="1388" t="s">
        <v>8788</v>
      </c>
      <c r="CT332" s="1388" t="s">
        <v>8795</v>
      </c>
      <c r="CU332" s="1388" t="s">
        <v>8110</v>
      </c>
      <c r="CV332" s="1389" t="s">
        <v>8111</v>
      </c>
      <c r="CX332" s="1379">
        <v>1</v>
      </c>
    </row>
    <row r="333" spans="91:102" ht="21" customHeight="1" x14ac:dyDescent="0.25">
      <c r="CM333" s="1377"/>
      <c r="CN333" s="1388" t="s">
        <v>9053</v>
      </c>
      <c r="CO333" s="1388" t="s">
        <v>8124</v>
      </c>
      <c r="CP333" s="1388" t="s">
        <v>8106</v>
      </c>
      <c r="CQ333" s="1388" t="s">
        <v>9054</v>
      </c>
      <c r="CR333" s="1388" t="s">
        <v>9054</v>
      </c>
      <c r="CS333" s="1388" t="s">
        <v>8788</v>
      </c>
      <c r="CT333" s="1388" t="s">
        <v>8795</v>
      </c>
      <c r="CU333" s="1388" t="s">
        <v>8110</v>
      </c>
      <c r="CV333" s="1389" t="s">
        <v>8111</v>
      </c>
      <c r="CX333" s="1379">
        <v>1</v>
      </c>
    </row>
    <row r="334" spans="91:102" ht="21" customHeight="1" x14ac:dyDescent="0.25">
      <c r="CM334" s="1377"/>
      <c r="CN334" s="1388" t="s">
        <v>9055</v>
      </c>
      <c r="CO334" s="1388" t="s">
        <v>8124</v>
      </c>
      <c r="CP334" s="1388" t="s">
        <v>8106</v>
      </c>
      <c r="CQ334" s="1388" t="s">
        <v>9056</v>
      </c>
      <c r="CR334" s="1388" t="s">
        <v>9056</v>
      </c>
      <c r="CS334" s="1388" t="s">
        <v>8194</v>
      </c>
      <c r="CT334" s="1388" t="s">
        <v>8195</v>
      </c>
      <c r="CU334" s="1388" t="s">
        <v>8110</v>
      </c>
      <c r="CV334" s="1389" t="s">
        <v>8196</v>
      </c>
      <c r="CX334" s="1379">
        <v>1</v>
      </c>
    </row>
    <row r="335" spans="91:102" ht="21" customHeight="1" x14ac:dyDescent="0.25">
      <c r="CM335" s="1377"/>
      <c r="CN335" s="1388" t="s">
        <v>9057</v>
      </c>
      <c r="CO335" s="1388" t="s">
        <v>8124</v>
      </c>
      <c r="CP335" s="1388" t="s">
        <v>8106</v>
      </c>
      <c r="CQ335" s="1388" t="s">
        <v>9058</v>
      </c>
      <c r="CR335" s="1388" t="s">
        <v>9058</v>
      </c>
      <c r="CS335" s="1388" t="s">
        <v>8788</v>
      </c>
      <c r="CT335" s="1388" t="s">
        <v>8795</v>
      </c>
      <c r="CU335" s="1388" t="s">
        <v>8110</v>
      </c>
      <c r="CV335" s="1389" t="s">
        <v>8111</v>
      </c>
      <c r="CX335" s="1379">
        <v>1</v>
      </c>
    </row>
    <row r="336" spans="91:102" ht="21" customHeight="1" x14ac:dyDescent="0.25">
      <c r="CM336" s="1377"/>
      <c r="CN336" s="1388" t="s">
        <v>9059</v>
      </c>
      <c r="CO336" s="1388" t="s">
        <v>8124</v>
      </c>
      <c r="CP336" s="1388" t="s">
        <v>8106</v>
      </c>
      <c r="CQ336" s="1388" t="s">
        <v>9060</v>
      </c>
      <c r="CR336" s="1388" t="s">
        <v>9060</v>
      </c>
      <c r="CS336" s="1388" t="s">
        <v>8194</v>
      </c>
      <c r="CT336" s="1388" t="s">
        <v>8195</v>
      </c>
      <c r="CU336" s="1388" t="s">
        <v>8110</v>
      </c>
      <c r="CV336" s="1389" t="s">
        <v>8196</v>
      </c>
      <c r="CX336" s="1379">
        <v>1</v>
      </c>
    </row>
    <row r="337" spans="91:102" ht="21" customHeight="1" x14ac:dyDescent="0.25">
      <c r="CM337" s="1377"/>
      <c r="CN337" s="1388" t="s">
        <v>9061</v>
      </c>
      <c r="CO337" s="1388" t="s">
        <v>8124</v>
      </c>
      <c r="CP337" s="1388" t="s">
        <v>8106</v>
      </c>
      <c r="CQ337" s="1388" t="s">
        <v>9062</v>
      </c>
      <c r="CR337" s="1388" t="s">
        <v>9062</v>
      </c>
      <c r="CS337" s="1388" t="s">
        <v>8788</v>
      </c>
      <c r="CT337" s="1388" t="s">
        <v>8789</v>
      </c>
      <c r="CU337" s="1388" t="s">
        <v>8790</v>
      </c>
      <c r="CV337" s="1389" t="s">
        <v>8791</v>
      </c>
      <c r="CX337" s="1379">
        <v>1</v>
      </c>
    </row>
    <row r="338" spans="91:102" ht="21" customHeight="1" x14ac:dyDescent="0.25">
      <c r="CM338" s="1377"/>
      <c r="CN338" s="1388" t="s">
        <v>9063</v>
      </c>
      <c r="CO338" s="1388" t="s">
        <v>8124</v>
      </c>
      <c r="CP338" s="1388" t="s">
        <v>8106</v>
      </c>
      <c r="CQ338" s="1388" t="s">
        <v>9064</v>
      </c>
      <c r="CR338" s="1388" t="s">
        <v>9064</v>
      </c>
      <c r="CS338" s="1388" t="s">
        <v>8788</v>
      </c>
      <c r="CT338" s="1388" t="s">
        <v>8795</v>
      </c>
      <c r="CU338" s="1388" t="s">
        <v>8110</v>
      </c>
      <c r="CV338" s="1389" t="s">
        <v>8111</v>
      </c>
      <c r="CX338" s="1379">
        <v>1</v>
      </c>
    </row>
    <row r="339" spans="91:102" ht="21" customHeight="1" x14ac:dyDescent="0.25">
      <c r="CM339" s="1377"/>
      <c r="CN339" s="1388" t="s">
        <v>9065</v>
      </c>
      <c r="CO339" s="1388" t="s">
        <v>8124</v>
      </c>
      <c r="CP339" s="1388" t="s">
        <v>8106</v>
      </c>
      <c r="CQ339" s="1388" t="s">
        <v>9066</v>
      </c>
      <c r="CR339" s="1388" t="s">
        <v>9066</v>
      </c>
      <c r="CS339" s="1388" t="s">
        <v>8788</v>
      </c>
      <c r="CT339" s="1388" t="s">
        <v>8789</v>
      </c>
      <c r="CU339" s="1388" t="s">
        <v>8790</v>
      </c>
      <c r="CV339" s="1389" t="s">
        <v>8791</v>
      </c>
      <c r="CX339" s="1379">
        <v>1</v>
      </c>
    </row>
    <row r="340" spans="91:102" ht="21" customHeight="1" x14ac:dyDescent="0.25">
      <c r="CM340" s="1377"/>
      <c r="CN340" s="1388" t="s">
        <v>9067</v>
      </c>
      <c r="CO340" s="1388" t="s">
        <v>8124</v>
      </c>
      <c r="CP340" s="1388" t="s">
        <v>8106</v>
      </c>
      <c r="CQ340" s="1388" t="s">
        <v>9068</v>
      </c>
      <c r="CR340" s="1388" t="s">
        <v>9068</v>
      </c>
      <c r="CS340" s="1388" t="s">
        <v>8788</v>
      </c>
      <c r="CT340" s="1388" t="s">
        <v>8795</v>
      </c>
      <c r="CU340" s="1388" t="s">
        <v>8110</v>
      </c>
      <c r="CV340" s="1389" t="s">
        <v>8111</v>
      </c>
      <c r="CX340" s="1379">
        <v>1</v>
      </c>
    </row>
    <row r="341" spans="91:102" ht="21" customHeight="1" x14ac:dyDescent="0.25">
      <c r="CM341" s="1377"/>
      <c r="CN341" s="1388" t="s">
        <v>9069</v>
      </c>
      <c r="CO341" s="1388" t="s">
        <v>7912</v>
      </c>
      <c r="CP341" s="1388" t="s">
        <v>8106</v>
      </c>
      <c r="CQ341" s="1388" t="s">
        <v>9070</v>
      </c>
      <c r="CR341" s="1388" t="s">
        <v>9071</v>
      </c>
      <c r="CS341" s="1388" t="s">
        <v>8108</v>
      </c>
      <c r="CT341" s="1388" t="s">
        <v>9072</v>
      </c>
      <c r="CU341" s="1388" t="s">
        <v>8110</v>
      </c>
      <c r="CV341" s="1389" t="s">
        <v>8111</v>
      </c>
      <c r="CX341" s="1379">
        <v>1</v>
      </c>
    </row>
    <row r="342" spans="91:102" ht="21" customHeight="1" x14ac:dyDescent="0.25">
      <c r="CM342" s="1377"/>
      <c r="CN342" s="1388" t="s">
        <v>9073</v>
      </c>
      <c r="CO342" s="1388" t="s">
        <v>7912</v>
      </c>
      <c r="CP342" s="1388" t="s">
        <v>8106</v>
      </c>
      <c r="CQ342" s="1388" t="s">
        <v>9074</v>
      </c>
      <c r="CR342" s="1388" t="s">
        <v>9074</v>
      </c>
      <c r="CS342" s="1388" t="s">
        <v>8108</v>
      </c>
      <c r="CT342" s="1388" t="s">
        <v>9072</v>
      </c>
      <c r="CU342" s="1388" t="s">
        <v>8110</v>
      </c>
      <c r="CV342" s="1389" t="s">
        <v>8111</v>
      </c>
      <c r="CX342" s="1379">
        <v>1</v>
      </c>
    </row>
    <row r="343" spans="91:102" ht="21" customHeight="1" x14ac:dyDescent="0.25">
      <c r="CM343" s="1377"/>
      <c r="CN343" s="1388" t="s">
        <v>9075</v>
      </c>
      <c r="CO343" s="1388" t="s">
        <v>7912</v>
      </c>
      <c r="CP343" s="1388" t="s">
        <v>8106</v>
      </c>
      <c r="CQ343" s="1388" t="s">
        <v>9076</v>
      </c>
      <c r="CR343" s="1388" t="s">
        <v>9077</v>
      </c>
      <c r="CS343" s="1388" t="s">
        <v>8108</v>
      </c>
      <c r="CT343" s="1388" t="s">
        <v>9072</v>
      </c>
      <c r="CU343" s="1388" t="s">
        <v>8110</v>
      </c>
      <c r="CV343" s="1389" t="s">
        <v>8111</v>
      </c>
      <c r="CX343" s="1379">
        <v>1</v>
      </c>
    </row>
    <row r="344" spans="91:102" ht="21" customHeight="1" x14ac:dyDescent="0.25">
      <c r="CM344" s="1377"/>
      <c r="CN344" s="1388" t="s">
        <v>9078</v>
      </c>
      <c r="CO344" s="1388" t="s">
        <v>7912</v>
      </c>
      <c r="CP344" s="1388" t="s">
        <v>8106</v>
      </c>
      <c r="CQ344" s="1388" t="s">
        <v>9079</v>
      </c>
      <c r="CR344" s="1388" t="s">
        <v>9080</v>
      </c>
      <c r="CS344" s="1388" t="s">
        <v>8108</v>
      </c>
      <c r="CT344" s="1388" t="s">
        <v>9072</v>
      </c>
      <c r="CU344" s="1388" t="s">
        <v>8110</v>
      </c>
      <c r="CV344" s="1389" t="s">
        <v>8111</v>
      </c>
      <c r="CX344" s="1379">
        <v>1</v>
      </c>
    </row>
    <row r="345" spans="91:102" ht="21" customHeight="1" x14ac:dyDescent="0.25">
      <c r="CM345" s="1377"/>
      <c r="CN345" s="1388" t="s">
        <v>9081</v>
      </c>
      <c r="CO345" s="1388" t="s">
        <v>7912</v>
      </c>
      <c r="CP345" s="1388" t="s">
        <v>8106</v>
      </c>
      <c r="CQ345" s="1388" t="s">
        <v>9082</v>
      </c>
      <c r="CR345" s="1388" t="s">
        <v>9083</v>
      </c>
      <c r="CS345" s="1388" t="s">
        <v>8108</v>
      </c>
      <c r="CT345" s="1388" t="s">
        <v>9072</v>
      </c>
      <c r="CU345" s="1388" t="s">
        <v>8110</v>
      </c>
      <c r="CV345" s="1389" t="s">
        <v>8111</v>
      </c>
      <c r="CX345" s="1379">
        <v>1</v>
      </c>
    </row>
    <row r="346" spans="91:102" ht="21" customHeight="1" x14ac:dyDescent="0.25">
      <c r="CM346" s="1377"/>
      <c r="CN346" s="1388" t="s">
        <v>9084</v>
      </c>
      <c r="CO346" s="1388" t="s">
        <v>7912</v>
      </c>
      <c r="CP346" s="1388" t="s">
        <v>8106</v>
      </c>
      <c r="CQ346" s="1388" t="s">
        <v>9085</v>
      </c>
      <c r="CR346" s="1388" t="s">
        <v>9086</v>
      </c>
      <c r="CS346" s="1388" t="s">
        <v>8108</v>
      </c>
      <c r="CT346" s="1388" t="s">
        <v>9072</v>
      </c>
      <c r="CU346" s="1388" t="s">
        <v>8110</v>
      </c>
      <c r="CV346" s="1389" t="s">
        <v>8111</v>
      </c>
      <c r="CX346" s="1379">
        <v>1</v>
      </c>
    </row>
    <row r="347" spans="91:102" ht="21" customHeight="1" x14ac:dyDescent="0.25">
      <c r="CM347" s="1377"/>
      <c r="CN347" s="1388" t="s">
        <v>9087</v>
      </c>
      <c r="CO347" s="1388" t="s">
        <v>7912</v>
      </c>
      <c r="CP347" s="1388" t="s">
        <v>8106</v>
      </c>
      <c r="CQ347" s="1388" t="s">
        <v>9088</v>
      </c>
      <c r="CR347" s="1388" t="s">
        <v>9088</v>
      </c>
      <c r="CS347" s="1388" t="s">
        <v>8108</v>
      </c>
      <c r="CT347" s="1388" t="s">
        <v>9072</v>
      </c>
      <c r="CU347" s="1388" t="s">
        <v>8110</v>
      </c>
      <c r="CV347" s="1389" t="s">
        <v>8111</v>
      </c>
      <c r="CX347" s="1379">
        <v>1</v>
      </c>
    </row>
    <row r="348" spans="91:102" ht="21" customHeight="1" x14ac:dyDescent="0.25">
      <c r="CM348" s="1377"/>
      <c r="CN348" s="1388" t="s">
        <v>9089</v>
      </c>
      <c r="CO348" s="1388" t="s">
        <v>7912</v>
      </c>
      <c r="CP348" s="1388" t="s">
        <v>8106</v>
      </c>
      <c r="CQ348" s="1388" t="s">
        <v>9090</v>
      </c>
      <c r="CR348" s="1388" t="s">
        <v>9090</v>
      </c>
      <c r="CS348" s="1388" t="s">
        <v>8108</v>
      </c>
      <c r="CT348" s="1388" t="s">
        <v>9072</v>
      </c>
      <c r="CU348" s="1388" t="s">
        <v>8110</v>
      </c>
      <c r="CV348" s="1389" t="s">
        <v>8111</v>
      </c>
      <c r="CX348" s="1379">
        <v>1</v>
      </c>
    </row>
    <row r="349" spans="91:102" ht="21" customHeight="1" x14ac:dyDescent="0.25">
      <c r="CM349" s="1377"/>
      <c r="CN349" s="1388" t="s">
        <v>9091</v>
      </c>
      <c r="CO349" s="1388" t="s">
        <v>7912</v>
      </c>
      <c r="CP349" s="1388" t="s">
        <v>8106</v>
      </c>
      <c r="CQ349" s="1388" t="s">
        <v>9092</v>
      </c>
      <c r="CR349" s="1388" t="s">
        <v>9092</v>
      </c>
      <c r="CS349" s="1388" t="s">
        <v>8108</v>
      </c>
      <c r="CT349" s="1388" t="s">
        <v>9072</v>
      </c>
      <c r="CU349" s="1388" t="s">
        <v>8110</v>
      </c>
      <c r="CV349" s="1389" t="s">
        <v>8111</v>
      </c>
      <c r="CX349" s="1379">
        <v>1</v>
      </c>
    </row>
    <row r="350" spans="91:102" ht="21" customHeight="1" x14ac:dyDescent="0.25">
      <c r="CM350" s="1377"/>
      <c r="CN350" s="1388" t="s">
        <v>9093</v>
      </c>
      <c r="CO350" s="1388" t="s">
        <v>7912</v>
      </c>
      <c r="CP350" s="1388" t="s">
        <v>8106</v>
      </c>
      <c r="CQ350" s="1388" t="s">
        <v>9094</v>
      </c>
      <c r="CR350" s="1388" t="s">
        <v>9095</v>
      </c>
      <c r="CS350" s="1388" t="s">
        <v>8108</v>
      </c>
      <c r="CT350" s="1388" t="s">
        <v>9072</v>
      </c>
      <c r="CU350" s="1388" t="s">
        <v>8110</v>
      </c>
      <c r="CV350" s="1389" t="s">
        <v>8111</v>
      </c>
      <c r="CX350" s="1379">
        <v>1</v>
      </c>
    </row>
    <row r="351" spans="91:102" ht="21" customHeight="1" x14ac:dyDescent="0.25">
      <c r="CM351" s="1377"/>
      <c r="CN351" s="1388" t="s">
        <v>9096</v>
      </c>
      <c r="CO351" s="1388" t="s">
        <v>7912</v>
      </c>
      <c r="CP351" s="1388" t="s">
        <v>8106</v>
      </c>
      <c r="CQ351" s="1388" t="s">
        <v>9097</v>
      </c>
      <c r="CR351" s="1388" t="s">
        <v>9098</v>
      </c>
      <c r="CS351" s="1388" t="s">
        <v>8108</v>
      </c>
      <c r="CT351" s="1388" t="s">
        <v>9072</v>
      </c>
      <c r="CU351" s="1388" t="s">
        <v>8110</v>
      </c>
      <c r="CV351" s="1389" t="s">
        <v>8111</v>
      </c>
      <c r="CX351" s="1379">
        <v>1</v>
      </c>
    </row>
    <row r="352" spans="91:102" ht="21" customHeight="1" x14ac:dyDescent="0.25">
      <c r="CM352" s="1377"/>
      <c r="CN352" s="1388" t="s">
        <v>9099</v>
      </c>
      <c r="CO352" s="1388" t="s">
        <v>7912</v>
      </c>
      <c r="CP352" s="1388" t="s">
        <v>8106</v>
      </c>
      <c r="CQ352" s="1388" t="s">
        <v>9100</v>
      </c>
      <c r="CR352" s="1388" t="s">
        <v>9101</v>
      </c>
      <c r="CS352" s="1388" t="s">
        <v>8108</v>
      </c>
      <c r="CT352" s="1388" t="s">
        <v>9072</v>
      </c>
      <c r="CU352" s="1388" t="s">
        <v>8110</v>
      </c>
      <c r="CV352" s="1389" t="s">
        <v>8111</v>
      </c>
      <c r="CX352" s="1379">
        <v>1</v>
      </c>
    </row>
    <row r="353" spans="91:102" ht="21" customHeight="1" x14ac:dyDescent="0.25">
      <c r="CM353" s="1377"/>
      <c r="CN353" s="1388" t="s">
        <v>9102</v>
      </c>
      <c r="CO353" s="1388" t="s">
        <v>7912</v>
      </c>
      <c r="CP353" s="1388" t="s">
        <v>8106</v>
      </c>
      <c r="CQ353" s="1388" t="s">
        <v>9103</v>
      </c>
      <c r="CR353" s="1388" t="s">
        <v>9104</v>
      </c>
      <c r="CS353" s="1388" t="s">
        <v>8108</v>
      </c>
      <c r="CT353" s="1388" t="s">
        <v>9072</v>
      </c>
      <c r="CU353" s="1388" t="s">
        <v>8110</v>
      </c>
      <c r="CV353" s="1389" t="s">
        <v>8111</v>
      </c>
      <c r="CX353" s="1379">
        <v>1</v>
      </c>
    </row>
    <row r="354" spans="91:102" ht="21" customHeight="1" x14ac:dyDescent="0.25">
      <c r="CM354" s="1377"/>
      <c r="CN354" s="1388" t="s">
        <v>9105</v>
      </c>
      <c r="CO354" s="1388" t="s">
        <v>7912</v>
      </c>
      <c r="CP354" s="1388" t="s">
        <v>8106</v>
      </c>
      <c r="CQ354" s="1388" t="s">
        <v>9106</v>
      </c>
      <c r="CR354" s="1388" t="s">
        <v>9107</v>
      </c>
      <c r="CS354" s="1388" t="s">
        <v>8108</v>
      </c>
      <c r="CT354" s="1388" t="s">
        <v>9072</v>
      </c>
      <c r="CU354" s="1388" t="s">
        <v>8110</v>
      </c>
      <c r="CV354" s="1389" t="s">
        <v>8111</v>
      </c>
      <c r="CX354" s="1379">
        <v>1</v>
      </c>
    </row>
    <row r="355" spans="91:102" ht="21" customHeight="1" x14ac:dyDescent="0.25">
      <c r="CM355" s="1377"/>
      <c r="CN355" s="1388" t="s">
        <v>9108</v>
      </c>
      <c r="CO355" s="1388" t="s">
        <v>7912</v>
      </c>
      <c r="CP355" s="1388" t="s">
        <v>8106</v>
      </c>
      <c r="CQ355" s="1388" t="s">
        <v>9109</v>
      </c>
      <c r="CR355" s="1388" t="s">
        <v>9110</v>
      </c>
      <c r="CS355" s="1388" t="s">
        <v>8108</v>
      </c>
      <c r="CT355" s="1388" t="s">
        <v>9072</v>
      </c>
      <c r="CU355" s="1388" t="s">
        <v>8110</v>
      </c>
      <c r="CV355" s="1389" t="s">
        <v>8111</v>
      </c>
      <c r="CX355" s="1379">
        <v>1</v>
      </c>
    </row>
    <row r="356" spans="91:102" ht="21" customHeight="1" x14ac:dyDescent="0.25">
      <c r="CM356" s="1377"/>
      <c r="CN356" s="1388" t="s">
        <v>9111</v>
      </c>
      <c r="CO356" s="1388" t="s">
        <v>7912</v>
      </c>
      <c r="CP356" s="1388" t="s">
        <v>8106</v>
      </c>
      <c r="CQ356" s="1388" t="s">
        <v>9112</v>
      </c>
      <c r="CR356" s="1388" t="s">
        <v>9113</v>
      </c>
      <c r="CS356" s="1388" t="s">
        <v>8108</v>
      </c>
      <c r="CT356" s="1388" t="s">
        <v>9072</v>
      </c>
      <c r="CU356" s="1388" t="s">
        <v>8110</v>
      </c>
      <c r="CV356" s="1389" t="s">
        <v>8111</v>
      </c>
      <c r="CX356" s="1379">
        <v>1</v>
      </c>
    </row>
    <row r="357" spans="91:102" ht="21" customHeight="1" x14ac:dyDescent="0.25">
      <c r="CM357" s="1377"/>
      <c r="CN357" s="1388" t="s">
        <v>9114</v>
      </c>
      <c r="CO357" s="1388" t="s">
        <v>7912</v>
      </c>
      <c r="CP357" s="1388" t="s">
        <v>8106</v>
      </c>
      <c r="CQ357" s="1388" t="s">
        <v>9115</v>
      </c>
      <c r="CR357" s="1388" t="s">
        <v>9115</v>
      </c>
      <c r="CS357" s="1388" t="s">
        <v>8194</v>
      </c>
      <c r="CT357" s="1388" t="s">
        <v>8195</v>
      </c>
      <c r="CU357" s="1388" t="s">
        <v>8110</v>
      </c>
      <c r="CV357" s="1389" t="s">
        <v>8196</v>
      </c>
      <c r="CX357" s="1379">
        <v>1</v>
      </c>
    </row>
    <row r="358" spans="91:102" ht="21" customHeight="1" x14ac:dyDescent="0.25">
      <c r="CM358" s="1377"/>
      <c r="CN358" s="1388" t="s">
        <v>9116</v>
      </c>
      <c r="CO358" s="1388" t="s">
        <v>7912</v>
      </c>
      <c r="CP358" s="1388" t="s">
        <v>8106</v>
      </c>
      <c r="CQ358" s="1388" t="s">
        <v>9117</v>
      </c>
      <c r="CR358" s="1388" t="s">
        <v>9117</v>
      </c>
      <c r="CS358" s="1388" t="s">
        <v>8194</v>
      </c>
      <c r="CT358" s="1388" t="s">
        <v>8195</v>
      </c>
      <c r="CU358" s="1388" t="s">
        <v>8110</v>
      </c>
      <c r="CV358" s="1389" t="s">
        <v>8196</v>
      </c>
      <c r="CX358" s="1379">
        <v>1</v>
      </c>
    </row>
    <row r="359" spans="91:102" ht="21" customHeight="1" x14ac:dyDescent="0.25">
      <c r="CM359" s="1377"/>
      <c r="CN359" s="1388" t="s">
        <v>9118</v>
      </c>
      <c r="CO359" s="1388" t="s">
        <v>7912</v>
      </c>
      <c r="CP359" s="1388" t="s">
        <v>8106</v>
      </c>
      <c r="CQ359" s="1388" t="s">
        <v>9119</v>
      </c>
      <c r="CR359" s="1388" t="s">
        <v>9119</v>
      </c>
      <c r="CS359" s="1388" t="s">
        <v>8194</v>
      </c>
      <c r="CT359" s="1388" t="s">
        <v>8195</v>
      </c>
      <c r="CU359" s="1388" t="s">
        <v>8110</v>
      </c>
      <c r="CV359" s="1389" t="s">
        <v>8196</v>
      </c>
      <c r="CX359" s="1379">
        <v>1</v>
      </c>
    </row>
    <row r="360" spans="91:102" ht="21" customHeight="1" x14ac:dyDescent="0.25">
      <c r="CM360" s="1377"/>
      <c r="CN360" s="1388" t="s">
        <v>9120</v>
      </c>
      <c r="CO360" s="1388" t="s">
        <v>7912</v>
      </c>
      <c r="CP360" s="1388" t="s">
        <v>8106</v>
      </c>
      <c r="CQ360" s="1388" t="s">
        <v>9121</v>
      </c>
      <c r="CR360" s="1388" t="s">
        <v>9121</v>
      </c>
      <c r="CS360" s="1388" t="s">
        <v>8194</v>
      </c>
      <c r="CT360" s="1388" t="s">
        <v>8195</v>
      </c>
      <c r="CU360" s="1388" t="s">
        <v>8110</v>
      </c>
      <c r="CV360" s="1389" t="s">
        <v>8196</v>
      </c>
      <c r="CX360" s="1379">
        <v>1</v>
      </c>
    </row>
    <row r="361" spans="91:102" ht="21" customHeight="1" x14ac:dyDescent="0.25">
      <c r="CM361" s="1377"/>
      <c r="CN361" s="1388" t="s">
        <v>9122</v>
      </c>
      <c r="CO361" s="1388" t="s">
        <v>7912</v>
      </c>
      <c r="CP361" s="1388" t="s">
        <v>8106</v>
      </c>
      <c r="CQ361" s="1388" t="s">
        <v>9123</v>
      </c>
      <c r="CR361" s="1388" t="s">
        <v>9123</v>
      </c>
      <c r="CS361" s="1388" t="s">
        <v>8194</v>
      </c>
      <c r="CT361" s="1388" t="s">
        <v>8195</v>
      </c>
      <c r="CU361" s="1388" t="s">
        <v>8110</v>
      </c>
      <c r="CV361" s="1389" t="s">
        <v>8196</v>
      </c>
      <c r="CX361" s="1379">
        <v>1</v>
      </c>
    </row>
    <row r="362" spans="91:102" ht="21" customHeight="1" x14ac:dyDescent="0.25">
      <c r="CM362" s="1377"/>
      <c r="CN362" s="1388" t="s">
        <v>9124</v>
      </c>
      <c r="CO362" s="1388" t="s">
        <v>7912</v>
      </c>
      <c r="CP362" s="1388" t="s">
        <v>8106</v>
      </c>
      <c r="CQ362" s="1388" t="s">
        <v>9125</v>
      </c>
      <c r="CR362" s="1388" t="s">
        <v>9125</v>
      </c>
      <c r="CS362" s="1388" t="s">
        <v>8194</v>
      </c>
      <c r="CT362" s="1388" t="s">
        <v>8195</v>
      </c>
      <c r="CU362" s="1388" t="s">
        <v>8110</v>
      </c>
      <c r="CV362" s="1389" t="s">
        <v>8196</v>
      </c>
      <c r="CX362" s="1379">
        <v>1</v>
      </c>
    </row>
    <row r="363" spans="91:102" ht="21" customHeight="1" x14ac:dyDescent="0.25">
      <c r="CM363" s="1377"/>
      <c r="CN363" s="1388" t="s">
        <v>9126</v>
      </c>
      <c r="CO363" s="1388" t="s">
        <v>7912</v>
      </c>
      <c r="CP363" s="1388" t="s">
        <v>8106</v>
      </c>
      <c r="CQ363" s="1388" t="s">
        <v>1729</v>
      </c>
      <c r="CR363" s="1388" t="s">
        <v>1729</v>
      </c>
      <c r="CS363" s="1388" t="s">
        <v>8108</v>
      </c>
      <c r="CT363" s="1388" t="s">
        <v>9072</v>
      </c>
      <c r="CU363" s="1388" t="s">
        <v>8110</v>
      </c>
      <c r="CV363" s="1389" t="s">
        <v>8111</v>
      </c>
      <c r="CX363" s="1379">
        <v>1</v>
      </c>
    </row>
    <row r="364" spans="91:102" ht="21" customHeight="1" x14ac:dyDescent="0.25">
      <c r="CM364" s="1377"/>
      <c r="CN364" s="1388" t="s">
        <v>9127</v>
      </c>
      <c r="CO364" s="1388" t="s">
        <v>7912</v>
      </c>
      <c r="CP364" s="1388" t="s">
        <v>8106</v>
      </c>
      <c r="CQ364" s="1388" t="s">
        <v>8378</v>
      </c>
      <c r="CR364" s="1388" t="s">
        <v>8379</v>
      </c>
      <c r="CS364" s="1388" t="s">
        <v>8108</v>
      </c>
      <c r="CT364" s="1388" t="s">
        <v>9072</v>
      </c>
      <c r="CU364" s="1388" t="s">
        <v>8110</v>
      </c>
      <c r="CV364" s="1389" t="s">
        <v>8111</v>
      </c>
      <c r="CX364" s="1379">
        <v>1</v>
      </c>
    </row>
    <row r="365" spans="91:102" ht="21" customHeight="1" x14ac:dyDescent="0.25">
      <c r="CM365" s="1377"/>
      <c r="CN365" s="1388" t="s">
        <v>9128</v>
      </c>
      <c r="CO365" s="1388" t="s">
        <v>7912</v>
      </c>
      <c r="CP365" s="1388" t="s">
        <v>8106</v>
      </c>
      <c r="CQ365" s="1388" t="s">
        <v>9129</v>
      </c>
      <c r="CR365" s="1388" t="s">
        <v>9129</v>
      </c>
      <c r="CS365" s="1388" t="s">
        <v>8108</v>
      </c>
      <c r="CT365" s="1388" t="s">
        <v>9072</v>
      </c>
      <c r="CU365" s="1388" t="s">
        <v>8110</v>
      </c>
      <c r="CV365" s="1389" t="s">
        <v>8111</v>
      </c>
      <c r="CX365" s="1379">
        <v>1</v>
      </c>
    </row>
    <row r="366" spans="91:102" ht="21" customHeight="1" x14ac:dyDescent="0.25">
      <c r="CM366" s="1377"/>
      <c r="CN366" s="1388" t="s">
        <v>9130</v>
      </c>
      <c r="CO366" s="1388" t="s">
        <v>7912</v>
      </c>
      <c r="CP366" s="1388" t="s">
        <v>8106</v>
      </c>
      <c r="CQ366" s="1388" t="s">
        <v>9131</v>
      </c>
      <c r="CR366" s="1388" t="s">
        <v>3079</v>
      </c>
      <c r="CS366" s="1388" t="s">
        <v>8108</v>
      </c>
      <c r="CT366" s="1388" t="s">
        <v>9072</v>
      </c>
      <c r="CU366" s="1388" t="s">
        <v>8110</v>
      </c>
      <c r="CV366" s="1389" t="s">
        <v>8111</v>
      </c>
      <c r="CX366" s="1379">
        <v>1</v>
      </c>
    </row>
    <row r="367" spans="91:102" ht="21" customHeight="1" x14ac:dyDescent="0.25">
      <c r="CM367" s="1377"/>
      <c r="CN367" s="1388" t="s">
        <v>9132</v>
      </c>
      <c r="CO367" s="1388" t="s">
        <v>7912</v>
      </c>
      <c r="CP367" s="1388" t="s">
        <v>8106</v>
      </c>
      <c r="CQ367" s="1388" t="s">
        <v>9133</v>
      </c>
      <c r="CR367" s="1388" t="s">
        <v>9134</v>
      </c>
      <c r="CS367" s="1388" t="s">
        <v>8108</v>
      </c>
      <c r="CT367" s="1388" t="s">
        <v>9072</v>
      </c>
      <c r="CU367" s="1388" t="s">
        <v>8110</v>
      </c>
      <c r="CV367" s="1389" t="s">
        <v>8111</v>
      </c>
      <c r="CX367" s="1379">
        <v>1</v>
      </c>
    </row>
    <row r="368" spans="91:102" ht="21" customHeight="1" x14ac:dyDescent="0.25">
      <c r="CM368" s="1377"/>
      <c r="CN368" s="1388" t="s">
        <v>9135</v>
      </c>
      <c r="CO368" s="1388" t="s">
        <v>7912</v>
      </c>
      <c r="CP368" s="1388" t="s">
        <v>8106</v>
      </c>
      <c r="CQ368" s="1388" t="s">
        <v>9136</v>
      </c>
      <c r="CR368" s="1388" t="s">
        <v>9137</v>
      </c>
      <c r="CS368" s="1388" t="s">
        <v>8108</v>
      </c>
      <c r="CT368" s="1388" t="s">
        <v>9072</v>
      </c>
      <c r="CU368" s="1388" t="s">
        <v>8110</v>
      </c>
      <c r="CV368" s="1389" t="s">
        <v>8111</v>
      </c>
      <c r="CX368" s="1379">
        <v>1</v>
      </c>
    </row>
    <row r="369" spans="91:102" ht="21" customHeight="1" x14ac:dyDescent="0.25">
      <c r="CM369" s="1377"/>
      <c r="CN369" s="1388" t="s">
        <v>9138</v>
      </c>
      <c r="CO369" s="1388" t="s">
        <v>7912</v>
      </c>
      <c r="CP369" s="1388" t="s">
        <v>8106</v>
      </c>
      <c r="CQ369" s="1388" t="s">
        <v>9139</v>
      </c>
      <c r="CR369" s="1388" t="s">
        <v>9140</v>
      </c>
      <c r="CS369" s="1388" t="s">
        <v>8108</v>
      </c>
      <c r="CT369" s="1388" t="s">
        <v>9072</v>
      </c>
      <c r="CU369" s="1388" t="s">
        <v>8110</v>
      </c>
      <c r="CV369" s="1389" t="s">
        <v>8111</v>
      </c>
      <c r="CX369" s="1379">
        <v>1</v>
      </c>
    </row>
    <row r="370" spans="91:102" ht="21" customHeight="1" x14ac:dyDescent="0.25">
      <c r="CM370" s="1377"/>
      <c r="CN370" s="1388" t="s">
        <v>9141</v>
      </c>
      <c r="CO370" s="1388" t="s">
        <v>7912</v>
      </c>
      <c r="CP370" s="1388" t="s">
        <v>8106</v>
      </c>
      <c r="CQ370" s="1388" t="s">
        <v>9142</v>
      </c>
      <c r="CR370" s="1388" t="s">
        <v>9142</v>
      </c>
      <c r="CS370" s="1388" t="s">
        <v>8108</v>
      </c>
      <c r="CT370" s="1388" t="s">
        <v>9072</v>
      </c>
      <c r="CU370" s="1388" t="s">
        <v>8110</v>
      </c>
      <c r="CV370" s="1389" t="s">
        <v>8111</v>
      </c>
      <c r="CX370" s="1379">
        <v>1</v>
      </c>
    </row>
    <row r="371" spans="91:102" ht="21" customHeight="1" x14ac:dyDescent="0.25">
      <c r="CM371" s="1377"/>
      <c r="CN371" s="1388" t="s">
        <v>9143</v>
      </c>
      <c r="CO371" s="1388" t="s">
        <v>7912</v>
      </c>
      <c r="CP371" s="1388" t="s">
        <v>8106</v>
      </c>
      <c r="CQ371" s="1388" t="s">
        <v>9144</v>
      </c>
      <c r="CR371" s="1388" t="s">
        <v>9144</v>
      </c>
      <c r="CS371" s="1388" t="s">
        <v>8108</v>
      </c>
      <c r="CT371" s="1388" t="s">
        <v>9072</v>
      </c>
      <c r="CU371" s="1388" t="s">
        <v>8110</v>
      </c>
      <c r="CV371" s="1389" t="s">
        <v>8111</v>
      </c>
      <c r="CX371" s="1379">
        <v>1</v>
      </c>
    </row>
    <row r="372" spans="91:102" ht="21" customHeight="1" x14ac:dyDescent="0.25">
      <c r="CM372" s="1377"/>
      <c r="CN372" s="1388" t="s">
        <v>9145</v>
      </c>
      <c r="CO372" s="1388" t="s">
        <v>7912</v>
      </c>
      <c r="CP372" s="1388" t="s">
        <v>8106</v>
      </c>
      <c r="CQ372" s="1388" t="s">
        <v>3102</v>
      </c>
      <c r="CR372" s="1388" t="s">
        <v>3102</v>
      </c>
      <c r="CS372" s="1388" t="s">
        <v>8108</v>
      </c>
      <c r="CT372" s="1388" t="s">
        <v>9072</v>
      </c>
      <c r="CU372" s="1388" t="s">
        <v>8110</v>
      </c>
      <c r="CV372" s="1389" t="s">
        <v>8111</v>
      </c>
      <c r="CX372" s="1379">
        <v>1</v>
      </c>
    </row>
    <row r="373" spans="91:102" ht="21" customHeight="1" x14ac:dyDescent="0.25">
      <c r="CM373" s="1377"/>
      <c r="CN373" s="1388" t="s">
        <v>9146</v>
      </c>
      <c r="CO373" s="1388" t="s">
        <v>7912</v>
      </c>
      <c r="CP373" s="1388" t="s">
        <v>8106</v>
      </c>
      <c r="CQ373" s="1388" t="s">
        <v>9147</v>
      </c>
      <c r="CR373" s="1388" t="s">
        <v>9147</v>
      </c>
      <c r="CS373" s="1388" t="s">
        <v>8108</v>
      </c>
      <c r="CT373" s="1388" t="s">
        <v>9072</v>
      </c>
      <c r="CU373" s="1388" t="s">
        <v>8110</v>
      </c>
      <c r="CV373" s="1389" t="s">
        <v>8111</v>
      </c>
      <c r="CX373" s="1379">
        <v>1</v>
      </c>
    </row>
    <row r="374" spans="91:102" ht="21" customHeight="1" x14ac:dyDescent="0.25">
      <c r="CM374" s="1377"/>
      <c r="CN374" s="1388" t="s">
        <v>9148</v>
      </c>
      <c r="CO374" s="1388" t="s">
        <v>7912</v>
      </c>
      <c r="CP374" s="1388" t="s">
        <v>8106</v>
      </c>
      <c r="CQ374" s="1388" t="s">
        <v>9149</v>
      </c>
      <c r="CR374" s="1388" t="s">
        <v>9149</v>
      </c>
      <c r="CS374" s="1388" t="s">
        <v>8108</v>
      </c>
      <c r="CT374" s="1388" t="s">
        <v>9072</v>
      </c>
      <c r="CU374" s="1388" t="s">
        <v>8110</v>
      </c>
      <c r="CV374" s="1389" t="s">
        <v>8111</v>
      </c>
      <c r="CX374" s="1379">
        <v>1</v>
      </c>
    </row>
    <row r="375" spans="91:102" ht="21" customHeight="1" x14ac:dyDescent="0.25">
      <c r="CM375" s="1377"/>
      <c r="CN375" s="1388" t="s">
        <v>9150</v>
      </c>
      <c r="CO375" s="1388" t="s">
        <v>7912</v>
      </c>
      <c r="CP375" s="1388" t="s">
        <v>8106</v>
      </c>
      <c r="CQ375" s="1388" t="s">
        <v>9151</v>
      </c>
      <c r="CR375" s="1388" t="s">
        <v>3296</v>
      </c>
      <c r="CS375" s="1388" t="s">
        <v>8108</v>
      </c>
      <c r="CT375" s="1388" t="s">
        <v>9072</v>
      </c>
      <c r="CU375" s="1388" t="s">
        <v>8110</v>
      </c>
      <c r="CV375" s="1389" t="s">
        <v>8111</v>
      </c>
      <c r="CX375" s="1379">
        <v>1</v>
      </c>
    </row>
    <row r="376" spans="91:102" ht="21" customHeight="1" x14ac:dyDescent="0.25">
      <c r="CM376" s="1377"/>
      <c r="CN376" s="1388" t="s">
        <v>9152</v>
      </c>
      <c r="CO376" s="1388" t="s">
        <v>7912</v>
      </c>
      <c r="CP376" s="1388" t="s">
        <v>8106</v>
      </c>
      <c r="CQ376" s="1388" t="s">
        <v>9153</v>
      </c>
      <c r="CR376" s="1388" t="s">
        <v>9154</v>
      </c>
      <c r="CS376" s="1388" t="s">
        <v>8108</v>
      </c>
      <c r="CT376" s="1388" t="s">
        <v>9072</v>
      </c>
      <c r="CU376" s="1388" t="s">
        <v>8110</v>
      </c>
      <c r="CV376" s="1389" t="s">
        <v>8111</v>
      </c>
      <c r="CX376" s="1379">
        <v>1</v>
      </c>
    </row>
    <row r="377" spans="91:102" ht="21" customHeight="1" x14ac:dyDescent="0.25">
      <c r="CM377" s="1377"/>
      <c r="CN377" s="1388" t="s">
        <v>9155</v>
      </c>
      <c r="CO377" s="1388" t="s">
        <v>7912</v>
      </c>
      <c r="CP377" s="1388" t="s">
        <v>8106</v>
      </c>
      <c r="CQ377" s="1388" t="s">
        <v>9156</v>
      </c>
      <c r="CR377" s="1388" t="s">
        <v>9157</v>
      </c>
      <c r="CS377" s="1388" t="s">
        <v>8108</v>
      </c>
      <c r="CT377" s="1388" t="s">
        <v>9072</v>
      </c>
      <c r="CU377" s="1388" t="s">
        <v>8110</v>
      </c>
      <c r="CV377" s="1389" t="s">
        <v>8111</v>
      </c>
      <c r="CX377" s="1379">
        <v>1</v>
      </c>
    </row>
    <row r="378" spans="91:102" ht="21" customHeight="1" x14ac:dyDescent="0.25">
      <c r="CM378" s="1377"/>
      <c r="CN378" s="1388" t="s">
        <v>9158</v>
      </c>
      <c r="CO378" s="1388" t="s">
        <v>7912</v>
      </c>
      <c r="CP378" s="1388" t="s">
        <v>8106</v>
      </c>
      <c r="CQ378" s="1388" t="s">
        <v>9159</v>
      </c>
      <c r="CR378" s="1388" t="s">
        <v>9160</v>
      </c>
      <c r="CS378" s="1388" t="s">
        <v>8108</v>
      </c>
      <c r="CT378" s="1388" t="s">
        <v>9072</v>
      </c>
      <c r="CU378" s="1388" t="s">
        <v>8110</v>
      </c>
      <c r="CV378" s="1389" t="s">
        <v>8111</v>
      </c>
      <c r="CX378" s="1379">
        <v>1</v>
      </c>
    </row>
    <row r="379" spans="91:102" ht="21" customHeight="1" x14ac:dyDescent="0.25">
      <c r="CM379" s="1377"/>
      <c r="CN379" s="1388" t="s">
        <v>9161</v>
      </c>
      <c r="CO379" s="1388" t="s">
        <v>7912</v>
      </c>
      <c r="CP379" s="1388" t="s">
        <v>8106</v>
      </c>
      <c r="CQ379" s="1388" t="s">
        <v>9162</v>
      </c>
      <c r="CR379" s="1388" t="s">
        <v>9163</v>
      </c>
      <c r="CS379" s="1388" t="s">
        <v>8108</v>
      </c>
      <c r="CT379" s="1388" t="s">
        <v>9072</v>
      </c>
      <c r="CU379" s="1388" t="s">
        <v>8110</v>
      </c>
      <c r="CV379" s="1389" t="s">
        <v>8111</v>
      </c>
      <c r="CX379" s="1379">
        <v>1</v>
      </c>
    </row>
    <row r="380" spans="91:102" ht="21" customHeight="1" x14ac:dyDescent="0.25">
      <c r="CM380" s="1377"/>
      <c r="CN380" s="1388" t="s">
        <v>9164</v>
      </c>
      <c r="CO380" s="1388" t="s">
        <v>7912</v>
      </c>
      <c r="CP380" s="1388" t="s">
        <v>8106</v>
      </c>
      <c r="CQ380" s="1388" t="s">
        <v>9165</v>
      </c>
      <c r="CR380" s="1388" t="s">
        <v>2229</v>
      </c>
      <c r="CS380" s="1388" t="s">
        <v>8108</v>
      </c>
      <c r="CT380" s="1388" t="s">
        <v>9072</v>
      </c>
      <c r="CU380" s="1388" t="s">
        <v>8110</v>
      </c>
      <c r="CV380" s="1389" t="s">
        <v>8111</v>
      </c>
      <c r="CX380" s="1379">
        <v>1</v>
      </c>
    </row>
    <row r="381" spans="91:102" ht="21" customHeight="1" x14ac:dyDescent="0.25">
      <c r="CM381" s="1377"/>
      <c r="CN381" s="1388" t="s">
        <v>9166</v>
      </c>
      <c r="CO381" s="1388" t="s">
        <v>7912</v>
      </c>
      <c r="CP381" s="1388" t="s">
        <v>8106</v>
      </c>
      <c r="CQ381" s="1388" t="s">
        <v>9167</v>
      </c>
      <c r="CR381" s="1388" t="s">
        <v>9168</v>
      </c>
      <c r="CS381" s="1388" t="s">
        <v>8108</v>
      </c>
      <c r="CT381" s="1388" t="s">
        <v>9072</v>
      </c>
      <c r="CU381" s="1388" t="s">
        <v>8110</v>
      </c>
      <c r="CV381" s="1389" t="s">
        <v>8111</v>
      </c>
      <c r="CX381" s="1379">
        <v>1</v>
      </c>
    </row>
    <row r="382" spans="91:102" ht="21" customHeight="1" x14ac:dyDescent="0.25">
      <c r="CM382" s="1377"/>
      <c r="CN382" s="1388" t="s">
        <v>9169</v>
      </c>
      <c r="CO382" s="1388" t="s">
        <v>7912</v>
      </c>
      <c r="CP382" s="1388" t="s">
        <v>8106</v>
      </c>
      <c r="CQ382" s="1388" t="s">
        <v>935</v>
      </c>
      <c r="CR382" s="1388" t="s">
        <v>935</v>
      </c>
      <c r="CS382" s="1388" t="s">
        <v>8108</v>
      </c>
      <c r="CT382" s="1388" t="s">
        <v>9072</v>
      </c>
      <c r="CU382" s="1388" t="s">
        <v>8110</v>
      </c>
      <c r="CV382" s="1389" t="s">
        <v>8111</v>
      </c>
      <c r="CX382" s="1379">
        <v>1</v>
      </c>
    </row>
    <row r="383" spans="91:102" ht="21" customHeight="1" x14ac:dyDescent="0.25">
      <c r="CM383" s="1377"/>
      <c r="CN383" s="1388" t="s">
        <v>9170</v>
      </c>
      <c r="CO383" s="1388" t="s">
        <v>7912</v>
      </c>
      <c r="CP383" s="1388" t="s">
        <v>8106</v>
      </c>
      <c r="CQ383" s="1388" t="s">
        <v>9171</v>
      </c>
      <c r="CR383" s="1388" t="s">
        <v>9171</v>
      </c>
      <c r="CS383" s="1388" t="s">
        <v>8108</v>
      </c>
      <c r="CT383" s="1388" t="s">
        <v>9072</v>
      </c>
      <c r="CU383" s="1388" t="s">
        <v>8110</v>
      </c>
      <c r="CV383" s="1389" t="s">
        <v>8111</v>
      </c>
      <c r="CX383" s="1379">
        <v>1</v>
      </c>
    </row>
    <row r="384" spans="91:102" ht="21" customHeight="1" x14ac:dyDescent="0.25">
      <c r="CM384" s="1377"/>
      <c r="CN384" s="1388" t="s">
        <v>9172</v>
      </c>
      <c r="CO384" s="1388" t="s">
        <v>7912</v>
      </c>
      <c r="CP384" s="1388" t="s">
        <v>8106</v>
      </c>
      <c r="CQ384" s="1388" t="s">
        <v>9173</v>
      </c>
      <c r="CR384" s="1388" t="s">
        <v>9173</v>
      </c>
      <c r="CS384" s="1388" t="s">
        <v>8108</v>
      </c>
      <c r="CT384" s="1388" t="s">
        <v>9072</v>
      </c>
      <c r="CU384" s="1388" t="s">
        <v>8110</v>
      </c>
      <c r="CV384" s="1389" t="s">
        <v>8111</v>
      </c>
      <c r="CX384" s="1379">
        <v>1</v>
      </c>
    </row>
    <row r="385" spans="91:102" ht="21" customHeight="1" x14ac:dyDescent="0.25">
      <c r="CM385" s="1377"/>
      <c r="CN385" s="1388" t="s">
        <v>9174</v>
      </c>
      <c r="CO385" s="1388" t="s">
        <v>7912</v>
      </c>
      <c r="CP385" s="1388" t="s">
        <v>8106</v>
      </c>
      <c r="CQ385" s="1388" t="s">
        <v>9175</v>
      </c>
      <c r="CR385" s="1388" t="s">
        <v>9176</v>
      </c>
      <c r="CS385" s="1388" t="s">
        <v>8108</v>
      </c>
      <c r="CT385" s="1388" t="s">
        <v>9072</v>
      </c>
      <c r="CU385" s="1388" t="s">
        <v>8110</v>
      </c>
      <c r="CV385" s="1389" t="s">
        <v>8111</v>
      </c>
      <c r="CX385" s="1379">
        <v>1</v>
      </c>
    </row>
    <row r="386" spans="91:102" ht="21" customHeight="1" x14ac:dyDescent="0.25">
      <c r="CM386" s="1377"/>
      <c r="CN386" s="1388" t="s">
        <v>9177</v>
      </c>
      <c r="CO386" s="1388" t="s">
        <v>7912</v>
      </c>
      <c r="CP386" s="1388" t="s">
        <v>8106</v>
      </c>
      <c r="CQ386" s="1388" t="s">
        <v>9178</v>
      </c>
      <c r="CR386" s="1388" t="s">
        <v>9178</v>
      </c>
      <c r="CS386" s="1388" t="s">
        <v>8108</v>
      </c>
      <c r="CT386" s="1388" t="s">
        <v>9072</v>
      </c>
      <c r="CU386" s="1388" t="s">
        <v>8110</v>
      </c>
      <c r="CV386" s="1389" t="s">
        <v>8111</v>
      </c>
      <c r="CX386" s="1379">
        <v>1</v>
      </c>
    </row>
    <row r="387" spans="91:102" ht="21" customHeight="1" x14ac:dyDescent="0.25">
      <c r="CM387" s="1377"/>
      <c r="CN387" s="1388" t="s">
        <v>9179</v>
      </c>
      <c r="CO387" s="1388" t="s">
        <v>7912</v>
      </c>
      <c r="CP387" s="1388" t="s">
        <v>8106</v>
      </c>
      <c r="CQ387" s="1388" t="s">
        <v>9180</v>
      </c>
      <c r="CR387" s="1388" t="s">
        <v>9180</v>
      </c>
      <c r="CS387" s="1388" t="s">
        <v>8108</v>
      </c>
      <c r="CT387" s="1388" t="s">
        <v>9072</v>
      </c>
      <c r="CU387" s="1388" t="s">
        <v>8110</v>
      </c>
      <c r="CV387" s="1389" t="s">
        <v>8111</v>
      </c>
      <c r="CX387" s="1379">
        <v>1</v>
      </c>
    </row>
    <row r="388" spans="91:102" ht="21" customHeight="1" x14ac:dyDescent="0.25">
      <c r="CM388" s="1377"/>
      <c r="CN388" s="1388" t="s">
        <v>9181</v>
      </c>
      <c r="CO388" s="1388" t="s">
        <v>7912</v>
      </c>
      <c r="CP388" s="1388" t="s">
        <v>8106</v>
      </c>
      <c r="CQ388" s="1388" t="s">
        <v>9182</v>
      </c>
      <c r="CR388" s="1388" t="s">
        <v>9183</v>
      </c>
      <c r="CS388" s="1388" t="s">
        <v>8108</v>
      </c>
      <c r="CT388" s="1388" t="s">
        <v>9072</v>
      </c>
      <c r="CU388" s="1388" t="s">
        <v>8110</v>
      </c>
      <c r="CV388" s="1389" t="s">
        <v>8111</v>
      </c>
      <c r="CX388" s="1379">
        <v>1</v>
      </c>
    </row>
    <row r="389" spans="91:102" ht="21" customHeight="1" x14ac:dyDescent="0.25">
      <c r="CM389" s="1377"/>
      <c r="CN389" s="1388" t="s">
        <v>9184</v>
      </c>
      <c r="CO389" s="1388" t="s">
        <v>7912</v>
      </c>
      <c r="CP389" s="1388" t="s">
        <v>8106</v>
      </c>
      <c r="CQ389" s="1388" t="s">
        <v>8499</v>
      </c>
      <c r="CR389" s="1388" t="s">
        <v>8500</v>
      </c>
      <c r="CS389" s="1388" t="s">
        <v>8108</v>
      </c>
      <c r="CT389" s="1388" t="s">
        <v>9072</v>
      </c>
      <c r="CU389" s="1388" t="s">
        <v>8110</v>
      </c>
      <c r="CV389" s="1389" t="s">
        <v>8111</v>
      </c>
      <c r="CX389" s="1379">
        <v>1</v>
      </c>
    </row>
    <row r="390" spans="91:102" ht="21" customHeight="1" x14ac:dyDescent="0.25">
      <c r="CM390" s="1377"/>
      <c r="CN390" s="1388" t="s">
        <v>9185</v>
      </c>
      <c r="CO390" s="1388" t="s">
        <v>7912</v>
      </c>
      <c r="CP390" s="1388" t="s">
        <v>8106</v>
      </c>
      <c r="CQ390" s="1388" t="s">
        <v>9186</v>
      </c>
      <c r="CR390" s="1388" t="s">
        <v>9187</v>
      </c>
      <c r="CS390" s="1388" t="s">
        <v>8108</v>
      </c>
      <c r="CT390" s="1388" t="s">
        <v>9072</v>
      </c>
      <c r="CU390" s="1388" t="s">
        <v>8110</v>
      </c>
      <c r="CV390" s="1389" t="s">
        <v>8111</v>
      </c>
      <c r="CX390" s="1379">
        <v>1</v>
      </c>
    </row>
    <row r="391" spans="91:102" ht="21" customHeight="1" x14ac:dyDescent="0.25">
      <c r="CM391" s="1377"/>
      <c r="CN391" s="1388" t="s">
        <v>9188</v>
      </c>
      <c r="CO391" s="1388" t="s">
        <v>7912</v>
      </c>
      <c r="CP391" s="1388" t="s">
        <v>8106</v>
      </c>
      <c r="CQ391" s="1388" t="s">
        <v>2265</v>
      </c>
      <c r="CR391" s="1388" t="s">
        <v>2265</v>
      </c>
      <c r="CS391" s="1388" t="s">
        <v>8108</v>
      </c>
      <c r="CT391" s="1388" t="s">
        <v>9072</v>
      </c>
      <c r="CU391" s="1388" t="s">
        <v>8110</v>
      </c>
      <c r="CV391" s="1389" t="s">
        <v>8111</v>
      </c>
      <c r="CX391" s="1379">
        <v>1</v>
      </c>
    </row>
    <row r="392" spans="91:102" ht="21" customHeight="1" x14ac:dyDescent="0.25">
      <c r="CM392" s="1377"/>
      <c r="CN392" s="1388" t="s">
        <v>9189</v>
      </c>
      <c r="CO392" s="1388" t="s">
        <v>7912</v>
      </c>
      <c r="CP392" s="1388" t="s">
        <v>8106</v>
      </c>
      <c r="CQ392" s="1388" t="s">
        <v>9190</v>
      </c>
      <c r="CR392" s="1388" t="s">
        <v>9190</v>
      </c>
      <c r="CS392" s="1388" t="s">
        <v>8108</v>
      </c>
      <c r="CT392" s="1388" t="s">
        <v>9072</v>
      </c>
      <c r="CU392" s="1388" t="s">
        <v>8110</v>
      </c>
      <c r="CV392" s="1389" t="s">
        <v>8111</v>
      </c>
      <c r="CX392" s="1379">
        <v>1</v>
      </c>
    </row>
    <row r="393" spans="91:102" ht="21" customHeight="1" x14ac:dyDescent="0.25">
      <c r="CM393" s="1377"/>
      <c r="CN393" s="1388" t="s">
        <v>9191</v>
      </c>
      <c r="CO393" s="1388" t="s">
        <v>7912</v>
      </c>
      <c r="CP393" s="1388" t="s">
        <v>8106</v>
      </c>
      <c r="CQ393" s="1388" t="s">
        <v>9192</v>
      </c>
      <c r="CR393" s="1388" t="s">
        <v>9192</v>
      </c>
      <c r="CS393" s="1388" t="s">
        <v>8108</v>
      </c>
      <c r="CT393" s="1388" t="s">
        <v>9072</v>
      </c>
      <c r="CU393" s="1388" t="s">
        <v>8110</v>
      </c>
      <c r="CV393" s="1389" t="s">
        <v>8111</v>
      </c>
      <c r="CX393" s="1379">
        <v>1</v>
      </c>
    </row>
    <row r="394" spans="91:102" ht="21" customHeight="1" x14ac:dyDescent="0.25">
      <c r="CM394" s="1377"/>
      <c r="CN394" s="1388" t="s">
        <v>9193</v>
      </c>
      <c r="CO394" s="1388" t="s">
        <v>7912</v>
      </c>
      <c r="CP394" s="1388" t="s">
        <v>8106</v>
      </c>
      <c r="CQ394" s="1388" t="s">
        <v>9194</v>
      </c>
      <c r="CR394" s="1388" t="s">
        <v>9194</v>
      </c>
      <c r="CS394" s="1388" t="s">
        <v>8108</v>
      </c>
      <c r="CT394" s="1388" t="s">
        <v>9072</v>
      </c>
      <c r="CU394" s="1388" t="s">
        <v>8110</v>
      </c>
      <c r="CV394" s="1389" t="s">
        <v>8111</v>
      </c>
      <c r="CX394" s="1379">
        <v>1</v>
      </c>
    </row>
    <row r="395" spans="91:102" ht="21" customHeight="1" x14ac:dyDescent="0.25">
      <c r="CM395" s="1377"/>
      <c r="CN395" s="1388" t="s">
        <v>9195</v>
      </c>
      <c r="CO395" s="1388" t="s">
        <v>7912</v>
      </c>
      <c r="CP395" s="1388" t="s">
        <v>8106</v>
      </c>
      <c r="CQ395" s="1388" t="s">
        <v>9196</v>
      </c>
      <c r="CR395" s="1388" t="s">
        <v>9197</v>
      </c>
      <c r="CS395" s="1388" t="s">
        <v>8108</v>
      </c>
      <c r="CT395" s="1388" t="s">
        <v>9072</v>
      </c>
      <c r="CU395" s="1388" t="s">
        <v>8110</v>
      </c>
      <c r="CV395" s="1389" t="s">
        <v>8111</v>
      </c>
      <c r="CX395" s="1379">
        <v>1</v>
      </c>
    </row>
    <row r="396" spans="91:102" ht="21" customHeight="1" x14ac:dyDescent="0.25">
      <c r="CM396" s="1377"/>
      <c r="CN396" s="1388" t="s">
        <v>9198</v>
      </c>
      <c r="CO396" s="1388" t="s">
        <v>7912</v>
      </c>
      <c r="CP396" s="1388" t="s">
        <v>8106</v>
      </c>
      <c r="CQ396" s="1388" t="s">
        <v>9199</v>
      </c>
      <c r="CR396" s="1388" t="s">
        <v>9199</v>
      </c>
      <c r="CS396" s="1388" t="s">
        <v>8108</v>
      </c>
      <c r="CT396" s="1388" t="s">
        <v>9072</v>
      </c>
      <c r="CU396" s="1388" t="s">
        <v>8110</v>
      </c>
      <c r="CV396" s="1389" t="s">
        <v>8111</v>
      </c>
      <c r="CX396" s="1379">
        <v>1</v>
      </c>
    </row>
    <row r="397" spans="91:102" ht="21" customHeight="1" x14ac:dyDescent="0.25">
      <c r="CM397" s="1377"/>
      <c r="CN397" s="1388" t="s">
        <v>9200</v>
      </c>
      <c r="CO397" s="1388" t="s">
        <v>7912</v>
      </c>
      <c r="CP397" s="1388" t="s">
        <v>8106</v>
      </c>
      <c r="CQ397" s="1388" t="s">
        <v>9201</v>
      </c>
      <c r="CR397" s="1388" t="s">
        <v>9202</v>
      </c>
      <c r="CS397" s="1388" t="s">
        <v>8108</v>
      </c>
      <c r="CT397" s="1388" t="s">
        <v>9072</v>
      </c>
      <c r="CU397" s="1388" t="s">
        <v>8110</v>
      </c>
      <c r="CV397" s="1389" t="s">
        <v>8111</v>
      </c>
      <c r="CX397" s="1379">
        <v>1</v>
      </c>
    </row>
    <row r="398" spans="91:102" ht="21" customHeight="1" x14ac:dyDescent="0.25">
      <c r="CM398" s="1377"/>
      <c r="CN398" s="1388" t="s">
        <v>9203</v>
      </c>
      <c r="CO398" s="1388" t="s">
        <v>7912</v>
      </c>
      <c r="CP398" s="1388" t="s">
        <v>8106</v>
      </c>
      <c r="CQ398" s="1388" t="s">
        <v>9204</v>
      </c>
      <c r="CR398" s="1388" t="s">
        <v>9204</v>
      </c>
      <c r="CS398" s="1388" t="s">
        <v>8108</v>
      </c>
      <c r="CT398" s="1388" t="s">
        <v>9072</v>
      </c>
      <c r="CU398" s="1388" t="s">
        <v>8110</v>
      </c>
      <c r="CV398" s="1389" t="s">
        <v>8111</v>
      </c>
      <c r="CX398" s="1379">
        <v>1</v>
      </c>
    </row>
    <row r="399" spans="91:102" ht="21" customHeight="1" x14ac:dyDescent="0.25">
      <c r="CM399" s="1377"/>
      <c r="CN399" s="1388" t="s">
        <v>9205</v>
      </c>
      <c r="CO399" s="1388" t="s">
        <v>7912</v>
      </c>
      <c r="CP399" s="1388" t="s">
        <v>8741</v>
      </c>
      <c r="CQ399" s="1388" t="s">
        <v>9206</v>
      </c>
      <c r="CR399" s="1388" t="s">
        <v>9206</v>
      </c>
      <c r="CS399" s="1388" t="s">
        <v>8108</v>
      </c>
      <c r="CT399" s="1388" t="s">
        <v>9207</v>
      </c>
      <c r="CU399" s="1388" t="s">
        <v>8110</v>
      </c>
      <c r="CV399" s="1389" t="s">
        <v>8111</v>
      </c>
      <c r="CX399" s="1379">
        <v>1</v>
      </c>
    </row>
    <row r="400" spans="91:102" ht="21" customHeight="1" x14ac:dyDescent="0.25">
      <c r="CM400" s="1377"/>
      <c r="CN400" s="1388" t="s">
        <v>9208</v>
      </c>
      <c r="CO400" s="1388" t="s">
        <v>7912</v>
      </c>
      <c r="CP400" s="1388" t="s">
        <v>8741</v>
      </c>
      <c r="CQ400" s="1388" t="s">
        <v>9209</v>
      </c>
      <c r="CR400" s="1388" t="s">
        <v>9209</v>
      </c>
      <c r="CS400" s="1388" t="s">
        <v>8108</v>
      </c>
      <c r="CT400" s="1388" t="s">
        <v>9207</v>
      </c>
      <c r="CU400" s="1388" t="s">
        <v>8110</v>
      </c>
      <c r="CV400" s="1389" t="s">
        <v>8111</v>
      </c>
      <c r="CX400" s="1379">
        <v>1</v>
      </c>
    </row>
    <row r="401" spans="91:102" ht="21" customHeight="1" x14ac:dyDescent="0.25">
      <c r="CM401" s="1377"/>
      <c r="CN401" s="1388" t="s">
        <v>9210</v>
      </c>
      <c r="CO401" s="1388" t="s">
        <v>7912</v>
      </c>
      <c r="CP401" s="1388" t="s">
        <v>8741</v>
      </c>
      <c r="CQ401" s="1388" t="s">
        <v>8742</v>
      </c>
      <c r="CR401" s="1388" t="s">
        <v>8742</v>
      </c>
      <c r="CS401" s="1388" t="s">
        <v>8108</v>
      </c>
      <c r="CT401" s="1388" t="s">
        <v>9207</v>
      </c>
      <c r="CU401" s="1388" t="s">
        <v>8110</v>
      </c>
      <c r="CV401" s="1389" t="s">
        <v>8111</v>
      </c>
      <c r="CX401" s="1379">
        <v>1</v>
      </c>
    </row>
    <row r="402" spans="91:102" ht="21" customHeight="1" x14ac:dyDescent="0.25">
      <c r="CM402" s="1377"/>
      <c r="CN402" s="1388" t="s">
        <v>9211</v>
      </c>
      <c r="CO402" s="1388" t="s">
        <v>7912</v>
      </c>
      <c r="CP402" s="1388" t="s">
        <v>8741</v>
      </c>
      <c r="CQ402" s="1388" t="s">
        <v>8247</v>
      </c>
      <c r="CR402" s="1388" t="s">
        <v>8247</v>
      </c>
      <c r="CS402" s="1388" t="s">
        <v>8108</v>
      </c>
      <c r="CT402" s="1388" t="s">
        <v>9207</v>
      </c>
      <c r="CU402" s="1388" t="s">
        <v>8110</v>
      </c>
      <c r="CV402" s="1389" t="s">
        <v>8111</v>
      </c>
      <c r="CX402" s="1379">
        <v>1</v>
      </c>
    </row>
    <row r="403" spans="91:102" ht="21" customHeight="1" x14ac:dyDescent="0.25">
      <c r="CM403" s="1377"/>
      <c r="CN403" s="1388" t="s">
        <v>9212</v>
      </c>
      <c r="CO403" s="1388" t="s">
        <v>7912</v>
      </c>
      <c r="CP403" s="1388" t="s">
        <v>8741</v>
      </c>
      <c r="CQ403" s="1388" t="s">
        <v>9213</v>
      </c>
      <c r="CR403" s="1388" t="s">
        <v>9213</v>
      </c>
      <c r="CS403" s="1388" t="s">
        <v>8108</v>
      </c>
      <c r="CT403" s="1388" t="s">
        <v>9207</v>
      </c>
      <c r="CU403" s="1388" t="s">
        <v>8110</v>
      </c>
      <c r="CV403" s="1389" t="s">
        <v>8111</v>
      </c>
      <c r="CX403" s="1379">
        <v>1</v>
      </c>
    </row>
    <row r="404" spans="91:102" ht="21" customHeight="1" x14ac:dyDescent="0.25">
      <c r="CM404" s="1377"/>
      <c r="CN404" s="1388" t="s">
        <v>9214</v>
      </c>
      <c r="CO404" s="1388" t="s">
        <v>7912</v>
      </c>
      <c r="CP404" s="1388" t="s">
        <v>8741</v>
      </c>
      <c r="CQ404" s="1388" t="s">
        <v>8747</v>
      </c>
      <c r="CR404" s="1388" t="s">
        <v>8747</v>
      </c>
      <c r="CS404" s="1388" t="s">
        <v>8194</v>
      </c>
      <c r="CT404" s="1388" t="s">
        <v>8748</v>
      </c>
      <c r="CU404" s="1388" t="s">
        <v>8110</v>
      </c>
      <c r="CV404" s="1389" t="s">
        <v>8196</v>
      </c>
      <c r="CX404" s="1379">
        <v>1</v>
      </c>
    </row>
    <row r="405" spans="91:102" ht="21" customHeight="1" x14ac:dyDescent="0.25">
      <c r="CM405" s="1377"/>
      <c r="CN405" s="1388" t="s">
        <v>9215</v>
      </c>
      <c r="CO405" s="1388" t="s">
        <v>7912</v>
      </c>
      <c r="CP405" s="1388" t="s">
        <v>8741</v>
      </c>
      <c r="CQ405" s="1388" t="s">
        <v>8750</v>
      </c>
      <c r="CR405" s="1388" t="s">
        <v>8750</v>
      </c>
      <c r="CS405" s="1388" t="s">
        <v>8194</v>
      </c>
      <c r="CT405" s="1388" t="s">
        <v>8748</v>
      </c>
      <c r="CU405" s="1388" t="s">
        <v>8110</v>
      </c>
      <c r="CV405" s="1389" t="s">
        <v>8196</v>
      </c>
      <c r="CX405" s="1379">
        <v>1</v>
      </c>
    </row>
    <row r="406" spans="91:102" ht="21" customHeight="1" x14ac:dyDescent="0.25">
      <c r="CM406" s="1377"/>
      <c r="CN406" s="1388" t="s">
        <v>9216</v>
      </c>
      <c r="CO406" s="1388" t="s">
        <v>7912</v>
      </c>
      <c r="CP406" s="1388" t="s">
        <v>8741</v>
      </c>
      <c r="CQ406" s="1388" t="s">
        <v>9217</v>
      </c>
      <c r="CR406" s="1388" t="s">
        <v>9217</v>
      </c>
      <c r="CS406" s="1388" t="s">
        <v>8108</v>
      </c>
      <c r="CT406" s="1388" t="s">
        <v>9207</v>
      </c>
      <c r="CU406" s="1388" t="s">
        <v>8110</v>
      </c>
      <c r="CV406" s="1389" t="s">
        <v>8111</v>
      </c>
      <c r="CX406" s="1379">
        <v>1</v>
      </c>
    </row>
    <row r="407" spans="91:102" ht="21" customHeight="1" x14ac:dyDescent="0.25">
      <c r="CM407" s="1377"/>
      <c r="CN407" s="1388" t="s">
        <v>9218</v>
      </c>
      <c r="CO407" s="1388" t="s">
        <v>7912</v>
      </c>
      <c r="CP407" s="1388" t="s">
        <v>8741</v>
      </c>
      <c r="CQ407" s="1388" t="s">
        <v>8753</v>
      </c>
      <c r="CR407" s="1388" t="s">
        <v>8753</v>
      </c>
      <c r="CS407" s="1388" t="s">
        <v>8108</v>
      </c>
      <c r="CT407" s="1388" t="s">
        <v>9207</v>
      </c>
      <c r="CU407" s="1388" t="s">
        <v>8110</v>
      </c>
      <c r="CV407" s="1389" t="s">
        <v>8111</v>
      </c>
      <c r="CX407" s="1379">
        <v>1</v>
      </c>
    </row>
    <row r="408" spans="91:102" ht="21" customHeight="1" x14ac:dyDescent="0.25">
      <c r="CM408" s="1377"/>
      <c r="CN408" s="1388" t="s">
        <v>9219</v>
      </c>
      <c r="CO408" s="1388" t="s">
        <v>7912</v>
      </c>
      <c r="CP408" s="1388" t="s">
        <v>8741</v>
      </c>
      <c r="CQ408" s="1388" t="s">
        <v>9220</v>
      </c>
      <c r="CR408" s="1388" t="s">
        <v>9221</v>
      </c>
      <c r="CS408" s="1388" t="s">
        <v>8108</v>
      </c>
      <c r="CT408" s="1388" t="s">
        <v>9207</v>
      </c>
      <c r="CU408" s="1388" t="s">
        <v>8110</v>
      </c>
      <c r="CV408" s="1389" t="s">
        <v>8111</v>
      </c>
      <c r="CX408" s="1379">
        <v>1</v>
      </c>
    </row>
    <row r="409" spans="91:102" ht="21" customHeight="1" x14ac:dyDescent="0.25">
      <c r="CM409" s="1377"/>
      <c r="CN409" s="1388" t="s">
        <v>9222</v>
      </c>
      <c r="CO409" s="1388" t="s">
        <v>7912</v>
      </c>
      <c r="CP409" s="1388" t="s">
        <v>8741</v>
      </c>
      <c r="CQ409" s="1388" t="s">
        <v>9223</v>
      </c>
      <c r="CR409" s="1388" t="s">
        <v>9223</v>
      </c>
      <c r="CS409" s="1388" t="s">
        <v>8108</v>
      </c>
      <c r="CT409" s="1388" t="s">
        <v>9207</v>
      </c>
      <c r="CU409" s="1388" t="s">
        <v>8110</v>
      </c>
      <c r="CV409" s="1389" t="s">
        <v>8111</v>
      </c>
      <c r="CX409" s="1379">
        <v>1</v>
      </c>
    </row>
    <row r="410" spans="91:102" ht="21" customHeight="1" x14ac:dyDescent="0.25">
      <c r="CM410" s="1377"/>
      <c r="CN410" s="1388" t="s">
        <v>9224</v>
      </c>
      <c r="CO410" s="1388" t="s">
        <v>7912</v>
      </c>
      <c r="CP410" s="1388" t="s">
        <v>8741</v>
      </c>
      <c r="CQ410" s="1388" t="s">
        <v>3240</v>
      </c>
      <c r="CR410" s="1388" t="s">
        <v>3240</v>
      </c>
      <c r="CS410" s="1388" t="s">
        <v>8108</v>
      </c>
      <c r="CT410" s="1388" t="s">
        <v>9207</v>
      </c>
      <c r="CU410" s="1388" t="s">
        <v>8110</v>
      </c>
      <c r="CV410" s="1389" t="s">
        <v>8111</v>
      </c>
      <c r="CX410" s="1379">
        <v>1</v>
      </c>
    </row>
    <row r="411" spans="91:102" ht="21" customHeight="1" x14ac:dyDescent="0.25">
      <c r="CM411" s="1377"/>
      <c r="CN411" s="1388" t="s">
        <v>9225</v>
      </c>
      <c r="CO411" s="1388" t="s">
        <v>7912</v>
      </c>
      <c r="CP411" s="1388" t="s">
        <v>8741</v>
      </c>
      <c r="CQ411" s="1388" t="s">
        <v>1915</v>
      </c>
      <c r="CR411" s="1388" t="s">
        <v>1915</v>
      </c>
      <c r="CS411" s="1388" t="s">
        <v>8108</v>
      </c>
      <c r="CT411" s="1388" t="s">
        <v>9207</v>
      </c>
      <c r="CU411" s="1388" t="s">
        <v>8110</v>
      </c>
      <c r="CV411" s="1389" t="s">
        <v>8111</v>
      </c>
      <c r="CX411" s="1379">
        <v>1</v>
      </c>
    </row>
    <row r="412" spans="91:102" ht="21" customHeight="1" x14ac:dyDescent="0.25">
      <c r="CM412" s="1377"/>
      <c r="CN412" s="1388" t="s">
        <v>9226</v>
      </c>
      <c r="CO412" s="1388" t="s">
        <v>7912</v>
      </c>
      <c r="CP412" s="1388" t="s">
        <v>8741</v>
      </c>
      <c r="CQ412" s="1388" t="s">
        <v>9227</v>
      </c>
      <c r="CR412" s="1388" t="s">
        <v>9227</v>
      </c>
      <c r="CS412" s="1388" t="s">
        <v>8108</v>
      </c>
      <c r="CT412" s="1388" t="s">
        <v>9207</v>
      </c>
      <c r="CU412" s="1388" t="s">
        <v>8110</v>
      </c>
      <c r="CV412" s="1389" t="s">
        <v>8111</v>
      </c>
      <c r="CX412" s="1379">
        <v>1</v>
      </c>
    </row>
    <row r="413" spans="91:102" ht="21" customHeight="1" x14ac:dyDescent="0.25">
      <c r="CM413" s="1377"/>
      <c r="CN413" s="1388" t="s">
        <v>9228</v>
      </c>
      <c r="CO413" s="1388" t="s">
        <v>7912</v>
      </c>
      <c r="CP413" s="1388" t="s">
        <v>8741</v>
      </c>
      <c r="CQ413" s="1388" t="s">
        <v>9229</v>
      </c>
      <c r="CR413" s="1388" t="s">
        <v>9230</v>
      </c>
      <c r="CS413" s="1388" t="s">
        <v>8108</v>
      </c>
      <c r="CT413" s="1388" t="s">
        <v>9207</v>
      </c>
      <c r="CU413" s="1388" t="s">
        <v>8110</v>
      </c>
      <c r="CV413" s="1389" t="s">
        <v>8111</v>
      </c>
      <c r="CX413" s="1379">
        <v>1</v>
      </c>
    </row>
    <row r="414" spans="91:102" ht="21" customHeight="1" x14ac:dyDescent="0.25">
      <c r="CM414" s="1377"/>
      <c r="CN414" s="1388" t="s">
        <v>9231</v>
      </c>
      <c r="CO414" s="1388" t="s">
        <v>7912</v>
      </c>
      <c r="CP414" s="1388" t="s">
        <v>8741</v>
      </c>
      <c r="CQ414" s="1388" t="s">
        <v>9232</v>
      </c>
      <c r="CR414" s="1388" t="s">
        <v>9233</v>
      </c>
      <c r="CS414" s="1388" t="s">
        <v>8108</v>
      </c>
      <c r="CT414" s="1388" t="s">
        <v>9207</v>
      </c>
      <c r="CU414" s="1388" t="s">
        <v>8110</v>
      </c>
      <c r="CV414" s="1389" t="s">
        <v>8111</v>
      </c>
      <c r="CX414" s="1379">
        <v>1</v>
      </c>
    </row>
    <row r="415" spans="91:102" ht="21" customHeight="1" x14ac:dyDescent="0.25">
      <c r="CM415" s="1377"/>
      <c r="CN415" s="1388" t="s">
        <v>9234</v>
      </c>
      <c r="CO415" s="1388" t="s">
        <v>7912</v>
      </c>
      <c r="CP415" s="1388" t="s">
        <v>8741</v>
      </c>
      <c r="CQ415" s="1388" t="s">
        <v>8491</v>
      </c>
      <c r="CR415" s="1388" t="s">
        <v>8491</v>
      </c>
      <c r="CS415" s="1388" t="s">
        <v>8108</v>
      </c>
      <c r="CT415" s="1388" t="s">
        <v>9207</v>
      </c>
      <c r="CU415" s="1388" t="s">
        <v>8110</v>
      </c>
      <c r="CV415" s="1389" t="s">
        <v>8111</v>
      </c>
      <c r="CX415" s="1379">
        <v>1</v>
      </c>
    </row>
    <row r="416" spans="91:102" ht="21" customHeight="1" x14ac:dyDescent="0.25">
      <c r="CM416" s="1377"/>
      <c r="CN416" s="1388" t="s">
        <v>9235</v>
      </c>
      <c r="CO416" s="1388" t="s">
        <v>7912</v>
      </c>
      <c r="CP416" s="1388" t="s">
        <v>8741</v>
      </c>
      <c r="CQ416" s="1388" t="s">
        <v>9236</v>
      </c>
      <c r="CR416" s="1388" t="s">
        <v>1668</v>
      </c>
      <c r="CS416" s="1388" t="s">
        <v>8108</v>
      </c>
      <c r="CT416" s="1388" t="s">
        <v>9207</v>
      </c>
      <c r="CU416" s="1388" t="s">
        <v>8110</v>
      </c>
      <c r="CV416" s="1389" t="s">
        <v>8111</v>
      </c>
      <c r="CX416" s="1379">
        <v>1</v>
      </c>
    </row>
    <row r="417" spans="91:102" ht="21" customHeight="1" x14ac:dyDescent="0.25">
      <c r="CM417" s="1377"/>
      <c r="CN417" s="1388" t="s">
        <v>9237</v>
      </c>
      <c r="CO417" s="1388" t="s">
        <v>7912</v>
      </c>
      <c r="CP417" s="1388" t="s">
        <v>8741</v>
      </c>
      <c r="CQ417" s="1388" t="s">
        <v>9238</v>
      </c>
      <c r="CR417" s="1388" t="s">
        <v>9239</v>
      </c>
      <c r="CS417" s="1388" t="s">
        <v>8108</v>
      </c>
      <c r="CT417" s="1388" t="s">
        <v>9207</v>
      </c>
      <c r="CU417" s="1388" t="s">
        <v>8110</v>
      </c>
      <c r="CV417" s="1389" t="s">
        <v>8111</v>
      </c>
      <c r="CX417" s="1379">
        <v>1</v>
      </c>
    </row>
    <row r="418" spans="91:102" ht="21" customHeight="1" x14ac:dyDescent="0.25">
      <c r="CM418" s="1377"/>
      <c r="CN418" s="1388" t="s">
        <v>9240</v>
      </c>
      <c r="CO418" s="1388" t="s">
        <v>7912</v>
      </c>
      <c r="CP418" s="1388" t="s">
        <v>8741</v>
      </c>
      <c r="CQ418" s="1388" t="s">
        <v>9241</v>
      </c>
      <c r="CR418" s="1388" t="s">
        <v>9241</v>
      </c>
      <c r="CS418" s="1388" t="s">
        <v>8108</v>
      </c>
      <c r="CT418" s="1388" t="s">
        <v>9207</v>
      </c>
      <c r="CU418" s="1388" t="s">
        <v>8110</v>
      </c>
      <c r="CV418" s="1389" t="s">
        <v>8111</v>
      </c>
      <c r="CX418" s="1379">
        <v>1</v>
      </c>
    </row>
    <row r="419" spans="91:102" ht="21" customHeight="1" x14ac:dyDescent="0.25">
      <c r="CM419" s="1377"/>
      <c r="CN419" s="1388" t="s">
        <v>9242</v>
      </c>
      <c r="CO419" s="1388" t="s">
        <v>7912</v>
      </c>
      <c r="CP419" s="1388" t="s">
        <v>8741</v>
      </c>
      <c r="CQ419" s="1388" t="s">
        <v>8763</v>
      </c>
      <c r="CR419" s="1388" t="s">
        <v>8763</v>
      </c>
      <c r="CS419" s="1388" t="s">
        <v>8108</v>
      </c>
      <c r="CT419" s="1388" t="s">
        <v>9207</v>
      </c>
      <c r="CU419" s="1388" t="s">
        <v>8110</v>
      </c>
      <c r="CV419" s="1389" t="s">
        <v>8111</v>
      </c>
      <c r="CX419" s="1379">
        <v>1</v>
      </c>
    </row>
    <row r="420" spans="91:102" ht="21" customHeight="1" x14ac:dyDescent="0.25">
      <c r="CM420" s="1377"/>
      <c r="CN420" s="1388" t="s">
        <v>9243</v>
      </c>
      <c r="CO420" s="1388" t="s">
        <v>7912</v>
      </c>
      <c r="CP420" s="1388" t="s">
        <v>8741</v>
      </c>
      <c r="CQ420" s="1388" t="s">
        <v>9244</v>
      </c>
      <c r="CR420" s="1388" t="s">
        <v>9244</v>
      </c>
      <c r="CS420" s="1388" t="s">
        <v>8108</v>
      </c>
      <c r="CT420" s="1388" t="s">
        <v>9207</v>
      </c>
      <c r="CU420" s="1388" t="s">
        <v>8110</v>
      </c>
      <c r="CV420" s="1389" t="s">
        <v>8111</v>
      </c>
      <c r="CX420" s="1379">
        <v>1</v>
      </c>
    </row>
    <row r="421" spans="91:102" ht="21" customHeight="1" x14ac:dyDescent="0.25">
      <c r="CM421" s="1377"/>
      <c r="CN421" s="1388" t="s">
        <v>9245</v>
      </c>
      <c r="CO421" s="1388" t="s">
        <v>7912</v>
      </c>
      <c r="CP421" s="1388" t="s">
        <v>8741</v>
      </c>
      <c r="CQ421" s="1388" t="s">
        <v>8765</v>
      </c>
      <c r="CR421" s="1388" t="s">
        <v>8766</v>
      </c>
      <c r="CS421" s="1388" t="s">
        <v>8194</v>
      </c>
      <c r="CT421" s="1388" t="s">
        <v>8748</v>
      </c>
      <c r="CU421" s="1388" t="s">
        <v>8110</v>
      </c>
      <c r="CV421" s="1389" t="s">
        <v>8196</v>
      </c>
      <c r="CX421" s="1379">
        <v>1</v>
      </c>
    </row>
    <row r="422" spans="91:102" ht="21" customHeight="1" x14ac:dyDescent="0.25">
      <c r="CM422" s="1377"/>
      <c r="CN422" s="1388" t="s">
        <v>9246</v>
      </c>
      <c r="CO422" s="1388" t="s">
        <v>7912</v>
      </c>
      <c r="CP422" s="1388" t="s">
        <v>8741</v>
      </c>
      <c r="CQ422" s="1388" t="s">
        <v>9247</v>
      </c>
      <c r="CR422" s="1388" t="s">
        <v>9247</v>
      </c>
      <c r="CS422" s="1388" t="s">
        <v>8108</v>
      </c>
      <c r="CT422" s="1388" t="s">
        <v>9207</v>
      </c>
      <c r="CU422" s="1388" t="s">
        <v>8110</v>
      </c>
      <c r="CV422" s="1389" t="s">
        <v>8111</v>
      </c>
      <c r="CX422" s="1379">
        <v>1</v>
      </c>
    </row>
    <row r="423" spans="91:102" ht="21" customHeight="1" x14ac:dyDescent="0.25">
      <c r="CM423" s="1377"/>
      <c r="CN423" s="1388" t="s">
        <v>9248</v>
      </c>
      <c r="CO423" s="1388" t="s">
        <v>7912</v>
      </c>
      <c r="CP423" s="1388" t="s">
        <v>8741</v>
      </c>
      <c r="CQ423" s="1388" t="s">
        <v>8644</v>
      </c>
      <c r="CR423" s="1388" t="s">
        <v>8644</v>
      </c>
      <c r="CS423" s="1388" t="s">
        <v>8108</v>
      </c>
      <c r="CT423" s="1388" t="s">
        <v>9207</v>
      </c>
      <c r="CU423" s="1388" t="s">
        <v>8110</v>
      </c>
      <c r="CV423" s="1389" t="s">
        <v>8111</v>
      </c>
      <c r="CX423" s="1379">
        <v>1</v>
      </c>
    </row>
    <row r="424" spans="91:102" ht="21" customHeight="1" x14ac:dyDescent="0.25">
      <c r="CM424" s="1377"/>
      <c r="CN424" s="1388" t="s">
        <v>9249</v>
      </c>
      <c r="CO424" s="1388" t="s">
        <v>7912</v>
      </c>
      <c r="CP424" s="1388" t="s">
        <v>8741</v>
      </c>
      <c r="CQ424" s="1388" t="s">
        <v>9250</v>
      </c>
      <c r="CR424" s="1388" t="s">
        <v>9250</v>
      </c>
      <c r="CS424" s="1388" t="s">
        <v>8108</v>
      </c>
      <c r="CT424" s="1388" t="s">
        <v>9207</v>
      </c>
      <c r="CU424" s="1388" t="s">
        <v>8110</v>
      </c>
      <c r="CV424" s="1389" t="s">
        <v>8111</v>
      </c>
      <c r="CX424" s="1379">
        <v>1</v>
      </c>
    </row>
    <row r="425" spans="91:102" ht="21" customHeight="1" x14ac:dyDescent="0.25">
      <c r="CM425" s="1377"/>
      <c r="CN425" s="1388" t="s">
        <v>9251</v>
      </c>
      <c r="CO425" s="1388" t="s">
        <v>7912</v>
      </c>
      <c r="CP425" s="1388" t="s">
        <v>8741</v>
      </c>
      <c r="CQ425" s="1388" t="s">
        <v>8657</v>
      </c>
      <c r="CR425" s="1388" t="s">
        <v>8657</v>
      </c>
      <c r="CS425" s="1388" t="s">
        <v>8108</v>
      </c>
      <c r="CT425" s="1388" t="s">
        <v>9207</v>
      </c>
      <c r="CU425" s="1388" t="s">
        <v>8110</v>
      </c>
      <c r="CV425" s="1389" t="s">
        <v>8111</v>
      </c>
      <c r="CX425" s="1379">
        <v>1</v>
      </c>
    </row>
    <row r="426" spans="91:102" ht="21" customHeight="1" x14ac:dyDescent="0.25">
      <c r="CM426" s="1377"/>
      <c r="CN426" s="1388" t="s">
        <v>9252</v>
      </c>
      <c r="CO426" s="1388" t="s">
        <v>7912</v>
      </c>
      <c r="CP426" s="1388" t="s">
        <v>8741</v>
      </c>
      <c r="CQ426" s="1388" t="s">
        <v>9253</v>
      </c>
      <c r="CR426" s="1388" t="s">
        <v>9253</v>
      </c>
      <c r="CS426" s="1388" t="s">
        <v>8108</v>
      </c>
      <c r="CT426" s="1388" t="s">
        <v>9207</v>
      </c>
      <c r="CU426" s="1388" t="s">
        <v>8110</v>
      </c>
      <c r="CV426" s="1389" t="s">
        <v>8111</v>
      </c>
      <c r="CX426" s="1379">
        <v>1</v>
      </c>
    </row>
    <row r="427" spans="91:102" ht="21" customHeight="1" x14ac:dyDescent="0.25">
      <c r="CM427" s="1377"/>
      <c r="CN427" s="1388" t="s">
        <v>9254</v>
      </c>
      <c r="CO427" s="1388" t="s">
        <v>7912</v>
      </c>
      <c r="CP427" s="1388" t="s">
        <v>9255</v>
      </c>
      <c r="CQ427" s="1388" t="s">
        <v>9256</v>
      </c>
      <c r="CR427" s="1388" t="s">
        <v>9256</v>
      </c>
      <c r="CS427" s="1388" t="s">
        <v>8194</v>
      </c>
      <c r="CT427" s="1388" t="s">
        <v>9257</v>
      </c>
      <c r="CU427" s="1388" t="s">
        <v>8110</v>
      </c>
      <c r="CV427" s="1389" t="s">
        <v>8196</v>
      </c>
      <c r="CX427" s="1379">
        <v>1</v>
      </c>
    </row>
    <row r="428" spans="91:102" ht="21" customHeight="1" x14ac:dyDescent="0.25">
      <c r="CM428" s="1377"/>
      <c r="CN428" s="1388" t="s">
        <v>9258</v>
      </c>
      <c r="CO428" s="1388" t="s">
        <v>7912</v>
      </c>
      <c r="CP428" s="1388" t="s">
        <v>9255</v>
      </c>
      <c r="CQ428" s="1388" t="s">
        <v>9259</v>
      </c>
      <c r="CR428" s="1388" t="s">
        <v>9260</v>
      </c>
      <c r="CS428" s="1388" t="s">
        <v>8194</v>
      </c>
      <c r="CT428" s="1388" t="s">
        <v>9257</v>
      </c>
      <c r="CU428" s="1388" t="s">
        <v>8110</v>
      </c>
      <c r="CV428" s="1389" t="s">
        <v>8196</v>
      </c>
      <c r="CX428" s="1379">
        <v>1</v>
      </c>
    </row>
    <row r="429" spans="91:102" ht="21" customHeight="1" x14ac:dyDescent="0.25">
      <c r="CM429" s="1377"/>
      <c r="CN429" s="1388" t="s">
        <v>9261</v>
      </c>
      <c r="CO429" s="1388" t="s">
        <v>7912</v>
      </c>
      <c r="CP429" s="1388" t="s">
        <v>9255</v>
      </c>
      <c r="CQ429" s="1388" t="s">
        <v>9262</v>
      </c>
      <c r="CR429" s="1388" t="s">
        <v>9263</v>
      </c>
      <c r="CS429" s="1388" t="s">
        <v>8194</v>
      </c>
      <c r="CT429" s="1388" t="s">
        <v>9257</v>
      </c>
      <c r="CU429" s="1388" t="s">
        <v>8110</v>
      </c>
      <c r="CV429" s="1389" t="s">
        <v>8196</v>
      </c>
      <c r="CX429" s="1379">
        <v>1</v>
      </c>
    </row>
    <row r="430" spans="91:102" ht="21" customHeight="1" x14ac:dyDescent="0.25">
      <c r="CM430" s="1377"/>
      <c r="CN430" s="1388" t="s">
        <v>9264</v>
      </c>
      <c r="CO430" s="1388" t="s">
        <v>7912</v>
      </c>
      <c r="CP430" s="1388" t="s">
        <v>9255</v>
      </c>
      <c r="CQ430" s="1388" t="s">
        <v>9265</v>
      </c>
      <c r="CR430" s="1388" t="s">
        <v>9266</v>
      </c>
      <c r="CS430" s="1388" t="s">
        <v>8194</v>
      </c>
      <c r="CT430" s="1388" t="s">
        <v>9257</v>
      </c>
      <c r="CU430" s="1388" t="s">
        <v>8110</v>
      </c>
      <c r="CV430" s="1389" t="s">
        <v>8196</v>
      </c>
      <c r="CX430" s="1379">
        <v>1</v>
      </c>
    </row>
    <row r="431" spans="91:102" ht="21" customHeight="1" x14ac:dyDescent="0.25">
      <c r="CM431" s="1377"/>
      <c r="CN431" s="1388" t="s">
        <v>9267</v>
      </c>
      <c r="CO431" s="1388" t="s">
        <v>7912</v>
      </c>
      <c r="CP431" s="1388" t="s">
        <v>9255</v>
      </c>
      <c r="CQ431" s="1388" t="s">
        <v>8701</v>
      </c>
      <c r="CR431" s="1388" t="s">
        <v>8702</v>
      </c>
      <c r="CS431" s="1388" t="s">
        <v>8194</v>
      </c>
      <c r="CT431" s="1388" t="s">
        <v>9257</v>
      </c>
      <c r="CU431" s="1388" t="s">
        <v>8110</v>
      </c>
      <c r="CV431" s="1389" t="s">
        <v>8196</v>
      </c>
      <c r="CX431" s="1379">
        <v>1</v>
      </c>
    </row>
    <row r="432" spans="91:102" ht="21" customHeight="1" x14ac:dyDescent="0.25">
      <c r="CM432" s="1377"/>
      <c r="CN432" s="1388" t="s">
        <v>9268</v>
      </c>
      <c r="CO432" s="1388" t="s">
        <v>7912</v>
      </c>
      <c r="CP432" s="1388" t="s">
        <v>9255</v>
      </c>
      <c r="CQ432" s="1388" t="s">
        <v>8704</v>
      </c>
      <c r="CR432" s="1388" t="s">
        <v>8705</v>
      </c>
      <c r="CS432" s="1388" t="s">
        <v>8194</v>
      </c>
      <c r="CT432" s="1388" t="s">
        <v>9257</v>
      </c>
      <c r="CU432" s="1388" t="s">
        <v>8110</v>
      </c>
      <c r="CV432" s="1389" t="s">
        <v>8196</v>
      </c>
      <c r="CX432" s="1379">
        <v>1</v>
      </c>
    </row>
    <row r="433" spans="91:102" ht="21" customHeight="1" x14ac:dyDescent="0.25">
      <c r="CM433" s="1377"/>
      <c r="CN433" s="1388" t="s">
        <v>9269</v>
      </c>
      <c r="CO433" s="1388" t="s">
        <v>7912</v>
      </c>
      <c r="CP433" s="1388" t="s">
        <v>9255</v>
      </c>
      <c r="CQ433" s="1388" t="s">
        <v>8713</v>
      </c>
      <c r="CR433" s="1388" t="s">
        <v>8714</v>
      </c>
      <c r="CS433" s="1388" t="s">
        <v>8194</v>
      </c>
      <c r="CT433" s="1388" t="s">
        <v>9257</v>
      </c>
      <c r="CU433" s="1388" t="s">
        <v>8110</v>
      </c>
      <c r="CV433" s="1389" t="s">
        <v>8196</v>
      </c>
      <c r="CX433" s="1379">
        <v>1</v>
      </c>
    </row>
    <row r="434" spans="91:102" ht="21" customHeight="1" x14ac:dyDescent="0.25">
      <c r="CM434" s="1377"/>
      <c r="CN434" s="1388" t="s">
        <v>9270</v>
      </c>
      <c r="CO434" s="1388" t="s">
        <v>7912</v>
      </c>
      <c r="CP434" s="1388" t="s">
        <v>9255</v>
      </c>
      <c r="CQ434" s="1388" t="s">
        <v>9271</v>
      </c>
      <c r="CR434" s="1388" t="s">
        <v>9271</v>
      </c>
      <c r="CS434" s="1388" t="s">
        <v>8194</v>
      </c>
      <c r="CT434" s="1388" t="s">
        <v>9257</v>
      </c>
      <c r="CU434" s="1388" t="s">
        <v>8110</v>
      </c>
      <c r="CV434" s="1389" t="s">
        <v>8196</v>
      </c>
      <c r="CX434" s="1379">
        <v>1</v>
      </c>
    </row>
    <row r="435" spans="91:102" ht="21" customHeight="1" x14ac:dyDescent="0.25">
      <c r="CM435" s="1377"/>
      <c r="CN435" s="1388" t="s">
        <v>9272</v>
      </c>
      <c r="CO435" s="1388" t="s">
        <v>7912</v>
      </c>
      <c r="CP435" s="1388" t="s">
        <v>9255</v>
      </c>
      <c r="CQ435" s="1388" t="s">
        <v>9273</v>
      </c>
      <c r="CR435" s="1388" t="s">
        <v>9273</v>
      </c>
      <c r="CS435" s="1388" t="s">
        <v>8194</v>
      </c>
      <c r="CT435" s="1388" t="s">
        <v>9257</v>
      </c>
      <c r="CU435" s="1388" t="s">
        <v>8110</v>
      </c>
      <c r="CV435" s="1389" t="s">
        <v>8196</v>
      </c>
      <c r="CX435" s="1379">
        <v>1</v>
      </c>
    </row>
    <row r="436" spans="91:102" ht="21" customHeight="1" x14ac:dyDescent="0.25">
      <c r="CM436" s="1377"/>
      <c r="CN436" s="1388" t="s">
        <v>9274</v>
      </c>
      <c r="CO436" s="1388" t="s">
        <v>8125</v>
      </c>
      <c r="CP436" s="1388" t="s">
        <v>8106</v>
      </c>
      <c r="CQ436" s="1388" t="s">
        <v>9275</v>
      </c>
      <c r="CR436" s="1388" t="s">
        <v>9275</v>
      </c>
      <c r="CS436" s="1388" t="s">
        <v>8788</v>
      </c>
      <c r="CT436" s="1388" t="s">
        <v>8789</v>
      </c>
      <c r="CU436" s="1388" t="s">
        <v>9276</v>
      </c>
      <c r="CV436" s="1389" t="s">
        <v>9277</v>
      </c>
      <c r="CX436" s="1379">
        <v>1</v>
      </c>
    </row>
    <row r="437" spans="91:102" ht="21" customHeight="1" x14ac:dyDescent="0.25">
      <c r="CM437" s="1377"/>
      <c r="CN437" s="1388" t="s">
        <v>9278</v>
      </c>
      <c r="CO437" s="1388" t="s">
        <v>8125</v>
      </c>
      <c r="CP437" s="1388" t="s">
        <v>8106</v>
      </c>
      <c r="CQ437" s="1388" t="s">
        <v>9279</v>
      </c>
      <c r="CR437" s="1388" t="s">
        <v>9279</v>
      </c>
      <c r="CS437" s="1388" t="s">
        <v>8788</v>
      </c>
      <c r="CT437" s="1388" t="s">
        <v>8789</v>
      </c>
      <c r="CU437" s="1388" t="s">
        <v>9276</v>
      </c>
      <c r="CV437" s="1389" t="s">
        <v>9277</v>
      </c>
      <c r="CX437" s="1379">
        <v>1</v>
      </c>
    </row>
    <row r="438" spans="91:102" ht="21" customHeight="1" x14ac:dyDescent="0.25">
      <c r="CM438" s="1377"/>
      <c r="CN438" s="1388" t="s">
        <v>9280</v>
      </c>
      <c r="CO438" s="1388" t="s">
        <v>8125</v>
      </c>
      <c r="CP438" s="1388" t="s">
        <v>8106</v>
      </c>
      <c r="CQ438" s="1388" t="s">
        <v>9281</v>
      </c>
      <c r="CR438" s="1388" t="s">
        <v>9281</v>
      </c>
      <c r="CS438" s="1388" t="s">
        <v>8788</v>
      </c>
      <c r="CT438" s="1388" t="s">
        <v>8789</v>
      </c>
      <c r="CU438" s="1388" t="s">
        <v>9276</v>
      </c>
      <c r="CV438" s="1389" t="s">
        <v>9277</v>
      </c>
      <c r="CX438" s="1379">
        <v>1</v>
      </c>
    </row>
    <row r="439" spans="91:102" ht="21" customHeight="1" x14ac:dyDescent="0.25">
      <c r="CM439" s="1377"/>
      <c r="CN439" s="1388" t="s">
        <v>9282</v>
      </c>
      <c r="CO439" s="1388" t="s">
        <v>8125</v>
      </c>
      <c r="CP439" s="1388" t="s">
        <v>8106</v>
      </c>
      <c r="CQ439" s="1388" t="s">
        <v>9283</v>
      </c>
      <c r="CR439" s="1388" t="s">
        <v>9283</v>
      </c>
      <c r="CS439" s="1388" t="s">
        <v>8788</v>
      </c>
      <c r="CT439" s="1388" t="s">
        <v>8789</v>
      </c>
      <c r="CU439" s="1388" t="s">
        <v>9276</v>
      </c>
      <c r="CV439" s="1389" t="s">
        <v>9277</v>
      </c>
      <c r="CX439" s="1379">
        <v>1</v>
      </c>
    </row>
    <row r="440" spans="91:102" ht="21" customHeight="1" x14ac:dyDescent="0.25">
      <c r="CM440" s="1377"/>
      <c r="CN440" s="1388" t="s">
        <v>9284</v>
      </c>
      <c r="CO440" s="1388" t="s">
        <v>8125</v>
      </c>
      <c r="CP440" s="1388" t="s">
        <v>8106</v>
      </c>
      <c r="CQ440" s="1388" t="s">
        <v>9285</v>
      </c>
      <c r="CR440" s="1388" t="s">
        <v>9285</v>
      </c>
      <c r="CS440" s="1388" t="s">
        <v>8788</v>
      </c>
      <c r="CT440" s="1388" t="s">
        <v>8789</v>
      </c>
      <c r="CU440" s="1388" t="s">
        <v>9276</v>
      </c>
      <c r="CV440" s="1389" t="s">
        <v>9277</v>
      </c>
      <c r="CX440" s="1379">
        <v>1</v>
      </c>
    </row>
    <row r="441" spans="91:102" ht="21" customHeight="1" x14ac:dyDescent="0.25">
      <c r="CM441" s="1377"/>
      <c r="CN441" s="1388" t="s">
        <v>9286</v>
      </c>
      <c r="CO441" s="1388" t="s">
        <v>8125</v>
      </c>
      <c r="CP441" s="1388" t="s">
        <v>8106</v>
      </c>
      <c r="CQ441" s="1388" t="s">
        <v>9287</v>
      </c>
      <c r="CR441" s="1388" t="s">
        <v>9287</v>
      </c>
      <c r="CS441" s="1388" t="s">
        <v>8788</v>
      </c>
      <c r="CT441" s="1388" t="s">
        <v>8789</v>
      </c>
      <c r="CU441" s="1388" t="s">
        <v>9276</v>
      </c>
      <c r="CV441" s="1389" t="s">
        <v>9277</v>
      </c>
      <c r="CX441" s="1379">
        <v>1</v>
      </c>
    </row>
    <row r="442" spans="91:102" ht="21" customHeight="1" x14ac:dyDescent="0.25">
      <c r="CM442" s="1377"/>
      <c r="CN442" s="1388" t="s">
        <v>9288</v>
      </c>
      <c r="CO442" s="1388" t="s">
        <v>8125</v>
      </c>
      <c r="CP442" s="1388" t="s">
        <v>8106</v>
      </c>
      <c r="CQ442" s="1388" t="s">
        <v>9289</v>
      </c>
      <c r="CR442" s="1388" t="s">
        <v>9289</v>
      </c>
      <c r="CS442" s="1388" t="s">
        <v>8788</v>
      </c>
      <c r="CT442" s="1388" t="s">
        <v>8789</v>
      </c>
      <c r="CU442" s="1388" t="s">
        <v>9276</v>
      </c>
      <c r="CV442" s="1389" t="s">
        <v>9277</v>
      </c>
      <c r="CX442" s="1379">
        <v>1</v>
      </c>
    </row>
    <row r="443" spans="91:102" ht="21" customHeight="1" x14ac:dyDescent="0.25">
      <c r="CM443" s="1377"/>
      <c r="CN443" s="1388" t="s">
        <v>9290</v>
      </c>
      <c r="CO443" s="1388" t="s">
        <v>8125</v>
      </c>
      <c r="CP443" s="1388" t="s">
        <v>8106</v>
      </c>
      <c r="CQ443" s="1388" t="s">
        <v>9291</v>
      </c>
      <c r="CR443" s="1388" t="s">
        <v>9291</v>
      </c>
      <c r="CS443" s="1388" t="s">
        <v>8788</v>
      </c>
      <c r="CT443" s="1388" t="s">
        <v>8789</v>
      </c>
      <c r="CU443" s="1388" t="s">
        <v>9276</v>
      </c>
      <c r="CV443" s="1389" t="s">
        <v>9277</v>
      </c>
      <c r="CX443" s="1379">
        <v>1</v>
      </c>
    </row>
    <row r="444" spans="91:102" ht="21" customHeight="1" x14ac:dyDescent="0.25">
      <c r="CM444" s="1377"/>
      <c r="CN444" s="1388" t="s">
        <v>9292</v>
      </c>
      <c r="CO444" s="1388" t="s">
        <v>8125</v>
      </c>
      <c r="CP444" s="1388" t="s">
        <v>8106</v>
      </c>
      <c r="CQ444" s="1388" t="s">
        <v>9293</v>
      </c>
      <c r="CR444" s="1388" t="s">
        <v>9293</v>
      </c>
      <c r="CS444" s="1388" t="s">
        <v>8788</v>
      </c>
      <c r="CT444" s="1388" t="s">
        <v>8789</v>
      </c>
      <c r="CU444" s="1388" t="s">
        <v>9276</v>
      </c>
      <c r="CV444" s="1389" t="s">
        <v>9277</v>
      </c>
      <c r="CX444" s="1379">
        <v>1</v>
      </c>
    </row>
    <row r="445" spans="91:102" ht="21" customHeight="1" x14ac:dyDescent="0.25">
      <c r="CM445" s="1377"/>
      <c r="CN445" s="1388" t="s">
        <v>9294</v>
      </c>
      <c r="CO445" s="1388" t="s">
        <v>8125</v>
      </c>
      <c r="CP445" s="1388" t="s">
        <v>8106</v>
      </c>
      <c r="CQ445" s="1388" t="s">
        <v>9295</v>
      </c>
      <c r="CR445" s="1388" t="s">
        <v>9295</v>
      </c>
      <c r="CS445" s="1388" t="s">
        <v>8788</v>
      </c>
      <c r="CT445" s="1388" t="s">
        <v>8789</v>
      </c>
      <c r="CU445" s="1388" t="s">
        <v>9276</v>
      </c>
      <c r="CV445" s="1389" t="s">
        <v>9277</v>
      </c>
      <c r="CX445" s="1379">
        <v>1</v>
      </c>
    </row>
    <row r="446" spans="91:102" ht="21" customHeight="1" x14ac:dyDescent="0.25">
      <c r="CM446" s="1377"/>
      <c r="CN446" s="1388" t="s">
        <v>9296</v>
      </c>
      <c r="CO446" s="1388" t="s">
        <v>8125</v>
      </c>
      <c r="CP446" s="1388" t="s">
        <v>8106</v>
      </c>
      <c r="CQ446" s="1388" t="s">
        <v>9297</v>
      </c>
      <c r="CR446" s="1388" t="s">
        <v>9297</v>
      </c>
      <c r="CS446" s="1388" t="s">
        <v>8788</v>
      </c>
      <c r="CT446" s="1388" t="s">
        <v>8789</v>
      </c>
      <c r="CU446" s="1388" t="s">
        <v>9276</v>
      </c>
      <c r="CV446" s="1389" t="s">
        <v>9277</v>
      </c>
      <c r="CX446" s="1379">
        <v>1</v>
      </c>
    </row>
    <row r="447" spans="91:102" ht="21" customHeight="1" x14ac:dyDescent="0.25">
      <c r="CM447" s="1377"/>
      <c r="CN447" s="1388" t="s">
        <v>9298</v>
      </c>
      <c r="CO447" s="1388" t="s">
        <v>8125</v>
      </c>
      <c r="CP447" s="1388" t="s">
        <v>8106</v>
      </c>
      <c r="CQ447" s="1388" t="s">
        <v>9299</v>
      </c>
      <c r="CR447" s="1388" t="s">
        <v>9299</v>
      </c>
      <c r="CS447" s="1388" t="s">
        <v>8788</v>
      </c>
      <c r="CT447" s="1388" t="s">
        <v>8789</v>
      </c>
      <c r="CU447" s="1388" t="s">
        <v>9276</v>
      </c>
      <c r="CV447" s="1389" t="s">
        <v>9277</v>
      </c>
      <c r="CX447" s="1379">
        <v>1</v>
      </c>
    </row>
    <row r="448" spans="91:102" ht="21" customHeight="1" x14ac:dyDescent="0.25">
      <c r="CM448" s="1377"/>
      <c r="CN448" s="1388" t="s">
        <v>9300</v>
      </c>
      <c r="CO448" s="1388" t="s">
        <v>8125</v>
      </c>
      <c r="CP448" s="1388" t="s">
        <v>8106</v>
      </c>
      <c r="CQ448" s="1388" t="s">
        <v>9301</v>
      </c>
      <c r="CR448" s="1388" t="s">
        <v>9301</v>
      </c>
      <c r="CS448" s="1388" t="s">
        <v>8788</v>
      </c>
      <c r="CT448" s="1388" t="s">
        <v>8789</v>
      </c>
      <c r="CU448" s="1388" t="s">
        <v>9276</v>
      </c>
      <c r="CV448" s="1389" t="s">
        <v>9277</v>
      </c>
      <c r="CX448" s="1379">
        <v>1</v>
      </c>
    </row>
    <row r="449" spans="91:102" ht="21" customHeight="1" x14ac:dyDescent="0.25">
      <c r="CM449" s="1377"/>
      <c r="CN449" s="1388" t="s">
        <v>9302</v>
      </c>
      <c r="CO449" s="1388" t="s">
        <v>8125</v>
      </c>
      <c r="CP449" s="1388" t="s">
        <v>8106</v>
      </c>
      <c r="CQ449" s="1388" t="s">
        <v>9303</v>
      </c>
      <c r="CR449" s="1388" t="s">
        <v>9303</v>
      </c>
      <c r="CS449" s="1388" t="s">
        <v>8788</v>
      </c>
      <c r="CT449" s="1388" t="s">
        <v>8789</v>
      </c>
      <c r="CU449" s="1388" t="s">
        <v>9276</v>
      </c>
      <c r="CV449" s="1389" t="s">
        <v>9277</v>
      </c>
      <c r="CX449" s="1379">
        <v>1</v>
      </c>
    </row>
    <row r="450" spans="91:102" ht="21" customHeight="1" x14ac:dyDescent="0.25">
      <c r="CM450" s="1377"/>
      <c r="CN450" s="1388" t="s">
        <v>9304</v>
      </c>
      <c r="CO450" s="1388" t="s">
        <v>8125</v>
      </c>
      <c r="CP450" s="1388" t="s">
        <v>8106</v>
      </c>
      <c r="CQ450" s="1388" t="s">
        <v>9305</v>
      </c>
      <c r="CR450" s="1388" t="s">
        <v>9305</v>
      </c>
      <c r="CS450" s="1388" t="s">
        <v>8788</v>
      </c>
      <c r="CT450" s="1388" t="s">
        <v>8789</v>
      </c>
      <c r="CU450" s="1388" t="s">
        <v>9276</v>
      </c>
      <c r="CV450" s="1389" t="s">
        <v>9277</v>
      </c>
      <c r="CX450" s="1379">
        <v>1</v>
      </c>
    </row>
    <row r="451" spans="91:102" ht="21" customHeight="1" x14ac:dyDescent="0.25">
      <c r="CM451" s="1377"/>
      <c r="CN451" s="1388" t="s">
        <v>9306</v>
      </c>
      <c r="CO451" s="1388" t="s">
        <v>8125</v>
      </c>
      <c r="CP451" s="1388" t="s">
        <v>8106</v>
      </c>
      <c r="CQ451" s="1388" t="s">
        <v>9307</v>
      </c>
      <c r="CR451" s="1388" t="s">
        <v>9307</v>
      </c>
      <c r="CS451" s="1388" t="s">
        <v>8788</v>
      </c>
      <c r="CT451" s="1388" t="s">
        <v>8789</v>
      </c>
      <c r="CU451" s="1388" t="s">
        <v>9276</v>
      </c>
      <c r="CV451" s="1389" t="s">
        <v>9277</v>
      </c>
      <c r="CX451" s="1379">
        <v>1</v>
      </c>
    </row>
    <row r="452" spans="91:102" ht="21" customHeight="1" x14ac:dyDescent="0.25">
      <c r="CM452" s="1377"/>
      <c r="CN452" s="1388" t="s">
        <v>9308</v>
      </c>
      <c r="CO452" s="1388" t="s">
        <v>8125</v>
      </c>
      <c r="CP452" s="1388" t="s">
        <v>8106</v>
      </c>
      <c r="CQ452" s="1388" t="s">
        <v>9309</v>
      </c>
      <c r="CR452" s="1388" t="s">
        <v>9309</v>
      </c>
      <c r="CS452" s="1388" t="s">
        <v>8788</v>
      </c>
      <c r="CT452" s="1388" t="s">
        <v>8789</v>
      </c>
      <c r="CU452" s="1388" t="s">
        <v>9276</v>
      </c>
      <c r="CV452" s="1389" t="s">
        <v>9277</v>
      </c>
      <c r="CX452" s="1379">
        <v>1</v>
      </c>
    </row>
    <row r="453" spans="91:102" ht="21" customHeight="1" x14ac:dyDescent="0.25">
      <c r="CM453" s="1377"/>
      <c r="CN453" s="1388" t="s">
        <v>9310</v>
      </c>
      <c r="CO453" s="1388" t="s">
        <v>8125</v>
      </c>
      <c r="CP453" s="1388" t="s">
        <v>8106</v>
      </c>
      <c r="CQ453" s="1388" t="s">
        <v>9311</v>
      </c>
      <c r="CR453" s="1388" t="s">
        <v>9311</v>
      </c>
      <c r="CS453" s="1388" t="s">
        <v>8788</v>
      </c>
      <c r="CT453" s="1388" t="s">
        <v>8789</v>
      </c>
      <c r="CU453" s="1388" t="s">
        <v>9276</v>
      </c>
      <c r="CV453" s="1389" t="s">
        <v>9277</v>
      </c>
      <c r="CX453" s="1379">
        <v>1</v>
      </c>
    </row>
    <row r="454" spans="91:102" ht="21" customHeight="1" x14ac:dyDescent="0.25">
      <c r="CM454" s="1377"/>
      <c r="CN454" s="1388" t="s">
        <v>9312</v>
      </c>
      <c r="CO454" s="1388" t="s">
        <v>8125</v>
      </c>
      <c r="CP454" s="1388" t="s">
        <v>8106</v>
      </c>
      <c r="CQ454" s="1388" t="s">
        <v>9313</v>
      </c>
      <c r="CR454" s="1388" t="s">
        <v>9313</v>
      </c>
      <c r="CS454" s="1388" t="s">
        <v>8788</v>
      </c>
      <c r="CT454" s="1388" t="s">
        <v>8789</v>
      </c>
      <c r="CU454" s="1388" t="s">
        <v>9276</v>
      </c>
      <c r="CV454" s="1389" t="s">
        <v>9277</v>
      </c>
      <c r="CX454" s="1379">
        <v>1</v>
      </c>
    </row>
    <row r="455" spans="91:102" ht="21" customHeight="1" x14ac:dyDescent="0.25">
      <c r="CM455" s="1377"/>
      <c r="CN455" s="1388" t="s">
        <v>9314</v>
      </c>
      <c r="CO455" s="1388" t="s">
        <v>8125</v>
      </c>
      <c r="CP455" s="1388" t="s">
        <v>8106</v>
      </c>
      <c r="CQ455" s="1388" t="s">
        <v>9315</v>
      </c>
      <c r="CR455" s="1388" t="s">
        <v>9315</v>
      </c>
      <c r="CS455" s="1388" t="s">
        <v>8788</v>
      </c>
      <c r="CT455" s="1388" t="s">
        <v>8789</v>
      </c>
      <c r="CU455" s="1388" t="s">
        <v>9276</v>
      </c>
      <c r="CV455" s="1389" t="s">
        <v>9277</v>
      </c>
      <c r="CX455" s="1379">
        <v>1</v>
      </c>
    </row>
    <row r="456" spans="91:102" ht="21" customHeight="1" x14ac:dyDescent="0.25">
      <c r="CM456" s="1377"/>
      <c r="CN456" s="1388" t="s">
        <v>9316</v>
      </c>
      <c r="CO456" s="1388" t="s">
        <v>8125</v>
      </c>
      <c r="CP456" s="1388" t="s">
        <v>8106</v>
      </c>
      <c r="CQ456" s="1388" t="s">
        <v>9317</v>
      </c>
      <c r="CR456" s="1388" t="s">
        <v>9317</v>
      </c>
      <c r="CS456" s="1388" t="s">
        <v>8788</v>
      </c>
      <c r="CT456" s="1388" t="s">
        <v>8789</v>
      </c>
      <c r="CU456" s="1388" t="s">
        <v>9276</v>
      </c>
      <c r="CV456" s="1389" t="s">
        <v>9277</v>
      </c>
      <c r="CX456" s="1379">
        <v>1</v>
      </c>
    </row>
    <row r="457" spans="91:102" ht="21" customHeight="1" x14ac:dyDescent="0.25">
      <c r="CM457" s="1377"/>
      <c r="CN457" s="1388" t="s">
        <v>9318</v>
      </c>
      <c r="CO457" s="1388" t="s">
        <v>8125</v>
      </c>
      <c r="CP457" s="1388" t="s">
        <v>8106</v>
      </c>
      <c r="CQ457" s="1388" t="s">
        <v>9319</v>
      </c>
      <c r="CR457" s="1388" t="s">
        <v>9319</v>
      </c>
      <c r="CS457" s="1388" t="s">
        <v>8788</v>
      </c>
      <c r="CT457" s="1388" t="s">
        <v>8789</v>
      </c>
      <c r="CU457" s="1388" t="s">
        <v>9276</v>
      </c>
      <c r="CV457" s="1389" t="s">
        <v>9277</v>
      </c>
      <c r="CX457" s="1379">
        <v>1</v>
      </c>
    </row>
    <row r="458" spans="91:102" ht="21" customHeight="1" x14ac:dyDescent="0.25">
      <c r="CM458" s="1377"/>
      <c r="CN458" s="1388" t="s">
        <v>9320</v>
      </c>
      <c r="CO458" s="1388" t="s">
        <v>8125</v>
      </c>
      <c r="CP458" s="1388" t="s">
        <v>8106</v>
      </c>
      <c r="CQ458" s="1388" t="s">
        <v>9321</v>
      </c>
      <c r="CR458" s="1388" t="s">
        <v>9321</v>
      </c>
      <c r="CS458" s="1388" t="s">
        <v>8788</v>
      </c>
      <c r="CT458" s="1388" t="s">
        <v>8789</v>
      </c>
      <c r="CU458" s="1388" t="s">
        <v>9276</v>
      </c>
      <c r="CV458" s="1389" t="s">
        <v>9277</v>
      </c>
      <c r="CX458" s="1379">
        <v>1</v>
      </c>
    </row>
    <row r="459" spans="91:102" ht="21" customHeight="1" x14ac:dyDescent="0.25">
      <c r="CM459" s="1377"/>
      <c r="CN459" s="1388" t="s">
        <v>9322</v>
      </c>
      <c r="CO459" s="1388" t="s">
        <v>8125</v>
      </c>
      <c r="CP459" s="1388" t="s">
        <v>8106</v>
      </c>
      <c r="CQ459" s="1388" t="s">
        <v>9323</v>
      </c>
      <c r="CR459" s="1388" t="s">
        <v>9323</v>
      </c>
      <c r="CS459" s="1388" t="s">
        <v>8788</v>
      </c>
      <c r="CT459" s="1388" t="s">
        <v>8789</v>
      </c>
      <c r="CU459" s="1388" t="s">
        <v>9276</v>
      </c>
      <c r="CV459" s="1389" t="s">
        <v>9277</v>
      </c>
      <c r="CX459" s="1379">
        <v>1</v>
      </c>
    </row>
    <row r="460" spans="91:102" ht="21" customHeight="1" x14ac:dyDescent="0.25">
      <c r="CM460" s="1377"/>
      <c r="CN460" s="1388" t="s">
        <v>9324</v>
      </c>
      <c r="CO460" s="1388" t="s">
        <v>8125</v>
      </c>
      <c r="CP460" s="1388" t="s">
        <v>8106</v>
      </c>
      <c r="CQ460" s="1388" t="s">
        <v>9325</v>
      </c>
      <c r="CR460" s="1388" t="s">
        <v>9325</v>
      </c>
      <c r="CS460" s="1388" t="s">
        <v>8788</v>
      </c>
      <c r="CT460" s="1388" t="s">
        <v>8789</v>
      </c>
      <c r="CU460" s="1388" t="s">
        <v>9276</v>
      </c>
      <c r="CV460" s="1389" t="s">
        <v>9277</v>
      </c>
      <c r="CX460" s="1379">
        <v>1</v>
      </c>
    </row>
    <row r="461" spans="91:102" ht="21" customHeight="1" x14ac:dyDescent="0.25">
      <c r="CM461" s="1377"/>
      <c r="CN461" s="1388" t="s">
        <v>9326</v>
      </c>
      <c r="CO461" s="1388" t="s">
        <v>8125</v>
      </c>
      <c r="CP461" s="1388" t="s">
        <v>8106</v>
      </c>
      <c r="CQ461" s="1388" t="s">
        <v>9327</v>
      </c>
      <c r="CR461" s="1388" t="s">
        <v>9327</v>
      </c>
      <c r="CS461" s="1388" t="s">
        <v>8788</v>
      </c>
      <c r="CT461" s="1388" t="s">
        <v>8789</v>
      </c>
      <c r="CU461" s="1388" t="s">
        <v>9276</v>
      </c>
      <c r="CV461" s="1389" t="s">
        <v>9277</v>
      </c>
      <c r="CX461" s="1379">
        <v>1</v>
      </c>
    </row>
    <row r="462" spans="91:102" ht="21" customHeight="1" x14ac:dyDescent="0.25">
      <c r="CM462" s="1377"/>
      <c r="CN462" s="1388" t="s">
        <v>9328</v>
      </c>
      <c r="CO462" s="1388" t="s">
        <v>8125</v>
      </c>
      <c r="CP462" s="1388" t="s">
        <v>8106</v>
      </c>
      <c r="CQ462" s="1388" t="s">
        <v>9329</v>
      </c>
      <c r="CR462" s="1388" t="s">
        <v>9329</v>
      </c>
      <c r="CS462" s="1388" t="s">
        <v>8788</v>
      </c>
      <c r="CT462" s="1388" t="s">
        <v>8789</v>
      </c>
      <c r="CU462" s="1388" t="s">
        <v>9276</v>
      </c>
      <c r="CV462" s="1389" t="s">
        <v>9277</v>
      </c>
      <c r="CX462" s="1379">
        <v>1</v>
      </c>
    </row>
    <row r="463" spans="91:102" ht="21" customHeight="1" x14ac:dyDescent="0.25">
      <c r="CM463" s="1377"/>
      <c r="CN463" s="1388" t="s">
        <v>9330</v>
      </c>
      <c r="CO463" s="1388" t="s">
        <v>8125</v>
      </c>
      <c r="CP463" s="1388" t="s">
        <v>8106</v>
      </c>
      <c r="CQ463" s="1388" t="s">
        <v>9331</v>
      </c>
      <c r="CR463" s="1388" t="s">
        <v>9331</v>
      </c>
      <c r="CS463" s="1388" t="s">
        <v>8788</v>
      </c>
      <c r="CT463" s="1388" t="s">
        <v>8789</v>
      </c>
      <c r="CU463" s="1388" t="s">
        <v>9276</v>
      </c>
      <c r="CV463" s="1389" t="s">
        <v>9277</v>
      </c>
      <c r="CX463" s="1379">
        <v>1</v>
      </c>
    </row>
    <row r="464" spans="91:102" ht="21" customHeight="1" x14ac:dyDescent="0.25">
      <c r="CM464" s="1377"/>
      <c r="CN464" s="1388" t="s">
        <v>9332</v>
      </c>
      <c r="CO464" s="1388" t="s">
        <v>8125</v>
      </c>
      <c r="CP464" s="1388" t="s">
        <v>8106</v>
      </c>
      <c r="CQ464" s="1388" t="s">
        <v>9333</v>
      </c>
      <c r="CR464" s="1388" t="s">
        <v>9333</v>
      </c>
      <c r="CS464" s="1388" t="s">
        <v>8788</v>
      </c>
      <c r="CT464" s="1388" t="s">
        <v>8789</v>
      </c>
      <c r="CU464" s="1388" t="s">
        <v>9276</v>
      </c>
      <c r="CV464" s="1389" t="s">
        <v>9277</v>
      </c>
      <c r="CX464" s="1379">
        <v>1</v>
      </c>
    </row>
    <row r="465" spans="91:102" ht="21" customHeight="1" x14ac:dyDescent="0.25">
      <c r="CM465" s="1377"/>
      <c r="CN465" s="1388" t="s">
        <v>9334</v>
      </c>
      <c r="CO465" s="1388" t="s">
        <v>8125</v>
      </c>
      <c r="CP465" s="1388" t="s">
        <v>8106</v>
      </c>
      <c r="CQ465" s="1388" t="s">
        <v>9335</v>
      </c>
      <c r="CR465" s="1388" t="s">
        <v>9335</v>
      </c>
      <c r="CS465" s="1388" t="s">
        <v>8788</v>
      </c>
      <c r="CT465" s="1388" t="s">
        <v>8789</v>
      </c>
      <c r="CU465" s="1388" t="s">
        <v>9276</v>
      </c>
      <c r="CV465" s="1389" t="s">
        <v>9277</v>
      </c>
      <c r="CX465" s="1379">
        <v>1</v>
      </c>
    </row>
    <row r="466" spans="91:102" ht="21" customHeight="1" x14ac:dyDescent="0.25">
      <c r="CM466" s="1377"/>
      <c r="CN466" s="1388" t="s">
        <v>9336</v>
      </c>
      <c r="CO466" s="1388" t="s">
        <v>8125</v>
      </c>
      <c r="CP466" s="1388" t="s">
        <v>8106</v>
      </c>
      <c r="CQ466" s="1388" t="s">
        <v>9337</v>
      </c>
      <c r="CR466" s="1388" t="s">
        <v>9337</v>
      </c>
      <c r="CS466" s="1388" t="s">
        <v>8788</v>
      </c>
      <c r="CT466" s="1388" t="s">
        <v>8789</v>
      </c>
      <c r="CU466" s="1388" t="s">
        <v>9276</v>
      </c>
      <c r="CV466" s="1389" t="s">
        <v>9277</v>
      </c>
      <c r="CX466" s="1379">
        <v>1</v>
      </c>
    </row>
    <row r="467" spans="91:102" ht="21" customHeight="1" x14ac:dyDescent="0.25">
      <c r="CM467" s="1377"/>
      <c r="CN467" s="1388" t="s">
        <v>9338</v>
      </c>
      <c r="CO467" s="1388" t="s">
        <v>8125</v>
      </c>
      <c r="CP467" s="1388" t="s">
        <v>8106</v>
      </c>
      <c r="CQ467" s="1388" t="s">
        <v>9339</v>
      </c>
      <c r="CR467" s="1388" t="s">
        <v>9339</v>
      </c>
      <c r="CS467" s="1388" t="s">
        <v>8788</v>
      </c>
      <c r="CT467" s="1388" t="s">
        <v>8789</v>
      </c>
      <c r="CU467" s="1388" t="s">
        <v>9276</v>
      </c>
      <c r="CV467" s="1389" t="s">
        <v>9277</v>
      </c>
      <c r="CX467" s="1379">
        <v>1</v>
      </c>
    </row>
    <row r="468" spans="91:102" ht="21" customHeight="1" x14ac:dyDescent="0.25">
      <c r="CM468" s="1377"/>
      <c r="CN468" s="1388" t="s">
        <v>9340</v>
      </c>
      <c r="CO468" s="1388" t="s">
        <v>8125</v>
      </c>
      <c r="CP468" s="1388" t="s">
        <v>8106</v>
      </c>
      <c r="CQ468" s="1388" t="s">
        <v>9341</v>
      </c>
      <c r="CR468" s="1388" t="s">
        <v>9341</v>
      </c>
      <c r="CS468" s="1388" t="s">
        <v>8788</v>
      </c>
      <c r="CT468" s="1388" t="s">
        <v>8789</v>
      </c>
      <c r="CU468" s="1388" t="s">
        <v>9276</v>
      </c>
      <c r="CV468" s="1389" t="s">
        <v>9277</v>
      </c>
      <c r="CX468" s="1379">
        <v>1</v>
      </c>
    </row>
    <row r="469" spans="91:102" ht="21" customHeight="1" x14ac:dyDescent="0.25">
      <c r="CM469" s="1377"/>
      <c r="CN469" s="1388" t="s">
        <v>9342</v>
      </c>
      <c r="CO469" s="1388" t="s">
        <v>8125</v>
      </c>
      <c r="CP469" s="1388" t="s">
        <v>8106</v>
      </c>
      <c r="CQ469" s="1388" t="s">
        <v>9343</v>
      </c>
      <c r="CR469" s="1388" t="s">
        <v>9343</v>
      </c>
      <c r="CS469" s="1388" t="s">
        <v>8788</v>
      </c>
      <c r="CT469" s="1388" t="s">
        <v>8789</v>
      </c>
      <c r="CU469" s="1388" t="s">
        <v>9276</v>
      </c>
      <c r="CV469" s="1389" t="s">
        <v>9277</v>
      </c>
      <c r="CX469" s="1379">
        <v>1</v>
      </c>
    </row>
    <row r="470" spans="91:102" ht="21" customHeight="1" x14ac:dyDescent="0.25">
      <c r="CM470" s="1377"/>
      <c r="CN470" s="1388" t="s">
        <v>9344</v>
      </c>
      <c r="CO470" s="1388" t="s">
        <v>8125</v>
      </c>
      <c r="CP470" s="1388" t="s">
        <v>8106</v>
      </c>
      <c r="CQ470" s="1388" t="s">
        <v>9345</v>
      </c>
      <c r="CR470" s="1388" t="s">
        <v>9345</v>
      </c>
      <c r="CS470" s="1388" t="s">
        <v>8788</v>
      </c>
      <c r="CT470" s="1388" t="s">
        <v>8789</v>
      </c>
      <c r="CU470" s="1388" t="s">
        <v>9276</v>
      </c>
      <c r="CV470" s="1389" t="s">
        <v>9277</v>
      </c>
      <c r="CX470" s="1379">
        <v>1</v>
      </c>
    </row>
    <row r="471" spans="91:102" ht="21" customHeight="1" x14ac:dyDescent="0.25">
      <c r="CM471" s="1377"/>
      <c r="CN471" s="1388" t="s">
        <v>9346</v>
      </c>
      <c r="CO471" s="1388" t="s">
        <v>8125</v>
      </c>
      <c r="CP471" s="1388" t="s">
        <v>8106</v>
      </c>
      <c r="CQ471" s="1388" t="s">
        <v>9347</v>
      </c>
      <c r="CR471" s="1388" t="s">
        <v>9347</v>
      </c>
      <c r="CS471" s="1388" t="s">
        <v>8788</v>
      </c>
      <c r="CT471" s="1388" t="s">
        <v>8789</v>
      </c>
      <c r="CU471" s="1388" t="s">
        <v>9276</v>
      </c>
      <c r="CV471" s="1389" t="s">
        <v>9277</v>
      </c>
      <c r="CX471" s="1379">
        <v>1</v>
      </c>
    </row>
    <row r="472" spans="91:102" ht="21" customHeight="1" x14ac:dyDescent="0.25">
      <c r="CM472" s="1377"/>
      <c r="CN472" s="1388" t="s">
        <v>9348</v>
      </c>
      <c r="CO472" s="1388" t="s">
        <v>8125</v>
      </c>
      <c r="CP472" s="1388" t="s">
        <v>8106</v>
      </c>
      <c r="CQ472" s="1388" t="s">
        <v>9349</v>
      </c>
      <c r="CR472" s="1388" t="s">
        <v>9349</v>
      </c>
      <c r="CS472" s="1388" t="s">
        <v>8788</v>
      </c>
      <c r="CT472" s="1388" t="s">
        <v>8789</v>
      </c>
      <c r="CU472" s="1388" t="s">
        <v>9276</v>
      </c>
      <c r="CV472" s="1389" t="s">
        <v>9277</v>
      </c>
      <c r="CX472" s="1379">
        <v>1</v>
      </c>
    </row>
    <row r="473" spans="91:102" ht="21" customHeight="1" x14ac:dyDescent="0.25">
      <c r="CM473" s="1377"/>
      <c r="CN473" s="1388" t="s">
        <v>9350</v>
      </c>
      <c r="CO473" s="1388" t="s">
        <v>8125</v>
      </c>
      <c r="CP473" s="1388" t="s">
        <v>8106</v>
      </c>
      <c r="CQ473" s="1388" t="s">
        <v>9351</v>
      </c>
      <c r="CR473" s="1388" t="s">
        <v>9351</v>
      </c>
      <c r="CS473" s="1388" t="s">
        <v>8788</v>
      </c>
      <c r="CT473" s="1388" t="s">
        <v>8789</v>
      </c>
      <c r="CU473" s="1388" t="s">
        <v>9276</v>
      </c>
      <c r="CV473" s="1389" t="s">
        <v>9277</v>
      </c>
      <c r="CX473" s="1379">
        <v>1</v>
      </c>
    </row>
    <row r="474" spans="91:102" ht="21" customHeight="1" x14ac:dyDescent="0.25">
      <c r="CM474" s="1377"/>
      <c r="CN474" s="1388" t="s">
        <v>9352</v>
      </c>
      <c r="CO474" s="1388" t="s">
        <v>8125</v>
      </c>
      <c r="CP474" s="1388" t="s">
        <v>8106</v>
      </c>
      <c r="CQ474" s="1388" t="s">
        <v>9353</v>
      </c>
      <c r="CR474" s="1388" t="s">
        <v>9353</v>
      </c>
      <c r="CS474" s="1388" t="s">
        <v>8788</v>
      </c>
      <c r="CT474" s="1388" t="s">
        <v>8789</v>
      </c>
      <c r="CU474" s="1388" t="s">
        <v>9276</v>
      </c>
      <c r="CV474" s="1389" t="s">
        <v>9277</v>
      </c>
      <c r="CX474" s="1379">
        <v>1</v>
      </c>
    </row>
    <row r="475" spans="91:102" ht="21" customHeight="1" x14ac:dyDescent="0.25">
      <c r="CM475" s="1377"/>
      <c r="CN475" s="1388" t="s">
        <v>9354</v>
      </c>
      <c r="CO475" s="1388" t="s">
        <v>8125</v>
      </c>
      <c r="CP475" s="1388" t="s">
        <v>8106</v>
      </c>
      <c r="CQ475" s="1388" t="s">
        <v>9355</v>
      </c>
      <c r="CR475" s="1388" t="s">
        <v>9355</v>
      </c>
      <c r="CS475" s="1388" t="s">
        <v>8788</v>
      </c>
      <c r="CT475" s="1388" t="s">
        <v>8789</v>
      </c>
      <c r="CU475" s="1388" t="s">
        <v>9276</v>
      </c>
      <c r="CV475" s="1389" t="s">
        <v>9277</v>
      </c>
      <c r="CX475" s="1379">
        <v>1</v>
      </c>
    </row>
    <row r="476" spans="91:102" ht="21" customHeight="1" x14ac:dyDescent="0.25">
      <c r="CM476" s="1377"/>
      <c r="CN476" s="1388" t="s">
        <v>9356</v>
      </c>
      <c r="CO476" s="1388" t="s">
        <v>8125</v>
      </c>
      <c r="CP476" s="1388" t="s">
        <v>8106</v>
      </c>
      <c r="CQ476" s="1388" t="s">
        <v>9357</v>
      </c>
      <c r="CR476" s="1388" t="s">
        <v>9358</v>
      </c>
      <c r="CS476" s="1388" t="s">
        <v>8108</v>
      </c>
      <c r="CT476" s="1388" t="s">
        <v>9359</v>
      </c>
      <c r="CU476" s="1388" t="s">
        <v>8110</v>
      </c>
      <c r="CV476" s="1389" t="s">
        <v>8111</v>
      </c>
      <c r="CX476" s="1379">
        <v>1</v>
      </c>
    </row>
    <row r="477" spans="91:102" ht="21" customHeight="1" x14ac:dyDescent="0.25">
      <c r="CM477" s="1377"/>
      <c r="CN477" s="1388" t="s">
        <v>9360</v>
      </c>
      <c r="CO477" s="1388" t="s">
        <v>8125</v>
      </c>
      <c r="CP477" s="1388" t="s">
        <v>8106</v>
      </c>
      <c r="CQ477" s="1388" t="s">
        <v>9361</v>
      </c>
      <c r="CR477" s="1388" t="s">
        <v>9361</v>
      </c>
      <c r="CS477" s="1388" t="s">
        <v>8788</v>
      </c>
      <c r="CT477" s="1388" t="s">
        <v>8789</v>
      </c>
      <c r="CU477" s="1388" t="s">
        <v>9276</v>
      </c>
      <c r="CV477" s="1389" t="s">
        <v>9277</v>
      </c>
      <c r="CX477" s="1379">
        <v>1</v>
      </c>
    </row>
    <row r="478" spans="91:102" ht="21" customHeight="1" x14ac:dyDescent="0.25">
      <c r="CM478" s="1377"/>
      <c r="CN478" s="1388" t="s">
        <v>9362</v>
      </c>
      <c r="CO478" s="1388" t="s">
        <v>8125</v>
      </c>
      <c r="CP478" s="1388" t="s">
        <v>8106</v>
      </c>
      <c r="CQ478" s="1388" t="s">
        <v>9363</v>
      </c>
      <c r="CR478" s="1388" t="s">
        <v>9363</v>
      </c>
      <c r="CS478" s="1388" t="s">
        <v>8788</v>
      </c>
      <c r="CT478" s="1388" t="s">
        <v>8789</v>
      </c>
      <c r="CU478" s="1388" t="s">
        <v>9276</v>
      </c>
      <c r="CV478" s="1389" t="s">
        <v>9277</v>
      </c>
      <c r="CX478" s="1379">
        <v>1</v>
      </c>
    </row>
    <row r="479" spans="91:102" ht="21" customHeight="1" x14ac:dyDescent="0.25">
      <c r="CM479" s="1377"/>
      <c r="CN479" s="1388" t="s">
        <v>9364</v>
      </c>
      <c r="CO479" s="1388" t="s">
        <v>8125</v>
      </c>
      <c r="CP479" s="1388" t="s">
        <v>8106</v>
      </c>
      <c r="CQ479" s="1388" t="s">
        <v>9365</v>
      </c>
      <c r="CR479" s="1388" t="s">
        <v>9365</v>
      </c>
      <c r="CS479" s="1388" t="s">
        <v>8788</v>
      </c>
      <c r="CT479" s="1388" t="s">
        <v>8789</v>
      </c>
      <c r="CU479" s="1388" t="s">
        <v>9276</v>
      </c>
      <c r="CV479" s="1389" t="s">
        <v>9277</v>
      </c>
      <c r="CX479" s="1379">
        <v>1</v>
      </c>
    </row>
    <row r="480" spans="91:102" ht="21" customHeight="1" x14ac:dyDescent="0.25">
      <c r="CM480" s="1377"/>
      <c r="CN480" s="1388" t="s">
        <v>9366</v>
      </c>
      <c r="CO480" s="1388" t="s">
        <v>8125</v>
      </c>
      <c r="CP480" s="1388" t="s">
        <v>8106</v>
      </c>
      <c r="CQ480" s="1388" t="s">
        <v>9367</v>
      </c>
      <c r="CR480" s="1388" t="s">
        <v>9367</v>
      </c>
      <c r="CS480" s="1388" t="s">
        <v>8788</v>
      </c>
      <c r="CT480" s="1388" t="s">
        <v>8789</v>
      </c>
      <c r="CU480" s="1388" t="s">
        <v>9276</v>
      </c>
      <c r="CV480" s="1389" t="s">
        <v>9277</v>
      </c>
      <c r="CX480" s="1379">
        <v>1</v>
      </c>
    </row>
    <row r="481" spans="91:102" ht="21" customHeight="1" x14ac:dyDescent="0.25">
      <c r="CM481" s="1377"/>
      <c r="CN481" s="1388" t="s">
        <v>9368</v>
      </c>
      <c r="CO481" s="1388" t="s">
        <v>8125</v>
      </c>
      <c r="CP481" s="1388" t="s">
        <v>8106</v>
      </c>
      <c r="CQ481" s="1388" t="s">
        <v>9369</v>
      </c>
      <c r="CR481" s="1388" t="s">
        <v>9369</v>
      </c>
      <c r="CS481" s="1388" t="s">
        <v>8788</v>
      </c>
      <c r="CT481" s="1388" t="s">
        <v>8789</v>
      </c>
      <c r="CU481" s="1388" t="s">
        <v>9276</v>
      </c>
      <c r="CV481" s="1389" t="s">
        <v>9277</v>
      </c>
      <c r="CX481" s="1379">
        <v>1</v>
      </c>
    </row>
    <row r="482" spans="91:102" ht="21" customHeight="1" x14ac:dyDescent="0.25">
      <c r="CM482" s="1377"/>
      <c r="CN482" s="1388" t="s">
        <v>9370</v>
      </c>
      <c r="CO482" s="1388" t="s">
        <v>8125</v>
      </c>
      <c r="CP482" s="1388" t="s">
        <v>8106</v>
      </c>
      <c r="CQ482" s="1388" t="s">
        <v>9371</v>
      </c>
      <c r="CR482" s="1388" t="s">
        <v>9371</v>
      </c>
      <c r="CS482" s="1388" t="s">
        <v>8788</v>
      </c>
      <c r="CT482" s="1388" t="s">
        <v>8789</v>
      </c>
      <c r="CU482" s="1388" t="s">
        <v>9276</v>
      </c>
      <c r="CV482" s="1389" t="s">
        <v>9277</v>
      </c>
      <c r="CX482" s="1379">
        <v>1</v>
      </c>
    </row>
    <row r="483" spans="91:102" ht="21" customHeight="1" x14ac:dyDescent="0.25">
      <c r="CM483" s="1377"/>
      <c r="CN483" s="1388" t="s">
        <v>9372</v>
      </c>
      <c r="CO483" s="1388" t="s">
        <v>8125</v>
      </c>
      <c r="CP483" s="1388" t="s">
        <v>8106</v>
      </c>
      <c r="CQ483" s="1388" t="s">
        <v>9373</v>
      </c>
      <c r="CR483" s="1388" t="s">
        <v>9373</v>
      </c>
      <c r="CS483" s="1388" t="s">
        <v>8788</v>
      </c>
      <c r="CT483" s="1388" t="s">
        <v>8789</v>
      </c>
      <c r="CU483" s="1388" t="s">
        <v>9276</v>
      </c>
      <c r="CV483" s="1389" t="s">
        <v>9277</v>
      </c>
      <c r="CX483" s="1379">
        <v>1</v>
      </c>
    </row>
    <row r="484" spans="91:102" ht="21" customHeight="1" x14ac:dyDescent="0.25">
      <c r="CM484" s="1377"/>
      <c r="CN484" s="1388" t="s">
        <v>9374</v>
      </c>
      <c r="CO484" s="1388" t="s">
        <v>8125</v>
      </c>
      <c r="CP484" s="1388" t="s">
        <v>8106</v>
      </c>
      <c r="CQ484" s="1388" t="s">
        <v>9375</v>
      </c>
      <c r="CR484" s="1388" t="s">
        <v>9375</v>
      </c>
      <c r="CS484" s="1388" t="s">
        <v>8194</v>
      </c>
      <c r="CT484" s="1388" t="s">
        <v>8195</v>
      </c>
      <c r="CU484" s="1388" t="s">
        <v>8110</v>
      </c>
      <c r="CV484" s="1389" t="s">
        <v>8196</v>
      </c>
      <c r="CX484" s="1379">
        <v>1</v>
      </c>
    </row>
    <row r="485" spans="91:102" ht="21" customHeight="1" x14ac:dyDescent="0.25">
      <c r="CM485" s="1377"/>
      <c r="CN485" s="1388" t="s">
        <v>9376</v>
      </c>
      <c r="CO485" s="1388" t="s">
        <v>8125</v>
      </c>
      <c r="CP485" s="1388" t="s">
        <v>8106</v>
      </c>
      <c r="CQ485" s="1388" t="s">
        <v>9377</v>
      </c>
      <c r="CR485" s="1388" t="s">
        <v>9377</v>
      </c>
      <c r="CS485" s="1388" t="s">
        <v>8194</v>
      </c>
      <c r="CT485" s="1388" t="s">
        <v>8195</v>
      </c>
      <c r="CU485" s="1388" t="s">
        <v>8110</v>
      </c>
      <c r="CV485" s="1389" t="s">
        <v>8196</v>
      </c>
      <c r="CX485" s="1379">
        <v>1</v>
      </c>
    </row>
    <row r="486" spans="91:102" ht="21" customHeight="1" x14ac:dyDescent="0.25">
      <c r="CM486" s="1377"/>
      <c r="CN486" s="1388" t="s">
        <v>9378</v>
      </c>
      <c r="CO486" s="1388" t="s">
        <v>8125</v>
      </c>
      <c r="CP486" s="1388" t="s">
        <v>8106</v>
      </c>
      <c r="CQ486" s="1388" t="s">
        <v>9379</v>
      </c>
      <c r="CR486" s="1388" t="s">
        <v>9379</v>
      </c>
      <c r="CS486" s="1388" t="s">
        <v>8788</v>
      </c>
      <c r="CT486" s="1388" t="s">
        <v>8789</v>
      </c>
      <c r="CU486" s="1388" t="s">
        <v>9276</v>
      </c>
      <c r="CV486" s="1389" t="s">
        <v>9277</v>
      </c>
      <c r="CX486" s="1379">
        <v>1</v>
      </c>
    </row>
    <row r="487" spans="91:102" ht="21" customHeight="1" x14ac:dyDescent="0.25">
      <c r="CM487" s="1377"/>
      <c r="CN487" s="1388" t="s">
        <v>9380</v>
      </c>
      <c r="CO487" s="1388" t="s">
        <v>8125</v>
      </c>
      <c r="CP487" s="1388" t="s">
        <v>8106</v>
      </c>
      <c r="CQ487" s="1388" t="s">
        <v>9381</v>
      </c>
      <c r="CR487" s="1388" t="s">
        <v>9381</v>
      </c>
      <c r="CS487" s="1388" t="s">
        <v>8788</v>
      </c>
      <c r="CT487" s="1388" t="s">
        <v>8789</v>
      </c>
      <c r="CU487" s="1388" t="s">
        <v>9276</v>
      </c>
      <c r="CV487" s="1389" t="s">
        <v>9277</v>
      </c>
      <c r="CX487" s="1379">
        <v>1</v>
      </c>
    </row>
    <row r="488" spans="91:102" ht="21" customHeight="1" x14ac:dyDescent="0.25">
      <c r="CM488" s="1377"/>
      <c r="CN488" s="1388" t="s">
        <v>9382</v>
      </c>
      <c r="CO488" s="1388" t="s">
        <v>8125</v>
      </c>
      <c r="CP488" s="1388" t="s">
        <v>8106</v>
      </c>
      <c r="CQ488" s="1388" t="s">
        <v>9383</v>
      </c>
      <c r="CR488" s="1388" t="s">
        <v>9383</v>
      </c>
      <c r="CS488" s="1388" t="s">
        <v>8788</v>
      </c>
      <c r="CT488" s="1388" t="s">
        <v>8789</v>
      </c>
      <c r="CU488" s="1388" t="s">
        <v>9276</v>
      </c>
      <c r="CV488" s="1389" t="s">
        <v>9277</v>
      </c>
      <c r="CX488" s="1379">
        <v>1</v>
      </c>
    </row>
    <row r="489" spans="91:102" ht="21" customHeight="1" x14ac:dyDescent="0.25">
      <c r="CM489" s="1377"/>
      <c r="CN489" s="1388" t="s">
        <v>9384</v>
      </c>
      <c r="CO489" s="1388" t="s">
        <v>8125</v>
      </c>
      <c r="CP489" s="1388" t="s">
        <v>8106</v>
      </c>
      <c r="CQ489" s="1388" t="s">
        <v>9385</v>
      </c>
      <c r="CR489" s="1388" t="s">
        <v>9385</v>
      </c>
      <c r="CS489" s="1388" t="s">
        <v>8788</v>
      </c>
      <c r="CT489" s="1388" t="s">
        <v>8789</v>
      </c>
      <c r="CU489" s="1388" t="s">
        <v>9276</v>
      </c>
      <c r="CV489" s="1389" t="s">
        <v>9277</v>
      </c>
      <c r="CX489" s="1379">
        <v>1</v>
      </c>
    </row>
    <row r="490" spans="91:102" ht="21" customHeight="1" x14ac:dyDescent="0.25">
      <c r="CM490" s="1377"/>
      <c r="CN490" s="1388" t="s">
        <v>9386</v>
      </c>
      <c r="CO490" s="1388" t="s">
        <v>8125</v>
      </c>
      <c r="CP490" s="1388" t="s">
        <v>8106</v>
      </c>
      <c r="CQ490" s="1388" t="s">
        <v>9387</v>
      </c>
      <c r="CR490" s="1388" t="s">
        <v>9387</v>
      </c>
      <c r="CS490" s="1388" t="s">
        <v>8788</v>
      </c>
      <c r="CT490" s="1388" t="s">
        <v>8789</v>
      </c>
      <c r="CU490" s="1388" t="s">
        <v>9276</v>
      </c>
      <c r="CV490" s="1389" t="s">
        <v>9277</v>
      </c>
      <c r="CX490" s="1379">
        <v>1</v>
      </c>
    </row>
    <row r="491" spans="91:102" ht="21" customHeight="1" x14ac:dyDescent="0.25">
      <c r="CM491" s="1377"/>
      <c r="CN491" s="1388" t="s">
        <v>9388</v>
      </c>
      <c r="CO491" s="1388" t="s">
        <v>8125</v>
      </c>
      <c r="CP491" s="1388" t="s">
        <v>8106</v>
      </c>
      <c r="CQ491" s="1388" t="s">
        <v>9389</v>
      </c>
      <c r="CR491" s="1388" t="s">
        <v>9389</v>
      </c>
      <c r="CS491" s="1388" t="s">
        <v>8788</v>
      </c>
      <c r="CT491" s="1388" t="s">
        <v>8789</v>
      </c>
      <c r="CU491" s="1388" t="s">
        <v>9276</v>
      </c>
      <c r="CV491" s="1389" t="s">
        <v>9277</v>
      </c>
      <c r="CX491" s="1379">
        <v>1</v>
      </c>
    </row>
    <row r="492" spans="91:102" ht="21" customHeight="1" x14ac:dyDescent="0.25">
      <c r="CM492" s="1377"/>
      <c r="CN492" s="1388" t="s">
        <v>9390</v>
      </c>
      <c r="CO492" s="1388" t="s">
        <v>8125</v>
      </c>
      <c r="CP492" s="1388" t="s">
        <v>8106</v>
      </c>
      <c r="CQ492" s="1388" t="s">
        <v>9391</v>
      </c>
      <c r="CR492" s="1388" t="s">
        <v>9391</v>
      </c>
      <c r="CS492" s="1388" t="s">
        <v>8788</v>
      </c>
      <c r="CT492" s="1388" t="s">
        <v>8789</v>
      </c>
      <c r="CU492" s="1388" t="s">
        <v>9276</v>
      </c>
      <c r="CV492" s="1389" t="s">
        <v>9277</v>
      </c>
      <c r="CX492" s="1379">
        <v>1</v>
      </c>
    </row>
    <row r="493" spans="91:102" ht="21" customHeight="1" x14ac:dyDescent="0.25">
      <c r="CM493" s="1377"/>
      <c r="CN493" s="1388" t="s">
        <v>9392</v>
      </c>
      <c r="CO493" s="1388" t="s">
        <v>8125</v>
      </c>
      <c r="CP493" s="1388" t="s">
        <v>8106</v>
      </c>
      <c r="CQ493" s="1388" t="s">
        <v>9393</v>
      </c>
      <c r="CR493" s="1388" t="s">
        <v>9393</v>
      </c>
      <c r="CS493" s="1388" t="s">
        <v>8788</v>
      </c>
      <c r="CT493" s="1388" t="s">
        <v>8789</v>
      </c>
      <c r="CU493" s="1388" t="s">
        <v>9276</v>
      </c>
      <c r="CV493" s="1389" t="s">
        <v>9277</v>
      </c>
      <c r="CX493" s="1379">
        <v>1</v>
      </c>
    </row>
    <row r="494" spans="91:102" ht="21" customHeight="1" x14ac:dyDescent="0.25">
      <c r="CM494" s="1377"/>
      <c r="CN494" s="1388" t="s">
        <v>9394</v>
      </c>
      <c r="CO494" s="1388" t="s">
        <v>8125</v>
      </c>
      <c r="CP494" s="1388" t="s">
        <v>8106</v>
      </c>
      <c r="CQ494" s="1388" t="s">
        <v>9395</v>
      </c>
      <c r="CR494" s="1388" t="s">
        <v>9395</v>
      </c>
      <c r="CS494" s="1388" t="s">
        <v>8788</v>
      </c>
      <c r="CT494" s="1388" t="s">
        <v>8789</v>
      </c>
      <c r="CU494" s="1388" t="s">
        <v>9276</v>
      </c>
      <c r="CV494" s="1389" t="s">
        <v>9277</v>
      </c>
      <c r="CX494" s="1379">
        <v>1</v>
      </c>
    </row>
    <row r="495" spans="91:102" ht="21" customHeight="1" x14ac:dyDescent="0.25">
      <c r="CM495" s="1377"/>
      <c r="CN495" s="1388" t="s">
        <v>9396</v>
      </c>
      <c r="CO495" s="1388" t="s">
        <v>8125</v>
      </c>
      <c r="CP495" s="1388" t="s">
        <v>8106</v>
      </c>
      <c r="CQ495" s="1388" t="s">
        <v>9397</v>
      </c>
      <c r="CR495" s="1388" t="s">
        <v>9397</v>
      </c>
      <c r="CS495" s="1388" t="s">
        <v>8788</v>
      </c>
      <c r="CT495" s="1388" t="s">
        <v>8789</v>
      </c>
      <c r="CU495" s="1388" t="s">
        <v>9276</v>
      </c>
      <c r="CV495" s="1389" t="s">
        <v>9277</v>
      </c>
      <c r="CX495" s="1379">
        <v>1</v>
      </c>
    </row>
    <row r="496" spans="91:102" ht="21" customHeight="1" x14ac:dyDescent="0.25">
      <c r="CM496" s="1377"/>
      <c r="CN496" s="1388" t="s">
        <v>9398</v>
      </c>
      <c r="CO496" s="1388" t="s">
        <v>8125</v>
      </c>
      <c r="CP496" s="1388" t="s">
        <v>8106</v>
      </c>
      <c r="CQ496" s="1388" t="s">
        <v>9399</v>
      </c>
      <c r="CR496" s="1388" t="s">
        <v>9399</v>
      </c>
      <c r="CS496" s="1388" t="s">
        <v>8788</v>
      </c>
      <c r="CT496" s="1388" t="s">
        <v>8789</v>
      </c>
      <c r="CU496" s="1388" t="s">
        <v>9276</v>
      </c>
      <c r="CV496" s="1389" t="s">
        <v>9277</v>
      </c>
      <c r="CX496" s="1379">
        <v>1</v>
      </c>
    </row>
    <row r="497" spans="91:102" ht="21" customHeight="1" x14ac:dyDescent="0.25">
      <c r="CM497" s="1377"/>
      <c r="CN497" s="1388" t="s">
        <v>9400</v>
      </c>
      <c r="CO497" s="1388" t="s">
        <v>8125</v>
      </c>
      <c r="CP497" s="1388" t="s">
        <v>8106</v>
      </c>
      <c r="CQ497" s="1388" t="s">
        <v>9401</v>
      </c>
      <c r="CR497" s="1388" t="s">
        <v>9401</v>
      </c>
      <c r="CS497" s="1388" t="s">
        <v>8788</v>
      </c>
      <c r="CT497" s="1388" t="s">
        <v>8789</v>
      </c>
      <c r="CU497" s="1388" t="s">
        <v>9276</v>
      </c>
      <c r="CV497" s="1389" t="s">
        <v>9277</v>
      </c>
      <c r="CX497" s="1379">
        <v>1</v>
      </c>
    </row>
    <row r="498" spans="91:102" ht="21" customHeight="1" x14ac:dyDescent="0.25">
      <c r="CM498" s="1377"/>
      <c r="CN498" s="1388" t="s">
        <v>9402</v>
      </c>
      <c r="CO498" s="1388" t="s">
        <v>8125</v>
      </c>
      <c r="CP498" s="1388" t="s">
        <v>8106</v>
      </c>
      <c r="CQ498" s="1388" t="s">
        <v>9403</v>
      </c>
      <c r="CR498" s="1388" t="s">
        <v>9403</v>
      </c>
      <c r="CS498" s="1388" t="s">
        <v>8788</v>
      </c>
      <c r="CT498" s="1388" t="s">
        <v>8789</v>
      </c>
      <c r="CU498" s="1388" t="s">
        <v>9276</v>
      </c>
      <c r="CV498" s="1389" t="s">
        <v>9277</v>
      </c>
      <c r="CX498" s="1379">
        <v>1</v>
      </c>
    </row>
    <row r="499" spans="91:102" ht="21" customHeight="1" x14ac:dyDescent="0.25">
      <c r="CM499" s="1377"/>
      <c r="CN499" s="1388" t="s">
        <v>9404</v>
      </c>
      <c r="CO499" s="1388" t="s">
        <v>8125</v>
      </c>
      <c r="CP499" s="1388" t="s">
        <v>8106</v>
      </c>
      <c r="CQ499" s="1388" t="s">
        <v>9405</v>
      </c>
      <c r="CR499" s="1388" t="s">
        <v>9405</v>
      </c>
      <c r="CS499" s="1388" t="s">
        <v>8788</v>
      </c>
      <c r="CT499" s="1388" t="s">
        <v>8789</v>
      </c>
      <c r="CU499" s="1388" t="s">
        <v>9276</v>
      </c>
      <c r="CV499" s="1389" t="s">
        <v>9277</v>
      </c>
      <c r="CX499" s="1379">
        <v>1</v>
      </c>
    </row>
    <row r="500" spans="91:102" ht="21" customHeight="1" x14ac:dyDescent="0.25">
      <c r="CM500" s="1377"/>
      <c r="CN500" s="1388" t="s">
        <v>9406</v>
      </c>
      <c r="CO500" s="1388" t="s">
        <v>8125</v>
      </c>
      <c r="CP500" s="1388" t="s">
        <v>8106</v>
      </c>
      <c r="CQ500" s="1388" t="s">
        <v>9407</v>
      </c>
      <c r="CR500" s="1388" t="s">
        <v>9407</v>
      </c>
      <c r="CS500" s="1388" t="s">
        <v>8788</v>
      </c>
      <c r="CT500" s="1388" t="s">
        <v>8789</v>
      </c>
      <c r="CU500" s="1388" t="s">
        <v>9276</v>
      </c>
      <c r="CV500" s="1389" t="s">
        <v>9277</v>
      </c>
      <c r="CX500" s="1379">
        <v>1</v>
      </c>
    </row>
    <row r="501" spans="91:102" ht="21" customHeight="1" x14ac:dyDescent="0.25">
      <c r="CM501" s="1377"/>
      <c r="CN501" s="1388" t="s">
        <v>9408</v>
      </c>
      <c r="CO501" s="1388" t="s">
        <v>8125</v>
      </c>
      <c r="CP501" s="1388" t="s">
        <v>8106</v>
      </c>
      <c r="CQ501" s="1388" t="s">
        <v>9409</v>
      </c>
      <c r="CR501" s="1388" t="s">
        <v>9409</v>
      </c>
      <c r="CS501" s="1388" t="s">
        <v>8788</v>
      </c>
      <c r="CT501" s="1388" t="s">
        <v>8789</v>
      </c>
      <c r="CU501" s="1388" t="s">
        <v>9276</v>
      </c>
      <c r="CV501" s="1389" t="s">
        <v>9277</v>
      </c>
      <c r="CX501" s="1379">
        <v>1</v>
      </c>
    </row>
    <row r="502" spans="91:102" ht="21" customHeight="1" x14ac:dyDescent="0.25">
      <c r="CM502" s="1377"/>
      <c r="CN502" s="1388" t="s">
        <v>9410</v>
      </c>
      <c r="CO502" s="1388" t="s">
        <v>8125</v>
      </c>
      <c r="CP502" s="1388" t="s">
        <v>8106</v>
      </c>
      <c r="CQ502" s="1388" t="s">
        <v>9411</v>
      </c>
      <c r="CR502" s="1388" t="s">
        <v>9411</v>
      </c>
      <c r="CS502" s="1388" t="s">
        <v>8788</v>
      </c>
      <c r="CT502" s="1388" t="s">
        <v>8789</v>
      </c>
      <c r="CU502" s="1388" t="s">
        <v>9276</v>
      </c>
      <c r="CV502" s="1389" t="s">
        <v>9277</v>
      </c>
      <c r="CX502" s="1379">
        <v>1</v>
      </c>
    </row>
    <row r="503" spans="91:102" ht="21" customHeight="1" x14ac:dyDescent="0.25">
      <c r="CM503" s="1377"/>
      <c r="CN503" s="1388" t="s">
        <v>9412</v>
      </c>
      <c r="CO503" s="1388" t="s">
        <v>8125</v>
      </c>
      <c r="CP503" s="1388" t="s">
        <v>8106</v>
      </c>
      <c r="CQ503" s="1388" t="s">
        <v>9413</v>
      </c>
      <c r="CR503" s="1388" t="s">
        <v>9413</v>
      </c>
      <c r="CS503" s="1388" t="s">
        <v>8788</v>
      </c>
      <c r="CT503" s="1388" t="s">
        <v>8789</v>
      </c>
      <c r="CU503" s="1388" t="s">
        <v>9276</v>
      </c>
      <c r="CV503" s="1389" t="s">
        <v>9277</v>
      </c>
      <c r="CX503" s="1379">
        <v>1</v>
      </c>
    </row>
    <row r="504" spans="91:102" ht="21" customHeight="1" x14ac:dyDescent="0.25">
      <c r="CM504" s="1377"/>
      <c r="CN504" s="1388" t="s">
        <v>9414</v>
      </c>
      <c r="CO504" s="1388" t="s">
        <v>8125</v>
      </c>
      <c r="CP504" s="1388" t="s">
        <v>8106</v>
      </c>
      <c r="CQ504" s="1388" t="s">
        <v>9415</v>
      </c>
      <c r="CR504" s="1388" t="s">
        <v>9415</v>
      </c>
      <c r="CS504" s="1388" t="s">
        <v>8788</v>
      </c>
      <c r="CT504" s="1388" t="s">
        <v>8789</v>
      </c>
      <c r="CU504" s="1388" t="s">
        <v>9276</v>
      </c>
      <c r="CV504" s="1389" t="s">
        <v>9277</v>
      </c>
      <c r="CX504" s="1379">
        <v>1</v>
      </c>
    </row>
    <row r="505" spans="91:102" ht="21" customHeight="1" x14ac:dyDescent="0.25">
      <c r="CM505" s="1377"/>
      <c r="CN505" s="1388" t="s">
        <v>9416</v>
      </c>
      <c r="CO505" s="1388" t="s">
        <v>8125</v>
      </c>
      <c r="CP505" s="1388" t="s">
        <v>8106</v>
      </c>
      <c r="CQ505" s="1388" t="s">
        <v>9417</v>
      </c>
      <c r="CR505" s="1388" t="s">
        <v>9417</v>
      </c>
      <c r="CS505" s="1388" t="s">
        <v>8788</v>
      </c>
      <c r="CT505" s="1388" t="s">
        <v>8789</v>
      </c>
      <c r="CU505" s="1388" t="s">
        <v>9276</v>
      </c>
      <c r="CV505" s="1389" t="s">
        <v>9277</v>
      </c>
      <c r="CX505" s="1379">
        <v>1</v>
      </c>
    </row>
    <row r="506" spans="91:102" ht="21" customHeight="1" x14ac:dyDescent="0.25">
      <c r="CM506" s="1377"/>
      <c r="CN506" s="1388" t="s">
        <v>9418</v>
      </c>
      <c r="CO506" s="1388" t="s">
        <v>8125</v>
      </c>
      <c r="CP506" s="1388" t="s">
        <v>8106</v>
      </c>
      <c r="CQ506" s="1388" t="s">
        <v>9419</v>
      </c>
      <c r="CR506" s="1388" t="s">
        <v>9419</v>
      </c>
      <c r="CS506" s="1388" t="s">
        <v>8788</v>
      </c>
      <c r="CT506" s="1388" t="s">
        <v>8789</v>
      </c>
      <c r="CU506" s="1388" t="s">
        <v>9276</v>
      </c>
      <c r="CV506" s="1389" t="s">
        <v>9277</v>
      </c>
      <c r="CX506" s="1379">
        <v>1</v>
      </c>
    </row>
    <row r="507" spans="91:102" ht="21" customHeight="1" x14ac:dyDescent="0.25">
      <c r="CM507" s="1377"/>
      <c r="CN507" s="1388" t="s">
        <v>9420</v>
      </c>
      <c r="CO507" s="1388" t="s">
        <v>8125</v>
      </c>
      <c r="CP507" s="1388" t="s">
        <v>8106</v>
      </c>
      <c r="CQ507" s="1388" t="s">
        <v>9421</v>
      </c>
      <c r="CR507" s="1388" t="s">
        <v>9421</v>
      </c>
      <c r="CS507" s="1388" t="s">
        <v>8788</v>
      </c>
      <c r="CT507" s="1388" t="s">
        <v>8789</v>
      </c>
      <c r="CU507" s="1388" t="s">
        <v>9276</v>
      </c>
      <c r="CV507" s="1389" t="s">
        <v>9277</v>
      </c>
      <c r="CX507" s="1379">
        <v>1</v>
      </c>
    </row>
    <row r="508" spans="91:102" ht="21" customHeight="1" x14ac:dyDescent="0.25">
      <c r="CM508" s="1377"/>
      <c r="CN508" s="1388" t="s">
        <v>9422</v>
      </c>
      <c r="CO508" s="1388" t="s">
        <v>8125</v>
      </c>
      <c r="CP508" s="1388" t="s">
        <v>8106</v>
      </c>
      <c r="CQ508" s="1388" t="s">
        <v>9423</v>
      </c>
      <c r="CR508" s="1388" t="s">
        <v>9423</v>
      </c>
      <c r="CS508" s="1388" t="s">
        <v>8788</v>
      </c>
      <c r="CT508" s="1388" t="s">
        <v>8789</v>
      </c>
      <c r="CU508" s="1388" t="s">
        <v>9276</v>
      </c>
      <c r="CV508" s="1389" t="s">
        <v>9277</v>
      </c>
      <c r="CX508" s="1379">
        <v>1</v>
      </c>
    </row>
    <row r="509" spans="91:102" ht="21" customHeight="1" x14ac:dyDescent="0.25">
      <c r="CM509" s="1377"/>
      <c r="CN509" s="1388" t="s">
        <v>9424</v>
      </c>
      <c r="CO509" s="1388" t="s">
        <v>8125</v>
      </c>
      <c r="CP509" s="1388" t="s">
        <v>8106</v>
      </c>
      <c r="CQ509" s="1388" t="s">
        <v>9425</v>
      </c>
      <c r="CR509" s="1388" t="s">
        <v>9425</v>
      </c>
      <c r="CS509" s="1388" t="s">
        <v>8788</v>
      </c>
      <c r="CT509" s="1388" t="s">
        <v>8789</v>
      </c>
      <c r="CU509" s="1388" t="s">
        <v>9276</v>
      </c>
      <c r="CV509" s="1389" t="s">
        <v>9277</v>
      </c>
      <c r="CX509" s="1379">
        <v>1</v>
      </c>
    </row>
    <row r="510" spans="91:102" ht="21" customHeight="1" x14ac:dyDescent="0.25">
      <c r="CM510" s="1377"/>
      <c r="CN510" s="1388" t="s">
        <v>9426</v>
      </c>
      <c r="CO510" s="1388" t="s">
        <v>8125</v>
      </c>
      <c r="CP510" s="1388" t="s">
        <v>8106</v>
      </c>
      <c r="CQ510" s="1388" t="s">
        <v>9427</v>
      </c>
      <c r="CR510" s="1388" t="s">
        <v>9427</v>
      </c>
      <c r="CS510" s="1388" t="s">
        <v>8788</v>
      </c>
      <c r="CT510" s="1388" t="s">
        <v>8789</v>
      </c>
      <c r="CU510" s="1388" t="s">
        <v>9276</v>
      </c>
      <c r="CV510" s="1389" t="s">
        <v>9277</v>
      </c>
      <c r="CX510" s="1379">
        <v>1</v>
      </c>
    </row>
    <row r="511" spans="91:102" ht="21" customHeight="1" x14ac:dyDescent="0.25">
      <c r="CM511" s="1377"/>
      <c r="CN511" s="1388" t="s">
        <v>9428</v>
      </c>
      <c r="CO511" s="1388" t="s">
        <v>8125</v>
      </c>
      <c r="CP511" s="1388" t="s">
        <v>8106</v>
      </c>
      <c r="CQ511" s="1388" t="s">
        <v>9429</v>
      </c>
      <c r="CR511" s="1388" t="s">
        <v>9429</v>
      </c>
      <c r="CS511" s="1388" t="s">
        <v>8788</v>
      </c>
      <c r="CT511" s="1388" t="s">
        <v>8789</v>
      </c>
      <c r="CU511" s="1388" t="s">
        <v>9276</v>
      </c>
      <c r="CV511" s="1389" t="s">
        <v>9277</v>
      </c>
      <c r="CX511" s="1379">
        <v>1</v>
      </c>
    </row>
    <row r="512" spans="91:102" ht="21" customHeight="1" x14ac:dyDescent="0.25">
      <c r="CM512" s="1377"/>
      <c r="CN512" s="1388" t="s">
        <v>9430</v>
      </c>
      <c r="CO512" s="1388" t="s">
        <v>8125</v>
      </c>
      <c r="CP512" s="1388" t="s">
        <v>8106</v>
      </c>
      <c r="CQ512" s="1388" t="s">
        <v>9431</v>
      </c>
      <c r="CR512" s="1388" t="s">
        <v>9431</v>
      </c>
      <c r="CS512" s="1388" t="s">
        <v>8788</v>
      </c>
      <c r="CT512" s="1388" t="s">
        <v>8789</v>
      </c>
      <c r="CU512" s="1388" t="s">
        <v>9276</v>
      </c>
      <c r="CV512" s="1389" t="s">
        <v>9277</v>
      </c>
      <c r="CX512" s="1379">
        <v>1</v>
      </c>
    </row>
    <row r="513" spans="91:102" ht="21" customHeight="1" x14ac:dyDescent="0.25">
      <c r="CM513" s="1377"/>
      <c r="CN513" s="1388" t="s">
        <v>9432</v>
      </c>
      <c r="CO513" s="1388" t="s">
        <v>8125</v>
      </c>
      <c r="CP513" s="1388" t="s">
        <v>8106</v>
      </c>
      <c r="CQ513" s="1388" t="s">
        <v>9433</v>
      </c>
      <c r="CR513" s="1388" t="s">
        <v>9433</v>
      </c>
      <c r="CS513" s="1388" t="s">
        <v>8788</v>
      </c>
      <c r="CT513" s="1388" t="s">
        <v>8789</v>
      </c>
      <c r="CU513" s="1388" t="s">
        <v>9276</v>
      </c>
      <c r="CV513" s="1389" t="s">
        <v>9277</v>
      </c>
      <c r="CX513" s="1379">
        <v>1</v>
      </c>
    </row>
    <row r="514" spans="91:102" ht="21" customHeight="1" x14ac:dyDescent="0.25">
      <c r="CM514" s="1377"/>
      <c r="CN514" s="1388" t="s">
        <v>9434</v>
      </c>
      <c r="CO514" s="1388" t="s">
        <v>8125</v>
      </c>
      <c r="CP514" s="1388" t="s">
        <v>8106</v>
      </c>
      <c r="CQ514" s="1388" t="s">
        <v>9435</v>
      </c>
      <c r="CR514" s="1388" t="s">
        <v>9435</v>
      </c>
      <c r="CS514" s="1388" t="s">
        <v>8788</v>
      </c>
      <c r="CT514" s="1388" t="s">
        <v>8789</v>
      </c>
      <c r="CU514" s="1388" t="s">
        <v>9276</v>
      </c>
      <c r="CV514" s="1389" t="s">
        <v>9277</v>
      </c>
      <c r="CX514" s="1379">
        <v>1</v>
      </c>
    </row>
    <row r="515" spans="91:102" ht="21" customHeight="1" x14ac:dyDescent="0.25">
      <c r="CM515" s="1377"/>
      <c r="CN515" s="1388" t="s">
        <v>9436</v>
      </c>
      <c r="CO515" s="1388" t="s">
        <v>8125</v>
      </c>
      <c r="CP515" s="1388" t="s">
        <v>8106</v>
      </c>
      <c r="CQ515" s="1388" t="s">
        <v>9437</v>
      </c>
      <c r="CR515" s="1388" t="s">
        <v>9437</v>
      </c>
      <c r="CS515" s="1388" t="s">
        <v>8788</v>
      </c>
      <c r="CT515" s="1388" t="s">
        <v>8789</v>
      </c>
      <c r="CU515" s="1388" t="s">
        <v>9276</v>
      </c>
      <c r="CV515" s="1389" t="s">
        <v>9277</v>
      </c>
      <c r="CX515" s="1379">
        <v>1</v>
      </c>
    </row>
    <row r="516" spans="91:102" ht="21" customHeight="1" x14ac:dyDescent="0.25">
      <c r="CM516" s="1377"/>
      <c r="CN516" s="1388" t="s">
        <v>9438</v>
      </c>
      <c r="CO516" s="1388" t="s">
        <v>8125</v>
      </c>
      <c r="CP516" s="1388" t="s">
        <v>8106</v>
      </c>
      <c r="CQ516" s="1388" t="s">
        <v>9439</v>
      </c>
      <c r="CR516" s="1388" t="s">
        <v>9439</v>
      </c>
      <c r="CS516" s="1388" t="s">
        <v>8788</v>
      </c>
      <c r="CT516" s="1388" t="s">
        <v>8789</v>
      </c>
      <c r="CU516" s="1388" t="s">
        <v>9276</v>
      </c>
      <c r="CV516" s="1389" t="s">
        <v>9277</v>
      </c>
      <c r="CX516" s="1379">
        <v>1</v>
      </c>
    </row>
    <row r="517" spans="91:102" ht="21" customHeight="1" x14ac:dyDescent="0.25">
      <c r="CM517" s="1377"/>
      <c r="CN517" s="1388" t="s">
        <v>9440</v>
      </c>
      <c r="CO517" s="1388" t="s">
        <v>8125</v>
      </c>
      <c r="CP517" s="1388" t="s">
        <v>8106</v>
      </c>
      <c r="CQ517" s="1388" t="s">
        <v>9441</v>
      </c>
      <c r="CR517" s="1388" t="s">
        <v>9441</v>
      </c>
      <c r="CS517" s="1388" t="s">
        <v>8788</v>
      </c>
      <c r="CT517" s="1388" t="s">
        <v>8789</v>
      </c>
      <c r="CU517" s="1388" t="s">
        <v>9276</v>
      </c>
      <c r="CV517" s="1389" t="s">
        <v>9277</v>
      </c>
      <c r="CX517" s="1379">
        <v>1</v>
      </c>
    </row>
    <row r="518" spans="91:102" ht="21" customHeight="1" x14ac:dyDescent="0.25">
      <c r="CM518" s="1377"/>
      <c r="CN518" s="1388" t="s">
        <v>9442</v>
      </c>
      <c r="CO518" s="1388" t="s">
        <v>8125</v>
      </c>
      <c r="CP518" s="1388" t="s">
        <v>8106</v>
      </c>
      <c r="CQ518" s="1388" t="s">
        <v>9443</v>
      </c>
      <c r="CR518" s="1388" t="s">
        <v>9443</v>
      </c>
      <c r="CS518" s="1388" t="s">
        <v>8788</v>
      </c>
      <c r="CT518" s="1388" t="s">
        <v>8789</v>
      </c>
      <c r="CU518" s="1388" t="s">
        <v>9276</v>
      </c>
      <c r="CV518" s="1389" t="s">
        <v>9277</v>
      </c>
      <c r="CX518" s="1379">
        <v>1</v>
      </c>
    </row>
    <row r="519" spans="91:102" ht="21" customHeight="1" x14ac:dyDescent="0.25">
      <c r="CM519" s="1377"/>
      <c r="CN519" s="1388" t="s">
        <v>9444</v>
      </c>
      <c r="CO519" s="1388" t="s">
        <v>8125</v>
      </c>
      <c r="CP519" s="1388" t="s">
        <v>8106</v>
      </c>
      <c r="CQ519" s="1388" t="s">
        <v>9445</v>
      </c>
      <c r="CR519" s="1388" t="s">
        <v>9445</v>
      </c>
      <c r="CS519" s="1388" t="s">
        <v>8788</v>
      </c>
      <c r="CT519" s="1388" t="s">
        <v>8789</v>
      </c>
      <c r="CU519" s="1388" t="s">
        <v>9276</v>
      </c>
      <c r="CV519" s="1389" t="s">
        <v>9277</v>
      </c>
      <c r="CX519" s="1379">
        <v>1</v>
      </c>
    </row>
    <row r="520" spans="91:102" ht="21" customHeight="1" x14ac:dyDescent="0.25">
      <c r="CM520" s="1377"/>
      <c r="CN520" s="1388" t="s">
        <v>9446</v>
      </c>
      <c r="CO520" s="1388" t="s">
        <v>8125</v>
      </c>
      <c r="CP520" s="1388" t="s">
        <v>8106</v>
      </c>
      <c r="CQ520" s="1388" t="s">
        <v>9447</v>
      </c>
      <c r="CR520" s="1388" t="s">
        <v>9447</v>
      </c>
      <c r="CS520" s="1388" t="s">
        <v>8788</v>
      </c>
      <c r="CT520" s="1388" t="s">
        <v>8789</v>
      </c>
      <c r="CU520" s="1388" t="s">
        <v>9276</v>
      </c>
      <c r="CV520" s="1389" t="s">
        <v>9277</v>
      </c>
      <c r="CX520" s="1379">
        <v>1</v>
      </c>
    </row>
    <row r="521" spans="91:102" ht="21" customHeight="1" x14ac:dyDescent="0.25">
      <c r="CM521" s="1377"/>
      <c r="CN521" s="1388" t="s">
        <v>9448</v>
      </c>
      <c r="CO521" s="1388" t="s">
        <v>8125</v>
      </c>
      <c r="CP521" s="1388" t="s">
        <v>8106</v>
      </c>
      <c r="CQ521" s="1388" t="s">
        <v>9449</v>
      </c>
      <c r="CR521" s="1388" t="s">
        <v>9449</v>
      </c>
      <c r="CS521" s="1388" t="s">
        <v>8788</v>
      </c>
      <c r="CT521" s="1388" t="s">
        <v>8789</v>
      </c>
      <c r="CU521" s="1388" t="s">
        <v>9276</v>
      </c>
      <c r="CV521" s="1389" t="s">
        <v>9277</v>
      </c>
      <c r="CX521" s="1379">
        <v>1</v>
      </c>
    </row>
    <row r="522" spans="91:102" ht="21" customHeight="1" x14ac:dyDescent="0.25">
      <c r="CM522" s="1377"/>
      <c r="CN522" s="1388" t="s">
        <v>9450</v>
      </c>
      <c r="CO522" s="1388" t="s">
        <v>8125</v>
      </c>
      <c r="CP522" s="1388" t="s">
        <v>8106</v>
      </c>
      <c r="CQ522" s="1388" t="s">
        <v>9451</v>
      </c>
      <c r="CR522" s="1388" t="s">
        <v>9451</v>
      </c>
      <c r="CS522" s="1388" t="s">
        <v>8788</v>
      </c>
      <c r="CT522" s="1388" t="s">
        <v>8789</v>
      </c>
      <c r="CU522" s="1388" t="s">
        <v>9276</v>
      </c>
      <c r="CV522" s="1389" t="s">
        <v>9277</v>
      </c>
      <c r="CX522" s="1379">
        <v>1</v>
      </c>
    </row>
    <row r="523" spans="91:102" ht="21" customHeight="1" x14ac:dyDescent="0.25">
      <c r="CM523" s="1377"/>
      <c r="CN523" s="1388" t="s">
        <v>9452</v>
      </c>
      <c r="CO523" s="1388" t="s">
        <v>8125</v>
      </c>
      <c r="CP523" s="1388" t="s">
        <v>8106</v>
      </c>
      <c r="CQ523" s="1388" t="s">
        <v>9453</v>
      </c>
      <c r="CR523" s="1388" t="s">
        <v>9453</v>
      </c>
      <c r="CS523" s="1388" t="s">
        <v>8788</v>
      </c>
      <c r="CT523" s="1388" t="s">
        <v>8789</v>
      </c>
      <c r="CU523" s="1388" t="s">
        <v>9276</v>
      </c>
      <c r="CV523" s="1389" t="s">
        <v>9277</v>
      </c>
      <c r="CX523" s="1379">
        <v>1</v>
      </c>
    </row>
    <row r="524" spans="91:102" ht="21" customHeight="1" x14ac:dyDescent="0.25">
      <c r="CM524" s="1377"/>
      <c r="CN524" s="1388" t="s">
        <v>9454</v>
      </c>
      <c r="CO524" s="1388" t="s">
        <v>8125</v>
      </c>
      <c r="CP524" s="1388" t="s">
        <v>8106</v>
      </c>
      <c r="CQ524" s="1388" t="s">
        <v>9455</v>
      </c>
      <c r="CR524" s="1388" t="s">
        <v>9455</v>
      </c>
      <c r="CS524" s="1388" t="s">
        <v>8788</v>
      </c>
      <c r="CT524" s="1388" t="s">
        <v>8789</v>
      </c>
      <c r="CU524" s="1388" t="s">
        <v>9276</v>
      </c>
      <c r="CV524" s="1389" t="s">
        <v>9277</v>
      </c>
      <c r="CX524" s="1379">
        <v>1</v>
      </c>
    </row>
    <row r="525" spans="91:102" ht="21" customHeight="1" x14ac:dyDescent="0.25">
      <c r="CM525" s="1377"/>
      <c r="CN525" s="1388" t="s">
        <v>9456</v>
      </c>
      <c r="CO525" s="1388" t="s">
        <v>8125</v>
      </c>
      <c r="CP525" s="1388" t="s">
        <v>8106</v>
      </c>
      <c r="CQ525" s="1388" t="s">
        <v>9457</v>
      </c>
      <c r="CR525" s="1388" t="s">
        <v>9457</v>
      </c>
      <c r="CS525" s="1388" t="s">
        <v>8788</v>
      </c>
      <c r="CT525" s="1388" t="s">
        <v>8789</v>
      </c>
      <c r="CU525" s="1388" t="s">
        <v>9276</v>
      </c>
      <c r="CV525" s="1389" t="s">
        <v>9277</v>
      </c>
      <c r="CX525" s="1379">
        <v>1</v>
      </c>
    </row>
    <row r="526" spans="91:102" ht="21" customHeight="1" x14ac:dyDescent="0.25">
      <c r="CM526" s="1377"/>
      <c r="CN526" s="1388" t="s">
        <v>9458</v>
      </c>
      <c r="CO526" s="1388" t="s">
        <v>8125</v>
      </c>
      <c r="CP526" s="1388" t="s">
        <v>8106</v>
      </c>
      <c r="CQ526" s="1388" t="s">
        <v>9459</v>
      </c>
      <c r="CR526" s="1388" t="s">
        <v>9459</v>
      </c>
      <c r="CS526" s="1388" t="s">
        <v>8788</v>
      </c>
      <c r="CT526" s="1388" t="s">
        <v>8789</v>
      </c>
      <c r="CU526" s="1388" t="s">
        <v>9276</v>
      </c>
      <c r="CV526" s="1389" t="s">
        <v>9277</v>
      </c>
      <c r="CX526" s="1379">
        <v>1</v>
      </c>
    </row>
    <row r="527" spans="91:102" ht="21" customHeight="1" x14ac:dyDescent="0.25">
      <c r="CM527" s="1377"/>
      <c r="CN527" s="1388" t="s">
        <v>9460</v>
      </c>
      <c r="CO527" s="1388" t="s">
        <v>8125</v>
      </c>
      <c r="CP527" s="1388" t="s">
        <v>8106</v>
      </c>
      <c r="CQ527" s="1388" t="s">
        <v>9461</v>
      </c>
      <c r="CR527" s="1388" t="s">
        <v>9461</v>
      </c>
      <c r="CS527" s="1388" t="s">
        <v>8788</v>
      </c>
      <c r="CT527" s="1388" t="s">
        <v>8789</v>
      </c>
      <c r="CU527" s="1388" t="s">
        <v>9276</v>
      </c>
      <c r="CV527" s="1389" t="s">
        <v>9277</v>
      </c>
      <c r="CX527" s="1379">
        <v>1</v>
      </c>
    </row>
    <row r="528" spans="91:102" ht="21" customHeight="1" x14ac:dyDescent="0.25">
      <c r="CM528" s="1377"/>
      <c r="CN528" s="1388" t="s">
        <v>9462</v>
      </c>
      <c r="CO528" s="1388" t="s">
        <v>8125</v>
      </c>
      <c r="CP528" s="1388" t="s">
        <v>8106</v>
      </c>
      <c r="CQ528" s="1388" t="s">
        <v>9463</v>
      </c>
      <c r="CR528" s="1388" t="s">
        <v>9463</v>
      </c>
      <c r="CS528" s="1388" t="s">
        <v>8788</v>
      </c>
      <c r="CT528" s="1388" t="s">
        <v>8789</v>
      </c>
      <c r="CU528" s="1388" t="s">
        <v>9276</v>
      </c>
      <c r="CV528" s="1389" t="s">
        <v>9277</v>
      </c>
      <c r="CX528" s="1379">
        <v>1</v>
      </c>
    </row>
    <row r="529" spans="91:102" ht="21" customHeight="1" x14ac:dyDescent="0.25">
      <c r="CM529" s="1377"/>
      <c r="CN529" s="1388" t="s">
        <v>9464</v>
      </c>
      <c r="CO529" s="1388" t="s">
        <v>8125</v>
      </c>
      <c r="CP529" s="1388" t="s">
        <v>8106</v>
      </c>
      <c r="CQ529" s="1388" t="s">
        <v>9465</v>
      </c>
      <c r="CR529" s="1388" t="s">
        <v>9465</v>
      </c>
      <c r="CS529" s="1388" t="s">
        <v>8788</v>
      </c>
      <c r="CT529" s="1388" t="s">
        <v>8789</v>
      </c>
      <c r="CU529" s="1388" t="s">
        <v>9276</v>
      </c>
      <c r="CV529" s="1389" t="s">
        <v>9277</v>
      </c>
      <c r="CX529" s="1379">
        <v>1</v>
      </c>
    </row>
    <row r="530" spans="91:102" ht="21" customHeight="1" x14ac:dyDescent="0.25">
      <c r="CM530" s="1377"/>
      <c r="CN530" s="1388" t="s">
        <v>9466</v>
      </c>
      <c r="CO530" s="1388" t="s">
        <v>8125</v>
      </c>
      <c r="CP530" s="1388" t="s">
        <v>8106</v>
      </c>
      <c r="CQ530" s="1388" t="s">
        <v>9467</v>
      </c>
      <c r="CR530" s="1388" t="s">
        <v>9467</v>
      </c>
      <c r="CS530" s="1388" t="s">
        <v>8788</v>
      </c>
      <c r="CT530" s="1388" t="s">
        <v>8789</v>
      </c>
      <c r="CU530" s="1388" t="s">
        <v>9276</v>
      </c>
      <c r="CV530" s="1389" t="s">
        <v>9277</v>
      </c>
      <c r="CX530" s="1379">
        <v>1</v>
      </c>
    </row>
    <row r="531" spans="91:102" ht="21" customHeight="1" x14ac:dyDescent="0.25">
      <c r="CM531" s="1377"/>
      <c r="CN531" s="1388" t="s">
        <v>9468</v>
      </c>
      <c r="CO531" s="1388" t="s">
        <v>8125</v>
      </c>
      <c r="CP531" s="1388" t="s">
        <v>8106</v>
      </c>
      <c r="CQ531" s="1388" t="s">
        <v>9469</v>
      </c>
      <c r="CR531" s="1388" t="s">
        <v>9469</v>
      </c>
      <c r="CS531" s="1388" t="s">
        <v>8788</v>
      </c>
      <c r="CT531" s="1388" t="s">
        <v>8789</v>
      </c>
      <c r="CU531" s="1388" t="s">
        <v>9276</v>
      </c>
      <c r="CV531" s="1389" t="s">
        <v>9277</v>
      </c>
      <c r="CX531" s="1379">
        <v>1</v>
      </c>
    </row>
    <row r="532" spans="91:102" ht="21" customHeight="1" x14ac:dyDescent="0.25">
      <c r="CM532" s="1377"/>
      <c r="CN532" s="1388" t="s">
        <v>9470</v>
      </c>
      <c r="CO532" s="1388" t="s">
        <v>8125</v>
      </c>
      <c r="CP532" s="1388" t="s">
        <v>8106</v>
      </c>
      <c r="CQ532" s="1388" t="s">
        <v>9471</v>
      </c>
      <c r="CR532" s="1388" t="s">
        <v>9471</v>
      </c>
      <c r="CS532" s="1388" t="s">
        <v>8788</v>
      </c>
      <c r="CT532" s="1388" t="s">
        <v>8789</v>
      </c>
      <c r="CU532" s="1388" t="s">
        <v>9276</v>
      </c>
      <c r="CV532" s="1389" t="s">
        <v>9277</v>
      </c>
      <c r="CX532" s="1379">
        <v>1</v>
      </c>
    </row>
    <row r="533" spans="91:102" ht="21" customHeight="1" x14ac:dyDescent="0.25">
      <c r="CM533" s="1377"/>
      <c r="CN533" s="1388" t="s">
        <v>9472</v>
      </c>
      <c r="CO533" s="1388" t="s">
        <v>8125</v>
      </c>
      <c r="CP533" s="1388" t="s">
        <v>8106</v>
      </c>
      <c r="CQ533" s="1388" t="s">
        <v>9473</v>
      </c>
      <c r="CR533" s="1388" t="s">
        <v>9473</v>
      </c>
      <c r="CS533" s="1388" t="s">
        <v>8788</v>
      </c>
      <c r="CT533" s="1388" t="s">
        <v>8789</v>
      </c>
      <c r="CU533" s="1388" t="s">
        <v>9276</v>
      </c>
      <c r="CV533" s="1389" t="s">
        <v>9277</v>
      </c>
      <c r="CX533" s="1379">
        <v>1</v>
      </c>
    </row>
    <row r="534" spans="91:102" ht="21" customHeight="1" x14ac:dyDescent="0.25">
      <c r="CM534" s="1377"/>
      <c r="CN534" s="1388" t="s">
        <v>9474</v>
      </c>
      <c r="CO534" s="1388" t="s">
        <v>8125</v>
      </c>
      <c r="CP534" s="1388" t="s">
        <v>8106</v>
      </c>
      <c r="CQ534" s="1388" t="s">
        <v>9475</v>
      </c>
      <c r="CR534" s="1388" t="s">
        <v>9475</v>
      </c>
      <c r="CS534" s="1388" t="s">
        <v>8788</v>
      </c>
      <c r="CT534" s="1388" t="s">
        <v>8789</v>
      </c>
      <c r="CU534" s="1388" t="s">
        <v>9276</v>
      </c>
      <c r="CV534" s="1389" t="s">
        <v>9277</v>
      </c>
      <c r="CX534" s="1379">
        <v>1</v>
      </c>
    </row>
    <row r="535" spans="91:102" ht="21" customHeight="1" x14ac:dyDescent="0.25">
      <c r="CM535" s="1377"/>
      <c r="CN535" s="1388" t="s">
        <v>9476</v>
      </c>
      <c r="CO535" s="1388" t="s">
        <v>8125</v>
      </c>
      <c r="CP535" s="1388" t="s">
        <v>8106</v>
      </c>
      <c r="CQ535" s="1388" t="s">
        <v>9477</v>
      </c>
      <c r="CR535" s="1388" t="s">
        <v>9477</v>
      </c>
      <c r="CS535" s="1388" t="s">
        <v>8788</v>
      </c>
      <c r="CT535" s="1388" t="s">
        <v>8789</v>
      </c>
      <c r="CU535" s="1388" t="s">
        <v>9276</v>
      </c>
      <c r="CV535" s="1389" t="s">
        <v>9277</v>
      </c>
      <c r="CX535" s="1379">
        <v>1</v>
      </c>
    </row>
    <row r="536" spans="91:102" ht="21" customHeight="1" x14ac:dyDescent="0.25">
      <c r="CM536" s="1377"/>
      <c r="CN536" s="1388" t="s">
        <v>9478</v>
      </c>
      <c r="CO536" s="1388" t="s">
        <v>8125</v>
      </c>
      <c r="CP536" s="1388" t="s">
        <v>8106</v>
      </c>
      <c r="CQ536" s="1388" t="s">
        <v>9479</v>
      </c>
      <c r="CR536" s="1388" t="s">
        <v>9479</v>
      </c>
      <c r="CS536" s="1388" t="s">
        <v>8788</v>
      </c>
      <c r="CT536" s="1388" t="s">
        <v>8789</v>
      </c>
      <c r="CU536" s="1388" t="s">
        <v>9276</v>
      </c>
      <c r="CV536" s="1389" t="s">
        <v>9277</v>
      </c>
      <c r="CX536" s="1379">
        <v>1</v>
      </c>
    </row>
    <row r="537" spans="91:102" ht="21" customHeight="1" x14ac:dyDescent="0.25">
      <c r="CM537" s="1377"/>
      <c r="CN537" s="1388" t="s">
        <v>9480</v>
      </c>
      <c r="CO537" s="1388" t="s">
        <v>8125</v>
      </c>
      <c r="CP537" s="1388" t="s">
        <v>8106</v>
      </c>
      <c r="CQ537" s="1388" t="s">
        <v>9481</v>
      </c>
      <c r="CR537" s="1388" t="s">
        <v>9481</v>
      </c>
      <c r="CS537" s="1388" t="s">
        <v>8788</v>
      </c>
      <c r="CT537" s="1388" t="s">
        <v>8789</v>
      </c>
      <c r="CU537" s="1388" t="s">
        <v>9276</v>
      </c>
      <c r="CV537" s="1389" t="s">
        <v>9277</v>
      </c>
      <c r="CX537" s="1379">
        <v>1</v>
      </c>
    </row>
    <row r="538" spans="91:102" ht="21" customHeight="1" x14ac:dyDescent="0.25">
      <c r="CM538" s="1377"/>
      <c r="CN538" s="1388" t="s">
        <v>9482</v>
      </c>
      <c r="CO538" s="1388" t="s">
        <v>8125</v>
      </c>
      <c r="CP538" s="1388" t="s">
        <v>8106</v>
      </c>
      <c r="CQ538" s="1388" t="s">
        <v>9483</v>
      </c>
      <c r="CR538" s="1388" t="s">
        <v>9483</v>
      </c>
      <c r="CS538" s="1388" t="s">
        <v>8788</v>
      </c>
      <c r="CT538" s="1388" t="s">
        <v>8789</v>
      </c>
      <c r="CU538" s="1388" t="s">
        <v>9276</v>
      </c>
      <c r="CV538" s="1389" t="s">
        <v>9277</v>
      </c>
      <c r="CX538" s="1379">
        <v>1</v>
      </c>
    </row>
    <row r="539" spans="91:102" ht="21" customHeight="1" x14ac:dyDescent="0.25">
      <c r="CM539" s="1377"/>
      <c r="CN539" s="1388" t="s">
        <v>9484</v>
      </c>
      <c r="CO539" s="1388" t="s">
        <v>8125</v>
      </c>
      <c r="CP539" s="1388" t="s">
        <v>8106</v>
      </c>
      <c r="CQ539" s="1388" t="s">
        <v>9485</v>
      </c>
      <c r="CR539" s="1388" t="s">
        <v>9485</v>
      </c>
      <c r="CS539" s="1388" t="s">
        <v>8788</v>
      </c>
      <c r="CT539" s="1388" t="s">
        <v>8789</v>
      </c>
      <c r="CU539" s="1388" t="s">
        <v>9276</v>
      </c>
      <c r="CV539" s="1389" t="s">
        <v>9277</v>
      </c>
      <c r="CX539" s="1379">
        <v>1</v>
      </c>
    </row>
    <row r="540" spans="91:102" ht="21" customHeight="1" x14ac:dyDescent="0.25">
      <c r="CM540" s="1377"/>
      <c r="CN540" s="1388" t="s">
        <v>9486</v>
      </c>
      <c r="CO540" s="1388" t="s">
        <v>8125</v>
      </c>
      <c r="CP540" s="1388" t="s">
        <v>8106</v>
      </c>
      <c r="CQ540" s="1388" t="s">
        <v>9487</v>
      </c>
      <c r="CR540" s="1388" t="s">
        <v>9487</v>
      </c>
      <c r="CS540" s="1388" t="s">
        <v>8788</v>
      </c>
      <c r="CT540" s="1388" t="s">
        <v>8789</v>
      </c>
      <c r="CU540" s="1388" t="s">
        <v>9276</v>
      </c>
      <c r="CV540" s="1389" t="s">
        <v>9277</v>
      </c>
      <c r="CX540" s="1379">
        <v>1</v>
      </c>
    </row>
    <row r="541" spans="91:102" ht="21" customHeight="1" x14ac:dyDescent="0.25">
      <c r="CM541" s="1377"/>
      <c r="CN541" s="1388" t="s">
        <v>9488</v>
      </c>
      <c r="CO541" s="1388" t="s">
        <v>8125</v>
      </c>
      <c r="CP541" s="1388" t="s">
        <v>8106</v>
      </c>
      <c r="CQ541" s="1388" t="s">
        <v>9489</v>
      </c>
      <c r="CR541" s="1388" t="s">
        <v>9489</v>
      </c>
      <c r="CS541" s="1388" t="s">
        <v>8788</v>
      </c>
      <c r="CT541" s="1388" t="s">
        <v>8789</v>
      </c>
      <c r="CU541" s="1388" t="s">
        <v>9276</v>
      </c>
      <c r="CV541" s="1389" t="s">
        <v>9277</v>
      </c>
      <c r="CX541" s="1379">
        <v>1</v>
      </c>
    </row>
    <row r="542" spans="91:102" ht="21" customHeight="1" x14ac:dyDescent="0.25">
      <c r="CM542" s="1377"/>
      <c r="CN542" s="1388" t="s">
        <v>9490</v>
      </c>
      <c r="CO542" s="1388" t="s">
        <v>8125</v>
      </c>
      <c r="CP542" s="1388" t="s">
        <v>8106</v>
      </c>
      <c r="CQ542" s="1388" t="s">
        <v>9491</v>
      </c>
      <c r="CR542" s="1388" t="s">
        <v>9491</v>
      </c>
      <c r="CS542" s="1388" t="s">
        <v>8788</v>
      </c>
      <c r="CT542" s="1388" t="s">
        <v>8789</v>
      </c>
      <c r="CU542" s="1388" t="s">
        <v>9276</v>
      </c>
      <c r="CV542" s="1389" t="s">
        <v>9277</v>
      </c>
      <c r="CX542" s="1379">
        <v>1</v>
      </c>
    </row>
    <row r="543" spans="91:102" ht="21" customHeight="1" x14ac:dyDescent="0.25">
      <c r="CM543" s="1377"/>
      <c r="CN543" s="1388" t="s">
        <v>9492</v>
      </c>
      <c r="CO543" s="1388" t="s">
        <v>8125</v>
      </c>
      <c r="CP543" s="1388" t="s">
        <v>8106</v>
      </c>
      <c r="CQ543" s="1388" t="s">
        <v>9493</v>
      </c>
      <c r="CR543" s="1388" t="s">
        <v>9493</v>
      </c>
      <c r="CS543" s="1388" t="s">
        <v>8108</v>
      </c>
      <c r="CT543" s="1388" t="s">
        <v>9359</v>
      </c>
      <c r="CU543" s="1388" t="s">
        <v>8110</v>
      </c>
      <c r="CV543" s="1389" t="s">
        <v>8111</v>
      </c>
      <c r="CX543" s="1379">
        <v>1</v>
      </c>
    </row>
    <row r="544" spans="91:102" ht="21" customHeight="1" x14ac:dyDescent="0.25">
      <c r="CM544" s="1377"/>
      <c r="CN544" s="1388" t="s">
        <v>9494</v>
      </c>
      <c r="CO544" s="1388" t="s">
        <v>8125</v>
      </c>
      <c r="CP544" s="1388" t="s">
        <v>8106</v>
      </c>
      <c r="CQ544" s="1388" t="s">
        <v>9495</v>
      </c>
      <c r="CR544" s="1388" t="s">
        <v>9495</v>
      </c>
      <c r="CS544" s="1388" t="s">
        <v>8108</v>
      </c>
      <c r="CT544" s="1388" t="s">
        <v>9359</v>
      </c>
      <c r="CU544" s="1388" t="s">
        <v>8110</v>
      </c>
      <c r="CV544" s="1389" t="s">
        <v>8111</v>
      </c>
      <c r="CX544" s="1379">
        <v>1</v>
      </c>
    </row>
    <row r="545" spans="91:102" ht="21" customHeight="1" x14ac:dyDescent="0.25">
      <c r="CM545" s="1377"/>
      <c r="CN545" s="1388" t="s">
        <v>9496</v>
      </c>
      <c r="CO545" s="1388" t="s">
        <v>8125</v>
      </c>
      <c r="CP545" s="1388" t="s">
        <v>8106</v>
      </c>
      <c r="CQ545" s="1388" t="s">
        <v>9497</v>
      </c>
      <c r="CR545" s="1388" t="s">
        <v>9497</v>
      </c>
      <c r="CS545" s="1388" t="s">
        <v>8108</v>
      </c>
      <c r="CT545" s="1388" t="s">
        <v>9359</v>
      </c>
      <c r="CU545" s="1388" t="s">
        <v>8110</v>
      </c>
      <c r="CV545" s="1389" t="s">
        <v>8111</v>
      </c>
      <c r="CX545" s="1379">
        <v>1</v>
      </c>
    </row>
    <row r="546" spans="91:102" ht="21" customHeight="1" x14ac:dyDescent="0.25">
      <c r="CM546" s="1377"/>
      <c r="CN546" s="1388" t="s">
        <v>9498</v>
      </c>
      <c r="CO546" s="1388" t="s">
        <v>8125</v>
      </c>
      <c r="CP546" s="1388" t="s">
        <v>8106</v>
      </c>
      <c r="CQ546" s="1388" t="s">
        <v>9499</v>
      </c>
      <c r="CR546" s="1388" t="s">
        <v>9499</v>
      </c>
      <c r="CS546" s="1388" t="s">
        <v>8788</v>
      </c>
      <c r="CT546" s="1388" t="s">
        <v>8789</v>
      </c>
      <c r="CU546" s="1388" t="s">
        <v>9276</v>
      </c>
      <c r="CV546" s="1389" t="s">
        <v>9277</v>
      </c>
      <c r="CX546" s="1379">
        <v>1</v>
      </c>
    </row>
    <row r="547" spans="91:102" ht="21" customHeight="1" x14ac:dyDescent="0.25">
      <c r="CM547" s="1377"/>
      <c r="CN547" s="1388" t="s">
        <v>9500</v>
      </c>
      <c r="CO547" s="1388" t="s">
        <v>8125</v>
      </c>
      <c r="CP547" s="1388" t="s">
        <v>8106</v>
      </c>
      <c r="CQ547" s="1388" t="s">
        <v>9501</v>
      </c>
      <c r="CR547" s="1388" t="s">
        <v>9501</v>
      </c>
      <c r="CS547" s="1388" t="s">
        <v>8788</v>
      </c>
      <c r="CT547" s="1388" t="s">
        <v>8789</v>
      </c>
      <c r="CU547" s="1388" t="s">
        <v>9276</v>
      </c>
      <c r="CV547" s="1389" t="s">
        <v>9277</v>
      </c>
      <c r="CX547" s="1379">
        <v>1</v>
      </c>
    </row>
    <row r="548" spans="91:102" ht="21" customHeight="1" x14ac:dyDescent="0.25">
      <c r="CM548" s="1377"/>
      <c r="CN548" s="1388" t="s">
        <v>9502</v>
      </c>
      <c r="CO548" s="1388" t="s">
        <v>8125</v>
      </c>
      <c r="CP548" s="1388" t="s">
        <v>8106</v>
      </c>
      <c r="CQ548" s="1388" t="s">
        <v>9503</v>
      </c>
      <c r="CR548" s="1388" t="s">
        <v>9503</v>
      </c>
      <c r="CS548" s="1388" t="s">
        <v>8788</v>
      </c>
      <c r="CT548" s="1388" t="s">
        <v>8789</v>
      </c>
      <c r="CU548" s="1388" t="s">
        <v>9276</v>
      </c>
      <c r="CV548" s="1389" t="s">
        <v>9277</v>
      </c>
      <c r="CX548" s="1379">
        <v>1</v>
      </c>
    </row>
    <row r="549" spans="91:102" ht="21" customHeight="1" x14ac:dyDescent="0.25">
      <c r="CM549" s="1377"/>
      <c r="CN549" s="1388" t="s">
        <v>9504</v>
      </c>
      <c r="CO549" s="1388" t="s">
        <v>8125</v>
      </c>
      <c r="CP549" s="1388" t="s">
        <v>8106</v>
      </c>
      <c r="CQ549" s="1388" t="s">
        <v>9505</v>
      </c>
      <c r="CR549" s="1388" t="s">
        <v>9505</v>
      </c>
      <c r="CS549" s="1388" t="s">
        <v>8788</v>
      </c>
      <c r="CT549" s="1388" t="s">
        <v>8789</v>
      </c>
      <c r="CU549" s="1388" t="s">
        <v>9276</v>
      </c>
      <c r="CV549" s="1389" t="s">
        <v>9277</v>
      </c>
      <c r="CX549" s="1379">
        <v>1</v>
      </c>
    </row>
    <row r="550" spans="91:102" ht="21" customHeight="1" x14ac:dyDescent="0.25">
      <c r="CM550" s="1377"/>
      <c r="CN550" s="1388" t="s">
        <v>9506</v>
      </c>
      <c r="CO550" s="1388" t="s">
        <v>8125</v>
      </c>
      <c r="CP550" s="1388" t="s">
        <v>8106</v>
      </c>
      <c r="CQ550" s="1388" t="s">
        <v>9507</v>
      </c>
      <c r="CR550" s="1388" t="s">
        <v>9507</v>
      </c>
      <c r="CS550" s="1388" t="s">
        <v>8788</v>
      </c>
      <c r="CT550" s="1388" t="s">
        <v>8789</v>
      </c>
      <c r="CU550" s="1388" t="s">
        <v>9276</v>
      </c>
      <c r="CV550" s="1389" t="s">
        <v>9277</v>
      </c>
      <c r="CX550" s="1379">
        <v>1</v>
      </c>
    </row>
    <row r="551" spans="91:102" ht="21" customHeight="1" x14ac:dyDescent="0.25">
      <c r="CM551" s="1377"/>
      <c r="CN551" s="1388" t="s">
        <v>9508</v>
      </c>
      <c r="CO551" s="1388" t="s">
        <v>8125</v>
      </c>
      <c r="CP551" s="1388" t="s">
        <v>8106</v>
      </c>
      <c r="CQ551" s="1388" t="s">
        <v>9509</v>
      </c>
      <c r="CR551" s="1388" t="s">
        <v>9509</v>
      </c>
      <c r="CS551" s="1388" t="s">
        <v>8108</v>
      </c>
      <c r="CT551" s="1388" t="s">
        <v>9359</v>
      </c>
      <c r="CU551" s="1388" t="s">
        <v>8110</v>
      </c>
      <c r="CV551" s="1389" t="s">
        <v>8111</v>
      </c>
      <c r="CX551" s="1379">
        <v>1</v>
      </c>
    </row>
    <row r="552" spans="91:102" ht="21" customHeight="1" x14ac:dyDescent="0.25">
      <c r="CM552" s="1377"/>
      <c r="CN552" s="1388" t="s">
        <v>9510</v>
      </c>
      <c r="CO552" s="1388" t="s">
        <v>8125</v>
      </c>
      <c r="CP552" s="1388" t="s">
        <v>8106</v>
      </c>
      <c r="CQ552" s="1388" t="s">
        <v>2003</v>
      </c>
      <c r="CR552" s="1388" t="s">
        <v>2003</v>
      </c>
      <c r="CS552" s="1388" t="s">
        <v>8108</v>
      </c>
      <c r="CT552" s="1388" t="s">
        <v>9359</v>
      </c>
      <c r="CU552" s="1388" t="s">
        <v>8110</v>
      </c>
      <c r="CV552" s="1389" t="s">
        <v>8111</v>
      </c>
      <c r="CX552" s="1379">
        <v>1</v>
      </c>
    </row>
    <row r="553" spans="91:102" ht="21" customHeight="1" x14ac:dyDescent="0.25">
      <c r="CM553" s="1377"/>
      <c r="CN553" s="1388" t="s">
        <v>9511</v>
      </c>
      <c r="CO553" s="1388" t="s">
        <v>8125</v>
      </c>
      <c r="CP553" s="1388" t="s">
        <v>8106</v>
      </c>
      <c r="CQ553" s="1388" t="s">
        <v>9512</v>
      </c>
      <c r="CR553" s="1388" t="s">
        <v>9512</v>
      </c>
      <c r="CS553" s="1388" t="s">
        <v>8788</v>
      </c>
      <c r="CT553" s="1388" t="s">
        <v>8789</v>
      </c>
      <c r="CU553" s="1388" t="s">
        <v>9276</v>
      </c>
      <c r="CV553" s="1389" t="s">
        <v>9277</v>
      </c>
      <c r="CX553" s="1379">
        <v>1</v>
      </c>
    </row>
    <row r="554" spans="91:102" ht="21" customHeight="1" x14ac:dyDescent="0.25">
      <c r="CM554" s="1377"/>
      <c r="CN554" s="1388" t="s">
        <v>9513</v>
      </c>
      <c r="CO554" s="1388" t="s">
        <v>8125</v>
      </c>
      <c r="CP554" s="1388" t="s">
        <v>8106</v>
      </c>
      <c r="CQ554" s="1388" t="s">
        <v>9514</v>
      </c>
      <c r="CR554" s="1388" t="s">
        <v>9514</v>
      </c>
      <c r="CS554" s="1388" t="s">
        <v>8788</v>
      </c>
      <c r="CT554" s="1388" t="s">
        <v>8789</v>
      </c>
      <c r="CU554" s="1388" t="s">
        <v>9276</v>
      </c>
      <c r="CV554" s="1389" t="s">
        <v>9277</v>
      </c>
      <c r="CX554" s="1379">
        <v>1</v>
      </c>
    </row>
    <row r="555" spans="91:102" ht="21" customHeight="1" x14ac:dyDescent="0.25">
      <c r="CM555" s="1377"/>
      <c r="CN555" s="1388" t="s">
        <v>9515</v>
      </c>
      <c r="CO555" s="1388" t="s">
        <v>8125</v>
      </c>
      <c r="CP555" s="1388" t="s">
        <v>8106</v>
      </c>
      <c r="CQ555" s="1388" t="s">
        <v>9516</v>
      </c>
      <c r="CR555" s="1388" t="s">
        <v>9516</v>
      </c>
      <c r="CS555" s="1388" t="s">
        <v>8788</v>
      </c>
      <c r="CT555" s="1388" t="s">
        <v>8789</v>
      </c>
      <c r="CU555" s="1388" t="s">
        <v>9276</v>
      </c>
      <c r="CV555" s="1389" t="s">
        <v>9277</v>
      </c>
      <c r="CX555" s="1379">
        <v>1</v>
      </c>
    </row>
    <row r="556" spans="91:102" ht="21" customHeight="1" x14ac:dyDescent="0.25">
      <c r="CM556" s="1377"/>
      <c r="CN556" s="1388" t="s">
        <v>9517</v>
      </c>
      <c r="CO556" s="1388" t="s">
        <v>8125</v>
      </c>
      <c r="CP556" s="1388" t="s">
        <v>8106</v>
      </c>
      <c r="CQ556" s="1388" t="s">
        <v>9518</v>
      </c>
      <c r="CR556" s="1388" t="s">
        <v>9518</v>
      </c>
      <c r="CS556" s="1388" t="s">
        <v>8788</v>
      </c>
      <c r="CT556" s="1388" t="s">
        <v>8789</v>
      </c>
      <c r="CU556" s="1388" t="s">
        <v>9276</v>
      </c>
      <c r="CV556" s="1389" t="s">
        <v>9277</v>
      </c>
      <c r="CX556" s="1379">
        <v>1</v>
      </c>
    </row>
    <row r="557" spans="91:102" ht="21" customHeight="1" x14ac:dyDescent="0.25">
      <c r="CM557" s="1377"/>
      <c r="CN557" s="1388" t="s">
        <v>9519</v>
      </c>
      <c r="CO557" s="1388" t="s">
        <v>8125</v>
      </c>
      <c r="CP557" s="1388" t="s">
        <v>8106</v>
      </c>
      <c r="CQ557" s="1388" t="s">
        <v>9520</v>
      </c>
      <c r="CR557" s="1388" t="s">
        <v>9520</v>
      </c>
      <c r="CS557" s="1388" t="s">
        <v>8788</v>
      </c>
      <c r="CT557" s="1388" t="s">
        <v>8789</v>
      </c>
      <c r="CU557" s="1388" t="s">
        <v>9276</v>
      </c>
      <c r="CV557" s="1389" t="s">
        <v>9277</v>
      </c>
      <c r="CX557" s="1379">
        <v>1</v>
      </c>
    </row>
    <row r="558" spans="91:102" ht="21" customHeight="1" x14ac:dyDescent="0.25">
      <c r="CM558" s="1377"/>
      <c r="CN558" s="1388" t="s">
        <v>9521</v>
      </c>
      <c r="CO558" s="1388" t="s">
        <v>8125</v>
      </c>
      <c r="CP558" s="1388" t="s">
        <v>8106</v>
      </c>
      <c r="CQ558" s="1388" t="s">
        <v>9522</v>
      </c>
      <c r="CR558" s="1388" t="s">
        <v>9522</v>
      </c>
      <c r="CS558" s="1388" t="s">
        <v>8788</v>
      </c>
      <c r="CT558" s="1388" t="s">
        <v>8789</v>
      </c>
      <c r="CU558" s="1388" t="s">
        <v>9276</v>
      </c>
      <c r="CV558" s="1389" t="s">
        <v>9277</v>
      </c>
      <c r="CX558" s="1379">
        <v>1</v>
      </c>
    </row>
    <row r="559" spans="91:102" ht="21" customHeight="1" x14ac:dyDescent="0.25">
      <c r="CM559" s="1377"/>
      <c r="CN559" s="1388" t="s">
        <v>9523</v>
      </c>
      <c r="CO559" s="1388" t="s">
        <v>8125</v>
      </c>
      <c r="CP559" s="1388" t="s">
        <v>8106</v>
      </c>
      <c r="CQ559" s="1388" t="s">
        <v>9524</v>
      </c>
      <c r="CR559" s="1388" t="s">
        <v>9524</v>
      </c>
      <c r="CS559" s="1388" t="s">
        <v>8788</v>
      </c>
      <c r="CT559" s="1388" t="s">
        <v>8789</v>
      </c>
      <c r="CU559" s="1388" t="s">
        <v>9276</v>
      </c>
      <c r="CV559" s="1389" t="s">
        <v>9277</v>
      </c>
      <c r="CX559" s="1379">
        <v>1</v>
      </c>
    </row>
    <row r="560" spans="91:102" ht="21" customHeight="1" x14ac:dyDescent="0.25">
      <c r="CM560" s="1377"/>
      <c r="CN560" s="1388" t="s">
        <v>9525</v>
      </c>
      <c r="CO560" s="1388" t="s">
        <v>8125</v>
      </c>
      <c r="CP560" s="1388" t="s">
        <v>8106</v>
      </c>
      <c r="CQ560" s="1388" t="s">
        <v>9526</v>
      </c>
      <c r="CR560" s="1388" t="s">
        <v>9526</v>
      </c>
      <c r="CS560" s="1388" t="s">
        <v>8788</v>
      </c>
      <c r="CT560" s="1388" t="s">
        <v>8789</v>
      </c>
      <c r="CU560" s="1388" t="s">
        <v>9276</v>
      </c>
      <c r="CV560" s="1389" t="s">
        <v>9277</v>
      </c>
      <c r="CX560" s="1379">
        <v>1</v>
      </c>
    </row>
    <row r="561" spans="91:102" ht="21" customHeight="1" x14ac:dyDescent="0.25">
      <c r="CM561" s="1377"/>
      <c r="CN561" s="1388" t="s">
        <v>9527</v>
      </c>
      <c r="CO561" s="1388" t="s">
        <v>8125</v>
      </c>
      <c r="CP561" s="1388" t="s">
        <v>8106</v>
      </c>
      <c r="CQ561" s="1388" t="s">
        <v>9528</v>
      </c>
      <c r="CR561" s="1388" t="s">
        <v>9528</v>
      </c>
      <c r="CS561" s="1388" t="s">
        <v>8788</v>
      </c>
      <c r="CT561" s="1388" t="s">
        <v>8789</v>
      </c>
      <c r="CU561" s="1388" t="s">
        <v>9276</v>
      </c>
      <c r="CV561" s="1389" t="s">
        <v>9277</v>
      </c>
      <c r="CX561" s="1379">
        <v>1</v>
      </c>
    </row>
    <row r="562" spans="91:102" ht="21" customHeight="1" x14ac:dyDescent="0.25">
      <c r="CM562" s="1377"/>
      <c r="CN562" s="1388" t="s">
        <v>9529</v>
      </c>
      <c r="CO562" s="1388" t="s">
        <v>8125</v>
      </c>
      <c r="CP562" s="1388" t="s">
        <v>8106</v>
      </c>
      <c r="CQ562" s="1388" t="s">
        <v>9530</v>
      </c>
      <c r="CR562" s="1388" t="s">
        <v>9530</v>
      </c>
      <c r="CS562" s="1388" t="s">
        <v>8788</v>
      </c>
      <c r="CT562" s="1388" t="s">
        <v>8789</v>
      </c>
      <c r="CU562" s="1388" t="s">
        <v>9276</v>
      </c>
      <c r="CV562" s="1389" t="s">
        <v>9277</v>
      </c>
      <c r="CX562" s="1379">
        <v>1</v>
      </c>
    </row>
    <row r="563" spans="91:102" ht="21" customHeight="1" x14ac:dyDescent="0.25">
      <c r="CM563" s="1377"/>
      <c r="CN563" s="1388" t="s">
        <v>9531</v>
      </c>
      <c r="CO563" s="1388" t="s">
        <v>8125</v>
      </c>
      <c r="CP563" s="1388" t="s">
        <v>8106</v>
      </c>
      <c r="CQ563" s="1388" t="s">
        <v>9532</v>
      </c>
      <c r="CR563" s="1388" t="s">
        <v>9532</v>
      </c>
      <c r="CS563" s="1388" t="s">
        <v>8788</v>
      </c>
      <c r="CT563" s="1388" t="s">
        <v>8789</v>
      </c>
      <c r="CU563" s="1388" t="s">
        <v>9276</v>
      </c>
      <c r="CV563" s="1389" t="s">
        <v>9277</v>
      </c>
      <c r="CX563" s="1379">
        <v>1</v>
      </c>
    </row>
    <row r="564" spans="91:102" ht="21" customHeight="1" x14ac:dyDescent="0.25">
      <c r="CM564" s="1377"/>
      <c r="CN564" s="1388" t="s">
        <v>9533</v>
      </c>
      <c r="CO564" s="1388" t="s">
        <v>8125</v>
      </c>
      <c r="CP564" s="1388" t="s">
        <v>8106</v>
      </c>
      <c r="CQ564" s="1388" t="s">
        <v>9534</v>
      </c>
      <c r="CR564" s="1388" t="s">
        <v>9534</v>
      </c>
      <c r="CS564" s="1388" t="s">
        <v>8788</v>
      </c>
      <c r="CT564" s="1388" t="s">
        <v>8789</v>
      </c>
      <c r="CU564" s="1388" t="s">
        <v>9276</v>
      </c>
      <c r="CV564" s="1389" t="s">
        <v>9277</v>
      </c>
      <c r="CX564" s="1379">
        <v>1</v>
      </c>
    </row>
    <row r="565" spans="91:102" ht="21" customHeight="1" x14ac:dyDescent="0.25">
      <c r="CM565" s="1377"/>
      <c r="CN565" s="1388" t="s">
        <v>9535</v>
      </c>
      <c r="CO565" s="1388" t="s">
        <v>8125</v>
      </c>
      <c r="CP565" s="1388" t="s">
        <v>8106</v>
      </c>
      <c r="CQ565" s="1388" t="s">
        <v>9536</v>
      </c>
      <c r="CR565" s="1388" t="s">
        <v>9536</v>
      </c>
      <c r="CS565" s="1388" t="s">
        <v>8788</v>
      </c>
      <c r="CT565" s="1388" t="s">
        <v>8789</v>
      </c>
      <c r="CU565" s="1388" t="s">
        <v>9276</v>
      </c>
      <c r="CV565" s="1389" t="s">
        <v>9277</v>
      </c>
      <c r="CX565" s="1379">
        <v>1</v>
      </c>
    </row>
    <row r="566" spans="91:102" ht="21" customHeight="1" x14ac:dyDescent="0.25">
      <c r="CM566" s="1377"/>
      <c r="CN566" s="1388" t="s">
        <v>9537</v>
      </c>
      <c r="CO566" s="1388" t="s">
        <v>8125</v>
      </c>
      <c r="CP566" s="1388" t="s">
        <v>8106</v>
      </c>
      <c r="CQ566" s="1388" t="s">
        <v>9538</v>
      </c>
      <c r="CR566" s="1388" t="s">
        <v>9538</v>
      </c>
      <c r="CS566" s="1388" t="s">
        <v>8788</v>
      </c>
      <c r="CT566" s="1388" t="s">
        <v>8789</v>
      </c>
      <c r="CU566" s="1388" t="s">
        <v>9276</v>
      </c>
      <c r="CV566" s="1389" t="s">
        <v>9277</v>
      </c>
      <c r="CX566" s="1379">
        <v>1</v>
      </c>
    </row>
    <row r="567" spans="91:102" ht="21" customHeight="1" x14ac:dyDescent="0.25">
      <c r="CM567" s="1377"/>
      <c r="CN567" s="1388" t="s">
        <v>9539</v>
      </c>
      <c r="CO567" s="1388" t="s">
        <v>8125</v>
      </c>
      <c r="CP567" s="1388" t="s">
        <v>8106</v>
      </c>
      <c r="CQ567" s="1388" t="s">
        <v>9540</v>
      </c>
      <c r="CR567" s="1388" t="s">
        <v>9540</v>
      </c>
      <c r="CS567" s="1388" t="s">
        <v>8788</v>
      </c>
      <c r="CT567" s="1388" t="s">
        <v>8789</v>
      </c>
      <c r="CU567" s="1388" t="s">
        <v>9276</v>
      </c>
      <c r="CV567" s="1389" t="s">
        <v>9277</v>
      </c>
      <c r="CX567" s="1379">
        <v>1</v>
      </c>
    </row>
    <row r="568" spans="91:102" ht="21" customHeight="1" x14ac:dyDescent="0.25">
      <c r="CM568" s="1377"/>
      <c r="CN568" s="1388" t="s">
        <v>9541</v>
      </c>
      <c r="CO568" s="1388" t="s">
        <v>8125</v>
      </c>
      <c r="CP568" s="1388" t="s">
        <v>8106</v>
      </c>
      <c r="CQ568" s="1388" t="s">
        <v>9542</v>
      </c>
      <c r="CR568" s="1388" t="s">
        <v>9542</v>
      </c>
      <c r="CS568" s="1388" t="s">
        <v>8788</v>
      </c>
      <c r="CT568" s="1388" t="s">
        <v>8789</v>
      </c>
      <c r="CU568" s="1388" t="s">
        <v>9276</v>
      </c>
      <c r="CV568" s="1389" t="s">
        <v>9277</v>
      </c>
      <c r="CX568" s="1379">
        <v>1</v>
      </c>
    </row>
    <row r="569" spans="91:102" ht="21" customHeight="1" x14ac:dyDescent="0.25">
      <c r="CM569" s="1377"/>
      <c r="CN569" s="1388" t="s">
        <v>9543</v>
      </c>
      <c r="CO569" s="1388" t="s">
        <v>8125</v>
      </c>
      <c r="CP569" s="1388" t="s">
        <v>8106</v>
      </c>
      <c r="CQ569" s="1388" t="s">
        <v>9544</v>
      </c>
      <c r="CR569" s="1388" t="s">
        <v>9544</v>
      </c>
      <c r="CS569" s="1388" t="s">
        <v>8788</v>
      </c>
      <c r="CT569" s="1388" t="s">
        <v>8789</v>
      </c>
      <c r="CU569" s="1388" t="s">
        <v>9276</v>
      </c>
      <c r="CV569" s="1389" t="s">
        <v>9277</v>
      </c>
      <c r="CX569" s="1379">
        <v>1</v>
      </c>
    </row>
    <row r="570" spans="91:102" ht="21" customHeight="1" x14ac:dyDescent="0.25">
      <c r="CM570" s="1377"/>
      <c r="CN570" s="1388" t="s">
        <v>9545</v>
      </c>
      <c r="CO570" s="1388" t="s">
        <v>8125</v>
      </c>
      <c r="CP570" s="1388" t="s">
        <v>8106</v>
      </c>
      <c r="CQ570" s="1388" t="s">
        <v>9546</v>
      </c>
      <c r="CR570" s="1388" t="s">
        <v>9546</v>
      </c>
      <c r="CS570" s="1388" t="s">
        <v>8788</v>
      </c>
      <c r="CT570" s="1388" t="s">
        <v>8789</v>
      </c>
      <c r="CU570" s="1388" t="s">
        <v>9276</v>
      </c>
      <c r="CV570" s="1389" t="s">
        <v>9277</v>
      </c>
      <c r="CX570" s="1379">
        <v>1</v>
      </c>
    </row>
    <row r="571" spans="91:102" ht="21" customHeight="1" x14ac:dyDescent="0.25">
      <c r="CM571" s="1377"/>
      <c r="CN571" s="1388" t="s">
        <v>9547</v>
      </c>
      <c r="CO571" s="1388" t="s">
        <v>8125</v>
      </c>
      <c r="CP571" s="1388" t="s">
        <v>8106</v>
      </c>
      <c r="CQ571" s="1388" t="s">
        <v>9548</v>
      </c>
      <c r="CR571" s="1388" t="s">
        <v>9548</v>
      </c>
      <c r="CS571" s="1388" t="s">
        <v>8788</v>
      </c>
      <c r="CT571" s="1388" t="s">
        <v>8789</v>
      </c>
      <c r="CU571" s="1388" t="s">
        <v>9276</v>
      </c>
      <c r="CV571" s="1389" t="s">
        <v>9277</v>
      </c>
      <c r="CX571" s="1379">
        <v>1</v>
      </c>
    </row>
    <row r="572" spans="91:102" ht="21" customHeight="1" x14ac:dyDescent="0.25">
      <c r="CM572" s="1377"/>
      <c r="CN572" s="1388" t="s">
        <v>9549</v>
      </c>
      <c r="CO572" s="1388" t="s">
        <v>8125</v>
      </c>
      <c r="CP572" s="1388" t="s">
        <v>8106</v>
      </c>
      <c r="CQ572" s="1388" t="s">
        <v>9550</v>
      </c>
      <c r="CR572" s="1388" t="s">
        <v>9550</v>
      </c>
      <c r="CS572" s="1388" t="s">
        <v>8788</v>
      </c>
      <c r="CT572" s="1388" t="s">
        <v>8789</v>
      </c>
      <c r="CU572" s="1388" t="s">
        <v>9276</v>
      </c>
      <c r="CV572" s="1389" t="s">
        <v>9277</v>
      </c>
      <c r="CX572" s="1379">
        <v>1</v>
      </c>
    </row>
    <row r="573" spans="91:102" ht="21" customHeight="1" x14ac:dyDescent="0.25">
      <c r="CM573" s="1377"/>
      <c r="CN573" s="1388" t="s">
        <v>9551</v>
      </c>
      <c r="CO573" s="1388" t="s">
        <v>8125</v>
      </c>
      <c r="CP573" s="1388" t="s">
        <v>8106</v>
      </c>
      <c r="CQ573" s="1388" t="s">
        <v>9552</v>
      </c>
      <c r="CR573" s="1388" t="s">
        <v>9552</v>
      </c>
      <c r="CS573" s="1388" t="s">
        <v>8788</v>
      </c>
      <c r="CT573" s="1388" t="s">
        <v>8789</v>
      </c>
      <c r="CU573" s="1388" t="s">
        <v>9276</v>
      </c>
      <c r="CV573" s="1389" t="s">
        <v>9277</v>
      </c>
      <c r="CX573" s="1379">
        <v>1</v>
      </c>
    </row>
    <row r="574" spans="91:102" ht="21" customHeight="1" x14ac:dyDescent="0.25">
      <c r="CM574" s="1377"/>
      <c r="CN574" s="1388" t="s">
        <v>9553</v>
      </c>
      <c r="CO574" s="1388" t="s">
        <v>8125</v>
      </c>
      <c r="CP574" s="1388" t="s">
        <v>8106</v>
      </c>
      <c r="CQ574" s="1388" t="s">
        <v>9554</v>
      </c>
      <c r="CR574" s="1388" t="s">
        <v>9554</v>
      </c>
      <c r="CS574" s="1388" t="s">
        <v>8788</v>
      </c>
      <c r="CT574" s="1388" t="s">
        <v>8789</v>
      </c>
      <c r="CU574" s="1388" t="s">
        <v>9276</v>
      </c>
      <c r="CV574" s="1389" t="s">
        <v>9277</v>
      </c>
      <c r="CX574" s="1379">
        <v>1</v>
      </c>
    </row>
    <row r="575" spans="91:102" ht="21" customHeight="1" x14ac:dyDescent="0.25">
      <c r="CM575" s="1377"/>
      <c r="CN575" s="1388" t="s">
        <v>9555</v>
      </c>
      <c r="CO575" s="1388" t="s">
        <v>8125</v>
      </c>
      <c r="CP575" s="1388" t="s">
        <v>8106</v>
      </c>
      <c r="CQ575" s="1388" t="s">
        <v>9556</v>
      </c>
      <c r="CR575" s="1388" t="s">
        <v>9556</v>
      </c>
      <c r="CS575" s="1388" t="s">
        <v>8788</v>
      </c>
      <c r="CT575" s="1388" t="s">
        <v>8789</v>
      </c>
      <c r="CU575" s="1388" t="s">
        <v>9276</v>
      </c>
      <c r="CV575" s="1389" t="s">
        <v>9277</v>
      </c>
      <c r="CX575" s="1379">
        <v>1</v>
      </c>
    </row>
    <row r="576" spans="91:102" ht="21" customHeight="1" x14ac:dyDescent="0.25">
      <c r="CM576" s="1377"/>
      <c r="CN576" s="1388" t="s">
        <v>9557</v>
      </c>
      <c r="CO576" s="1388" t="s">
        <v>8125</v>
      </c>
      <c r="CP576" s="1388" t="s">
        <v>8106</v>
      </c>
      <c r="CQ576" s="1388" t="s">
        <v>9558</v>
      </c>
      <c r="CR576" s="1388" t="s">
        <v>9558</v>
      </c>
      <c r="CS576" s="1388" t="s">
        <v>8788</v>
      </c>
      <c r="CT576" s="1388" t="s">
        <v>8789</v>
      </c>
      <c r="CU576" s="1388" t="s">
        <v>9276</v>
      </c>
      <c r="CV576" s="1389" t="s">
        <v>9277</v>
      </c>
      <c r="CX576" s="1379">
        <v>1</v>
      </c>
    </row>
    <row r="577" spans="91:102" ht="21" customHeight="1" x14ac:dyDescent="0.25">
      <c r="CM577" s="1377"/>
      <c r="CN577" s="1388" t="s">
        <v>9559</v>
      </c>
      <c r="CO577" s="1388" t="s">
        <v>8125</v>
      </c>
      <c r="CP577" s="1388" t="s">
        <v>8106</v>
      </c>
      <c r="CQ577" s="1388" t="s">
        <v>9560</v>
      </c>
      <c r="CR577" s="1388" t="s">
        <v>9560</v>
      </c>
      <c r="CS577" s="1388" t="s">
        <v>8788</v>
      </c>
      <c r="CT577" s="1388" t="s">
        <v>8789</v>
      </c>
      <c r="CU577" s="1388" t="s">
        <v>9276</v>
      </c>
      <c r="CV577" s="1389" t="s">
        <v>9277</v>
      </c>
      <c r="CX577" s="1379">
        <v>1</v>
      </c>
    </row>
    <row r="578" spans="91:102" ht="21" customHeight="1" x14ac:dyDescent="0.25">
      <c r="CM578" s="1377"/>
      <c r="CN578" s="1388" t="s">
        <v>9561</v>
      </c>
      <c r="CO578" s="1388" t="s">
        <v>8125</v>
      </c>
      <c r="CP578" s="1388" t="s">
        <v>8106</v>
      </c>
      <c r="CQ578" s="1388" t="s">
        <v>9562</v>
      </c>
      <c r="CR578" s="1388" t="s">
        <v>9562</v>
      </c>
      <c r="CS578" s="1388" t="s">
        <v>8788</v>
      </c>
      <c r="CT578" s="1388" t="s">
        <v>8789</v>
      </c>
      <c r="CU578" s="1388" t="s">
        <v>9276</v>
      </c>
      <c r="CV578" s="1389" t="s">
        <v>9277</v>
      </c>
      <c r="CX578" s="1379">
        <v>1</v>
      </c>
    </row>
    <row r="579" spans="91:102" ht="21" customHeight="1" x14ac:dyDescent="0.25">
      <c r="CM579" s="1377"/>
      <c r="CN579" s="1388" t="s">
        <v>9563</v>
      </c>
      <c r="CO579" s="1388" t="s">
        <v>8125</v>
      </c>
      <c r="CP579" s="1388" t="s">
        <v>8106</v>
      </c>
      <c r="CQ579" s="1388" t="s">
        <v>9564</v>
      </c>
      <c r="CR579" s="1388" t="s">
        <v>9564</v>
      </c>
      <c r="CS579" s="1388" t="s">
        <v>8788</v>
      </c>
      <c r="CT579" s="1388" t="s">
        <v>8789</v>
      </c>
      <c r="CU579" s="1388" t="s">
        <v>9276</v>
      </c>
      <c r="CV579" s="1389" t="s">
        <v>9277</v>
      </c>
      <c r="CX579" s="1379">
        <v>1</v>
      </c>
    </row>
    <row r="580" spans="91:102" ht="21" customHeight="1" x14ac:dyDescent="0.25">
      <c r="CM580" s="1377"/>
      <c r="CN580" s="1388" t="s">
        <v>9565</v>
      </c>
      <c r="CO580" s="1388" t="s">
        <v>8125</v>
      </c>
      <c r="CP580" s="1388" t="s">
        <v>8106</v>
      </c>
      <c r="CQ580" s="1388" t="s">
        <v>9566</v>
      </c>
      <c r="CR580" s="1388" t="s">
        <v>9566</v>
      </c>
      <c r="CS580" s="1388" t="s">
        <v>8788</v>
      </c>
      <c r="CT580" s="1388" t="s">
        <v>8789</v>
      </c>
      <c r="CU580" s="1388" t="s">
        <v>9276</v>
      </c>
      <c r="CV580" s="1389" t="s">
        <v>9277</v>
      </c>
      <c r="CX580" s="1379">
        <v>1</v>
      </c>
    </row>
    <row r="581" spans="91:102" ht="21" customHeight="1" x14ac:dyDescent="0.25">
      <c r="CM581" s="1377"/>
      <c r="CN581" s="1388" t="s">
        <v>9567</v>
      </c>
      <c r="CO581" s="1388" t="s">
        <v>8125</v>
      </c>
      <c r="CP581" s="1388" t="s">
        <v>8106</v>
      </c>
      <c r="CQ581" s="1388" t="s">
        <v>9568</v>
      </c>
      <c r="CR581" s="1388" t="s">
        <v>9568</v>
      </c>
      <c r="CS581" s="1388" t="s">
        <v>8788</v>
      </c>
      <c r="CT581" s="1388" t="s">
        <v>8789</v>
      </c>
      <c r="CU581" s="1388" t="s">
        <v>9276</v>
      </c>
      <c r="CV581" s="1389" t="s">
        <v>9277</v>
      </c>
      <c r="CX581" s="1379">
        <v>1</v>
      </c>
    </row>
    <row r="582" spans="91:102" ht="21" customHeight="1" x14ac:dyDescent="0.25">
      <c r="CM582" s="1377"/>
      <c r="CN582" s="1388" t="s">
        <v>9569</v>
      </c>
      <c r="CO582" s="1388" t="s">
        <v>8125</v>
      </c>
      <c r="CP582" s="1388" t="s">
        <v>8106</v>
      </c>
      <c r="CQ582" s="1388" t="s">
        <v>9570</v>
      </c>
      <c r="CR582" s="1388" t="s">
        <v>9570</v>
      </c>
      <c r="CS582" s="1388" t="s">
        <v>8788</v>
      </c>
      <c r="CT582" s="1388" t="s">
        <v>8789</v>
      </c>
      <c r="CU582" s="1388" t="s">
        <v>9276</v>
      </c>
      <c r="CV582" s="1389" t="s">
        <v>9277</v>
      </c>
      <c r="CX582" s="1379">
        <v>1</v>
      </c>
    </row>
    <row r="583" spans="91:102" ht="21" customHeight="1" x14ac:dyDescent="0.25">
      <c r="CM583" s="1377"/>
      <c r="CN583" s="1388" t="s">
        <v>9571</v>
      </c>
      <c r="CO583" s="1388" t="s">
        <v>8125</v>
      </c>
      <c r="CP583" s="1388" t="s">
        <v>8106</v>
      </c>
      <c r="CQ583" s="1388" t="s">
        <v>9572</v>
      </c>
      <c r="CR583" s="1388" t="s">
        <v>9572</v>
      </c>
      <c r="CS583" s="1388" t="s">
        <v>8788</v>
      </c>
      <c r="CT583" s="1388" t="s">
        <v>8789</v>
      </c>
      <c r="CU583" s="1388" t="s">
        <v>9276</v>
      </c>
      <c r="CV583" s="1389" t="s">
        <v>9277</v>
      </c>
      <c r="CX583" s="1379">
        <v>1</v>
      </c>
    </row>
    <row r="584" spans="91:102" ht="21" customHeight="1" x14ac:dyDescent="0.25">
      <c r="CM584" s="1377"/>
      <c r="CN584" s="1388" t="s">
        <v>9573</v>
      </c>
      <c r="CO584" s="1388" t="s">
        <v>8125</v>
      </c>
      <c r="CP584" s="1388" t="s">
        <v>8106</v>
      </c>
      <c r="CQ584" s="1388" t="s">
        <v>9574</v>
      </c>
      <c r="CR584" s="1388" t="s">
        <v>9574</v>
      </c>
      <c r="CS584" s="1388" t="s">
        <v>8788</v>
      </c>
      <c r="CT584" s="1388" t="s">
        <v>8789</v>
      </c>
      <c r="CU584" s="1388" t="s">
        <v>9276</v>
      </c>
      <c r="CV584" s="1389" t="s">
        <v>9277</v>
      </c>
      <c r="CX584" s="1379">
        <v>1</v>
      </c>
    </row>
    <row r="585" spans="91:102" ht="21" customHeight="1" x14ac:dyDescent="0.25">
      <c r="CM585" s="1377"/>
      <c r="CN585" s="1388" t="s">
        <v>9575</v>
      </c>
      <c r="CO585" s="1388" t="s">
        <v>8125</v>
      </c>
      <c r="CP585" s="1388" t="s">
        <v>8106</v>
      </c>
      <c r="CQ585" s="1388" t="s">
        <v>9576</v>
      </c>
      <c r="CR585" s="1388" t="s">
        <v>9576</v>
      </c>
      <c r="CS585" s="1388" t="s">
        <v>8788</v>
      </c>
      <c r="CT585" s="1388" t="s">
        <v>8789</v>
      </c>
      <c r="CU585" s="1388" t="s">
        <v>9276</v>
      </c>
      <c r="CV585" s="1389" t="s">
        <v>9277</v>
      </c>
      <c r="CX585" s="1379">
        <v>1</v>
      </c>
    </row>
    <row r="586" spans="91:102" ht="21" customHeight="1" x14ac:dyDescent="0.25">
      <c r="CM586" s="1377"/>
      <c r="CN586" s="1388" t="s">
        <v>9577</v>
      </c>
      <c r="CO586" s="1388" t="s">
        <v>8125</v>
      </c>
      <c r="CP586" s="1388" t="s">
        <v>8106</v>
      </c>
      <c r="CQ586" s="1388" t="s">
        <v>9578</v>
      </c>
      <c r="CR586" s="1388" t="s">
        <v>9578</v>
      </c>
      <c r="CS586" s="1388" t="s">
        <v>8788</v>
      </c>
      <c r="CT586" s="1388" t="s">
        <v>8789</v>
      </c>
      <c r="CU586" s="1388" t="s">
        <v>9276</v>
      </c>
      <c r="CV586" s="1389" t="s">
        <v>9277</v>
      </c>
      <c r="CX586" s="1379">
        <v>1</v>
      </c>
    </row>
    <row r="587" spans="91:102" ht="21" customHeight="1" x14ac:dyDescent="0.25">
      <c r="CM587" s="1377"/>
      <c r="CN587" s="1388" t="s">
        <v>9579</v>
      </c>
      <c r="CO587" s="1388" t="s">
        <v>8125</v>
      </c>
      <c r="CP587" s="1388" t="s">
        <v>8106</v>
      </c>
      <c r="CQ587" s="1388" t="s">
        <v>9580</v>
      </c>
      <c r="CR587" s="1388" t="s">
        <v>9580</v>
      </c>
      <c r="CS587" s="1388" t="s">
        <v>8788</v>
      </c>
      <c r="CT587" s="1388" t="s">
        <v>8789</v>
      </c>
      <c r="CU587" s="1388" t="s">
        <v>9276</v>
      </c>
      <c r="CV587" s="1389" t="s">
        <v>9277</v>
      </c>
      <c r="CX587" s="1379">
        <v>1</v>
      </c>
    </row>
    <row r="588" spans="91:102" ht="21" customHeight="1" x14ac:dyDescent="0.25">
      <c r="CM588" s="1377"/>
      <c r="CN588" s="1388" t="s">
        <v>9581</v>
      </c>
      <c r="CO588" s="1388" t="s">
        <v>8125</v>
      </c>
      <c r="CP588" s="1388" t="s">
        <v>8106</v>
      </c>
      <c r="CQ588" s="1388" t="s">
        <v>9582</v>
      </c>
      <c r="CR588" s="1388" t="s">
        <v>9582</v>
      </c>
      <c r="CS588" s="1388" t="s">
        <v>8788</v>
      </c>
      <c r="CT588" s="1388" t="s">
        <v>8789</v>
      </c>
      <c r="CU588" s="1388" t="s">
        <v>9276</v>
      </c>
      <c r="CV588" s="1389" t="s">
        <v>9277</v>
      </c>
      <c r="CX588" s="1379">
        <v>1</v>
      </c>
    </row>
    <row r="589" spans="91:102" ht="21" customHeight="1" x14ac:dyDescent="0.25">
      <c r="CM589" s="1377"/>
      <c r="CN589" s="1388" t="s">
        <v>9583</v>
      </c>
      <c r="CO589" s="1388" t="s">
        <v>8125</v>
      </c>
      <c r="CP589" s="1388" t="s">
        <v>8106</v>
      </c>
      <c r="CQ589" s="1388" t="s">
        <v>9584</v>
      </c>
      <c r="CR589" s="1388" t="s">
        <v>9584</v>
      </c>
      <c r="CS589" s="1388" t="s">
        <v>8788</v>
      </c>
      <c r="CT589" s="1388" t="s">
        <v>8789</v>
      </c>
      <c r="CU589" s="1388" t="s">
        <v>9276</v>
      </c>
      <c r="CV589" s="1389" t="s">
        <v>9277</v>
      </c>
      <c r="CX589" s="1379">
        <v>1</v>
      </c>
    </row>
    <row r="590" spans="91:102" ht="21" customHeight="1" x14ac:dyDescent="0.25">
      <c r="CM590" s="1377"/>
      <c r="CN590" s="1388" t="s">
        <v>9585</v>
      </c>
      <c r="CO590" s="1388" t="s">
        <v>8125</v>
      </c>
      <c r="CP590" s="1388" t="s">
        <v>8106</v>
      </c>
      <c r="CQ590" s="1388" t="s">
        <v>9586</v>
      </c>
      <c r="CR590" s="1388" t="s">
        <v>9586</v>
      </c>
      <c r="CS590" s="1388" t="s">
        <v>8788</v>
      </c>
      <c r="CT590" s="1388" t="s">
        <v>8789</v>
      </c>
      <c r="CU590" s="1388" t="s">
        <v>9276</v>
      </c>
      <c r="CV590" s="1389" t="s">
        <v>9277</v>
      </c>
      <c r="CX590" s="1379">
        <v>1</v>
      </c>
    </row>
    <row r="591" spans="91:102" ht="21" customHeight="1" x14ac:dyDescent="0.25">
      <c r="CM591" s="1377"/>
      <c r="CN591" s="1388" t="s">
        <v>9587</v>
      </c>
      <c r="CO591" s="1388" t="s">
        <v>8125</v>
      </c>
      <c r="CP591" s="1388" t="s">
        <v>8106</v>
      </c>
      <c r="CQ591" s="1388" t="s">
        <v>9588</v>
      </c>
      <c r="CR591" s="1388" t="s">
        <v>9588</v>
      </c>
      <c r="CS591" s="1388" t="s">
        <v>8788</v>
      </c>
      <c r="CT591" s="1388" t="s">
        <v>8789</v>
      </c>
      <c r="CU591" s="1388" t="s">
        <v>9276</v>
      </c>
      <c r="CV591" s="1389" t="s">
        <v>9277</v>
      </c>
      <c r="CX591" s="1379">
        <v>1</v>
      </c>
    </row>
    <row r="592" spans="91:102" ht="21" customHeight="1" x14ac:dyDescent="0.25">
      <c r="CM592" s="1377"/>
      <c r="CN592" s="1388" t="s">
        <v>9589</v>
      </c>
      <c r="CO592" s="1388" t="s">
        <v>8125</v>
      </c>
      <c r="CP592" s="1388" t="s">
        <v>8106</v>
      </c>
      <c r="CQ592" s="1388" t="s">
        <v>9590</v>
      </c>
      <c r="CR592" s="1388" t="s">
        <v>9590</v>
      </c>
      <c r="CS592" s="1388" t="s">
        <v>8788</v>
      </c>
      <c r="CT592" s="1388" t="s">
        <v>8789</v>
      </c>
      <c r="CU592" s="1388" t="s">
        <v>9276</v>
      </c>
      <c r="CV592" s="1389" t="s">
        <v>9277</v>
      </c>
      <c r="CX592" s="1379">
        <v>1</v>
      </c>
    </row>
    <row r="593" spans="91:102" ht="21" customHeight="1" x14ac:dyDescent="0.25">
      <c r="CM593" s="1377"/>
      <c r="CN593" s="1388" t="s">
        <v>9591</v>
      </c>
      <c r="CO593" s="1388" t="s">
        <v>8125</v>
      </c>
      <c r="CP593" s="1388" t="s">
        <v>8106</v>
      </c>
      <c r="CQ593" s="1388" t="s">
        <v>9592</v>
      </c>
      <c r="CR593" s="1388" t="s">
        <v>9592</v>
      </c>
      <c r="CS593" s="1388" t="s">
        <v>8108</v>
      </c>
      <c r="CT593" s="1388" t="s">
        <v>9359</v>
      </c>
      <c r="CU593" s="1388" t="s">
        <v>8110</v>
      </c>
      <c r="CV593" s="1389" t="s">
        <v>8111</v>
      </c>
      <c r="CX593" s="1379">
        <v>1</v>
      </c>
    </row>
    <row r="594" spans="91:102" ht="21" customHeight="1" x14ac:dyDescent="0.25">
      <c r="CM594" s="1377"/>
      <c r="CN594" s="1388" t="s">
        <v>9593</v>
      </c>
      <c r="CO594" s="1388" t="s">
        <v>8125</v>
      </c>
      <c r="CP594" s="1388" t="s">
        <v>8106</v>
      </c>
      <c r="CQ594" s="1388" t="s">
        <v>9594</v>
      </c>
      <c r="CR594" s="1388" t="s">
        <v>9594</v>
      </c>
      <c r="CS594" s="1388" t="s">
        <v>8788</v>
      </c>
      <c r="CT594" s="1388" t="s">
        <v>8789</v>
      </c>
      <c r="CU594" s="1388" t="s">
        <v>9276</v>
      </c>
      <c r="CV594" s="1389" t="s">
        <v>9277</v>
      </c>
      <c r="CX594" s="1379">
        <v>1</v>
      </c>
    </row>
    <row r="595" spans="91:102" ht="21" customHeight="1" x14ac:dyDescent="0.25">
      <c r="CM595" s="1377"/>
      <c r="CN595" s="1388" t="s">
        <v>9595</v>
      </c>
      <c r="CO595" s="1388" t="s">
        <v>8125</v>
      </c>
      <c r="CP595" s="1388" t="s">
        <v>8106</v>
      </c>
      <c r="CQ595" s="1388" t="s">
        <v>9596</v>
      </c>
      <c r="CR595" s="1388" t="s">
        <v>9596</v>
      </c>
      <c r="CS595" s="1388" t="s">
        <v>8788</v>
      </c>
      <c r="CT595" s="1388" t="s">
        <v>8789</v>
      </c>
      <c r="CU595" s="1388" t="s">
        <v>9276</v>
      </c>
      <c r="CV595" s="1389" t="s">
        <v>9277</v>
      </c>
      <c r="CX595" s="1379">
        <v>1</v>
      </c>
    </row>
    <row r="596" spans="91:102" ht="21" customHeight="1" x14ac:dyDescent="0.25">
      <c r="CM596" s="1377"/>
      <c r="CN596" s="1388" t="s">
        <v>9597</v>
      </c>
      <c r="CO596" s="1388" t="s">
        <v>8125</v>
      </c>
      <c r="CP596" s="1388" t="s">
        <v>8106</v>
      </c>
      <c r="CQ596" s="1388" t="s">
        <v>9598</v>
      </c>
      <c r="CR596" s="1388" t="s">
        <v>9598</v>
      </c>
      <c r="CS596" s="1388" t="s">
        <v>8788</v>
      </c>
      <c r="CT596" s="1388" t="s">
        <v>8789</v>
      </c>
      <c r="CU596" s="1388" t="s">
        <v>9276</v>
      </c>
      <c r="CV596" s="1389" t="s">
        <v>9277</v>
      </c>
      <c r="CX596" s="1379">
        <v>1</v>
      </c>
    </row>
    <row r="597" spans="91:102" ht="21" customHeight="1" x14ac:dyDescent="0.25">
      <c r="CM597" s="1377"/>
      <c r="CN597" s="1388" t="s">
        <v>9599</v>
      </c>
      <c r="CO597" s="1388" t="s">
        <v>8125</v>
      </c>
      <c r="CP597" s="1388" t="s">
        <v>8106</v>
      </c>
      <c r="CQ597" s="1388" t="s">
        <v>9600</v>
      </c>
      <c r="CR597" s="1388" t="s">
        <v>9600</v>
      </c>
      <c r="CS597" s="1388" t="s">
        <v>8788</v>
      </c>
      <c r="CT597" s="1388" t="s">
        <v>8789</v>
      </c>
      <c r="CU597" s="1388" t="s">
        <v>9276</v>
      </c>
      <c r="CV597" s="1389" t="s">
        <v>9277</v>
      </c>
      <c r="CX597" s="1379">
        <v>1</v>
      </c>
    </row>
    <row r="598" spans="91:102" ht="21" customHeight="1" x14ac:dyDescent="0.25">
      <c r="CM598" s="1377"/>
      <c r="CN598" s="1388" t="s">
        <v>9601</v>
      </c>
      <c r="CO598" s="1388" t="s">
        <v>8125</v>
      </c>
      <c r="CP598" s="1388" t="s">
        <v>8106</v>
      </c>
      <c r="CQ598" s="1388" t="s">
        <v>9602</v>
      </c>
      <c r="CR598" s="1388" t="s">
        <v>9602</v>
      </c>
      <c r="CS598" s="1388" t="s">
        <v>8788</v>
      </c>
      <c r="CT598" s="1388" t="s">
        <v>8789</v>
      </c>
      <c r="CU598" s="1388" t="s">
        <v>9276</v>
      </c>
      <c r="CV598" s="1389" t="s">
        <v>9277</v>
      </c>
      <c r="CX598" s="1379">
        <v>1</v>
      </c>
    </row>
    <row r="599" spans="91:102" ht="21" customHeight="1" x14ac:dyDescent="0.25">
      <c r="CM599" s="1377"/>
      <c r="CN599" s="1388" t="s">
        <v>9603</v>
      </c>
      <c r="CO599" s="1388" t="s">
        <v>8125</v>
      </c>
      <c r="CP599" s="1388" t="s">
        <v>8106</v>
      </c>
      <c r="CQ599" s="1388" t="s">
        <v>9604</v>
      </c>
      <c r="CR599" s="1388" t="s">
        <v>9604</v>
      </c>
      <c r="CS599" s="1388" t="s">
        <v>8788</v>
      </c>
      <c r="CT599" s="1388" t="s">
        <v>8789</v>
      </c>
      <c r="CU599" s="1388" t="s">
        <v>9276</v>
      </c>
      <c r="CV599" s="1389" t="s">
        <v>9277</v>
      </c>
      <c r="CX599" s="1379">
        <v>1</v>
      </c>
    </row>
    <row r="600" spans="91:102" ht="21" customHeight="1" x14ac:dyDescent="0.25">
      <c r="CM600" s="1377"/>
      <c r="CN600" s="1388" t="s">
        <v>9605</v>
      </c>
      <c r="CO600" s="1388" t="s">
        <v>8125</v>
      </c>
      <c r="CP600" s="1388" t="s">
        <v>8106</v>
      </c>
      <c r="CQ600" s="1388" t="s">
        <v>9606</v>
      </c>
      <c r="CR600" s="1388" t="s">
        <v>9606</v>
      </c>
      <c r="CS600" s="1388" t="s">
        <v>8788</v>
      </c>
      <c r="CT600" s="1388" t="s">
        <v>8789</v>
      </c>
      <c r="CU600" s="1388" t="s">
        <v>9276</v>
      </c>
      <c r="CV600" s="1389" t="s">
        <v>9277</v>
      </c>
      <c r="CX600" s="1379">
        <v>1</v>
      </c>
    </row>
    <row r="601" spans="91:102" ht="21" customHeight="1" x14ac:dyDescent="0.25">
      <c r="CM601" s="1377"/>
      <c r="CN601" s="1388" t="s">
        <v>9607</v>
      </c>
      <c r="CO601" s="1388" t="s">
        <v>8125</v>
      </c>
      <c r="CP601" s="1388" t="s">
        <v>8106</v>
      </c>
      <c r="CQ601" s="1388" t="s">
        <v>9608</v>
      </c>
      <c r="CR601" s="1388" t="s">
        <v>9608</v>
      </c>
      <c r="CS601" s="1388" t="s">
        <v>8788</v>
      </c>
      <c r="CT601" s="1388" t="s">
        <v>8789</v>
      </c>
      <c r="CU601" s="1388" t="s">
        <v>9276</v>
      </c>
      <c r="CV601" s="1389" t="s">
        <v>9277</v>
      </c>
      <c r="CX601" s="1379">
        <v>1</v>
      </c>
    </row>
    <row r="602" spans="91:102" ht="21" customHeight="1" x14ac:dyDescent="0.25">
      <c r="CM602" s="1377"/>
      <c r="CN602" s="1388" t="s">
        <v>9609</v>
      </c>
      <c r="CO602" s="1388" t="s">
        <v>8125</v>
      </c>
      <c r="CP602" s="1388" t="s">
        <v>8106</v>
      </c>
      <c r="CQ602" s="1388" t="s">
        <v>9610</v>
      </c>
      <c r="CR602" s="1388" t="s">
        <v>9610</v>
      </c>
      <c r="CS602" s="1388" t="s">
        <v>8788</v>
      </c>
      <c r="CT602" s="1388" t="s">
        <v>8789</v>
      </c>
      <c r="CU602" s="1388" t="s">
        <v>9276</v>
      </c>
      <c r="CV602" s="1389" t="s">
        <v>9277</v>
      </c>
      <c r="CX602" s="1379">
        <v>1</v>
      </c>
    </row>
    <row r="603" spans="91:102" ht="21" customHeight="1" x14ac:dyDescent="0.25">
      <c r="CM603" s="1377"/>
      <c r="CN603" s="1388" t="s">
        <v>9611</v>
      </c>
      <c r="CO603" s="1388" t="s">
        <v>8125</v>
      </c>
      <c r="CP603" s="1388" t="s">
        <v>8106</v>
      </c>
      <c r="CQ603" s="1388" t="s">
        <v>9612</v>
      </c>
      <c r="CR603" s="1388" t="s">
        <v>9612</v>
      </c>
      <c r="CS603" s="1388" t="s">
        <v>8788</v>
      </c>
      <c r="CT603" s="1388" t="s">
        <v>8789</v>
      </c>
      <c r="CU603" s="1388" t="s">
        <v>9276</v>
      </c>
      <c r="CV603" s="1389" t="s">
        <v>9277</v>
      </c>
      <c r="CX603" s="1379">
        <v>1</v>
      </c>
    </row>
    <row r="604" spans="91:102" ht="21" customHeight="1" x14ac:dyDescent="0.25">
      <c r="CM604" s="1377"/>
      <c r="CN604" s="1388" t="s">
        <v>9613</v>
      </c>
      <c r="CO604" s="1388" t="s">
        <v>8125</v>
      </c>
      <c r="CP604" s="1388" t="s">
        <v>8106</v>
      </c>
      <c r="CQ604" s="1388" t="s">
        <v>9614</v>
      </c>
      <c r="CR604" s="1388" t="s">
        <v>9614</v>
      </c>
      <c r="CS604" s="1388" t="s">
        <v>8788</v>
      </c>
      <c r="CT604" s="1388" t="s">
        <v>8789</v>
      </c>
      <c r="CU604" s="1388" t="s">
        <v>9276</v>
      </c>
      <c r="CV604" s="1389" t="s">
        <v>9277</v>
      </c>
      <c r="CX604" s="1379">
        <v>1</v>
      </c>
    </row>
    <row r="605" spans="91:102" ht="21" customHeight="1" x14ac:dyDescent="0.25">
      <c r="CM605" s="1377"/>
      <c r="CN605" s="1388" t="s">
        <v>9615</v>
      </c>
      <c r="CO605" s="1388" t="s">
        <v>8125</v>
      </c>
      <c r="CP605" s="1388" t="s">
        <v>8106</v>
      </c>
      <c r="CQ605" s="1388" t="s">
        <v>9616</v>
      </c>
      <c r="CR605" s="1388" t="s">
        <v>9616</v>
      </c>
      <c r="CS605" s="1388" t="s">
        <v>8788</v>
      </c>
      <c r="CT605" s="1388" t="s">
        <v>8789</v>
      </c>
      <c r="CU605" s="1388" t="s">
        <v>9276</v>
      </c>
      <c r="CV605" s="1389" t="s">
        <v>9277</v>
      </c>
      <c r="CX605" s="1379">
        <v>1</v>
      </c>
    </row>
    <row r="606" spans="91:102" ht="21" customHeight="1" x14ac:dyDescent="0.25">
      <c r="CM606" s="1377"/>
      <c r="CN606" s="1388" t="s">
        <v>9617</v>
      </c>
      <c r="CO606" s="1388" t="s">
        <v>8125</v>
      </c>
      <c r="CP606" s="1388" t="s">
        <v>8106</v>
      </c>
      <c r="CQ606" s="1388" t="s">
        <v>9618</v>
      </c>
      <c r="CR606" s="1388" t="s">
        <v>9618</v>
      </c>
      <c r="CS606" s="1388" t="s">
        <v>8788</v>
      </c>
      <c r="CT606" s="1388" t="s">
        <v>8789</v>
      </c>
      <c r="CU606" s="1388" t="s">
        <v>9276</v>
      </c>
      <c r="CV606" s="1389" t="s">
        <v>9277</v>
      </c>
      <c r="CX606" s="1379">
        <v>1</v>
      </c>
    </row>
    <row r="607" spans="91:102" ht="21" customHeight="1" x14ac:dyDescent="0.25">
      <c r="CM607" s="1377"/>
      <c r="CN607" s="1388" t="s">
        <v>9619</v>
      </c>
      <c r="CO607" s="1388" t="s">
        <v>8125</v>
      </c>
      <c r="CP607" s="1388" t="s">
        <v>8106</v>
      </c>
      <c r="CQ607" s="1388" t="s">
        <v>9620</v>
      </c>
      <c r="CR607" s="1388" t="s">
        <v>9620</v>
      </c>
      <c r="CS607" s="1388" t="s">
        <v>8788</v>
      </c>
      <c r="CT607" s="1388" t="s">
        <v>8789</v>
      </c>
      <c r="CU607" s="1388" t="s">
        <v>9276</v>
      </c>
      <c r="CV607" s="1389" t="s">
        <v>9277</v>
      </c>
      <c r="CX607" s="1379">
        <v>1</v>
      </c>
    </row>
    <row r="608" spans="91:102" ht="21" customHeight="1" x14ac:dyDescent="0.25">
      <c r="CM608" s="1377"/>
      <c r="CN608" s="1388" t="s">
        <v>9621</v>
      </c>
      <c r="CO608" s="1388" t="s">
        <v>8125</v>
      </c>
      <c r="CP608" s="1388" t="s">
        <v>8106</v>
      </c>
      <c r="CQ608" s="1388" t="s">
        <v>9622</v>
      </c>
      <c r="CR608" s="1388" t="s">
        <v>9622</v>
      </c>
      <c r="CS608" s="1388" t="s">
        <v>8788</v>
      </c>
      <c r="CT608" s="1388" t="s">
        <v>8789</v>
      </c>
      <c r="CU608" s="1388" t="s">
        <v>9276</v>
      </c>
      <c r="CV608" s="1389" t="s">
        <v>9277</v>
      </c>
      <c r="CX608" s="1379">
        <v>1</v>
      </c>
    </row>
    <row r="609" spans="91:102" ht="21" customHeight="1" x14ac:dyDescent="0.25">
      <c r="CM609" s="1377"/>
      <c r="CN609" s="1388" t="s">
        <v>9623</v>
      </c>
      <c r="CO609" s="1388" t="s">
        <v>8125</v>
      </c>
      <c r="CP609" s="1388" t="s">
        <v>8106</v>
      </c>
      <c r="CQ609" s="1388" t="s">
        <v>9624</v>
      </c>
      <c r="CR609" s="1388" t="s">
        <v>9624</v>
      </c>
      <c r="CS609" s="1388" t="s">
        <v>8788</v>
      </c>
      <c r="CT609" s="1388" t="s">
        <v>8789</v>
      </c>
      <c r="CU609" s="1388" t="s">
        <v>9276</v>
      </c>
      <c r="CV609" s="1389" t="s">
        <v>9277</v>
      </c>
      <c r="CX609" s="1379">
        <v>1</v>
      </c>
    </row>
    <row r="610" spans="91:102" ht="21" customHeight="1" x14ac:dyDescent="0.25">
      <c r="CM610" s="1377"/>
      <c r="CN610" s="1388" t="s">
        <v>9625</v>
      </c>
      <c r="CO610" s="1388" t="s">
        <v>8125</v>
      </c>
      <c r="CP610" s="1388" t="s">
        <v>8106</v>
      </c>
      <c r="CQ610" s="1388" t="s">
        <v>9626</v>
      </c>
      <c r="CR610" s="1388" t="s">
        <v>9626</v>
      </c>
      <c r="CS610" s="1388" t="s">
        <v>8194</v>
      </c>
      <c r="CT610" s="1388" t="s">
        <v>8195</v>
      </c>
      <c r="CU610" s="1388" t="s">
        <v>8110</v>
      </c>
      <c r="CV610" s="1389" t="s">
        <v>8196</v>
      </c>
      <c r="CX610" s="1379">
        <v>1</v>
      </c>
    </row>
    <row r="611" spans="91:102" ht="21" customHeight="1" x14ac:dyDescent="0.25">
      <c r="CM611" s="1377"/>
      <c r="CN611" s="1388" t="s">
        <v>9627</v>
      </c>
      <c r="CO611" s="1388" t="s">
        <v>8125</v>
      </c>
      <c r="CP611" s="1388" t="s">
        <v>8106</v>
      </c>
      <c r="CQ611" s="1388" t="s">
        <v>9628</v>
      </c>
      <c r="CR611" s="1388" t="s">
        <v>9628</v>
      </c>
      <c r="CS611" s="1388" t="s">
        <v>8788</v>
      </c>
      <c r="CT611" s="1388" t="s">
        <v>8789</v>
      </c>
      <c r="CU611" s="1388" t="s">
        <v>9276</v>
      </c>
      <c r="CV611" s="1389" t="s">
        <v>9277</v>
      </c>
      <c r="CX611" s="1379">
        <v>1</v>
      </c>
    </row>
    <row r="612" spans="91:102" ht="21" customHeight="1" x14ac:dyDescent="0.25">
      <c r="CM612" s="1377"/>
      <c r="CN612" s="1388" t="s">
        <v>9629</v>
      </c>
      <c r="CO612" s="1388" t="s">
        <v>8125</v>
      </c>
      <c r="CP612" s="1388" t="s">
        <v>8106</v>
      </c>
      <c r="CQ612" s="1388" t="s">
        <v>9630</v>
      </c>
      <c r="CR612" s="1388" t="s">
        <v>9630</v>
      </c>
      <c r="CS612" s="1388" t="s">
        <v>8788</v>
      </c>
      <c r="CT612" s="1388" t="s">
        <v>8789</v>
      </c>
      <c r="CU612" s="1388" t="s">
        <v>9276</v>
      </c>
      <c r="CV612" s="1389" t="s">
        <v>9277</v>
      </c>
      <c r="CX612" s="1379">
        <v>1</v>
      </c>
    </row>
    <row r="613" spans="91:102" ht="21" customHeight="1" x14ac:dyDescent="0.25">
      <c r="CM613" s="1377"/>
      <c r="CN613" s="1388" t="s">
        <v>9631</v>
      </c>
      <c r="CO613" s="1388" t="s">
        <v>8125</v>
      </c>
      <c r="CP613" s="1388" t="s">
        <v>8106</v>
      </c>
      <c r="CQ613" s="1388" t="s">
        <v>9632</v>
      </c>
      <c r="CR613" s="1388" t="s">
        <v>9632</v>
      </c>
      <c r="CS613" s="1388" t="s">
        <v>8788</v>
      </c>
      <c r="CT613" s="1388" t="s">
        <v>8789</v>
      </c>
      <c r="CU613" s="1388" t="s">
        <v>9276</v>
      </c>
      <c r="CV613" s="1389" t="s">
        <v>9277</v>
      </c>
      <c r="CX613" s="1379">
        <v>1</v>
      </c>
    </row>
    <row r="614" spans="91:102" ht="21" customHeight="1" x14ac:dyDescent="0.25">
      <c r="CM614" s="1377"/>
      <c r="CN614" s="1388" t="s">
        <v>9633</v>
      </c>
      <c r="CO614" s="1388" t="s">
        <v>8125</v>
      </c>
      <c r="CP614" s="1388" t="s">
        <v>8106</v>
      </c>
      <c r="CQ614" s="1388" t="s">
        <v>9634</v>
      </c>
      <c r="CR614" s="1388" t="s">
        <v>9634</v>
      </c>
      <c r="CS614" s="1388" t="s">
        <v>8788</v>
      </c>
      <c r="CT614" s="1388" t="s">
        <v>8789</v>
      </c>
      <c r="CU614" s="1388" t="s">
        <v>9276</v>
      </c>
      <c r="CV614" s="1389" t="s">
        <v>9277</v>
      </c>
      <c r="CX614" s="1379">
        <v>1</v>
      </c>
    </row>
    <row r="615" spans="91:102" ht="21" customHeight="1" x14ac:dyDescent="0.25">
      <c r="CM615" s="1377"/>
      <c r="CN615" s="1388" t="s">
        <v>9635</v>
      </c>
      <c r="CO615" s="1388" t="s">
        <v>8125</v>
      </c>
      <c r="CP615" s="1388" t="s">
        <v>8106</v>
      </c>
      <c r="CQ615" s="1388" t="s">
        <v>9636</v>
      </c>
      <c r="CR615" s="1388" t="s">
        <v>9636</v>
      </c>
      <c r="CS615" s="1388" t="s">
        <v>8788</v>
      </c>
      <c r="CT615" s="1388" t="s">
        <v>8789</v>
      </c>
      <c r="CU615" s="1388" t="s">
        <v>9276</v>
      </c>
      <c r="CV615" s="1389" t="s">
        <v>9277</v>
      </c>
      <c r="CX615" s="1379">
        <v>1</v>
      </c>
    </row>
    <row r="616" spans="91:102" ht="21" customHeight="1" x14ac:dyDescent="0.25">
      <c r="CM616" s="1377"/>
      <c r="CN616" s="1388" t="s">
        <v>9637</v>
      </c>
      <c r="CO616" s="1388" t="s">
        <v>8125</v>
      </c>
      <c r="CP616" s="1388" t="s">
        <v>8106</v>
      </c>
      <c r="CQ616" s="1388" t="s">
        <v>9638</v>
      </c>
      <c r="CR616" s="1388" t="s">
        <v>9638</v>
      </c>
      <c r="CS616" s="1388" t="s">
        <v>8788</v>
      </c>
      <c r="CT616" s="1388" t="s">
        <v>8789</v>
      </c>
      <c r="CU616" s="1388" t="s">
        <v>9276</v>
      </c>
      <c r="CV616" s="1389" t="s">
        <v>9277</v>
      </c>
      <c r="CX616" s="1379">
        <v>1</v>
      </c>
    </row>
    <row r="617" spans="91:102" ht="21" customHeight="1" x14ac:dyDescent="0.25">
      <c r="CM617" s="1377"/>
      <c r="CN617" s="1388" t="s">
        <v>9639</v>
      </c>
      <c r="CO617" s="1388" t="s">
        <v>8125</v>
      </c>
      <c r="CP617" s="1388" t="s">
        <v>8106</v>
      </c>
      <c r="CQ617" s="1388" t="s">
        <v>9640</v>
      </c>
      <c r="CR617" s="1388" t="s">
        <v>9640</v>
      </c>
      <c r="CS617" s="1388" t="s">
        <v>8788</v>
      </c>
      <c r="CT617" s="1388" t="s">
        <v>8789</v>
      </c>
      <c r="CU617" s="1388" t="s">
        <v>9276</v>
      </c>
      <c r="CV617" s="1389" t="s">
        <v>9277</v>
      </c>
      <c r="CX617" s="1379">
        <v>1</v>
      </c>
    </row>
    <row r="618" spans="91:102" ht="21" customHeight="1" x14ac:dyDescent="0.25">
      <c r="CM618" s="1377"/>
      <c r="CN618" s="1388" t="s">
        <v>9641</v>
      </c>
      <c r="CO618" s="1388" t="s">
        <v>8125</v>
      </c>
      <c r="CP618" s="1388" t="s">
        <v>8106</v>
      </c>
      <c r="CQ618" s="1388" t="s">
        <v>9642</v>
      </c>
      <c r="CR618" s="1388" t="s">
        <v>9642</v>
      </c>
      <c r="CS618" s="1388" t="s">
        <v>8788</v>
      </c>
      <c r="CT618" s="1388" t="s">
        <v>8789</v>
      </c>
      <c r="CU618" s="1388" t="s">
        <v>9276</v>
      </c>
      <c r="CV618" s="1389" t="s">
        <v>9277</v>
      </c>
      <c r="CX618" s="1379">
        <v>1</v>
      </c>
    </row>
    <row r="619" spans="91:102" ht="21" customHeight="1" x14ac:dyDescent="0.25">
      <c r="CM619" s="1377"/>
      <c r="CN619" s="1388" t="s">
        <v>9643</v>
      </c>
      <c r="CO619" s="1388" t="s">
        <v>8125</v>
      </c>
      <c r="CP619" s="1388" t="s">
        <v>8106</v>
      </c>
      <c r="CQ619" s="1388" t="s">
        <v>9644</v>
      </c>
      <c r="CR619" s="1388" t="s">
        <v>9644</v>
      </c>
      <c r="CS619" s="1388" t="s">
        <v>8788</v>
      </c>
      <c r="CT619" s="1388" t="s">
        <v>9645</v>
      </c>
      <c r="CU619" s="1388" t="s">
        <v>9276</v>
      </c>
      <c r="CV619" s="1389" t="s">
        <v>9277</v>
      </c>
      <c r="CX619" s="1379">
        <v>1</v>
      </c>
    </row>
    <row r="620" spans="91:102" ht="21" customHeight="1" x14ac:dyDescent="0.25">
      <c r="CM620" s="1377"/>
      <c r="CN620" s="1388" t="s">
        <v>9646</v>
      </c>
      <c r="CO620" s="1388" t="s">
        <v>8125</v>
      </c>
      <c r="CP620" s="1388" t="s">
        <v>8106</v>
      </c>
      <c r="CQ620" s="1388" t="s">
        <v>9647</v>
      </c>
      <c r="CR620" s="1388" t="s">
        <v>9647</v>
      </c>
      <c r="CS620" s="1388" t="s">
        <v>8788</v>
      </c>
      <c r="CT620" s="1388" t="s">
        <v>8789</v>
      </c>
      <c r="CU620" s="1388" t="s">
        <v>9276</v>
      </c>
      <c r="CV620" s="1389" t="s">
        <v>9277</v>
      </c>
      <c r="CX620" s="1379">
        <v>1</v>
      </c>
    </row>
    <row r="621" spans="91:102" ht="21" customHeight="1" x14ac:dyDescent="0.25">
      <c r="CM621" s="1377"/>
      <c r="CN621" s="1388" t="s">
        <v>9648</v>
      </c>
      <c r="CO621" s="1388" t="s">
        <v>8125</v>
      </c>
      <c r="CP621" s="1388" t="s">
        <v>8106</v>
      </c>
      <c r="CQ621" s="1388" t="s">
        <v>9649</v>
      </c>
      <c r="CR621" s="1388" t="s">
        <v>9649</v>
      </c>
      <c r="CS621" s="1388" t="s">
        <v>8788</v>
      </c>
      <c r="CT621" s="1388" t="s">
        <v>8789</v>
      </c>
      <c r="CU621" s="1388" t="s">
        <v>9276</v>
      </c>
      <c r="CV621" s="1389" t="s">
        <v>9277</v>
      </c>
      <c r="CX621" s="1379">
        <v>1</v>
      </c>
    </row>
    <row r="622" spans="91:102" ht="21" customHeight="1" x14ac:dyDescent="0.25">
      <c r="CM622" s="1377"/>
      <c r="CN622" s="1388" t="s">
        <v>9650</v>
      </c>
      <c r="CO622" s="1388" t="s">
        <v>8125</v>
      </c>
      <c r="CP622" s="1388" t="s">
        <v>8106</v>
      </c>
      <c r="CQ622" s="1388" t="s">
        <v>9651</v>
      </c>
      <c r="CR622" s="1388" t="s">
        <v>9651</v>
      </c>
      <c r="CS622" s="1388" t="s">
        <v>8788</v>
      </c>
      <c r="CT622" s="1388" t="s">
        <v>8789</v>
      </c>
      <c r="CU622" s="1388" t="s">
        <v>9276</v>
      </c>
      <c r="CV622" s="1389" t="s">
        <v>9277</v>
      </c>
      <c r="CX622" s="1379">
        <v>1</v>
      </c>
    </row>
    <row r="623" spans="91:102" ht="21" customHeight="1" x14ac:dyDescent="0.25">
      <c r="CM623" s="1377"/>
      <c r="CN623" s="1388" t="s">
        <v>9652</v>
      </c>
      <c r="CO623" s="1388" t="s">
        <v>8125</v>
      </c>
      <c r="CP623" s="1388" t="s">
        <v>8106</v>
      </c>
      <c r="CQ623" s="1388" t="s">
        <v>9653</v>
      </c>
      <c r="CR623" s="1388" t="s">
        <v>9653</v>
      </c>
      <c r="CS623" s="1388" t="s">
        <v>8788</v>
      </c>
      <c r="CT623" s="1388" t="s">
        <v>8789</v>
      </c>
      <c r="CU623" s="1388" t="s">
        <v>9276</v>
      </c>
      <c r="CV623" s="1389" t="s">
        <v>9277</v>
      </c>
      <c r="CX623" s="1379">
        <v>1</v>
      </c>
    </row>
    <row r="624" spans="91:102" ht="21" customHeight="1" x14ac:dyDescent="0.25">
      <c r="CM624" s="1377"/>
      <c r="CN624" s="1388" t="s">
        <v>9654</v>
      </c>
      <c r="CO624" s="1388" t="s">
        <v>8125</v>
      </c>
      <c r="CP624" s="1388" t="s">
        <v>8106</v>
      </c>
      <c r="CQ624" s="1388" t="s">
        <v>9655</v>
      </c>
      <c r="CR624" s="1388" t="s">
        <v>9655</v>
      </c>
      <c r="CS624" s="1388" t="s">
        <v>8788</v>
      </c>
      <c r="CT624" s="1388" t="s">
        <v>8789</v>
      </c>
      <c r="CU624" s="1388" t="s">
        <v>9276</v>
      </c>
      <c r="CV624" s="1389" t="s">
        <v>9277</v>
      </c>
      <c r="CX624" s="1379">
        <v>1</v>
      </c>
    </row>
    <row r="625" spans="91:102" ht="21" customHeight="1" x14ac:dyDescent="0.25">
      <c r="CM625" s="1377"/>
      <c r="CN625" s="1388" t="s">
        <v>9656</v>
      </c>
      <c r="CO625" s="1388" t="s">
        <v>8125</v>
      </c>
      <c r="CP625" s="1388" t="s">
        <v>8106</v>
      </c>
      <c r="CQ625" s="1388" t="s">
        <v>9657</v>
      </c>
      <c r="CR625" s="1388" t="s">
        <v>9657</v>
      </c>
      <c r="CS625" s="1388" t="s">
        <v>8788</v>
      </c>
      <c r="CT625" s="1388" t="s">
        <v>8789</v>
      </c>
      <c r="CU625" s="1388" t="s">
        <v>9276</v>
      </c>
      <c r="CV625" s="1389" t="s">
        <v>9277</v>
      </c>
      <c r="CX625" s="1379">
        <v>1</v>
      </c>
    </row>
    <row r="626" spans="91:102" ht="21" customHeight="1" x14ac:dyDescent="0.25">
      <c r="CM626" s="1377"/>
      <c r="CN626" s="1388" t="s">
        <v>9658</v>
      </c>
      <c r="CO626" s="1388" t="s">
        <v>8125</v>
      </c>
      <c r="CP626" s="1388" t="s">
        <v>8106</v>
      </c>
      <c r="CQ626" s="1388" t="s">
        <v>9659</v>
      </c>
      <c r="CR626" s="1388" t="s">
        <v>9659</v>
      </c>
      <c r="CS626" s="1388" t="s">
        <v>8788</v>
      </c>
      <c r="CT626" s="1388" t="s">
        <v>8789</v>
      </c>
      <c r="CU626" s="1388" t="s">
        <v>9276</v>
      </c>
      <c r="CV626" s="1389" t="s">
        <v>9277</v>
      </c>
      <c r="CX626" s="1379">
        <v>1</v>
      </c>
    </row>
    <row r="627" spans="91:102" ht="21" customHeight="1" x14ac:dyDescent="0.25">
      <c r="CM627" s="1377"/>
      <c r="CN627" s="1388" t="s">
        <v>9660</v>
      </c>
      <c r="CO627" s="1388" t="s">
        <v>8125</v>
      </c>
      <c r="CP627" s="1388" t="s">
        <v>8106</v>
      </c>
      <c r="CQ627" s="1388" t="s">
        <v>9661</v>
      </c>
      <c r="CR627" s="1388" t="s">
        <v>9661</v>
      </c>
      <c r="CS627" s="1388" t="s">
        <v>8788</v>
      </c>
      <c r="CT627" s="1388" t="s">
        <v>8789</v>
      </c>
      <c r="CU627" s="1388" t="s">
        <v>9276</v>
      </c>
      <c r="CV627" s="1389" t="s">
        <v>9277</v>
      </c>
      <c r="CX627" s="1379">
        <v>1</v>
      </c>
    </row>
    <row r="628" spans="91:102" ht="21" customHeight="1" x14ac:dyDescent="0.25">
      <c r="CM628" s="1377"/>
      <c r="CN628" s="1388" t="s">
        <v>9662</v>
      </c>
      <c r="CO628" s="1388" t="s">
        <v>8125</v>
      </c>
      <c r="CP628" s="1388" t="s">
        <v>8106</v>
      </c>
      <c r="CQ628" s="1388" t="s">
        <v>9663</v>
      </c>
      <c r="CR628" s="1388" t="s">
        <v>9663</v>
      </c>
      <c r="CS628" s="1388" t="s">
        <v>8788</v>
      </c>
      <c r="CT628" s="1388" t="s">
        <v>8789</v>
      </c>
      <c r="CU628" s="1388" t="s">
        <v>9276</v>
      </c>
      <c r="CV628" s="1389" t="s">
        <v>9277</v>
      </c>
      <c r="CX628" s="1379">
        <v>1</v>
      </c>
    </row>
    <row r="629" spans="91:102" ht="21" customHeight="1" x14ac:dyDescent="0.25">
      <c r="CM629" s="1377"/>
      <c r="CN629" s="1388" t="s">
        <v>9664</v>
      </c>
      <c r="CO629" s="1388" t="s">
        <v>8125</v>
      </c>
      <c r="CP629" s="1388" t="s">
        <v>8106</v>
      </c>
      <c r="CQ629" s="1388" t="s">
        <v>9665</v>
      </c>
      <c r="CR629" s="1388" t="s">
        <v>9665</v>
      </c>
      <c r="CS629" s="1388" t="s">
        <v>8788</v>
      </c>
      <c r="CT629" s="1388" t="s">
        <v>8789</v>
      </c>
      <c r="CU629" s="1388" t="s">
        <v>9276</v>
      </c>
      <c r="CV629" s="1389" t="s">
        <v>9277</v>
      </c>
      <c r="CX629" s="1379">
        <v>1</v>
      </c>
    </row>
    <row r="630" spans="91:102" ht="21" customHeight="1" x14ac:dyDescent="0.25">
      <c r="CM630" s="1377"/>
      <c r="CN630" s="1388" t="s">
        <v>9666</v>
      </c>
      <c r="CO630" s="1388" t="s">
        <v>8125</v>
      </c>
      <c r="CP630" s="1388" t="s">
        <v>8106</v>
      </c>
      <c r="CQ630" s="1388" t="s">
        <v>9667</v>
      </c>
      <c r="CR630" s="1388" t="s">
        <v>9667</v>
      </c>
      <c r="CS630" s="1388" t="s">
        <v>8788</v>
      </c>
      <c r="CT630" s="1388" t="s">
        <v>8789</v>
      </c>
      <c r="CU630" s="1388" t="s">
        <v>9276</v>
      </c>
      <c r="CV630" s="1389" t="s">
        <v>9277</v>
      </c>
      <c r="CX630" s="1379">
        <v>1</v>
      </c>
    </row>
    <row r="631" spans="91:102" ht="21" customHeight="1" x14ac:dyDescent="0.25">
      <c r="CM631" s="1377"/>
      <c r="CN631" s="1388" t="s">
        <v>9668</v>
      </c>
      <c r="CO631" s="1388" t="s">
        <v>8125</v>
      </c>
      <c r="CP631" s="1388" t="s">
        <v>8106</v>
      </c>
      <c r="CQ631" s="1388" t="s">
        <v>9669</v>
      </c>
      <c r="CR631" s="1388" t="s">
        <v>9669</v>
      </c>
      <c r="CS631" s="1388" t="s">
        <v>8788</v>
      </c>
      <c r="CT631" s="1388" t="s">
        <v>8789</v>
      </c>
      <c r="CU631" s="1388" t="s">
        <v>9276</v>
      </c>
      <c r="CV631" s="1389" t="s">
        <v>9277</v>
      </c>
      <c r="CX631" s="1379">
        <v>1</v>
      </c>
    </row>
    <row r="632" spans="91:102" ht="21" customHeight="1" x14ac:dyDescent="0.25">
      <c r="CM632" s="1377"/>
      <c r="CN632" s="1388" t="s">
        <v>9670</v>
      </c>
      <c r="CO632" s="1388" t="s">
        <v>8125</v>
      </c>
      <c r="CP632" s="1388" t="s">
        <v>8106</v>
      </c>
      <c r="CQ632" s="1388" t="s">
        <v>9671</v>
      </c>
      <c r="CR632" s="1388" t="s">
        <v>9671</v>
      </c>
      <c r="CS632" s="1388" t="s">
        <v>8788</v>
      </c>
      <c r="CT632" s="1388" t="s">
        <v>8789</v>
      </c>
      <c r="CU632" s="1388" t="s">
        <v>9276</v>
      </c>
      <c r="CV632" s="1389" t="s">
        <v>9277</v>
      </c>
      <c r="CX632" s="1379">
        <v>1</v>
      </c>
    </row>
    <row r="633" spans="91:102" ht="21" customHeight="1" x14ac:dyDescent="0.25">
      <c r="CM633" s="1377"/>
      <c r="CN633" s="1388" t="s">
        <v>9672</v>
      </c>
      <c r="CO633" s="1388" t="s">
        <v>8125</v>
      </c>
      <c r="CP633" s="1388" t="s">
        <v>8106</v>
      </c>
      <c r="CQ633" s="1388" t="s">
        <v>9673</v>
      </c>
      <c r="CR633" s="1388" t="s">
        <v>9673</v>
      </c>
      <c r="CS633" s="1388" t="s">
        <v>8788</v>
      </c>
      <c r="CT633" s="1388" t="s">
        <v>8789</v>
      </c>
      <c r="CU633" s="1388" t="s">
        <v>9276</v>
      </c>
      <c r="CV633" s="1389" t="s">
        <v>9277</v>
      </c>
      <c r="CX633" s="1379">
        <v>1</v>
      </c>
    </row>
    <row r="634" spans="91:102" ht="21" customHeight="1" x14ac:dyDescent="0.25">
      <c r="CM634" s="1377"/>
      <c r="CN634" s="1388" t="s">
        <v>9674</v>
      </c>
      <c r="CO634" s="1388" t="s">
        <v>8125</v>
      </c>
      <c r="CP634" s="1388" t="s">
        <v>8106</v>
      </c>
      <c r="CQ634" s="1388" t="s">
        <v>9675</v>
      </c>
      <c r="CR634" s="1388" t="s">
        <v>9675</v>
      </c>
      <c r="CS634" s="1388" t="s">
        <v>8788</v>
      </c>
      <c r="CT634" s="1388" t="s">
        <v>8789</v>
      </c>
      <c r="CU634" s="1388" t="s">
        <v>9276</v>
      </c>
      <c r="CV634" s="1389" t="s">
        <v>9277</v>
      </c>
      <c r="CX634" s="1379">
        <v>1</v>
      </c>
    </row>
    <row r="635" spans="91:102" ht="21" customHeight="1" x14ac:dyDescent="0.25">
      <c r="CM635" s="1377"/>
      <c r="CN635" s="1388" t="s">
        <v>9676</v>
      </c>
      <c r="CO635" s="1388" t="s">
        <v>8125</v>
      </c>
      <c r="CP635" s="1388" t="s">
        <v>8106</v>
      </c>
      <c r="CQ635" s="1388" t="s">
        <v>9677</v>
      </c>
      <c r="CR635" s="1388" t="s">
        <v>9677</v>
      </c>
      <c r="CS635" s="1388" t="s">
        <v>8788</v>
      </c>
      <c r="CT635" s="1388" t="s">
        <v>8789</v>
      </c>
      <c r="CU635" s="1388" t="s">
        <v>9276</v>
      </c>
      <c r="CV635" s="1389" t="s">
        <v>9277</v>
      </c>
      <c r="CX635" s="1379">
        <v>1</v>
      </c>
    </row>
    <row r="636" spans="91:102" ht="21" customHeight="1" x14ac:dyDescent="0.25">
      <c r="CM636" s="1377"/>
      <c r="CN636" s="1388" t="s">
        <v>9678</v>
      </c>
      <c r="CO636" s="1388" t="s">
        <v>8125</v>
      </c>
      <c r="CP636" s="1388" t="s">
        <v>8106</v>
      </c>
      <c r="CQ636" s="1388" t="s">
        <v>9679</v>
      </c>
      <c r="CR636" s="1388" t="s">
        <v>9679</v>
      </c>
      <c r="CS636" s="1388" t="s">
        <v>8788</v>
      </c>
      <c r="CT636" s="1388" t="s">
        <v>8789</v>
      </c>
      <c r="CU636" s="1388" t="s">
        <v>9276</v>
      </c>
      <c r="CV636" s="1389" t="s">
        <v>9277</v>
      </c>
      <c r="CX636" s="1379">
        <v>1</v>
      </c>
    </row>
    <row r="637" spans="91:102" ht="21" customHeight="1" x14ac:dyDescent="0.25">
      <c r="CM637" s="1377"/>
      <c r="CN637" s="1388" t="s">
        <v>9680</v>
      </c>
      <c r="CO637" s="1388" t="s">
        <v>8125</v>
      </c>
      <c r="CP637" s="1388" t="s">
        <v>8106</v>
      </c>
      <c r="CQ637" s="1388" t="s">
        <v>9681</v>
      </c>
      <c r="CR637" s="1388" t="s">
        <v>9681</v>
      </c>
      <c r="CS637" s="1388" t="s">
        <v>8788</v>
      </c>
      <c r="CT637" s="1388" t="s">
        <v>8789</v>
      </c>
      <c r="CU637" s="1388" t="s">
        <v>9276</v>
      </c>
      <c r="CV637" s="1389" t="s">
        <v>9277</v>
      </c>
      <c r="CX637" s="1379">
        <v>1</v>
      </c>
    </row>
    <row r="638" spans="91:102" ht="21" customHeight="1" x14ac:dyDescent="0.25">
      <c r="CM638" s="1377"/>
      <c r="CN638" s="1388" t="s">
        <v>9682</v>
      </c>
      <c r="CO638" s="1388" t="s">
        <v>8125</v>
      </c>
      <c r="CP638" s="1388" t="s">
        <v>8106</v>
      </c>
      <c r="CQ638" s="1388" t="s">
        <v>9683</v>
      </c>
      <c r="CR638" s="1388" t="s">
        <v>9683</v>
      </c>
      <c r="CS638" s="1388" t="s">
        <v>8788</v>
      </c>
      <c r="CT638" s="1388" t="s">
        <v>8789</v>
      </c>
      <c r="CU638" s="1388" t="s">
        <v>9276</v>
      </c>
      <c r="CV638" s="1389" t="s">
        <v>9277</v>
      </c>
      <c r="CX638" s="1379">
        <v>1</v>
      </c>
    </row>
    <row r="639" spans="91:102" ht="21" customHeight="1" x14ac:dyDescent="0.25">
      <c r="CM639" s="1377"/>
      <c r="CN639" s="1388" t="s">
        <v>9684</v>
      </c>
      <c r="CO639" s="1388" t="s">
        <v>8125</v>
      </c>
      <c r="CP639" s="1388" t="s">
        <v>8106</v>
      </c>
      <c r="CQ639" s="1388" t="s">
        <v>9685</v>
      </c>
      <c r="CR639" s="1388" t="s">
        <v>9685</v>
      </c>
      <c r="CS639" s="1388" t="s">
        <v>8788</v>
      </c>
      <c r="CT639" s="1388" t="s">
        <v>8789</v>
      </c>
      <c r="CU639" s="1388" t="s">
        <v>9276</v>
      </c>
      <c r="CV639" s="1389" t="s">
        <v>9277</v>
      </c>
      <c r="CX639" s="1379">
        <v>1</v>
      </c>
    </row>
    <row r="640" spans="91:102" ht="21" customHeight="1" x14ac:dyDescent="0.25">
      <c r="CM640" s="1377"/>
      <c r="CN640" s="1388" t="s">
        <v>9686</v>
      </c>
      <c r="CO640" s="1388" t="s">
        <v>8125</v>
      </c>
      <c r="CP640" s="1388" t="s">
        <v>8106</v>
      </c>
      <c r="CQ640" s="1388" t="s">
        <v>9687</v>
      </c>
      <c r="CR640" s="1388" t="s">
        <v>9687</v>
      </c>
      <c r="CS640" s="1388" t="s">
        <v>8788</v>
      </c>
      <c r="CT640" s="1388" t="s">
        <v>8789</v>
      </c>
      <c r="CU640" s="1388" t="s">
        <v>9276</v>
      </c>
      <c r="CV640" s="1389" t="s">
        <v>9277</v>
      </c>
      <c r="CX640" s="1379">
        <v>1</v>
      </c>
    </row>
    <row r="641" spans="91:102" ht="21" customHeight="1" x14ac:dyDescent="0.25">
      <c r="CM641" s="1377"/>
      <c r="CN641" s="1388" t="s">
        <v>9688</v>
      </c>
      <c r="CO641" s="1388" t="s">
        <v>8125</v>
      </c>
      <c r="CP641" s="1388" t="s">
        <v>8106</v>
      </c>
      <c r="CQ641" s="1388" t="s">
        <v>9689</v>
      </c>
      <c r="CR641" s="1388" t="s">
        <v>9689</v>
      </c>
      <c r="CS641" s="1388" t="s">
        <v>8788</v>
      </c>
      <c r="CT641" s="1388" t="s">
        <v>8789</v>
      </c>
      <c r="CU641" s="1388" t="s">
        <v>9276</v>
      </c>
      <c r="CV641" s="1389" t="s">
        <v>9277</v>
      </c>
      <c r="CX641" s="1379">
        <v>1</v>
      </c>
    </row>
    <row r="642" spans="91:102" ht="21" customHeight="1" x14ac:dyDescent="0.25">
      <c r="CM642" s="1377"/>
      <c r="CN642" s="1388" t="s">
        <v>9690</v>
      </c>
      <c r="CO642" s="1388" t="s">
        <v>8125</v>
      </c>
      <c r="CP642" s="1388" t="s">
        <v>8106</v>
      </c>
      <c r="CQ642" s="1388" t="s">
        <v>9691</v>
      </c>
      <c r="CR642" s="1388" t="s">
        <v>9691</v>
      </c>
      <c r="CS642" s="1388" t="s">
        <v>8788</v>
      </c>
      <c r="CT642" s="1388" t="s">
        <v>8789</v>
      </c>
      <c r="CU642" s="1388" t="s">
        <v>9276</v>
      </c>
      <c r="CV642" s="1389" t="s">
        <v>9277</v>
      </c>
      <c r="CX642" s="1379">
        <v>1</v>
      </c>
    </row>
    <row r="643" spans="91:102" ht="21" customHeight="1" x14ac:dyDescent="0.25">
      <c r="CM643" s="1377"/>
      <c r="CN643" s="1388" t="s">
        <v>9692</v>
      </c>
      <c r="CO643" s="1388" t="s">
        <v>8125</v>
      </c>
      <c r="CP643" s="1388" t="s">
        <v>8106</v>
      </c>
      <c r="CQ643" s="1388" t="s">
        <v>9693</v>
      </c>
      <c r="CR643" s="1388" t="s">
        <v>9693</v>
      </c>
      <c r="CS643" s="1388" t="s">
        <v>8788</v>
      </c>
      <c r="CT643" s="1388" t="s">
        <v>8789</v>
      </c>
      <c r="CU643" s="1388" t="s">
        <v>9276</v>
      </c>
      <c r="CV643" s="1389" t="s">
        <v>9277</v>
      </c>
      <c r="CX643" s="1379">
        <v>1</v>
      </c>
    </row>
    <row r="644" spans="91:102" ht="21" customHeight="1" x14ac:dyDescent="0.25">
      <c r="CM644" s="1377"/>
      <c r="CN644" s="1388" t="s">
        <v>9694</v>
      </c>
      <c r="CO644" s="1388" t="s">
        <v>8125</v>
      </c>
      <c r="CP644" s="1388" t="s">
        <v>8106</v>
      </c>
      <c r="CQ644" s="1388" t="s">
        <v>9695</v>
      </c>
      <c r="CR644" s="1388" t="s">
        <v>9695</v>
      </c>
      <c r="CS644" s="1388" t="s">
        <v>8788</v>
      </c>
      <c r="CT644" s="1388" t="s">
        <v>8789</v>
      </c>
      <c r="CU644" s="1388" t="s">
        <v>9276</v>
      </c>
      <c r="CV644" s="1389" t="s">
        <v>9277</v>
      </c>
      <c r="CX644" s="1379">
        <v>1</v>
      </c>
    </row>
    <row r="645" spans="91:102" ht="21" customHeight="1" x14ac:dyDescent="0.25">
      <c r="CM645" s="1377"/>
      <c r="CN645" s="1388" t="s">
        <v>9696</v>
      </c>
      <c r="CO645" s="1388" t="s">
        <v>8125</v>
      </c>
      <c r="CP645" s="1388" t="s">
        <v>8106</v>
      </c>
      <c r="CQ645" s="1388" t="s">
        <v>9697</v>
      </c>
      <c r="CR645" s="1388" t="s">
        <v>9697</v>
      </c>
      <c r="CS645" s="1388" t="s">
        <v>8788</v>
      </c>
      <c r="CT645" s="1388" t="s">
        <v>8789</v>
      </c>
      <c r="CU645" s="1388" t="s">
        <v>9276</v>
      </c>
      <c r="CV645" s="1389" t="s">
        <v>9277</v>
      </c>
      <c r="CX645" s="1379">
        <v>1</v>
      </c>
    </row>
    <row r="646" spans="91:102" ht="21" customHeight="1" x14ac:dyDescent="0.25">
      <c r="CM646" s="1377"/>
      <c r="CN646" s="1388" t="s">
        <v>9698</v>
      </c>
      <c r="CO646" s="1388" t="s">
        <v>8125</v>
      </c>
      <c r="CP646" s="1388" t="s">
        <v>8106</v>
      </c>
      <c r="CQ646" s="1388" t="s">
        <v>9699</v>
      </c>
      <c r="CR646" s="1388" t="s">
        <v>9699</v>
      </c>
      <c r="CS646" s="1388" t="s">
        <v>8788</v>
      </c>
      <c r="CT646" s="1388" t="s">
        <v>8789</v>
      </c>
      <c r="CU646" s="1388" t="s">
        <v>9276</v>
      </c>
      <c r="CV646" s="1389" t="s">
        <v>9277</v>
      </c>
      <c r="CX646" s="1379">
        <v>1</v>
      </c>
    </row>
    <row r="647" spans="91:102" ht="21" customHeight="1" x14ac:dyDescent="0.25">
      <c r="CM647" s="1377"/>
      <c r="CN647" s="1388" t="s">
        <v>9700</v>
      </c>
      <c r="CO647" s="1388" t="s">
        <v>8125</v>
      </c>
      <c r="CP647" s="1388" t="s">
        <v>8106</v>
      </c>
      <c r="CQ647" s="1388" t="s">
        <v>9701</v>
      </c>
      <c r="CR647" s="1388" t="s">
        <v>9701</v>
      </c>
      <c r="CS647" s="1388" t="s">
        <v>8788</v>
      </c>
      <c r="CT647" s="1388" t="s">
        <v>8789</v>
      </c>
      <c r="CU647" s="1388" t="s">
        <v>9276</v>
      </c>
      <c r="CV647" s="1389" t="s">
        <v>9277</v>
      </c>
      <c r="CX647" s="1379">
        <v>1</v>
      </c>
    </row>
    <row r="648" spans="91:102" ht="21" customHeight="1" x14ac:dyDescent="0.25">
      <c r="CM648" s="1377"/>
      <c r="CN648" s="1388" t="s">
        <v>9702</v>
      </c>
      <c r="CO648" s="1388" t="s">
        <v>8125</v>
      </c>
      <c r="CP648" s="1388" t="s">
        <v>8106</v>
      </c>
      <c r="CQ648" s="1388" t="s">
        <v>9703</v>
      </c>
      <c r="CR648" s="1388" t="s">
        <v>9703</v>
      </c>
      <c r="CS648" s="1388" t="s">
        <v>8788</v>
      </c>
      <c r="CT648" s="1388" t="s">
        <v>8789</v>
      </c>
      <c r="CU648" s="1388" t="s">
        <v>9276</v>
      </c>
      <c r="CV648" s="1389" t="s">
        <v>9277</v>
      </c>
      <c r="CX648" s="1379">
        <v>1</v>
      </c>
    </row>
    <row r="649" spans="91:102" ht="21" customHeight="1" x14ac:dyDescent="0.25">
      <c r="CM649" s="1377"/>
      <c r="CN649" s="1388" t="s">
        <v>9704</v>
      </c>
      <c r="CO649" s="1388" t="s">
        <v>8125</v>
      </c>
      <c r="CP649" s="1388" t="s">
        <v>8106</v>
      </c>
      <c r="CQ649" s="1388" t="s">
        <v>9705</v>
      </c>
      <c r="CR649" s="1388" t="s">
        <v>9705</v>
      </c>
      <c r="CS649" s="1388" t="s">
        <v>8788</v>
      </c>
      <c r="CT649" s="1388" t="s">
        <v>8789</v>
      </c>
      <c r="CU649" s="1388" t="s">
        <v>9276</v>
      </c>
      <c r="CV649" s="1389" t="s">
        <v>9277</v>
      </c>
      <c r="CX649" s="1379">
        <v>1</v>
      </c>
    </row>
    <row r="650" spans="91:102" ht="21" customHeight="1" x14ac:dyDescent="0.25">
      <c r="CM650" s="1377"/>
      <c r="CN650" s="1388" t="s">
        <v>9706</v>
      </c>
      <c r="CO650" s="1388" t="s">
        <v>8125</v>
      </c>
      <c r="CP650" s="1388" t="s">
        <v>8106</v>
      </c>
      <c r="CQ650" s="1388" t="s">
        <v>9707</v>
      </c>
      <c r="CR650" s="1388" t="s">
        <v>9707</v>
      </c>
      <c r="CS650" s="1388" t="s">
        <v>8788</v>
      </c>
      <c r="CT650" s="1388" t="s">
        <v>8789</v>
      </c>
      <c r="CU650" s="1388" t="s">
        <v>9276</v>
      </c>
      <c r="CV650" s="1389" t="s">
        <v>9277</v>
      </c>
      <c r="CX650" s="1379">
        <v>1</v>
      </c>
    </row>
    <row r="651" spans="91:102" ht="21" customHeight="1" x14ac:dyDescent="0.25">
      <c r="CM651" s="1377"/>
      <c r="CN651" s="1388" t="s">
        <v>9708</v>
      </c>
      <c r="CO651" s="1388" t="s">
        <v>8125</v>
      </c>
      <c r="CP651" s="1388" t="s">
        <v>8106</v>
      </c>
      <c r="CQ651" s="1388" t="s">
        <v>9709</v>
      </c>
      <c r="CR651" s="1388" t="s">
        <v>9709</v>
      </c>
      <c r="CS651" s="1388" t="s">
        <v>8788</v>
      </c>
      <c r="CT651" s="1388" t="s">
        <v>8789</v>
      </c>
      <c r="CU651" s="1388" t="s">
        <v>9276</v>
      </c>
      <c r="CV651" s="1389" t="s">
        <v>9277</v>
      </c>
      <c r="CX651" s="1379">
        <v>1</v>
      </c>
    </row>
    <row r="652" spans="91:102" ht="21" customHeight="1" x14ac:dyDescent="0.25">
      <c r="CM652" s="1377"/>
      <c r="CN652" s="1388" t="s">
        <v>9710</v>
      </c>
      <c r="CO652" s="1388" t="s">
        <v>8125</v>
      </c>
      <c r="CP652" s="1388" t="s">
        <v>8106</v>
      </c>
      <c r="CQ652" s="1388" t="s">
        <v>9711</v>
      </c>
      <c r="CR652" s="1388" t="s">
        <v>9711</v>
      </c>
      <c r="CS652" s="1388" t="s">
        <v>8788</v>
      </c>
      <c r="CT652" s="1388" t="s">
        <v>8789</v>
      </c>
      <c r="CU652" s="1388" t="s">
        <v>9276</v>
      </c>
      <c r="CV652" s="1389" t="s">
        <v>9277</v>
      </c>
      <c r="CX652" s="1379">
        <v>1</v>
      </c>
    </row>
    <row r="653" spans="91:102" ht="21" customHeight="1" x14ac:dyDescent="0.25">
      <c r="CM653" s="1377"/>
      <c r="CN653" s="1388" t="s">
        <v>9712</v>
      </c>
      <c r="CO653" s="1388" t="s">
        <v>8125</v>
      </c>
      <c r="CP653" s="1388" t="s">
        <v>8106</v>
      </c>
      <c r="CQ653" s="1388" t="s">
        <v>9713</v>
      </c>
      <c r="CR653" s="1388" t="s">
        <v>9713</v>
      </c>
      <c r="CS653" s="1388" t="s">
        <v>8788</v>
      </c>
      <c r="CT653" s="1388" t="s">
        <v>8789</v>
      </c>
      <c r="CU653" s="1388" t="s">
        <v>9276</v>
      </c>
      <c r="CV653" s="1389" t="s">
        <v>9277</v>
      </c>
      <c r="CX653" s="1379">
        <v>1</v>
      </c>
    </row>
    <row r="654" spans="91:102" ht="21" customHeight="1" x14ac:dyDescent="0.25">
      <c r="CM654" s="1377"/>
      <c r="CN654" s="1388" t="s">
        <v>9714</v>
      </c>
      <c r="CO654" s="1388" t="s">
        <v>8125</v>
      </c>
      <c r="CP654" s="1388" t="s">
        <v>8106</v>
      </c>
      <c r="CQ654" s="1388" t="s">
        <v>9715</v>
      </c>
      <c r="CR654" s="1388" t="s">
        <v>9715</v>
      </c>
      <c r="CS654" s="1388" t="s">
        <v>8788</v>
      </c>
      <c r="CT654" s="1388" t="s">
        <v>8789</v>
      </c>
      <c r="CU654" s="1388" t="s">
        <v>9276</v>
      </c>
      <c r="CV654" s="1389" t="s">
        <v>9277</v>
      </c>
      <c r="CX654" s="1379">
        <v>1</v>
      </c>
    </row>
    <row r="655" spans="91:102" ht="21" customHeight="1" x14ac:dyDescent="0.25">
      <c r="CM655" s="1377"/>
      <c r="CN655" s="1388" t="s">
        <v>9716</v>
      </c>
      <c r="CO655" s="1388" t="s">
        <v>8125</v>
      </c>
      <c r="CP655" s="1388" t="s">
        <v>8106</v>
      </c>
      <c r="CQ655" s="1388" t="s">
        <v>9717</v>
      </c>
      <c r="CR655" s="1388" t="s">
        <v>9717</v>
      </c>
      <c r="CS655" s="1388" t="s">
        <v>8788</v>
      </c>
      <c r="CT655" s="1388" t="s">
        <v>8789</v>
      </c>
      <c r="CU655" s="1388" t="s">
        <v>9276</v>
      </c>
      <c r="CV655" s="1389" t="s">
        <v>9277</v>
      </c>
      <c r="CX655" s="1379">
        <v>1</v>
      </c>
    </row>
    <row r="656" spans="91:102" ht="21" customHeight="1" x14ac:dyDescent="0.25">
      <c r="CM656" s="1377"/>
      <c r="CN656" s="1388" t="s">
        <v>9718</v>
      </c>
      <c r="CO656" s="1388" t="s">
        <v>8125</v>
      </c>
      <c r="CP656" s="1388" t="s">
        <v>8106</v>
      </c>
      <c r="CQ656" s="1388" t="s">
        <v>9719</v>
      </c>
      <c r="CR656" s="1388" t="s">
        <v>9719</v>
      </c>
      <c r="CS656" s="1388" t="s">
        <v>8788</v>
      </c>
      <c r="CT656" s="1388" t="s">
        <v>8789</v>
      </c>
      <c r="CU656" s="1388" t="s">
        <v>9276</v>
      </c>
      <c r="CV656" s="1389" t="s">
        <v>9277</v>
      </c>
      <c r="CX656" s="1379">
        <v>1</v>
      </c>
    </row>
    <row r="657" spans="91:102" ht="21" customHeight="1" x14ac:dyDescent="0.25">
      <c r="CM657" s="1377"/>
      <c r="CN657" s="1388" t="s">
        <v>9720</v>
      </c>
      <c r="CO657" s="1388" t="s">
        <v>8125</v>
      </c>
      <c r="CP657" s="1388" t="s">
        <v>8106</v>
      </c>
      <c r="CQ657" s="1388" t="s">
        <v>9721</v>
      </c>
      <c r="CR657" s="1388" t="s">
        <v>9721</v>
      </c>
      <c r="CS657" s="1388" t="s">
        <v>8788</v>
      </c>
      <c r="CT657" s="1388" t="s">
        <v>8789</v>
      </c>
      <c r="CU657" s="1388" t="s">
        <v>9276</v>
      </c>
      <c r="CV657" s="1389" t="s">
        <v>9277</v>
      </c>
      <c r="CX657" s="1379">
        <v>1</v>
      </c>
    </row>
    <row r="658" spans="91:102" ht="21" customHeight="1" x14ac:dyDescent="0.25">
      <c r="CM658" s="1377"/>
      <c r="CN658" s="1388" t="s">
        <v>9722</v>
      </c>
      <c r="CO658" s="1388" t="s">
        <v>8125</v>
      </c>
      <c r="CP658" s="1388" t="s">
        <v>8106</v>
      </c>
      <c r="CQ658" s="1388" t="s">
        <v>9723</v>
      </c>
      <c r="CR658" s="1388" t="s">
        <v>9723</v>
      </c>
      <c r="CS658" s="1388" t="s">
        <v>8788</v>
      </c>
      <c r="CT658" s="1388" t="s">
        <v>8789</v>
      </c>
      <c r="CU658" s="1388" t="s">
        <v>9276</v>
      </c>
      <c r="CV658" s="1389" t="s">
        <v>9277</v>
      </c>
      <c r="CX658" s="1379">
        <v>1</v>
      </c>
    </row>
    <row r="659" spans="91:102" ht="21" customHeight="1" x14ac:dyDescent="0.25">
      <c r="CM659" s="1377"/>
      <c r="CN659" s="1388" t="s">
        <v>9724</v>
      </c>
      <c r="CO659" s="1388" t="s">
        <v>8125</v>
      </c>
      <c r="CP659" s="1388" t="s">
        <v>8106</v>
      </c>
      <c r="CQ659" s="1388" t="s">
        <v>9725</v>
      </c>
      <c r="CR659" s="1388" t="s">
        <v>9725</v>
      </c>
      <c r="CS659" s="1388" t="s">
        <v>8788</v>
      </c>
      <c r="CT659" s="1388" t="s">
        <v>8789</v>
      </c>
      <c r="CU659" s="1388" t="s">
        <v>9276</v>
      </c>
      <c r="CV659" s="1389" t="s">
        <v>9277</v>
      </c>
      <c r="CX659" s="1379">
        <v>1</v>
      </c>
    </row>
    <row r="660" spans="91:102" ht="21" customHeight="1" x14ac:dyDescent="0.25">
      <c r="CM660" s="1377"/>
      <c r="CN660" s="1388" t="s">
        <v>9726</v>
      </c>
      <c r="CO660" s="1388" t="s">
        <v>8125</v>
      </c>
      <c r="CP660" s="1388" t="s">
        <v>8106</v>
      </c>
      <c r="CQ660" s="1388" t="s">
        <v>9727</v>
      </c>
      <c r="CR660" s="1388" t="s">
        <v>9727</v>
      </c>
      <c r="CS660" s="1388" t="s">
        <v>8788</v>
      </c>
      <c r="CT660" s="1388" t="s">
        <v>8789</v>
      </c>
      <c r="CU660" s="1388" t="s">
        <v>9276</v>
      </c>
      <c r="CV660" s="1389" t="s">
        <v>9277</v>
      </c>
      <c r="CX660" s="1379">
        <v>1</v>
      </c>
    </row>
    <row r="661" spans="91:102" ht="21" customHeight="1" x14ac:dyDescent="0.25">
      <c r="CM661" s="1377"/>
      <c r="CN661" s="1388" t="s">
        <v>9728</v>
      </c>
      <c r="CO661" s="1388" t="s">
        <v>8125</v>
      </c>
      <c r="CP661" s="1388" t="s">
        <v>8106</v>
      </c>
      <c r="CQ661" s="1388" t="s">
        <v>9729</v>
      </c>
      <c r="CR661" s="1388" t="s">
        <v>9729</v>
      </c>
      <c r="CS661" s="1388" t="s">
        <v>8788</v>
      </c>
      <c r="CT661" s="1388" t="s">
        <v>8789</v>
      </c>
      <c r="CU661" s="1388" t="s">
        <v>9276</v>
      </c>
      <c r="CV661" s="1389" t="s">
        <v>9277</v>
      </c>
      <c r="CX661" s="1379">
        <v>1</v>
      </c>
    </row>
    <row r="662" spans="91:102" ht="21" customHeight="1" x14ac:dyDescent="0.25">
      <c r="CM662" s="1377"/>
      <c r="CN662" s="1388" t="s">
        <v>9730</v>
      </c>
      <c r="CO662" s="1388" t="s">
        <v>8125</v>
      </c>
      <c r="CP662" s="1388" t="s">
        <v>8106</v>
      </c>
      <c r="CQ662" s="1388" t="s">
        <v>9731</v>
      </c>
      <c r="CR662" s="1388" t="s">
        <v>9731</v>
      </c>
      <c r="CS662" s="1388" t="s">
        <v>8788</v>
      </c>
      <c r="CT662" s="1388" t="s">
        <v>8789</v>
      </c>
      <c r="CU662" s="1388" t="s">
        <v>9276</v>
      </c>
      <c r="CV662" s="1389" t="s">
        <v>9277</v>
      </c>
      <c r="CX662" s="1379">
        <v>1</v>
      </c>
    </row>
    <row r="663" spans="91:102" ht="21" customHeight="1" x14ac:dyDescent="0.25">
      <c r="CM663" s="1377"/>
      <c r="CN663" s="1388" t="s">
        <v>9732</v>
      </c>
      <c r="CO663" s="1388" t="s">
        <v>8125</v>
      </c>
      <c r="CP663" s="1388" t="s">
        <v>8106</v>
      </c>
      <c r="CQ663" s="1388" t="s">
        <v>9733</v>
      </c>
      <c r="CR663" s="1388" t="s">
        <v>9733</v>
      </c>
      <c r="CS663" s="1388" t="s">
        <v>8788</v>
      </c>
      <c r="CT663" s="1388" t="s">
        <v>8789</v>
      </c>
      <c r="CU663" s="1388" t="s">
        <v>9276</v>
      </c>
      <c r="CV663" s="1389" t="s">
        <v>9277</v>
      </c>
      <c r="CX663" s="1379">
        <v>1</v>
      </c>
    </row>
    <row r="664" spans="91:102" ht="21" customHeight="1" x14ac:dyDescent="0.25">
      <c r="CM664" s="1377"/>
      <c r="CN664" s="1388" t="s">
        <v>9734</v>
      </c>
      <c r="CO664" s="1388" t="s">
        <v>8125</v>
      </c>
      <c r="CP664" s="1388" t="s">
        <v>8106</v>
      </c>
      <c r="CQ664" s="1388" t="s">
        <v>9735</v>
      </c>
      <c r="CR664" s="1388" t="s">
        <v>9735</v>
      </c>
      <c r="CS664" s="1388" t="s">
        <v>8788</v>
      </c>
      <c r="CT664" s="1388" t="s">
        <v>8789</v>
      </c>
      <c r="CU664" s="1388" t="s">
        <v>9276</v>
      </c>
      <c r="CV664" s="1389" t="s">
        <v>9277</v>
      </c>
      <c r="CX664" s="1379">
        <v>1</v>
      </c>
    </row>
    <row r="665" spans="91:102" ht="21" customHeight="1" x14ac:dyDescent="0.25">
      <c r="CM665" s="1377"/>
      <c r="CN665" s="1388" t="s">
        <v>9736</v>
      </c>
      <c r="CO665" s="1388" t="s">
        <v>8125</v>
      </c>
      <c r="CP665" s="1388" t="s">
        <v>8106</v>
      </c>
      <c r="CQ665" s="1388" t="s">
        <v>9737</v>
      </c>
      <c r="CR665" s="1388" t="s">
        <v>9737</v>
      </c>
      <c r="CS665" s="1388" t="s">
        <v>8788</v>
      </c>
      <c r="CT665" s="1388" t="s">
        <v>8789</v>
      </c>
      <c r="CU665" s="1388" t="s">
        <v>9276</v>
      </c>
      <c r="CV665" s="1389" t="s">
        <v>9277</v>
      </c>
      <c r="CX665" s="1379">
        <v>1</v>
      </c>
    </row>
    <row r="666" spans="91:102" ht="21" customHeight="1" x14ac:dyDescent="0.25">
      <c r="CM666" s="1377"/>
      <c r="CN666" s="1388" t="s">
        <v>9738</v>
      </c>
      <c r="CO666" s="1388" t="s">
        <v>8125</v>
      </c>
      <c r="CP666" s="1388" t="s">
        <v>8106</v>
      </c>
      <c r="CQ666" s="1388" t="s">
        <v>9739</v>
      </c>
      <c r="CR666" s="1388" t="s">
        <v>9739</v>
      </c>
      <c r="CS666" s="1388" t="s">
        <v>8788</v>
      </c>
      <c r="CT666" s="1388" t="s">
        <v>8789</v>
      </c>
      <c r="CU666" s="1388" t="s">
        <v>9276</v>
      </c>
      <c r="CV666" s="1389" t="s">
        <v>9277</v>
      </c>
      <c r="CX666" s="1379">
        <v>1</v>
      </c>
    </row>
    <row r="667" spans="91:102" ht="21" customHeight="1" x14ac:dyDescent="0.25">
      <c r="CM667" s="1377"/>
      <c r="CN667" s="1388" t="s">
        <v>9740</v>
      </c>
      <c r="CO667" s="1388" t="s">
        <v>8125</v>
      </c>
      <c r="CP667" s="1388" t="s">
        <v>8106</v>
      </c>
      <c r="CQ667" s="1388" t="s">
        <v>9741</v>
      </c>
      <c r="CR667" s="1388" t="s">
        <v>9741</v>
      </c>
      <c r="CS667" s="1388" t="s">
        <v>8788</v>
      </c>
      <c r="CT667" s="1388" t="s">
        <v>8789</v>
      </c>
      <c r="CU667" s="1388" t="s">
        <v>9276</v>
      </c>
      <c r="CV667" s="1389" t="s">
        <v>9277</v>
      </c>
      <c r="CX667" s="1379">
        <v>1</v>
      </c>
    </row>
    <row r="668" spans="91:102" ht="21" customHeight="1" x14ac:dyDescent="0.25">
      <c r="CM668" s="1377"/>
      <c r="CN668" s="1388" t="s">
        <v>9742</v>
      </c>
      <c r="CO668" s="1388" t="s">
        <v>8125</v>
      </c>
      <c r="CP668" s="1388" t="s">
        <v>8106</v>
      </c>
      <c r="CQ668" s="1388" t="s">
        <v>9743</v>
      </c>
      <c r="CR668" s="1388" t="s">
        <v>9743</v>
      </c>
      <c r="CS668" s="1388" t="s">
        <v>8788</v>
      </c>
      <c r="CT668" s="1388" t="s">
        <v>8789</v>
      </c>
      <c r="CU668" s="1388" t="s">
        <v>9276</v>
      </c>
      <c r="CV668" s="1389" t="s">
        <v>9277</v>
      </c>
      <c r="CX668" s="1379">
        <v>1</v>
      </c>
    </row>
    <row r="669" spans="91:102" ht="21" customHeight="1" x14ac:dyDescent="0.25">
      <c r="CM669" s="1377"/>
      <c r="CN669" s="1388" t="s">
        <v>9744</v>
      </c>
      <c r="CO669" s="1388" t="s">
        <v>8125</v>
      </c>
      <c r="CP669" s="1388" t="s">
        <v>8106</v>
      </c>
      <c r="CQ669" s="1388" t="s">
        <v>9745</v>
      </c>
      <c r="CR669" s="1388" t="s">
        <v>9745</v>
      </c>
      <c r="CS669" s="1388" t="s">
        <v>8788</v>
      </c>
      <c r="CT669" s="1388" t="s">
        <v>8789</v>
      </c>
      <c r="CU669" s="1388" t="s">
        <v>9276</v>
      </c>
      <c r="CV669" s="1389" t="s">
        <v>9277</v>
      </c>
      <c r="CX669" s="1379">
        <v>1</v>
      </c>
    </row>
    <row r="670" spans="91:102" ht="21" customHeight="1" x14ac:dyDescent="0.25">
      <c r="CM670" s="1377"/>
      <c r="CN670" s="1388" t="s">
        <v>9746</v>
      </c>
      <c r="CO670" s="1388" t="s">
        <v>8125</v>
      </c>
      <c r="CP670" s="1388" t="s">
        <v>8106</v>
      </c>
      <c r="CQ670" s="1388" t="s">
        <v>9747</v>
      </c>
      <c r="CR670" s="1388" t="s">
        <v>9747</v>
      </c>
      <c r="CS670" s="1388" t="s">
        <v>8788</v>
      </c>
      <c r="CT670" s="1388" t="s">
        <v>8789</v>
      </c>
      <c r="CU670" s="1388" t="s">
        <v>9276</v>
      </c>
      <c r="CV670" s="1389" t="s">
        <v>9277</v>
      </c>
      <c r="CX670" s="1379">
        <v>1</v>
      </c>
    </row>
    <row r="671" spans="91:102" ht="21" customHeight="1" x14ac:dyDescent="0.25">
      <c r="CM671" s="1377"/>
      <c r="CN671" s="1388" t="s">
        <v>9748</v>
      </c>
      <c r="CO671" s="1388" t="s">
        <v>8125</v>
      </c>
      <c r="CP671" s="1388" t="s">
        <v>8106</v>
      </c>
      <c r="CQ671" s="1388" t="s">
        <v>9749</v>
      </c>
      <c r="CR671" s="1388" t="s">
        <v>9749</v>
      </c>
      <c r="CS671" s="1388" t="s">
        <v>8788</v>
      </c>
      <c r="CT671" s="1388" t="s">
        <v>8789</v>
      </c>
      <c r="CU671" s="1388" t="s">
        <v>9276</v>
      </c>
      <c r="CV671" s="1389" t="s">
        <v>9277</v>
      </c>
      <c r="CX671" s="1379">
        <v>1</v>
      </c>
    </row>
    <row r="672" spans="91:102" ht="21" customHeight="1" x14ac:dyDescent="0.25">
      <c r="CM672" s="1377"/>
      <c r="CN672" s="1388" t="s">
        <v>9750</v>
      </c>
      <c r="CO672" s="1388" t="s">
        <v>8125</v>
      </c>
      <c r="CP672" s="1388" t="s">
        <v>8106</v>
      </c>
      <c r="CQ672" s="1388" t="s">
        <v>9751</v>
      </c>
      <c r="CR672" s="1388" t="s">
        <v>9751</v>
      </c>
      <c r="CS672" s="1388" t="s">
        <v>8788</v>
      </c>
      <c r="CT672" s="1388" t="s">
        <v>8789</v>
      </c>
      <c r="CU672" s="1388" t="s">
        <v>9276</v>
      </c>
      <c r="CV672" s="1389" t="s">
        <v>9277</v>
      </c>
      <c r="CX672" s="1379">
        <v>1</v>
      </c>
    </row>
    <row r="673" spans="91:102" ht="21" customHeight="1" x14ac:dyDescent="0.25">
      <c r="CM673" s="1377"/>
      <c r="CN673" s="1388" t="s">
        <v>9752</v>
      </c>
      <c r="CO673" s="1388" t="s">
        <v>8125</v>
      </c>
      <c r="CP673" s="1388" t="s">
        <v>8106</v>
      </c>
      <c r="CQ673" s="1388" t="s">
        <v>9753</v>
      </c>
      <c r="CR673" s="1388" t="s">
        <v>9753</v>
      </c>
      <c r="CS673" s="1388" t="s">
        <v>8788</v>
      </c>
      <c r="CT673" s="1388" t="s">
        <v>8789</v>
      </c>
      <c r="CU673" s="1388" t="s">
        <v>9276</v>
      </c>
      <c r="CV673" s="1389" t="s">
        <v>9277</v>
      </c>
      <c r="CX673" s="1379">
        <v>1</v>
      </c>
    </row>
    <row r="674" spans="91:102" ht="21" customHeight="1" x14ac:dyDescent="0.25">
      <c r="CM674" s="1377"/>
      <c r="CN674" s="1388" t="s">
        <v>9754</v>
      </c>
      <c r="CO674" s="1388" t="s">
        <v>8125</v>
      </c>
      <c r="CP674" s="1388" t="s">
        <v>8106</v>
      </c>
      <c r="CQ674" s="1388" t="s">
        <v>9755</v>
      </c>
      <c r="CR674" s="1388" t="s">
        <v>9755</v>
      </c>
      <c r="CS674" s="1388" t="s">
        <v>8788</v>
      </c>
      <c r="CT674" s="1388" t="s">
        <v>8789</v>
      </c>
      <c r="CU674" s="1388" t="s">
        <v>9276</v>
      </c>
      <c r="CV674" s="1389" t="s">
        <v>9277</v>
      </c>
      <c r="CX674" s="1379">
        <v>1</v>
      </c>
    </row>
    <row r="675" spans="91:102" ht="21" customHeight="1" x14ac:dyDescent="0.25">
      <c r="CM675" s="1377"/>
      <c r="CN675" s="1388" t="s">
        <v>9756</v>
      </c>
      <c r="CO675" s="1388" t="s">
        <v>8125</v>
      </c>
      <c r="CP675" s="1388" t="s">
        <v>8106</v>
      </c>
      <c r="CQ675" s="1388" t="s">
        <v>9757</v>
      </c>
      <c r="CR675" s="1388" t="s">
        <v>9757</v>
      </c>
      <c r="CS675" s="1388" t="s">
        <v>8788</v>
      </c>
      <c r="CT675" s="1388" t="s">
        <v>8789</v>
      </c>
      <c r="CU675" s="1388" t="s">
        <v>9276</v>
      </c>
      <c r="CV675" s="1389" t="s">
        <v>9277</v>
      </c>
      <c r="CX675" s="1379">
        <v>1</v>
      </c>
    </row>
    <row r="676" spans="91:102" ht="21" customHeight="1" x14ac:dyDescent="0.25">
      <c r="CM676" s="1377"/>
      <c r="CN676" s="1388" t="s">
        <v>9758</v>
      </c>
      <c r="CO676" s="1388" t="s">
        <v>8125</v>
      </c>
      <c r="CP676" s="1388" t="s">
        <v>8106</v>
      </c>
      <c r="CQ676" s="1388" t="s">
        <v>9759</v>
      </c>
      <c r="CR676" s="1388" t="s">
        <v>9759</v>
      </c>
      <c r="CS676" s="1388" t="s">
        <v>8788</v>
      </c>
      <c r="CT676" s="1388" t="s">
        <v>8789</v>
      </c>
      <c r="CU676" s="1388" t="s">
        <v>9276</v>
      </c>
      <c r="CV676" s="1389" t="s">
        <v>9277</v>
      </c>
      <c r="CX676" s="1379">
        <v>1</v>
      </c>
    </row>
    <row r="677" spans="91:102" ht="21" customHeight="1" x14ac:dyDescent="0.25">
      <c r="CM677" s="1377"/>
      <c r="CN677" s="1388" t="s">
        <v>9760</v>
      </c>
      <c r="CO677" s="1388" t="s">
        <v>8125</v>
      </c>
      <c r="CP677" s="1388" t="s">
        <v>8106</v>
      </c>
      <c r="CQ677" s="1388" t="s">
        <v>9761</v>
      </c>
      <c r="CR677" s="1388" t="s">
        <v>9761</v>
      </c>
      <c r="CS677" s="1388" t="s">
        <v>8788</v>
      </c>
      <c r="CT677" s="1388" t="s">
        <v>8789</v>
      </c>
      <c r="CU677" s="1388" t="s">
        <v>9276</v>
      </c>
      <c r="CV677" s="1389" t="s">
        <v>9277</v>
      </c>
      <c r="CX677" s="1379">
        <v>1</v>
      </c>
    </row>
    <row r="678" spans="91:102" ht="21" customHeight="1" x14ac:dyDescent="0.25">
      <c r="CM678" s="1377"/>
      <c r="CN678" s="1388" t="s">
        <v>9762</v>
      </c>
      <c r="CO678" s="1388" t="s">
        <v>8125</v>
      </c>
      <c r="CP678" s="1388" t="s">
        <v>8106</v>
      </c>
      <c r="CQ678" s="1388" t="s">
        <v>9763</v>
      </c>
      <c r="CR678" s="1388" t="s">
        <v>9763</v>
      </c>
      <c r="CS678" s="1388" t="s">
        <v>8788</v>
      </c>
      <c r="CT678" s="1388" t="s">
        <v>8789</v>
      </c>
      <c r="CU678" s="1388" t="s">
        <v>9276</v>
      </c>
      <c r="CV678" s="1389" t="s">
        <v>9277</v>
      </c>
      <c r="CX678" s="1379">
        <v>1</v>
      </c>
    </row>
    <row r="679" spans="91:102" ht="21" customHeight="1" x14ac:dyDescent="0.25">
      <c r="CM679" s="1377"/>
      <c r="CN679" s="1388" t="s">
        <v>9764</v>
      </c>
      <c r="CO679" s="1388" t="s">
        <v>8125</v>
      </c>
      <c r="CP679" s="1388" t="s">
        <v>8106</v>
      </c>
      <c r="CQ679" s="1388" t="s">
        <v>9765</v>
      </c>
      <c r="CR679" s="1388" t="s">
        <v>9765</v>
      </c>
      <c r="CS679" s="1388" t="s">
        <v>8788</v>
      </c>
      <c r="CT679" s="1388" t="s">
        <v>8789</v>
      </c>
      <c r="CU679" s="1388" t="s">
        <v>9276</v>
      </c>
      <c r="CV679" s="1389" t="s">
        <v>9277</v>
      </c>
      <c r="CX679" s="1379">
        <v>1</v>
      </c>
    </row>
    <row r="680" spans="91:102" ht="21" customHeight="1" x14ac:dyDescent="0.25">
      <c r="CM680" s="1377"/>
      <c r="CN680" s="1388" t="s">
        <v>9766</v>
      </c>
      <c r="CO680" s="1388" t="s">
        <v>8125</v>
      </c>
      <c r="CP680" s="1388" t="s">
        <v>8106</v>
      </c>
      <c r="CQ680" s="1388" t="s">
        <v>9767</v>
      </c>
      <c r="CR680" s="1388" t="s">
        <v>9767</v>
      </c>
      <c r="CS680" s="1388" t="s">
        <v>8788</v>
      </c>
      <c r="CT680" s="1388" t="s">
        <v>8789</v>
      </c>
      <c r="CU680" s="1388" t="s">
        <v>9276</v>
      </c>
      <c r="CV680" s="1389" t="s">
        <v>9277</v>
      </c>
      <c r="CX680" s="1379">
        <v>1</v>
      </c>
    </row>
    <row r="681" spans="91:102" ht="21" customHeight="1" x14ac:dyDescent="0.25">
      <c r="CM681" s="1377"/>
      <c r="CN681" s="1388" t="s">
        <v>9768</v>
      </c>
      <c r="CO681" s="1388" t="s">
        <v>8125</v>
      </c>
      <c r="CP681" s="1388" t="s">
        <v>8106</v>
      </c>
      <c r="CQ681" s="1388" t="s">
        <v>9769</v>
      </c>
      <c r="CR681" s="1388" t="s">
        <v>9769</v>
      </c>
      <c r="CS681" s="1388" t="s">
        <v>8788</v>
      </c>
      <c r="CT681" s="1388" t="s">
        <v>8789</v>
      </c>
      <c r="CU681" s="1388" t="s">
        <v>9276</v>
      </c>
      <c r="CV681" s="1389" t="s">
        <v>9277</v>
      </c>
      <c r="CX681" s="1379">
        <v>1</v>
      </c>
    </row>
    <row r="682" spans="91:102" ht="21" customHeight="1" x14ac:dyDescent="0.25">
      <c r="CM682" s="1377"/>
      <c r="CN682" s="1388" t="s">
        <v>9770</v>
      </c>
      <c r="CO682" s="1388" t="s">
        <v>8125</v>
      </c>
      <c r="CP682" s="1388" t="s">
        <v>8106</v>
      </c>
      <c r="CQ682" s="1388" t="s">
        <v>9771</v>
      </c>
      <c r="CR682" s="1388" t="s">
        <v>9771</v>
      </c>
      <c r="CS682" s="1388" t="s">
        <v>8788</v>
      </c>
      <c r="CT682" s="1388" t="s">
        <v>8789</v>
      </c>
      <c r="CU682" s="1388" t="s">
        <v>9276</v>
      </c>
      <c r="CV682" s="1389" t="s">
        <v>9277</v>
      </c>
      <c r="CX682" s="1379">
        <v>1</v>
      </c>
    </row>
    <row r="683" spans="91:102" ht="21" customHeight="1" x14ac:dyDescent="0.25">
      <c r="CM683" s="1377"/>
      <c r="CN683" s="1388" t="s">
        <v>9772</v>
      </c>
      <c r="CO683" s="1388" t="s">
        <v>8125</v>
      </c>
      <c r="CP683" s="1388" t="s">
        <v>8106</v>
      </c>
      <c r="CQ683" s="1388" t="s">
        <v>9773</v>
      </c>
      <c r="CR683" s="1388" t="s">
        <v>9773</v>
      </c>
      <c r="CS683" s="1388" t="s">
        <v>8788</v>
      </c>
      <c r="CT683" s="1388" t="s">
        <v>8789</v>
      </c>
      <c r="CU683" s="1388" t="s">
        <v>9276</v>
      </c>
      <c r="CV683" s="1389" t="s">
        <v>9277</v>
      </c>
      <c r="CX683" s="1379">
        <v>1</v>
      </c>
    </row>
    <row r="684" spans="91:102" ht="21" customHeight="1" x14ac:dyDescent="0.25">
      <c r="CM684" s="1377"/>
      <c r="CN684" s="1388" t="s">
        <v>9774</v>
      </c>
      <c r="CO684" s="1388" t="s">
        <v>8125</v>
      </c>
      <c r="CP684" s="1388" t="s">
        <v>8106</v>
      </c>
      <c r="CQ684" s="1388" t="s">
        <v>9775</v>
      </c>
      <c r="CR684" s="1388" t="s">
        <v>9775</v>
      </c>
      <c r="CS684" s="1388" t="s">
        <v>8788</v>
      </c>
      <c r="CT684" s="1388" t="s">
        <v>8789</v>
      </c>
      <c r="CU684" s="1388" t="s">
        <v>9276</v>
      </c>
      <c r="CV684" s="1389" t="s">
        <v>9277</v>
      </c>
      <c r="CX684" s="1379">
        <v>1</v>
      </c>
    </row>
    <row r="685" spans="91:102" ht="21" customHeight="1" x14ac:dyDescent="0.25">
      <c r="CM685" s="1377"/>
      <c r="CN685" s="1388" t="s">
        <v>9776</v>
      </c>
      <c r="CO685" s="1388" t="s">
        <v>8125</v>
      </c>
      <c r="CP685" s="1388" t="s">
        <v>8106</v>
      </c>
      <c r="CQ685" s="1388" t="s">
        <v>9777</v>
      </c>
      <c r="CR685" s="1388" t="s">
        <v>9777</v>
      </c>
      <c r="CS685" s="1388" t="s">
        <v>8788</v>
      </c>
      <c r="CT685" s="1388" t="s">
        <v>8789</v>
      </c>
      <c r="CU685" s="1388" t="s">
        <v>9276</v>
      </c>
      <c r="CV685" s="1389" t="s">
        <v>9277</v>
      </c>
      <c r="CX685" s="1379">
        <v>1</v>
      </c>
    </row>
    <row r="686" spans="91:102" ht="21" customHeight="1" x14ac:dyDescent="0.25">
      <c r="CM686" s="1377"/>
      <c r="CN686" s="1388" t="s">
        <v>9778</v>
      </c>
      <c r="CO686" s="1388" t="s">
        <v>8125</v>
      </c>
      <c r="CP686" s="1388" t="s">
        <v>8106</v>
      </c>
      <c r="CQ686" s="1388" t="s">
        <v>9779</v>
      </c>
      <c r="CR686" s="1388" t="s">
        <v>9779</v>
      </c>
      <c r="CS686" s="1388" t="s">
        <v>8788</v>
      </c>
      <c r="CT686" s="1388" t="s">
        <v>8789</v>
      </c>
      <c r="CU686" s="1388" t="s">
        <v>9276</v>
      </c>
      <c r="CV686" s="1389" t="s">
        <v>9277</v>
      </c>
      <c r="CX686" s="1379">
        <v>1</v>
      </c>
    </row>
    <row r="687" spans="91:102" ht="21" customHeight="1" x14ac:dyDescent="0.25">
      <c r="CM687" s="1377"/>
      <c r="CN687" s="1388" t="s">
        <v>9780</v>
      </c>
      <c r="CO687" s="1388" t="s">
        <v>8125</v>
      </c>
      <c r="CP687" s="1388" t="s">
        <v>8106</v>
      </c>
      <c r="CQ687" s="1388" t="s">
        <v>9781</v>
      </c>
      <c r="CR687" s="1388" t="s">
        <v>9781</v>
      </c>
      <c r="CS687" s="1388" t="s">
        <v>8788</v>
      </c>
      <c r="CT687" s="1388" t="s">
        <v>8789</v>
      </c>
      <c r="CU687" s="1388" t="s">
        <v>9276</v>
      </c>
      <c r="CV687" s="1389" t="s">
        <v>9277</v>
      </c>
      <c r="CX687" s="1379">
        <v>1</v>
      </c>
    </row>
    <row r="688" spans="91:102" ht="21" customHeight="1" x14ac:dyDescent="0.25">
      <c r="CM688" s="1377"/>
      <c r="CN688" s="1388" t="s">
        <v>9782</v>
      </c>
      <c r="CO688" s="1388" t="s">
        <v>8125</v>
      </c>
      <c r="CP688" s="1388" t="s">
        <v>8106</v>
      </c>
      <c r="CQ688" s="1388" t="s">
        <v>9783</v>
      </c>
      <c r="CR688" s="1388" t="s">
        <v>9783</v>
      </c>
      <c r="CS688" s="1388" t="s">
        <v>8788</v>
      </c>
      <c r="CT688" s="1388" t="s">
        <v>8789</v>
      </c>
      <c r="CU688" s="1388" t="s">
        <v>9276</v>
      </c>
      <c r="CV688" s="1389" t="s">
        <v>9277</v>
      </c>
      <c r="CX688" s="1379">
        <v>1</v>
      </c>
    </row>
    <row r="689" spans="91:102" ht="21" customHeight="1" x14ac:dyDescent="0.25">
      <c r="CM689" s="1377"/>
      <c r="CN689" s="1388" t="s">
        <v>9784</v>
      </c>
      <c r="CO689" s="1388" t="s">
        <v>8125</v>
      </c>
      <c r="CP689" s="1388" t="s">
        <v>8106</v>
      </c>
      <c r="CQ689" s="1388" t="s">
        <v>9785</v>
      </c>
      <c r="CR689" s="1388" t="s">
        <v>9785</v>
      </c>
      <c r="CS689" s="1388" t="s">
        <v>8788</v>
      </c>
      <c r="CT689" s="1388" t="s">
        <v>8789</v>
      </c>
      <c r="CU689" s="1388" t="s">
        <v>9276</v>
      </c>
      <c r="CV689" s="1389" t="s">
        <v>9277</v>
      </c>
      <c r="CX689" s="1379">
        <v>1</v>
      </c>
    </row>
    <row r="690" spans="91:102" ht="21" customHeight="1" x14ac:dyDescent="0.25">
      <c r="CM690" s="1377"/>
      <c r="CN690" s="1388" t="s">
        <v>9786</v>
      </c>
      <c r="CO690" s="1388" t="s">
        <v>8125</v>
      </c>
      <c r="CP690" s="1388" t="s">
        <v>8106</v>
      </c>
      <c r="CQ690" s="1388" t="s">
        <v>9787</v>
      </c>
      <c r="CR690" s="1388" t="s">
        <v>9787</v>
      </c>
      <c r="CS690" s="1388" t="s">
        <v>8788</v>
      </c>
      <c r="CT690" s="1388" t="s">
        <v>8789</v>
      </c>
      <c r="CU690" s="1388" t="s">
        <v>9276</v>
      </c>
      <c r="CV690" s="1389" t="s">
        <v>9277</v>
      </c>
      <c r="CX690" s="1379">
        <v>1</v>
      </c>
    </row>
    <row r="691" spans="91:102" ht="21" customHeight="1" x14ac:dyDescent="0.25">
      <c r="CM691" s="1377"/>
      <c r="CN691" s="1388" t="s">
        <v>9788</v>
      </c>
      <c r="CO691" s="1388" t="s">
        <v>8125</v>
      </c>
      <c r="CP691" s="1388" t="s">
        <v>8106</v>
      </c>
      <c r="CQ691" s="1388" t="s">
        <v>9789</v>
      </c>
      <c r="CR691" s="1388" t="s">
        <v>9789</v>
      </c>
      <c r="CS691" s="1388" t="s">
        <v>8788</v>
      </c>
      <c r="CT691" s="1388" t="s">
        <v>8789</v>
      </c>
      <c r="CU691" s="1388" t="s">
        <v>9276</v>
      </c>
      <c r="CV691" s="1389" t="s">
        <v>9277</v>
      </c>
      <c r="CX691" s="1379">
        <v>1</v>
      </c>
    </row>
    <row r="692" spans="91:102" ht="21" customHeight="1" x14ac:dyDescent="0.25">
      <c r="CM692" s="1377"/>
      <c r="CN692" s="1388" t="s">
        <v>9790</v>
      </c>
      <c r="CO692" s="1388" t="s">
        <v>8125</v>
      </c>
      <c r="CP692" s="1388" t="s">
        <v>8106</v>
      </c>
      <c r="CQ692" s="1388" t="s">
        <v>9791</v>
      </c>
      <c r="CR692" s="1388" t="s">
        <v>9791</v>
      </c>
      <c r="CS692" s="1388" t="s">
        <v>8788</v>
      </c>
      <c r="CT692" s="1388" t="s">
        <v>8789</v>
      </c>
      <c r="CU692" s="1388" t="s">
        <v>9276</v>
      </c>
      <c r="CV692" s="1389" t="s">
        <v>9277</v>
      </c>
      <c r="CX692" s="1379">
        <v>1</v>
      </c>
    </row>
    <row r="693" spans="91:102" ht="21" customHeight="1" x14ac:dyDescent="0.25">
      <c r="CM693" s="1377"/>
      <c r="CN693" s="1388" t="s">
        <v>9792</v>
      </c>
      <c r="CO693" s="1388" t="s">
        <v>8125</v>
      </c>
      <c r="CP693" s="1388" t="s">
        <v>8106</v>
      </c>
      <c r="CQ693" s="1388" t="s">
        <v>9793</v>
      </c>
      <c r="CR693" s="1388" t="s">
        <v>9793</v>
      </c>
      <c r="CS693" s="1388" t="s">
        <v>8788</v>
      </c>
      <c r="CT693" s="1388" t="s">
        <v>8789</v>
      </c>
      <c r="CU693" s="1388" t="s">
        <v>9276</v>
      </c>
      <c r="CV693" s="1389" t="s">
        <v>9277</v>
      </c>
      <c r="CX693" s="1379">
        <v>1</v>
      </c>
    </row>
    <row r="694" spans="91:102" ht="21" customHeight="1" x14ac:dyDescent="0.25">
      <c r="CM694" s="1377"/>
      <c r="CN694" s="1388" t="s">
        <v>9794</v>
      </c>
      <c r="CO694" s="1388" t="s">
        <v>8125</v>
      </c>
      <c r="CP694" s="1388" t="s">
        <v>8106</v>
      </c>
      <c r="CQ694" s="1388" t="s">
        <v>9795</v>
      </c>
      <c r="CR694" s="1388" t="s">
        <v>9795</v>
      </c>
      <c r="CS694" s="1388" t="s">
        <v>8788</v>
      </c>
      <c r="CT694" s="1388" t="s">
        <v>8789</v>
      </c>
      <c r="CU694" s="1388" t="s">
        <v>9276</v>
      </c>
      <c r="CV694" s="1389" t="s">
        <v>9277</v>
      </c>
      <c r="CX694" s="1379">
        <v>1</v>
      </c>
    </row>
    <row r="695" spans="91:102" ht="21" customHeight="1" x14ac:dyDescent="0.25">
      <c r="CM695" s="1377"/>
      <c r="CN695" s="1388" t="s">
        <v>9796</v>
      </c>
      <c r="CO695" s="1388" t="s">
        <v>8125</v>
      </c>
      <c r="CP695" s="1388" t="s">
        <v>8106</v>
      </c>
      <c r="CQ695" s="1388" t="s">
        <v>9797</v>
      </c>
      <c r="CR695" s="1388" t="s">
        <v>9797</v>
      </c>
      <c r="CS695" s="1388" t="s">
        <v>8788</v>
      </c>
      <c r="CT695" s="1388" t="s">
        <v>8789</v>
      </c>
      <c r="CU695" s="1388" t="s">
        <v>9276</v>
      </c>
      <c r="CV695" s="1389" t="s">
        <v>9277</v>
      </c>
      <c r="CX695" s="1379">
        <v>1</v>
      </c>
    </row>
    <row r="696" spans="91:102" ht="21" customHeight="1" x14ac:dyDescent="0.25">
      <c r="CM696" s="1377"/>
      <c r="CN696" s="1388" t="s">
        <v>9798</v>
      </c>
      <c r="CO696" s="1388" t="s">
        <v>8125</v>
      </c>
      <c r="CP696" s="1388" t="s">
        <v>8106</v>
      </c>
      <c r="CQ696" s="1388" t="s">
        <v>9799</v>
      </c>
      <c r="CR696" s="1388" t="s">
        <v>9799</v>
      </c>
      <c r="CS696" s="1388" t="s">
        <v>8788</v>
      </c>
      <c r="CT696" s="1388" t="s">
        <v>8789</v>
      </c>
      <c r="CU696" s="1388" t="s">
        <v>9276</v>
      </c>
      <c r="CV696" s="1389" t="s">
        <v>9277</v>
      </c>
      <c r="CX696" s="1379">
        <v>1</v>
      </c>
    </row>
    <row r="697" spans="91:102" ht="21" customHeight="1" x14ac:dyDescent="0.25">
      <c r="CM697" s="1377"/>
      <c r="CN697" s="1388" t="s">
        <v>9800</v>
      </c>
      <c r="CO697" s="1388" t="s">
        <v>8125</v>
      </c>
      <c r="CP697" s="1388" t="s">
        <v>8106</v>
      </c>
      <c r="CQ697" s="1388" t="s">
        <v>9801</v>
      </c>
      <c r="CR697" s="1388" t="s">
        <v>9801</v>
      </c>
      <c r="CS697" s="1388" t="s">
        <v>8788</v>
      </c>
      <c r="CT697" s="1388" t="s">
        <v>8789</v>
      </c>
      <c r="CU697" s="1388" t="s">
        <v>9276</v>
      </c>
      <c r="CV697" s="1389" t="s">
        <v>9277</v>
      </c>
      <c r="CX697" s="1379">
        <v>1</v>
      </c>
    </row>
    <row r="698" spans="91:102" ht="21" customHeight="1" x14ac:dyDescent="0.25">
      <c r="CM698" s="1377"/>
      <c r="CN698" s="1388" t="s">
        <v>9802</v>
      </c>
      <c r="CO698" s="1388" t="s">
        <v>8125</v>
      </c>
      <c r="CP698" s="1388" t="s">
        <v>8106</v>
      </c>
      <c r="CQ698" s="1388" t="s">
        <v>9803</v>
      </c>
      <c r="CR698" s="1388" t="s">
        <v>9803</v>
      </c>
      <c r="CS698" s="1388" t="s">
        <v>8788</v>
      </c>
      <c r="CT698" s="1388" t="s">
        <v>8789</v>
      </c>
      <c r="CU698" s="1388" t="s">
        <v>9276</v>
      </c>
      <c r="CV698" s="1389" t="s">
        <v>9277</v>
      </c>
      <c r="CX698" s="1379">
        <v>1</v>
      </c>
    </row>
    <row r="699" spans="91:102" ht="21" customHeight="1" x14ac:dyDescent="0.25">
      <c r="CM699" s="1377"/>
      <c r="CN699" s="1388" t="s">
        <v>9804</v>
      </c>
      <c r="CO699" s="1388" t="s">
        <v>8125</v>
      </c>
      <c r="CP699" s="1388" t="s">
        <v>8106</v>
      </c>
      <c r="CQ699" s="1388" t="s">
        <v>9805</v>
      </c>
      <c r="CR699" s="1388" t="s">
        <v>9805</v>
      </c>
      <c r="CS699" s="1388" t="s">
        <v>8788</v>
      </c>
      <c r="CT699" s="1388" t="s">
        <v>8789</v>
      </c>
      <c r="CU699" s="1388" t="s">
        <v>9276</v>
      </c>
      <c r="CV699" s="1389" t="s">
        <v>9277</v>
      </c>
      <c r="CX699" s="1379">
        <v>1</v>
      </c>
    </row>
    <row r="700" spans="91:102" ht="21" customHeight="1" x14ac:dyDescent="0.25">
      <c r="CM700" s="1377"/>
      <c r="CN700" s="1388" t="s">
        <v>9806</v>
      </c>
      <c r="CO700" s="1388" t="s">
        <v>8125</v>
      </c>
      <c r="CP700" s="1388" t="s">
        <v>8106</v>
      </c>
      <c r="CQ700" s="1388" t="s">
        <v>9807</v>
      </c>
      <c r="CR700" s="1388" t="s">
        <v>9807</v>
      </c>
      <c r="CS700" s="1388" t="s">
        <v>8788</v>
      </c>
      <c r="CT700" s="1388" t="s">
        <v>8789</v>
      </c>
      <c r="CU700" s="1388" t="s">
        <v>9276</v>
      </c>
      <c r="CV700" s="1389" t="s">
        <v>9277</v>
      </c>
      <c r="CX700" s="1379">
        <v>1</v>
      </c>
    </row>
    <row r="701" spans="91:102" ht="21" customHeight="1" x14ac:dyDescent="0.25">
      <c r="CM701" s="1377"/>
      <c r="CN701" s="1388" t="s">
        <v>9808</v>
      </c>
      <c r="CO701" s="1388" t="s">
        <v>8125</v>
      </c>
      <c r="CP701" s="1388" t="s">
        <v>8106</v>
      </c>
      <c r="CQ701" s="1388" t="s">
        <v>9809</v>
      </c>
      <c r="CR701" s="1388" t="s">
        <v>9809</v>
      </c>
      <c r="CS701" s="1388" t="s">
        <v>8788</v>
      </c>
      <c r="CT701" s="1388" t="s">
        <v>8789</v>
      </c>
      <c r="CU701" s="1388" t="s">
        <v>9276</v>
      </c>
      <c r="CV701" s="1389" t="s">
        <v>9277</v>
      </c>
      <c r="CX701" s="1379">
        <v>1</v>
      </c>
    </row>
    <row r="702" spans="91:102" ht="21" customHeight="1" x14ac:dyDescent="0.25">
      <c r="CM702" s="1377"/>
      <c r="CN702" s="1388" t="s">
        <v>9810</v>
      </c>
      <c r="CO702" s="1388" t="s">
        <v>8125</v>
      </c>
      <c r="CP702" s="1388" t="s">
        <v>8106</v>
      </c>
      <c r="CQ702" s="1388" t="s">
        <v>9811</v>
      </c>
      <c r="CR702" s="1388" t="s">
        <v>9811</v>
      </c>
      <c r="CS702" s="1388" t="s">
        <v>8788</v>
      </c>
      <c r="CT702" s="1388" t="s">
        <v>8789</v>
      </c>
      <c r="CU702" s="1388" t="s">
        <v>9276</v>
      </c>
      <c r="CV702" s="1389" t="s">
        <v>9277</v>
      </c>
      <c r="CX702" s="1379">
        <v>1</v>
      </c>
    </row>
    <row r="703" spans="91:102" ht="21" customHeight="1" x14ac:dyDescent="0.25">
      <c r="CM703" s="1377"/>
      <c r="CN703" s="1388" t="s">
        <v>9812</v>
      </c>
      <c r="CO703" s="1388" t="s">
        <v>8125</v>
      </c>
      <c r="CP703" s="1388" t="s">
        <v>8106</v>
      </c>
      <c r="CQ703" s="1388" t="s">
        <v>9813</v>
      </c>
      <c r="CR703" s="1388" t="s">
        <v>9813</v>
      </c>
      <c r="CS703" s="1388" t="s">
        <v>8788</v>
      </c>
      <c r="CT703" s="1388" t="s">
        <v>8789</v>
      </c>
      <c r="CU703" s="1388" t="s">
        <v>9276</v>
      </c>
      <c r="CV703" s="1389" t="s">
        <v>9277</v>
      </c>
      <c r="CX703" s="1379">
        <v>1</v>
      </c>
    </row>
    <row r="704" spans="91:102" ht="21" customHeight="1" x14ac:dyDescent="0.25">
      <c r="CM704" s="1377"/>
      <c r="CN704" s="1388" t="s">
        <v>9814</v>
      </c>
      <c r="CO704" s="1388" t="s">
        <v>8125</v>
      </c>
      <c r="CP704" s="1388" t="s">
        <v>8106</v>
      </c>
      <c r="CQ704" s="1388" t="s">
        <v>9815</v>
      </c>
      <c r="CR704" s="1388" t="s">
        <v>9815</v>
      </c>
      <c r="CS704" s="1388" t="s">
        <v>8788</v>
      </c>
      <c r="CT704" s="1388" t="s">
        <v>8789</v>
      </c>
      <c r="CU704" s="1388" t="s">
        <v>9276</v>
      </c>
      <c r="CV704" s="1389" t="s">
        <v>9277</v>
      </c>
      <c r="CX704" s="1379">
        <v>1</v>
      </c>
    </row>
    <row r="705" spans="91:102" ht="21" customHeight="1" x14ac:dyDescent="0.25">
      <c r="CM705" s="1377"/>
      <c r="CN705" s="1388" t="s">
        <v>9816</v>
      </c>
      <c r="CO705" s="1388" t="s">
        <v>8125</v>
      </c>
      <c r="CP705" s="1388" t="s">
        <v>8106</v>
      </c>
      <c r="CQ705" s="1388" t="s">
        <v>9817</v>
      </c>
      <c r="CR705" s="1388" t="s">
        <v>9817</v>
      </c>
      <c r="CS705" s="1388" t="s">
        <v>8788</v>
      </c>
      <c r="CT705" s="1388" t="s">
        <v>8789</v>
      </c>
      <c r="CU705" s="1388" t="s">
        <v>9276</v>
      </c>
      <c r="CV705" s="1389" t="s">
        <v>9277</v>
      </c>
      <c r="CX705" s="1379">
        <v>1</v>
      </c>
    </row>
    <row r="706" spans="91:102" ht="21" customHeight="1" x14ac:dyDescent="0.25">
      <c r="CM706" s="1377"/>
      <c r="CN706" s="1388" t="s">
        <v>9818</v>
      </c>
      <c r="CO706" s="1388" t="s">
        <v>8125</v>
      </c>
      <c r="CP706" s="1388" t="s">
        <v>8106</v>
      </c>
      <c r="CQ706" s="1388" t="s">
        <v>9819</v>
      </c>
      <c r="CR706" s="1388" t="s">
        <v>9819</v>
      </c>
      <c r="CS706" s="1388" t="s">
        <v>8788</v>
      </c>
      <c r="CT706" s="1388" t="s">
        <v>8789</v>
      </c>
      <c r="CU706" s="1388" t="s">
        <v>9276</v>
      </c>
      <c r="CV706" s="1389" t="s">
        <v>9277</v>
      </c>
      <c r="CX706" s="1379">
        <v>1</v>
      </c>
    </row>
    <row r="707" spans="91:102" ht="21" customHeight="1" x14ac:dyDescent="0.25">
      <c r="CM707" s="1377"/>
      <c r="CN707" s="1388" t="s">
        <v>9820</v>
      </c>
      <c r="CO707" s="1388" t="s">
        <v>8125</v>
      </c>
      <c r="CP707" s="1388" t="s">
        <v>8106</v>
      </c>
      <c r="CQ707" s="1388" t="s">
        <v>9821</v>
      </c>
      <c r="CR707" s="1388" t="s">
        <v>9821</v>
      </c>
      <c r="CS707" s="1388" t="s">
        <v>8788</v>
      </c>
      <c r="CT707" s="1388" t="s">
        <v>8789</v>
      </c>
      <c r="CU707" s="1388" t="s">
        <v>9276</v>
      </c>
      <c r="CV707" s="1389" t="s">
        <v>9277</v>
      </c>
      <c r="CX707" s="1379">
        <v>1</v>
      </c>
    </row>
    <row r="708" spans="91:102" ht="21" customHeight="1" x14ac:dyDescent="0.25">
      <c r="CM708" s="1377"/>
      <c r="CN708" s="1388" t="s">
        <v>9822</v>
      </c>
      <c r="CO708" s="1388" t="s">
        <v>8125</v>
      </c>
      <c r="CP708" s="1388" t="s">
        <v>8106</v>
      </c>
      <c r="CQ708" s="1388" t="s">
        <v>9823</v>
      </c>
      <c r="CR708" s="1388" t="s">
        <v>9823</v>
      </c>
      <c r="CS708" s="1388" t="s">
        <v>8788</v>
      </c>
      <c r="CT708" s="1388" t="s">
        <v>8789</v>
      </c>
      <c r="CU708" s="1388" t="s">
        <v>9276</v>
      </c>
      <c r="CV708" s="1389" t="s">
        <v>9277</v>
      </c>
      <c r="CX708" s="1379">
        <v>1</v>
      </c>
    </row>
    <row r="709" spans="91:102" ht="21" customHeight="1" x14ac:dyDescent="0.25">
      <c r="CM709" s="1377"/>
      <c r="CN709" s="1388" t="s">
        <v>9824</v>
      </c>
      <c r="CO709" s="1388" t="s">
        <v>8125</v>
      </c>
      <c r="CP709" s="1388" t="s">
        <v>8106</v>
      </c>
      <c r="CQ709" s="1388" t="s">
        <v>9825</v>
      </c>
      <c r="CR709" s="1388" t="s">
        <v>9825</v>
      </c>
      <c r="CS709" s="1388" t="s">
        <v>8788</v>
      </c>
      <c r="CT709" s="1388" t="s">
        <v>8789</v>
      </c>
      <c r="CU709" s="1388" t="s">
        <v>9276</v>
      </c>
      <c r="CV709" s="1389" t="s">
        <v>9277</v>
      </c>
      <c r="CX709" s="1379">
        <v>1</v>
      </c>
    </row>
    <row r="710" spans="91:102" ht="21" customHeight="1" x14ac:dyDescent="0.25">
      <c r="CM710" s="1377"/>
      <c r="CN710" s="1388" t="s">
        <v>9826</v>
      </c>
      <c r="CO710" s="1388" t="s">
        <v>8125</v>
      </c>
      <c r="CP710" s="1388" t="s">
        <v>8106</v>
      </c>
      <c r="CQ710" s="1388" t="s">
        <v>9827</v>
      </c>
      <c r="CR710" s="1388" t="s">
        <v>9827</v>
      </c>
      <c r="CS710" s="1388" t="s">
        <v>8788</v>
      </c>
      <c r="CT710" s="1388" t="s">
        <v>8789</v>
      </c>
      <c r="CU710" s="1388" t="s">
        <v>9276</v>
      </c>
      <c r="CV710" s="1389" t="s">
        <v>9277</v>
      </c>
      <c r="CX710" s="1379">
        <v>1</v>
      </c>
    </row>
    <row r="711" spans="91:102" ht="21" customHeight="1" x14ac:dyDescent="0.25">
      <c r="CM711" s="1377"/>
      <c r="CN711" s="1388" t="s">
        <v>9828</v>
      </c>
      <c r="CO711" s="1388" t="s">
        <v>8125</v>
      </c>
      <c r="CP711" s="1388" t="s">
        <v>8106</v>
      </c>
      <c r="CQ711" s="1388" t="s">
        <v>9829</v>
      </c>
      <c r="CR711" s="1388" t="s">
        <v>9829</v>
      </c>
      <c r="CS711" s="1388" t="s">
        <v>8788</v>
      </c>
      <c r="CT711" s="1388" t="s">
        <v>8789</v>
      </c>
      <c r="CU711" s="1388" t="s">
        <v>9276</v>
      </c>
      <c r="CV711" s="1389" t="s">
        <v>9277</v>
      </c>
      <c r="CX711" s="1379">
        <v>1</v>
      </c>
    </row>
    <row r="712" spans="91:102" ht="21" customHeight="1" x14ac:dyDescent="0.25">
      <c r="CM712" s="1377"/>
      <c r="CN712" s="1388" t="s">
        <v>9830</v>
      </c>
      <c r="CO712" s="1388" t="s">
        <v>8125</v>
      </c>
      <c r="CP712" s="1388" t="s">
        <v>8106</v>
      </c>
      <c r="CQ712" s="1388" t="s">
        <v>9831</v>
      </c>
      <c r="CR712" s="1388" t="s">
        <v>9831</v>
      </c>
      <c r="CS712" s="1388" t="s">
        <v>8788</v>
      </c>
      <c r="CT712" s="1388" t="s">
        <v>8789</v>
      </c>
      <c r="CU712" s="1388" t="s">
        <v>9276</v>
      </c>
      <c r="CV712" s="1389" t="s">
        <v>9277</v>
      </c>
      <c r="CX712" s="1379">
        <v>1</v>
      </c>
    </row>
    <row r="713" spans="91:102" ht="21" customHeight="1" x14ac:dyDescent="0.25">
      <c r="CM713" s="1377"/>
      <c r="CN713" s="1388" t="s">
        <v>9832</v>
      </c>
      <c r="CO713" s="1388" t="s">
        <v>8125</v>
      </c>
      <c r="CP713" s="1388" t="s">
        <v>8106</v>
      </c>
      <c r="CQ713" s="1388" t="s">
        <v>9833</v>
      </c>
      <c r="CR713" s="1388" t="s">
        <v>9833</v>
      </c>
      <c r="CS713" s="1388" t="s">
        <v>8788</v>
      </c>
      <c r="CT713" s="1388" t="s">
        <v>8789</v>
      </c>
      <c r="CU713" s="1388" t="s">
        <v>9276</v>
      </c>
      <c r="CV713" s="1389" t="s">
        <v>9277</v>
      </c>
      <c r="CX713" s="1379">
        <v>1</v>
      </c>
    </row>
    <row r="714" spans="91:102" ht="21" customHeight="1" x14ac:dyDescent="0.25">
      <c r="CM714" s="1377"/>
      <c r="CN714" s="1388" t="s">
        <v>9834</v>
      </c>
      <c r="CO714" s="1388" t="s">
        <v>8125</v>
      </c>
      <c r="CP714" s="1388" t="s">
        <v>8106</v>
      </c>
      <c r="CQ714" s="1388" t="s">
        <v>9835</v>
      </c>
      <c r="CR714" s="1388" t="s">
        <v>9835</v>
      </c>
      <c r="CS714" s="1388" t="s">
        <v>8788</v>
      </c>
      <c r="CT714" s="1388" t="s">
        <v>8789</v>
      </c>
      <c r="CU714" s="1388" t="s">
        <v>9276</v>
      </c>
      <c r="CV714" s="1389" t="s">
        <v>9277</v>
      </c>
      <c r="CX714" s="1379">
        <v>1</v>
      </c>
    </row>
    <row r="715" spans="91:102" ht="21" customHeight="1" x14ac:dyDescent="0.25">
      <c r="CM715" s="1377"/>
      <c r="CN715" s="1388" t="s">
        <v>9836</v>
      </c>
      <c r="CO715" s="1388" t="s">
        <v>8125</v>
      </c>
      <c r="CP715" s="1388" t="s">
        <v>8106</v>
      </c>
      <c r="CQ715" s="1388" t="s">
        <v>9837</v>
      </c>
      <c r="CR715" s="1388" t="s">
        <v>9837</v>
      </c>
      <c r="CS715" s="1388" t="s">
        <v>8788</v>
      </c>
      <c r="CT715" s="1388" t="s">
        <v>8789</v>
      </c>
      <c r="CU715" s="1388" t="s">
        <v>9276</v>
      </c>
      <c r="CV715" s="1389" t="s">
        <v>9277</v>
      </c>
      <c r="CX715" s="1379">
        <v>1</v>
      </c>
    </row>
    <row r="716" spans="91:102" ht="21" customHeight="1" x14ac:dyDescent="0.25">
      <c r="CM716" s="1377"/>
      <c r="CN716" s="1388" t="s">
        <v>9838</v>
      </c>
      <c r="CO716" s="1388" t="s">
        <v>8125</v>
      </c>
      <c r="CP716" s="1388" t="s">
        <v>8106</v>
      </c>
      <c r="CQ716" s="1388" t="s">
        <v>9839</v>
      </c>
      <c r="CR716" s="1388" t="s">
        <v>9839</v>
      </c>
      <c r="CS716" s="1388" t="s">
        <v>8788</v>
      </c>
      <c r="CT716" s="1388" t="s">
        <v>8789</v>
      </c>
      <c r="CU716" s="1388" t="s">
        <v>9276</v>
      </c>
      <c r="CV716" s="1389" t="s">
        <v>9277</v>
      </c>
      <c r="CX716" s="1379">
        <v>1</v>
      </c>
    </row>
    <row r="717" spans="91:102" ht="21" customHeight="1" x14ac:dyDescent="0.25">
      <c r="CM717" s="1377"/>
      <c r="CN717" s="1388" t="s">
        <v>9840</v>
      </c>
      <c r="CO717" s="1388" t="s">
        <v>8125</v>
      </c>
      <c r="CP717" s="1388" t="s">
        <v>8106</v>
      </c>
      <c r="CQ717" s="1388" t="s">
        <v>9841</v>
      </c>
      <c r="CR717" s="1388" t="s">
        <v>9841</v>
      </c>
      <c r="CS717" s="1388" t="s">
        <v>8788</v>
      </c>
      <c r="CT717" s="1388" t="s">
        <v>8789</v>
      </c>
      <c r="CU717" s="1388" t="s">
        <v>9276</v>
      </c>
      <c r="CV717" s="1389" t="s">
        <v>9277</v>
      </c>
      <c r="CX717" s="1379">
        <v>1</v>
      </c>
    </row>
    <row r="718" spans="91:102" ht="21" customHeight="1" x14ac:dyDescent="0.25">
      <c r="CM718" s="1377"/>
      <c r="CN718" s="1388" t="s">
        <v>9842</v>
      </c>
      <c r="CO718" s="1388" t="s">
        <v>8125</v>
      </c>
      <c r="CP718" s="1388" t="s">
        <v>8106</v>
      </c>
      <c r="CQ718" s="1388" t="s">
        <v>9843</v>
      </c>
      <c r="CR718" s="1388" t="s">
        <v>9843</v>
      </c>
      <c r="CS718" s="1388" t="s">
        <v>8788</v>
      </c>
      <c r="CT718" s="1388" t="s">
        <v>8789</v>
      </c>
      <c r="CU718" s="1388" t="s">
        <v>9276</v>
      </c>
      <c r="CV718" s="1389" t="s">
        <v>9277</v>
      </c>
      <c r="CX718" s="1379">
        <v>1</v>
      </c>
    </row>
    <row r="719" spans="91:102" ht="21" customHeight="1" x14ac:dyDescent="0.25">
      <c r="CM719" s="1377"/>
      <c r="CN719" s="1388" t="s">
        <v>9844</v>
      </c>
      <c r="CO719" s="1388" t="s">
        <v>8125</v>
      </c>
      <c r="CP719" s="1388" t="s">
        <v>8106</v>
      </c>
      <c r="CQ719" s="1388" t="s">
        <v>9845</v>
      </c>
      <c r="CR719" s="1388" t="s">
        <v>9845</v>
      </c>
      <c r="CS719" s="1388" t="s">
        <v>8788</v>
      </c>
      <c r="CT719" s="1388" t="s">
        <v>8789</v>
      </c>
      <c r="CU719" s="1388" t="s">
        <v>9276</v>
      </c>
      <c r="CV719" s="1389" t="s">
        <v>9277</v>
      </c>
      <c r="CX719" s="1379">
        <v>1</v>
      </c>
    </row>
    <row r="720" spans="91:102" ht="21" customHeight="1" x14ac:dyDescent="0.25">
      <c r="CM720" s="1377"/>
      <c r="CN720" s="1388" t="s">
        <v>9846</v>
      </c>
      <c r="CO720" s="1388" t="s">
        <v>8125</v>
      </c>
      <c r="CP720" s="1388" t="s">
        <v>8106</v>
      </c>
      <c r="CQ720" s="1388" t="s">
        <v>9847</v>
      </c>
      <c r="CR720" s="1388" t="s">
        <v>9847</v>
      </c>
      <c r="CS720" s="1388" t="s">
        <v>8788</v>
      </c>
      <c r="CT720" s="1388" t="s">
        <v>8789</v>
      </c>
      <c r="CU720" s="1388" t="s">
        <v>9276</v>
      </c>
      <c r="CV720" s="1389" t="s">
        <v>9277</v>
      </c>
      <c r="CX720" s="1379">
        <v>1</v>
      </c>
    </row>
    <row r="721" spans="91:102" ht="21" customHeight="1" x14ac:dyDescent="0.25">
      <c r="CM721" s="1377"/>
      <c r="CN721" s="1388" t="s">
        <v>9848</v>
      </c>
      <c r="CO721" s="1388" t="s">
        <v>8125</v>
      </c>
      <c r="CP721" s="1388" t="s">
        <v>8106</v>
      </c>
      <c r="CQ721" s="1388" t="s">
        <v>9849</v>
      </c>
      <c r="CR721" s="1388" t="s">
        <v>9849</v>
      </c>
      <c r="CS721" s="1388" t="s">
        <v>8788</v>
      </c>
      <c r="CT721" s="1388" t="s">
        <v>8789</v>
      </c>
      <c r="CU721" s="1388" t="s">
        <v>9276</v>
      </c>
      <c r="CV721" s="1389" t="s">
        <v>9277</v>
      </c>
      <c r="CX721" s="1379">
        <v>1</v>
      </c>
    </row>
    <row r="722" spans="91:102" ht="21" customHeight="1" x14ac:dyDescent="0.25">
      <c r="CM722" s="1377"/>
      <c r="CN722" s="1388" t="s">
        <v>9850</v>
      </c>
      <c r="CO722" s="1388" t="s">
        <v>8125</v>
      </c>
      <c r="CP722" s="1388" t="s">
        <v>8106</v>
      </c>
      <c r="CQ722" s="1388" t="s">
        <v>9851</v>
      </c>
      <c r="CR722" s="1388" t="s">
        <v>9851</v>
      </c>
      <c r="CS722" s="1388" t="s">
        <v>8788</v>
      </c>
      <c r="CT722" s="1388" t="s">
        <v>8789</v>
      </c>
      <c r="CU722" s="1388" t="s">
        <v>9276</v>
      </c>
      <c r="CV722" s="1389" t="s">
        <v>9277</v>
      </c>
      <c r="CX722" s="1379">
        <v>1</v>
      </c>
    </row>
    <row r="723" spans="91:102" ht="21" customHeight="1" x14ac:dyDescent="0.25">
      <c r="CM723" s="1377"/>
      <c r="CN723" s="1388" t="s">
        <v>9852</v>
      </c>
      <c r="CO723" s="1388" t="s">
        <v>8125</v>
      </c>
      <c r="CP723" s="1388" t="s">
        <v>8106</v>
      </c>
      <c r="CQ723" s="1388" t="s">
        <v>9853</v>
      </c>
      <c r="CR723" s="1388" t="s">
        <v>9853</v>
      </c>
      <c r="CS723" s="1388" t="s">
        <v>8788</v>
      </c>
      <c r="CT723" s="1388" t="s">
        <v>8789</v>
      </c>
      <c r="CU723" s="1388" t="s">
        <v>9276</v>
      </c>
      <c r="CV723" s="1389" t="s">
        <v>9277</v>
      </c>
      <c r="CX723" s="1379">
        <v>1</v>
      </c>
    </row>
    <row r="724" spans="91:102" ht="21" customHeight="1" x14ac:dyDescent="0.25">
      <c r="CM724" s="1377"/>
      <c r="CN724" s="1388" t="s">
        <v>9854</v>
      </c>
      <c r="CO724" s="1388" t="s">
        <v>8125</v>
      </c>
      <c r="CP724" s="1388" t="s">
        <v>8106</v>
      </c>
      <c r="CQ724" s="1388" t="s">
        <v>9855</v>
      </c>
      <c r="CR724" s="1388" t="s">
        <v>9855</v>
      </c>
      <c r="CS724" s="1388" t="s">
        <v>8788</v>
      </c>
      <c r="CT724" s="1388" t="s">
        <v>8789</v>
      </c>
      <c r="CU724" s="1388" t="s">
        <v>9276</v>
      </c>
      <c r="CV724" s="1389" t="s">
        <v>9277</v>
      </c>
      <c r="CX724" s="1379">
        <v>1</v>
      </c>
    </row>
    <row r="725" spans="91:102" ht="21" customHeight="1" x14ac:dyDescent="0.25">
      <c r="CM725" s="1377"/>
      <c r="CN725" s="1388" t="s">
        <v>9856</v>
      </c>
      <c r="CO725" s="1388" t="s">
        <v>8125</v>
      </c>
      <c r="CP725" s="1388" t="s">
        <v>8106</v>
      </c>
      <c r="CQ725" s="1388" t="s">
        <v>9857</v>
      </c>
      <c r="CR725" s="1388" t="s">
        <v>9857</v>
      </c>
      <c r="CS725" s="1388" t="s">
        <v>8788</v>
      </c>
      <c r="CT725" s="1388" t="s">
        <v>8789</v>
      </c>
      <c r="CU725" s="1388" t="s">
        <v>9276</v>
      </c>
      <c r="CV725" s="1389" t="s">
        <v>9277</v>
      </c>
      <c r="CX725" s="1379">
        <v>1</v>
      </c>
    </row>
    <row r="726" spans="91:102" ht="21" customHeight="1" x14ac:dyDescent="0.25">
      <c r="CM726" s="1377"/>
      <c r="CN726" s="1388" t="s">
        <v>9858</v>
      </c>
      <c r="CO726" s="1388" t="s">
        <v>8125</v>
      </c>
      <c r="CP726" s="1388" t="s">
        <v>8106</v>
      </c>
      <c r="CQ726" s="1388" t="s">
        <v>9859</v>
      </c>
      <c r="CR726" s="1388" t="s">
        <v>9859</v>
      </c>
      <c r="CS726" s="1388" t="s">
        <v>8788</v>
      </c>
      <c r="CT726" s="1388" t="s">
        <v>8789</v>
      </c>
      <c r="CU726" s="1388" t="s">
        <v>9276</v>
      </c>
      <c r="CV726" s="1389" t="s">
        <v>9277</v>
      </c>
      <c r="CX726" s="1379">
        <v>1</v>
      </c>
    </row>
    <row r="727" spans="91:102" ht="21" customHeight="1" x14ac:dyDescent="0.25">
      <c r="CM727" s="1377"/>
      <c r="CN727" s="1388" t="s">
        <v>9860</v>
      </c>
      <c r="CO727" s="1388" t="s">
        <v>8125</v>
      </c>
      <c r="CP727" s="1388" t="s">
        <v>8106</v>
      </c>
      <c r="CQ727" s="1388" t="s">
        <v>9861</v>
      </c>
      <c r="CR727" s="1388" t="s">
        <v>9861</v>
      </c>
      <c r="CS727" s="1388" t="s">
        <v>8788</v>
      </c>
      <c r="CT727" s="1388" t="s">
        <v>8789</v>
      </c>
      <c r="CU727" s="1388" t="s">
        <v>9276</v>
      </c>
      <c r="CV727" s="1389" t="s">
        <v>9277</v>
      </c>
      <c r="CX727" s="1379">
        <v>1</v>
      </c>
    </row>
    <row r="728" spans="91:102" ht="21" customHeight="1" x14ac:dyDescent="0.25">
      <c r="CM728" s="1377"/>
      <c r="CN728" s="1388" t="s">
        <v>9862</v>
      </c>
      <c r="CO728" s="1388" t="s">
        <v>8125</v>
      </c>
      <c r="CP728" s="1388" t="s">
        <v>8106</v>
      </c>
      <c r="CQ728" s="1388" t="s">
        <v>9863</v>
      </c>
      <c r="CR728" s="1388" t="s">
        <v>9863</v>
      </c>
      <c r="CS728" s="1388" t="s">
        <v>8788</v>
      </c>
      <c r="CT728" s="1388" t="s">
        <v>8789</v>
      </c>
      <c r="CU728" s="1388" t="s">
        <v>9276</v>
      </c>
      <c r="CV728" s="1389" t="s">
        <v>9277</v>
      </c>
      <c r="CX728" s="1379">
        <v>1</v>
      </c>
    </row>
    <row r="729" spans="91:102" ht="21" customHeight="1" x14ac:dyDescent="0.25">
      <c r="CM729" s="1377"/>
      <c r="CN729" s="1388" t="s">
        <v>9864</v>
      </c>
      <c r="CO729" s="1388" t="s">
        <v>8125</v>
      </c>
      <c r="CP729" s="1388" t="s">
        <v>8106</v>
      </c>
      <c r="CQ729" s="1388" t="s">
        <v>9865</v>
      </c>
      <c r="CR729" s="1388" t="s">
        <v>9865</v>
      </c>
      <c r="CS729" s="1388" t="s">
        <v>8108</v>
      </c>
      <c r="CT729" s="1388" t="s">
        <v>9359</v>
      </c>
      <c r="CU729" s="1388" t="s">
        <v>8110</v>
      </c>
      <c r="CV729" s="1389" t="s">
        <v>8111</v>
      </c>
      <c r="CX729" s="1379">
        <v>1</v>
      </c>
    </row>
    <row r="730" spans="91:102" ht="21" customHeight="1" x14ac:dyDescent="0.25">
      <c r="CM730" s="1377"/>
      <c r="CN730" s="1388" t="s">
        <v>9866</v>
      </c>
      <c r="CO730" s="1388" t="s">
        <v>8125</v>
      </c>
      <c r="CP730" s="1388" t="s">
        <v>8106</v>
      </c>
      <c r="CQ730" s="1388" t="s">
        <v>9867</v>
      </c>
      <c r="CR730" s="1388" t="s">
        <v>9867</v>
      </c>
      <c r="CS730" s="1388" t="s">
        <v>8788</v>
      </c>
      <c r="CT730" s="1388" t="s">
        <v>8789</v>
      </c>
      <c r="CU730" s="1388" t="s">
        <v>9276</v>
      </c>
      <c r="CV730" s="1389" t="s">
        <v>9277</v>
      </c>
      <c r="CX730" s="1379">
        <v>1</v>
      </c>
    </row>
    <row r="731" spans="91:102" ht="21" customHeight="1" x14ac:dyDescent="0.25">
      <c r="CM731" s="1377"/>
      <c r="CN731" s="1388" t="s">
        <v>9868</v>
      </c>
      <c r="CO731" s="1388" t="s">
        <v>8125</v>
      </c>
      <c r="CP731" s="1388" t="s">
        <v>8106</v>
      </c>
      <c r="CQ731" s="1388" t="s">
        <v>9869</v>
      </c>
      <c r="CR731" s="1388" t="s">
        <v>9869</v>
      </c>
      <c r="CS731" s="1388" t="s">
        <v>8788</v>
      </c>
      <c r="CT731" s="1388" t="s">
        <v>8789</v>
      </c>
      <c r="CU731" s="1388" t="s">
        <v>9276</v>
      </c>
      <c r="CV731" s="1389" t="s">
        <v>9277</v>
      </c>
      <c r="CX731" s="1379">
        <v>1</v>
      </c>
    </row>
    <row r="732" spans="91:102" ht="21" customHeight="1" x14ac:dyDescent="0.25">
      <c r="CM732" s="1377"/>
      <c r="CN732" s="1388" t="s">
        <v>9870</v>
      </c>
      <c r="CO732" s="1388" t="s">
        <v>8125</v>
      </c>
      <c r="CP732" s="1388" t="s">
        <v>8106</v>
      </c>
      <c r="CQ732" s="1388" t="s">
        <v>9871</v>
      </c>
      <c r="CR732" s="1388" t="s">
        <v>9871</v>
      </c>
      <c r="CS732" s="1388" t="s">
        <v>8788</v>
      </c>
      <c r="CT732" s="1388" t="s">
        <v>8789</v>
      </c>
      <c r="CU732" s="1388" t="s">
        <v>9276</v>
      </c>
      <c r="CV732" s="1389" t="s">
        <v>9277</v>
      </c>
      <c r="CX732" s="1379">
        <v>1</v>
      </c>
    </row>
    <row r="733" spans="91:102" ht="21" customHeight="1" x14ac:dyDescent="0.25">
      <c r="CM733" s="1377"/>
      <c r="CN733" s="1388" t="s">
        <v>9872</v>
      </c>
      <c r="CO733" s="1388" t="s">
        <v>8125</v>
      </c>
      <c r="CP733" s="1388" t="s">
        <v>8106</v>
      </c>
      <c r="CQ733" s="1388" t="s">
        <v>9873</v>
      </c>
      <c r="CR733" s="1388" t="s">
        <v>9873</v>
      </c>
      <c r="CS733" s="1388" t="s">
        <v>8788</v>
      </c>
      <c r="CT733" s="1388" t="s">
        <v>8789</v>
      </c>
      <c r="CU733" s="1388" t="s">
        <v>9276</v>
      </c>
      <c r="CV733" s="1389" t="s">
        <v>9277</v>
      </c>
      <c r="CX733" s="1379">
        <v>1</v>
      </c>
    </row>
    <row r="734" spans="91:102" ht="21" customHeight="1" x14ac:dyDescent="0.25">
      <c r="CM734" s="1377"/>
      <c r="CN734" s="1388" t="s">
        <v>9874</v>
      </c>
      <c r="CO734" s="1388" t="s">
        <v>8125</v>
      </c>
      <c r="CP734" s="1388" t="s">
        <v>8106</v>
      </c>
      <c r="CQ734" s="1388" t="s">
        <v>9875</v>
      </c>
      <c r="CR734" s="1388" t="s">
        <v>9875</v>
      </c>
      <c r="CS734" s="1388" t="s">
        <v>8788</v>
      </c>
      <c r="CT734" s="1388" t="s">
        <v>8789</v>
      </c>
      <c r="CU734" s="1388" t="s">
        <v>9276</v>
      </c>
      <c r="CV734" s="1389" t="s">
        <v>9277</v>
      </c>
      <c r="CX734" s="1379">
        <v>1</v>
      </c>
    </row>
    <row r="735" spans="91:102" ht="21" customHeight="1" x14ac:dyDescent="0.25">
      <c r="CM735" s="1377"/>
      <c r="CN735" s="1388" t="s">
        <v>9876</v>
      </c>
      <c r="CO735" s="1388" t="s">
        <v>8125</v>
      </c>
      <c r="CP735" s="1388" t="s">
        <v>8106</v>
      </c>
      <c r="CQ735" s="1388" t="s">
        <v>9877</v>
      </c>
      <c r="CR735" s="1388" t="s">
        <v>9877</v>
      </c>
      <c r="CS735" s="1388" t="s">
        <v>8108</v>
      </c>
      <c r="CT735" s="1388" t="s">
        <v>9359</v>
      </c>
      <c r="CU735" s="1388" t="s">
        <v>8110</v>
      </c>
      <c r="CV735" s="1389" t="s">
        <v>8111</v>
      </c>
      <c r="CX735" s="1379">
        <v>1</v>
      </c>
    </row>
    <row r="736" spans="91:102" ht="21" customHeight="1" x14ac:dyDescent="0.25">
      <c r="CM736" s="1377"/>
      <c r="CN736" s="1388" t="s">
        <v>9878</v>
      </c>
      <c r="CO736" s="1388" t="s">
        <v>8125</v>
      </c>
      <c r="CP736" s="1388" t="s">
        <v>8106</v>
      </c>
      <c r="CQ736" s="1388" t="s">
        <v>9879</v>
      </c>
      <c r="CR736" s="1388" t="s">
        <v>9879</v>
      </c>
      <c r="CS736" s="1388" t="s">
        <v>8194</v>
      </c>
      <c r="CT736" s="1388" t="s">
        <v>8195</v>
      </c>
      <c r="CU736" s="1388" t="s">
        <v>8110</v>
      </c>
      <c r="CV736" s="1389" t="s">
        <v>8196</v>
      </c>
      <c r="CX736" s="1379">
        <v>1</v>
      </c>
    </row>
    <row r="737" spans="91:102" ht="21" customHeight="1" x14ac:dyDescent="0.25">
      <c r="CM737" s="1377"/>
      <c r="CN737" s="1388" t="s">
        <v>9880</v>
      </c>
      <c r="CO737" s="1388" t="s">
        <v>8125</v>
      </c>
      <c r="CP737" s="1388" t="s">
        <v>8106</v>
      </c>
      <c r="CQ737" s="1388" t="s">
        <v>9881</v>
      </c>
      <c r="CR737" s="1388" t="s">
        <v>9881</v>
      </c>
      <c r="CS737" s="1388" t="s">
        <v>8108</v>
      </c>
      <c r="CT737" s="1388" t="s">
        <v>9359</v>
      </c>
      <c r="CU737" s="1388" t="s">
        <v>8110</v>
      </c>
      <c r="CV737" s="1389" t="s">
        <v>8111</v>
      </c>
      <c r="CX737" s="1379">
        <v>1</v>
      </c>
    </row>
    <row r="738" spans="91:102" ht="21" customHeight="1" x14ac:dyDescent="0.25">
      <c r="CM738" s="1377"/>
      <c r="CN738" s="1388" t="s">
        <v>9882</v>
      </c>
      <c r="CO738" s="1388" t="s">
        <v>8125</v>
      </c>
      <c r="CP738" s="1388" t="s">
        <v>8106</v>
      </c>
      <c r="CQ738" s="1388" t="s">
        <v>9883</v>
      </c>
      <c r="CR738" s="1388" t="s">
        <v>9883</v>
      </c>
      <c r="CS738" s="1388" t="s">
        <v>8788</v>
      </c>
      <c r="CT738" s="1388" t="s">
        <v>8789</v>
      </c>
      <c r="CU738" s="1388" t="s">
        <v>9276</v>
      </c>
      <c r="CV738" s="1389" t="s">
        <v>9277</v>
      </c>
      <c r="CX738" s="1379">
        <v>1</v>
      </c>
    </row>
    <row r="739" spans="91:102" ht="21" customHeight="1" x14ac:dyDescent="0.25">
      <c r="CM739" s="1377"/>
      <c r="CN739" s="1388" t="s">
        <v>9884</v>
      </c>
      <c r="CO739" s="1388" t="s">
        <v>8125</v>
      </c>
      <c r="CP739" s="1388" t="s">
        <v>8106</v>
      </c>
      <c r="CQ739" s="1388" t="s">
        <v>9885</v>
      </c>
      <c r="CR739" s="1388" t="s">
        <v>9885</v>
      </c>
      <c r="CS739" s="1388" t="s">
        <v>8788</v>
      </c>
      <c r="CT739" s="1388" t="s">
        <v>8789</v>
      </c>
      <c r="CU739" s="1388" t="s">
        <v>9276</v>
      </c>
      <c r="CV739" s="1389" t="s">
        <v>9277</v>
      </c>
      <c r="CX739" s="1379">
        <v>1</v>
      </c>
    </row>
    <row r="740" spans="91:102" ht="21" customHeight="1" x14ac:dyDescent="0.25">
      <c r="CM740" s="1377"/>
      <c r="CN740" s="1388" t="s">
        <v>9886</v>
      </c>
      <c r="CO740" s="1388" t="s">
        <v>8125</v>
      </c>
      <c r="CP740" s="1388" t="s">
        <v>8106</v>
      </c>
      <c r="CQ740" s="1388" t="s">
        <v>9887</v>
      </c>
      <c r="CR740" s="1388" t="s">
        <v>9887</v>
      </c>
      <c r="CS740" s="1388" t="s">
        <v>8788</v>
      </c>
      <c r="CT740" s="1388" t="s">
        <v>8789</v>
      </c>
      <c r="CU740" s="1388" t="s">
        <v>9276</v>
      </c>
      <c r="CV740" s="1389" t="s">
        <v>9277</v>
      </c>
      <c r="CX740" s="1379">
        <v>1</v>
      </c>
    </row>
    <row r="741" spans="91:102" ht="21" customHeight="1" x14ac:dyDescent="0.25">
      <c r="CM741" s="1377"/>
      <c r="CN741" s="1388" t="s">
        <v>9888</v>
      </c>
      <c r="CO741" s="1388" t="s">
        <v>8125</v>
      </c>
      <c r="CP741" s="1388" t="s">
        <v>8106</v>
      </c>
      <c r="CQ741" s="1388" t="s">
        <v>9889</v>
      </c>
      <c r="CR741" s="1388" t="s">
        <v>9889</v>
      </c>
      <c r="CS741" s="1388" t="s">
        <v>8788</v>
      </c>
      <c r="CT741" s="1388" t="s">
        <v>8789</v>
      </c>
      <c r="CU741" s="1388" t="s">
        <v>9276</v>
      </c>
      <c r="CV741" s="1389" t="s">
        <v>9277</v>
      </c>
      <c r="CX741" s="1379">
        <v>1</v>
      </c>
    </row>
    <row r="742" spans="91:102" ht="21" customHeight="1" x14ac:dyDescent="0.25">
      <c r="CM742" s="1377"/>
      <c r="CN742" s="1388" t="s">
        <v>9890</v>
      </c>
      <c r="CO742" s="1388" t="s">
        <v>8125</v>
      </c>
      <c r="CP742" s="1388" t="s">
        <v>8106</v>
      </c>
      <c r="CQ742" s="1388" t="s">
        <v>9891</v>
      </c>
      <c r="CR742" s="1388" t="s">
        <v>9891</v>
      </c>
      <c r="CS742" s="1388" t="s">
        <v>8788</v>
      </c>
      <c r="CT742" s="1388" t="s">
        <v>8789</v>
      </c>
      <c r="CU742" s="1388" t="s">
        <v>9276</v>
      </c>
      <c r="CV742" s="1389" t="s">
        <v>9277</v>
      </c>
      <c r="CX742" s="1379">
        <v>1</v>
      </c>
    </row>
    <row r="743" spans="91:102" ht="21" customHeight="1" x14ac:dyDescent="0.25">
      <c r="CM743" s="1377"/>
      <c r="CN743" s="1388" t="s">
        <v>9892</v>
      </c>
      <c r="CO743" s="1388" t="s">
        <v>8125</v>
      </c>
      <c r="CP743" s="1388" t="s">
        <v>8106</v>
      </c>
      <c r="CQ743" s="1388" t="s">
        <v>9893</v>
      </c>
      <c r="CR743" s="1388" t="s">
        <v>9893</v>
      </c>
      <c r="CS743" s="1388" t="s">
        <v>8788</v>
      </c>
      <c r="CT743" s="1388" t="s">
        <v>8789</v>
      </c>
      <c r="CU743" s="1388" t="s">
        <v>9276</v>
      </c>
      <c r="CV743" s="1389" t="s">
        <v>9277</v>
      </c>
      <c r="CX743" s="1379">
        <v>1</v>
      </c>
    </row>
    <row r="744" spans="91:102" ht="21" customHeight="1" x14ac:dyDescent="0.25">
      <c r="CM744" s="1377"/>
      <c r="CN744" s="1388" t="s">
        <v>9894</v>
      </c>
      <c r="CO744" s="1388" t="s">
        <v>8125</v>
      </c>
      <c r="CP744" s="1388" t="s">
        <v>8106</v>
      </c>
      <c r="CQ744" s="1388" t="s">
        <v>9895</v>
      </c>
      <c r="CR744" s="1388" t="s">
        <v>9895</v>
      </c>
      <c r="CS744" s="1388" t="s">
        <v>8788</v>
      </c>
      <c r="CT744" s="1388" t="s">
        <v>8789</v>
      </c>
      <c r="CU744" s="1388" t="s">
        <v>9276</v>
      </c>
      <c r="CV744" s="1389" t="s">
        <v>9277</v>
      </c>
      <c r="CX744" s="1379">
        <v>1</v>
      </c>
    </row>
    <row r="745" spans="91:102" ht="21" customHeight="1" x14ac:dyDescent="0.25">
      <c r="CM745" s="1377"/>
      <c r="CN745" s="1388" t="s">
        <v>9896</v>
      </c>
      <c r="CO745" s="1388" t="s">
        <v>8125</v>
      </c>
      <c r="CP745" s="1388" t="s">
        <v>8106</v>
      </c>
      <c r="CQ745" s="1388" t="s">
        <v>9897</v>
      </c>
      <c r="CR745" s="1388" t="s">
        <v>9897</v>
      </c>
      <c r="CS745" s="1388" t="s">
        <v>8108</v>
      </c>
      <c r="CT745" s="1388" t="s">
        <v>9359</v>
      </c>
      <c r="CU745" s="1388" t="s">
        <v>8110</v>
      </c>
      <c r="CV745" s="1389" t="s">
        <v>8111</v>
      </c>
      <c r="CX745" s="1379">
        <v>1</v>
      </c>
    </row>
    <row r="746" spans="91:102" ht="21" customHeight="1" x14ac:dyDescent="0.25">
      <c r="CM746" s="1377"/>
      <c r="CN746" s="1388" t="s">
        <v>9898</v>
      </c>
      <c r="CO746" s="1388" t="s">
        <v>8125</v>
      </c>
      <c r="CP746" s="1388" t="s">
        <v>8106</v>
      </c>
      <c r="CQ746" s="1388" t="s">
        <v>9899</v>
      </c>
      <c r="CR746" s="1388" t="s">
        <v>9899</v>
      </c>
      <c r="CS746" s="1388" t="s">
        <v>8788</v>
      </c>
      <c r="CT746" s="1388" t="s">
        <v>8789</v>
      </c>
      <c r="CU746" s="1388" t="s">
        <v>9276</v>
      </c>
      <c r="CV746" s="1389" t="s">
        <v>9277</v>
      </c>
      <c r="CX746" s="1379">
        <v>1</v>
      </c>
    </row>
    <row r="747" spans="91:102" ht="21" customHeight="1" x14ac:dyDescent="0.25">
      <c r="CM747" s="1377"/>
      <c r="CN747" s="1388" t="s">
        <v>9900</v>
      </c>
      <c r="CO747" s="1388" t="s">
        <v>8125</v>
      </c>
      <c r="CP747" s="1388" t="s">
        <v>8106</v>
      </c>
      <c r="CQ747" s="1388" t="s">
        <v>9901</v>
      </c>
      <c r="CR747" s="1388" t="s">
        <v>9901</v>
      </c>
      <c r="CS747" s="1388" t="s">
        <v>8788</v>
      </c>
      <c r="CT747" s="1388" t="s">
        <v>8789</v>
      </c>
      <c r="CU747" s="1388" t="s">
        <v>9276</v>
      </c>
      <c r="CV747" s="1389" t="s">
        <v>9277</v>
      </c>
      <c r="CX747" s="1379">
        <v>1</v>
      </c>
    </row>
    <row r="748" spans="91:102" ht="21" customHeight="1" x14ac:dyDescent="0.25">
      <c r="CM748" s="1377"/>
      <c r="CN748" s="1388" t="s">
        <v>9902</v>
      </c>
      <c r="CO748" s="1388" t="s">
        <v>8125</v>
      </c>
      <c r="CP748" s="1388" t="s">
        <v>8106</v>
      </c>
      <c r="CQ748" s="1388" t="s">
        <v>9903</v>
      </c>
      <c r="CR748" s="1388" t="s">
        <v>9903</v>
      </c>
      <c r="CS748" s="1388" t="s">
        <v>8788</v>
      </c>
      <c r="CT748" s="1388" t="s">
        <v>8789</v>
      </c>
      <c r="CU748" s="1388" t="s">
        <v>9276</v>
      </c>
      <c r="CV748" s="1389" t="s">
        <v>9277</v>
      </c>
      <c r="CX748" s="1379">
        <v>1</v>
      </c>
    </row>
    <row r="749" spans="91:102" ht="21" customHeight="1" x14ac:dyDescent="0.25">
      <c r="CM749" s="1377"/>
      <c r="CN749" s="1388" t="s">
        <v>9904</v>
      </c>
      <c r="CO749" s="1388" t="s">
        <v>8125</v>
      </c>
      <c r="CP749" s="1388" t="s">
        <v>8106</v>
      </c>
      <c r="CQ749" s="1388" t="s">
        <v>9905</v>
      </c>
      <c r="CR749" s="1388" t="s">
        <v>9905</v>
      </c>
      <c r="CS749" s="1388" t="s">
        <v>8108</v>
      </c>
      <c r="CT749" s="1388" t="s">
        <v>9359</v>
      </c>
      <c r="CU749" s="1388" t="s">
        <v>8110</v>
      </c>
      <c r="CV749" s="1389" t="s">
        <v>8111</v>
      </c>
      <c r="CX749" s="1379">
        <v>1</v>
      </c>
    </row>
    <row r="750" spans="91:102" ht="21" customHeight="1" x14ac:dyDescent="0.25">
      <c r="CM750" s="1377"/>
      <c r="CN750" s="1388" t="s">
        <v>9906</v>
      </c>
      <c r="CO750" s="1388" t="s">
        <v>8125</v>
      </c>
      <c r="CP750" s="1388" t="s">
        <v>8106</v>
      </c>
      <c r="CQ750" s="1388" t="s">
        <v>9907</v>
      </c>
      <c r="CR750" s="1388" t="s">
        <v>9907</v>
      </c>
      <c r="CS750" s="1388" t="s">
        <v>8788</v>
      </c>
      <c r="CT750" s="1388" t="s">
        <v>8789</v>
      </c>
      <c r="CU750" s="1388" t="s">
        <v>9276</v>
      </c>
      <c r="CV750" s="1389" t="s">
        <v>9277</v>
      </c>
      <c r="CX750" s="1379">
        <v>1</v>
      </c>
    </row>
    <row r="751" spans="91:102" ht="21" customHeight="1" x14ac:dyDescent="0.25">
      <c r="CM751" s="1377"/>
      <c r="CN751" s="1388" t="s">
        <v>9908</v>
      </c>
      <c r="CO751" s="1388" t="s">
        <v>8125</v>
      </c>
      <c r="CP751" s="1388" t="s">
        <v>8106</v>
      </c>
      <c r="CQ751" s="1388" t="s">
        <v>9909</v>
      </c>
      <c r="CR751" s="1388" t="s">
        <v>9909</v>
      </c>
      <c r="CS751" s="1388" t="s">
        <v>8788</v>
      </c>
      <c r="CT751" s="1388" t="s">
        <v>8789</v>
      </c>
      <c r="CU751" s="1388" t="s">
        <v>9276</v>
      </c>
      <c r="CV751" s="1389" t="s">
        <v>9277</v>
      </c>
      <c r="CX751" s="1379">
        <v>1</v>
      </c>
    </row>
    <row r="752" spans="91:102" ht="21" customHeight="1" x14ac:dyDescent="0.25">
      <c r="CM752" s="1377"/>
      <c r="CN752" s="1388" t="s">
        <v>9910</v>
      </c>
      <c r="CO752" s="1388" t="s">
        <v>8125</v>
      </c>
      <c r="CP752" s="1388" t="s">
        <v>8106</v>
      </c>
      <c r="CQ752" s="1388" t="s">
        <v>9911</v>
      </c>
      <c r="CR752" s="1388" t="s">
        <v>9911</v>
      </c>
      <c r="CS752" s="1388" t="s">
        <v>8788</v>
      </c>
      <c r="CT752" s="1388" t="s">
        <v>8789</v>
      </c>
      <c r="CU752" s="1388" t="s">
        <v>9276</v>
      </c>
      <c r="CV752" s="1389" t="s">
        <v>9277</v>
      </c>
      <c r="CX752" s="1379">
        <v>1</v>
      </c>
    </row>
    <row r="753" spans="91:102" ht="21" customHeight="1" x14ac:dyDescent="0.25">
      <c r="CM753" s="1377"/>
      <c r="CN753" s="1388" t="s">
        <v>9912</v>
      </c>
      <c r="CO753" s="1388" t="s">
        <v>8125</v>
      </c>
      <c r="CP753" s="1388" t="s">
        <v>8106</v>
      </c>
      <c r="CQ753" s="1388" t="s">
        <v>9913</v>
      </c>
      <c r="CR753" s="1388" t="s">
        <v>9913</v>
      </c>
      <c r="CS753" s="1388" t="s">
        <v>8788</v>
      </c>
      <c r="CT753" s="1388" t="s">
        <v>8789</v>
      </c>
      <c r="CU753" s="1388" t="s">
        <v>9276</v>
      </c>
      <c r="CV753" s="1389" t="s">
        <v>9277</v>
      </c>
      <c r="CX753" s="1379">
        <v>1</v>
      </c>
    </row>
    <row r="754" spans="91:102" ht="21" customHeight="1" x14ac:dyDescent="0.25">
      <c r="CM754" s="1377"/>
      <c r="CN754" s="1388" t="s">
        <v>9914</v>
      </c>
      <c r="CO754" s="1388" t="s">
        <v>8125</v>
      </c>
      <c r="CP754" s="1388" t="s">
        <v>8106</v>
      </c>
      <c r="CQ754" s="1388" t="s">
        <v>9915</v>
      </c>
      <c r="CR754" s="1388" t="s">
        <v>9915</v>
      </c>
      <c r="CS754" s="1388" t="s">
        <v>8788</v>
      </c>
      <c r="CT754" s="1388" t="s">
        <v>8789</v>
      </c>
      <c r="CU754" s="1388" t="s">
        <v>9276</v>
      </c>
      <c r="CV754" s="1389" t="s">
        <v>9277</v>
      </c>
      <c r="CX754" s="1379">
        <v>1</v>
      </c>
    </row>
    <row r="755" spans="91:102" ht="21" customHeight="1" x14ac:dyDescent="0.25">
      <c r="CM755" s="1377"/>
      <c r="CN755" s="1388" t="s">
        <v>9916</v>
      </c>
      <c r="CO755" s="1388" t="s">
        <v>8125</v>
      </c>
      <c r="CP755" s="1388" t="s">
        <v>8106</v>
      </c>
      <c r="CQ755" s="1388" t="s">
        <v>9917</v>
      </c>
      <c r="CR755" s="1388" t="s">
        <v>9917</v>
      </c>
      <c r="CS755" s="1388" t="s">
        <v>8788</v>
      </c>
      <c r="CT755" s="1388" t="s">
        <v>8789</v>
      </c>
      <c r="CU755" s="1388" t="s">
        <v>9276</v>
      </c>
      <c r="CV755" s="1389" t="s">
        <v>9277</v>
      </c>
      <c r="CX755" s="1379">
        <v>1</v>
      </c>
    </row>
    <row r="756" spans="91:102" ht="21" customHeight="1" x14ac:dyDescent="0.25">
      <c r="CM756" s="1377"/>
      <c r="CN756" s="1388" t="s">
        <v>9918</v>
      </c>
      <c r="CO756" s="1388" t="s">
        <v>8125</v>
      </c>
      <c r="CP756" s="1388" t="s">
        <v>8106</v>
      </c>
      <c r="CQ756" s="1388" t="s">
        <v>9919</v>
      </c>
      <c r="CR756" s="1388" t="s">
        <v>9919</v>
      </c>
      <c r="CS756" s="1388" t="s">
        <v>8788</v>
      </c>
      <c r="CT756" s="1388" t="s">
        <v>8789</v>
      </c>
      <c r="CU756" s="1388" t="s">
        <v>9276</v>
      </c>
      <c r="CV756" s="1389" t="s">
        <v>9277</v>
      </c>
      <c r="CX756" s="1379">
        <v>1</v>
      </c>
    </row>
    <row r="757" spans="91:102" ht="21" customHeight="1" x14ac:dyDescent="0.25">
      <c r="CM757" s="1377"/>
      <c r="CN757" s="1388" t="s">
        <v>9920</v>
      </c>
      <c r="CO757" s="1388" t="s">
        <v>8125</v>
      </c>
      <c r="CP757" s="1388" t="s">
        <v>8106</v>
      </c>
      <c r="CQ757" s="1388" t="s">
        <v>9921</v>
      </c>
      <c r="CR757" s="1388" t="s">
        <v>9921</v>
      </c>
      <c r="CS757" s="1388" t="s">
        <v>8788</v>
      </c>
      <c r="CT757" s="1388" t="s">
        <v>8789</v>
      </c>
      <c r="CU757" s="1388" t="s">
        <v>9276</v>
      </c>
      <c r="CV757" s="1389" t="s">
        <v>9277</v>
      </c>
      <c r="CX757" s="1379">
        <v>1</v>
      </c>
    </row>
    <row r="758" spans="91:102" ht="21" customHeight="1" x14ac:dyDescent="0.25">
      <c r="CM758" s="1377"/>
      <c r="CN758" s="1388" t="s">
        <v>9922</v>
      </c>
      <c r="CO758" s="1388" t="s">
        <v>8125</v>
      </c>
      <c r="CP758" s="1388" t="s">
        <v>8106</v>
      </c>
      <c r="CQ758" s="1388" t="s">
        <v>9923</v>
      </c>
      <c r="CR758" s="1388" t="s">
        <v>9923</v>
      </c>
      <c r="CS758" s="1388" t="s">
        <v>8788</v>
      </c>
      <c r="CT758" s="1388" t="s">
        <v>8789</v>
      </c>
      <c r="CU758" s="1388" t="s">
        <v>9276</v>
      </c>
      <c r="CV758" s="1389" t="s">
        <v>9277</v>
      </c>
      <c r="CX758" s="1379">
        <v>1</v>
      </c>
    </row>
    <row r="759" spans="91:102" ht="21" customHeight="1" x14ac:dyDescent="0.25">
      <c r="CM759" s="1377"/>
      <c r="CN759" s="1388" t="s">
        <v>9924</v>
      </c>
      <c r="CO759" s="1388" t="s">
        <v>8125</v>
      </c>
      <c r="CP759" s="1388" t="s">
        <v>8106</v>
      </c>
      <c r="CQ759" s="1388" t="s">
        <v>9925</v>
      </c>
      <c r="CR759" s="1388" t="s">
        <v>9925</v>
      </c>
      <c r="CS759" s="1388" t="s">
        <v>8788</v>
      </c>
      <c r="CT759" s="1388" t="s">
        <v>8789</v>
      </c>
      <c r="CU759" s="1388" t="s">
        <v>9276</v>
      </c>
      <c r="CV759" s="1389" t="s">
        <v>9277</v>
      </c>
      <c r="CX759" s="1379">
        <v>1</v>
      </c>
    </row>
    <row r="760" spans="91:102" ht="21" customHeight="1" x14ac:dyDescent="0.25">
      <c r="CM760" s="1377"/>
      <c r="CN760" s="1388" t="s">
        <v>9926</v>
      </c>
      <c r="CO760" s="1388" t="s">
        <v>8125</v>
      </c>
      <c r="CP760" s="1388" t="s">
        <v>8106</v>
      </c>
      <c r="CQ760" s="1388" t="s">
        <v>9927</v>
      </c>
      <c r="CR760" s="1388" t="s">
        <v>9927</v>
      </c>
      <c r="CS760" s="1388" t="s">
        <v>8788</v>
      </c>
      <c r="CT760" s="1388" t="s">
        <v>8789</v>
      </c>
      <c r="CU760" s="1388" t="s">
        <v>9276</v>
      </c>
      <c r="CV760" s="1389" t="s">
        <v>9277</v>
      </c>
      <c r="CX760" s="1379">
        <v>1</v>
      </c>
    </row>
    <row r="761" spans="91:102" ht="21" customHeight="1" x14ac:dyDescent="0.25">
      <c r="CM761" s="1377"/>
      <c r="CN761" s="1388" t="s">
        <v>9928</v>
      </c>
      <c r="CO761" s="1388" t="s">
        <v>8125</v>
      </c>
      <c r="CP761" s="1388" t="s">
        <v>8106</v>
      </c>
      <c r="CQ761" s="1388" t="s">
        <v>9929</v>
      </c>
      <c r="CR761" s="1388" t="s">
        <v>9929</v>
      </c>
      <c r="CS761" s="1388" t="s">
        <v>8788</v>
      </c>
      <c r="CT761" s="1388" t="s">
        <v>8789</v>
      </c>
      <c r="CU761" s="1388" t="s">
        <v>9276</v>
      </c>
      <c r="CV761" s="1389" t="s">
        <v>9277</v>
      </c>
      <c r="CX761" s="1379">
        <v>1</v>
      </c>
    </row>
    <row r="762" spans="91:102" ht="21" customHeight="1" x14ac:dyDescent="0.25">
      <c r="CM762" s="1377"/>
      <c r="CN762" s="1388" t="s">
        <v>9930</v>
      </c>
      <c r="CO762" s="1388" t="s">
        <v>8125</v>
      </c>
      <c r="CP762" s="1388" t="s">
        <v>8106</v>
      </c>
      <c r="CQ762" s="1388" t="s">
        <v>9931</v>
      </c>
      <c r="CR762" s="1388" t="s">
        <v>9931</v>
      </c>
      <c r="CS762" s="1388" t="s">
        <v>8788</v>
      </c>
      <c r="CT762" s="1388" t="s">
        <v>8789</v>
      </c>
      <c r="CU762" s="1388" t="s">
        <v>9276</v>
      </c>
      <c r="CV762" s="1389" t="s">
        <v>9277</v>
      </c>
      <c r="CX762" s="1379">
        <v>1</v>
      </c>
    </row>
    <row r="763" spans="91:102" ht="21" customHeight="1" x14ac:dyDescent="0.25">
      <c r="CM763" s="1377"/>
      <c r="CN763" s="1388" t="s">
        <v>9932</v>
      </c>
      <c r="CO763" s="1388" t="s">
        <v>8125</v>
      </c>
      <c r="CP763" s="1388" t="s">
        <v>8106</v>
      </c>
      <c r="CQ763" s="1388" t="s">
        <v>9933</v>
      </c>
      <c r="CR763" s="1388" t="s">
        <v>9933</v>
      </c>
      <c r="CS763" s="1388" t="s">
        <v>8108</v>
      </c>
      <c r="CT763" s="1388" t="s">
        <v>9359</v>
      </c>
      <c r="CU763" s="1388" t="s">
        <v>8110</v>
      </c>
      <c r="CV763" s="1389" t="s">
        <v>8111</v>
      </c>
      <c r="CX763" s="1379">
        <v>1</v>
      </c>
    </row>
    <row r="764" spans="91:102" ht="21" customHeight="1" x14ac:dyDescent="0.25">
      <c r="CM764" s="1377"/>
      <c r="CN764" s="1388" t="s">
        <v>9934</v>
      </c>
      <c r="CO764" s="1388" t="s">
        <v>8125</v>
      </c>
      <c r="CP764" s="1388" t="s">
        <v>8106</v>
      </c>
      <c r="CQ764" s="1388" t="s">
        <v>9935</v>
      </c>
      <c r="CR764" s="1388" t="s">
        <v>9936</v>
      </c>
      <c r="CS764" s="1388" t="s">
        <v>8108</v>
      </c>
      <c r="CT764" s="1388" t="s">
        <v>9359</v>
      </c>
      <c r="CU764" s="1388" t="s">
        <v>8110</v>
      </c>
      <c r="CV764" s="1389" t="s">
        <v>8111</v>
      </c>
      <c r="CX764" s="1379">
        <v>1</v>
      </c>
    </row>
    <row r="765" spans="91:102" ht="21" customHeight="1" x14ac:dyDescent="0.25">
      <c r="CM765" s="1377"/>
      <c r="CN765" s="1388" t="s">
        <v>9937</v>
      </c>
      <c r="CO765" s="1388" t="s">
        <v>8125</v>
      </c>
      <c r="CP765" s="1388" t="s">
        <v>8106</v>
      </c>
      <c r="CQ765" s="1388" t="s">
        <v>9938</v>
      </c>
      <c r="CR765" s="1388" t="s">
        <v>9939</v>
      </c>
      <c r="CS765" s="1388" t="s">
        <v>8108</v>
      </c>
      <c r="CT765" s="1388" t="s">
        <v>9359</v>
      </c>
      <c r="CU765" s="1388" t="s">
        <v>8110</v>
      </c>
      <c r="CV765" s="1389" t="s">
        <v>8111</v>
      </c>
      <c r="CX765" s="1379">
        <v>1</v>
      </c>
    </row>
    <row r="766" spans="91:102" ht="21" customHeight="1" x14ac:dyDescent="0.25">
      <c r="CM766" s="1377"/>
      <c r="CN766" s="1388" t="s">
        <v>9940</v>
      </c>
      <c r="CO766" s="1388" t="s">
        <v>8125</v>
      </c>
      <c r="CP766" s="1388" t="s">
        <v>8106</v>
      </c>
      <c r="CQ766" s="1388" t="s">
        <v>9941</v>
      </c>
      <c r="CR766" s="1388" t="s">
        <v>9941</v>
      </c>
      <c r="CS766" s="1388" t="s">
        <v>8788</v>
      </c>
      <c r="CT766" s="1388" t="s">
        <v>8789</v>
      </c>
      <c r="CU766" s="1388" t="s">
        <v>9276</v>
      </c>
      <c r="CV766" s="1389" t="s">
        <v>9277</v>
      </c>
      <c r="CX766" s="1379">
        <v>1</v>
      </c>
    </row>
    <row r="767" spans="91:102" ht="21" customHeight="1" x14ac:dyDescent="0.25">
      <c r="CM767" s="1377"/>
      <c r="CN767" s="1388" t="s">
        <v>9942</v>
      </c>
      <c r="CO767" s="1388" t="s">
        <v>8125</v>
      </c>
      <c r="CP767" s="1388" t="s">
        <v>8106</v>
      </c>
      <c r="CQ767" s="1388" t="s">
        <v>9943</v>
      </c>
      <c r="CR767" s="1388" t="s">
        <v>9943</v>
      </c>
      <c r="CS767" s="1388" t="s">
        <v>8788</v>
      </c>
      <c r="CT767" s="1388" t="s">
        <v>8789</v>
      </c>
      <c r="CU767" s="1388" t="s">
        <v>9276</v>
      </c>
      <c r="CV767" s="1389" t="s">
        <v>9277</v>
      </c>
      <c r="CX767" s="1379">
        <v>1</v>
      </c>
    </row>
    <row r="768" spans="91:102" ht="21" customHeight="1" x14ac:dyDescent="0.25">
      <c r="CM768" s="1377"/>
      <c r="CN768" s="1388" t="s">
        <v>9944</v>
      </c>
      <c r="CO768" s="1388" t="s">
        <v>8125</v>
      </c>
      <c r="CP768" s="1388" t="s">
        <v>8106</v>
      </c>
      <c r="CQ768" s="1388" t="s">
        <v>9945</v>
      </c>
      <c r="CR768" s="1388" t="s">
        <v>9945</v>
      </c>
      <c r="CS768" s="1388" t="s">
        <v>8788</v>
      </c>
      <c r="CT768" s="1388" t="s">
        <v>8789</v>
      </c>
      <c r="CU768" s="1388" t="s">
        <v>9276</v>
      </c>
      <c r="CV768" s="1389" t="s">
        <v>9277</v>
      </c>
      <c r="CX768" s="1379">
        <v>1</v>
      </c>
    </row>
    <row r="769" spans="91:102" ht="21" customHeight="1" x14ac:dyDescent="0.25">
      <c r="CM769" s="1377"/>
      <c r="CN769" s="1388" t="s">
        <v>9946</v>
      </c>
      <c r="CO769" s="1388" t="s">
        <v>8125</v>
      </c>
      <c r="CP769" s="1388" t="s">
        <v>8106</v>
      </c>
      <c r="CQ769" s="1388" t="s">
        <v>9947</v>
      </c>
      <c r="CR769" s="1388" t="s">
        <v>9947</v>
      </c>
      <c r="CS769" s="1388" t="s">
        <v>8788</v>
      </c>
      <c r="CT769" s="1388" t="s">
        <v>8789</v>
      </c>
      <c r="CU769" s="1388" t="s">
        <v>9276</v>
      </c>
      <c r="CV769" s="1389" t="s">
        <v>9277</v>
      </c>
      <c r="CX769" s="1379">
        <v>1</v>
      </c>
    </row>
    <row r="770" spans="91:102" ht="21" customHeight="1" x14ac:dyDescent="0.25">
      <c r="CM770" s="1377"/>
      <c r="CN770" s="1388" t="s">
        <v>9948</v>
      </c>
      <c r="CO770" s="1388" t="s">
        <v>8125</v>
      </c>
      <c r="CP770" s="1388" t="s">
        <v>8106</v>
      </c>
      <c r="CQ770" s="1388" t="s">
        <v>9949</v>
      </c>
      <c r="CR770" s="1388" t="s">
        <v>9949</v>
      </c>
      <c r="CS770" s="1388" t="s">
        <v>8788</v>
      </c>
      <c r="CT770" s="1388" t="s">
        <v>8789</v>
      </c>
      <c r="CU770" s="1388" t="s">
        <v>9276</v>
      </c>
      <c r="CV770" s="1389" t="s">
        <v>9277</v>
      </c>
      <c r="CX770" s="1379">
        <v>1</v>
      </c>
    </row>
    <row r="771" spans="91:102" ht="21" customHeight="1" x14ac:dyDescent="0.25">
      <c r="CM771" s="1377"/>
      <c r="CN771" s="1388" t="s">
        <v>9950</v>
      </c>
      <c r="CO771" s="1388" t="s">
        <v>8125</v>
      </c>
      <c r="CP771" s="1388" t="s">
        <v>8106</v>
      </c>
      <c r="CQ771" s="1388" t="s">
        <v>9951</v>
      </c>
      <c r="CR771" s="1388" t="s">
        <v>9951</v>
      </c>
      <c r="CS771" s="1388" t="s">
        <v>8788</v>
      </c>
      <c r="CT771" s="1388" t="s">
        <v>8789</v>
      </c>
      <c r="CU771" s="1388" t="s">
        <v>9276</v>
      </c>
      <c r="CV771" s="1389" t="s">
        <v>9277</v>
      </c>
      <c r="CX771" s="1379">
        <v>1</v>
      </c>
    </row>
    <row r="772" spans="91:102" ht="21" customHeight="1" x14ac:dyDescent="0.25">
      <c r="CM772" s="1377"/>
      <c r="CN772" s="1388" t="s">
        <v>9952</v>
      </c>
      <c r="CO772" s="1388" t="s">
        <v>8125</v>
      </c>
      <c r="CP772" s="1388" t="s">
        <v>8106</v>
      </c>
      <c r="CQ772" s="1388" t="s">
        <v>9953</v>
      </c>
      <c r="CR772" s="1388" t="s">
        <v>9953</v>
      </c>
      <c r="CS772" s="1388" t="s">
        <v>8788</v>
      </c>
      <c r="CT772" s="1388" t="s">
        <v>8789</v>
      </c>
      <c r="CU772" s="1388" t="s">
        <v>9276</v>
      </c>
      <c r="CV772" s="1389" t="s">
        <v>9277</v>
      </c>
      <c r="CX772" s="1379">
        <v>1</v>
      </c>
    </row>
    <row r="773" spans="91:102" ht="21" customHeight="1" x14ac:dyDescent="0.25">
      <c r="CM773" s="1377"/>
      <c r="CN773" s="1388" t="s">
        <v>9954</v>
      </c>
      <c r="CO773" s="1388" t="s">
        <v>8125</v>
      </c>
      <c r="CP773" s="1388" t="s">
        <v>8106</v>
      </c>
      <c r="CQ773" s="1388" t="s">
        <v>9955</v>
      </c>
      <c r="CR773" s="1388" t="s">
        <v>9955</v>
      </c>
      <c r="CS773" s="1388" t="s">
        <v>8788</v>
      </c>
      <c r="CT773" s="1388" t="s">
        <v>8789</v>
      </c>
      <c r="CU773" s="1388" t="s">
        <v>9276</v>
      </c>
      <c r="CV773" s="1389" t="s">
        <v>9277</v>
      </c>
      <c r="CX773" s="1379">
        <v>1</v>
      </c>
    </row>
    <row r="774" spans="91:102" ht="21" customHeight="1" x14ac:dyDescent="0.25">
      <c r="CM774" s="1377"/>
      <c r="CN774" s="1388" t="s">
        <v>9956</v>
      </c>
      <c r="CO774" s="1388" t="s">
        <v>8125</v>
      </c>
      <c r="CP774" s="1388" t="s">
        <v>8106</v>
      </c>
      <c r="CQ774" s="1388" t="s">
        <v>9957</v>
      </c>
      <c r="CR774" s="1388" t="s">
        <v>9957</v>
      </c>
      <c r="CS774" s="1388" t="s">
        <v>8788</v>
      </c>
      <c r="CT774" s="1388" t="s">
        <v>8789</v>
      </c>
      <c r="CU774" s="1388" t="s">
        <v>9276</v>
      </c>
      <c r="CV774" s="1389" t="s">
        <v>9277</v>
      </c>
      <c r="CX774" s="1379">
        <v>1</v>
      </c>
    </row>
    <row r="775" spans="91:102" ht="21" customHeight="1" x14ac:dyDescent="0.25">
      <c r="CM775" s="1377"/>
      <c r="CN775" s="1388" t="s">
        <v>9958</v>
      </c>
      <c r="CO775" s="1388" t="s">
        <v>8125</v>
      </c>
      <c r="CP775" s="1388" t="s">
        <v>8106</v>
      </c>
      <c r="CQ775" s="1388" t="s">
        <v>9959</v>
      </c>
      <c r="CR775" s="1388" t="s">
        <v>9959</v>
      </c>
      <c r="CS775" s="1388" t="s">
        <v>8788</v>
      </c>
      <c r="CT775" s="1388" t="s">
        <v>8789</v>
      </c>
      <c r="CU775" s="1388" t="s">
        <v>9276</v>
      </c>
      <c r="CV775" s="1389" t="s">
        <v>9277</v>
      </c>
      <c r="CX775" s="1379">
        <v>1</v>
      </c>
    </row>
    <row r="776" spans="91:102" ht="21" customHeight="1" x14ac:dyDescent="0.25">
      <c r="CM776" s="1377"/>
      <c r="CN776" s="1388" t="s">
        <v>9960</v>
      </c>
      <c r="CO776" s="1388" t="s">
        <v>8125</v>
      </c>
      <c r="CP776" s="1388" t="s">
        <v>8106</v>
      </c>
      <c r="CQ776" s="1388" t="s">
        <v>9961</v>
      </c>
      <c r="CR776" s="1388" t="s">
        <v>9961</v>
      </c>
      <c r="CS776" s="1388" t="s">
        <v>8788</v>
      </c>
      <c r="CT776" s="1388" t="s">
        <v>8789</v>
      </c>
      <c r="CU776" s="1388" t="s">
        <v>9276</v>
      </c>
      <c r="CV776" s="1389" t="s">
        <v>9277</v>
      </c>
      <c r="CX776" s="1379">
        <v>1</v>
      </c>
    </row>
    <row r="777" spans="91:102" ht="21" customHeight="1" x14ac:dyDescent="0.25">
      <c r="CM777" s="1377"/>
      <c r="CN777" s="1388" t="s">
        <v>9962</v>
      </c>
      <c r="CO777" s="1388" t="s">
        <v>8125</v>
      </c>
      <c r="CP777" s="1388" t="s">
        <v>8106</v>
      </c>
      <c r="CQ777" s="1388" t="s">
        <v>9963</v>
      </c>
      <c r="CR777" s="1388" t="s">
        <v>9963</v>
      </c>
      <c r="CS777" s="1388" t="s">
        <v>8788</v>
      </c>
      <c r="CT777" s="1388" t="s">
        <v>8789</v>
      </c>
      <c r="CU777" s="1388" t="s">
        <v>9276</v>
      </c>
      <c r="CV777" s="1389" t="s">
        <v>9277</v>
      </c>
      <c r="CX777" s="1379">
        <v>1</v>
      </c>
    </row>
    <row r="778" spans="91:102" ht="21" customHeight="1" x14ac:dyDescent="0.25">
      <c r="CM778" s="1377"/>
      <c r="CN778" s="1388" t="s">
        <v>9964</v>
      </c>
      <c r="CO778" s="1388" t="s">
        <v>8125</v>
      </c>
      <c r="CP778" s="1388" t="s">
        <v>8106</v>
      </c>
      <c r="CQ778" s="1388" t="s">
        <v>9965</v>
      </c>
      <c r="CR778" s="1388" t="s">
        <v>9965</v>
      </c>
      <c r="CS778" s="1388" t="s">
        <v>8788</v>
      </c>
      <c r="CT778" s="1388" t="s">
        <v>8789</v>
      </c>
      <c r="CU778" s="1388" t="s">
        <v>9276</v>
      </c>
      <c r="CV778" s="1389" t="s">
        <v>9277</v>
      </c>
      <c r="CX778" s="1379">
        <v>1</v>
      </c>
    </row>
    <row r="779" spans="91:102" ht="21" customHeight="1" x14ac:dyDescent="0.25">
      <c r="CM779" s="1377"/>
      <c r="CN779" s="1388" t="s">
        <v>9966</v>
      </c>
      <c r="CO779" s="1388" t="s">
        <v>8125</v>
      </c>
      <c r="CP779" s="1388" t="s">
        <v>8106</v>
      </c>
      <c r="CQ779" s="1388" t="s">
        <v>9967</v>
      </c>
      <c r="CR779" s="1388" t="s">
        <v>9967</v>
      </c>
      <c r="CS779" s="1388" t="s">
        <v>8788</v>
      </c>
      <c r="CT779" s="1388" t="s">
        <v>8789</v>
      </c>
      <c r="CU779" s="1388" t="s">
        <v>9276</v>
      </c>
      <c r="CV779" s="1389" t="s">
        <v>9277</v>
      </c>
      <c r="CX779" s="1379">
        <v>1</v>
      </c>
    </row>
    <row r="780" spans="91:102" ht="21" customHeight="1" x14ac:dyDescent="0.25">
      <c r="CM780" s="1377"/>
      <c r="CN780" s="1388" t="s">
        <v>9968</v>
      </c>
      <c r="CO780" s="1388" t="s">
        <v>8125</v>
      </c>
      <c r="CP780" s="1388" t="s">
        <v>8106</v>
      </c>
      <c r="CQ780" s="1388" t="s">
        <v>9969</v>
      </c>
      <c r="CR780" s="1388" t="s">
        <v>9969</v>
      </c>
      <c r="CS780" s="1388" t="s">
        <v>8788</v>
      </c>
      <c r="CT780" s="1388" t="s">
        <v>8789</v>
      </c>
      <c r="CU780" s="1388" t="s">
        <v>9276</v>
      </c>
      <c r="CV780" s="1389" t="s">
        <v>9277</v>
      </c>
      <c r="CX780" s="1379">
        <v>1</v>
      </c>
    </row>
    <row r="781" spans="91:102" ht="21" customHeight="1" x14ac:dyDescent="0.25">
      <c r="CM781" s="1377"/>
      <c r="CN781" s="1388" t="s">
        <v>9970</v>
      </c>
      <c r="CO781" s="1388" t="s">
        <v>8125</v>
      </c>
      <c r="CP781" s="1388" t="s">
        <v>8106</v>
      </c>
      <c r="CQ781" s="1388" t="s">
        <v>9971</v>
      </c>
      <c r="CR781" s="1388" t="s">
        <v>9971</v>
      </c>
      <c r="CS781" s="1388" t="s">
        <v>8788</v>
      </c>
      <c r="CT781" s="1388" t="s">
        <v>8789</v>
      </c>
      <c r="CU781" s="1388" t="s">
        <v>9276</v>
      </c>
      <c r="CV781" s="1389" t="s">
        <v>9277</v>
      </c>
      <c r="CX781" s="1379">
        <v>1</v>
      </c>
    </row>
    <row r="782" spans="91:102" ht="21" customHeight="1" x14ac:dyDescent="0.25">
      <c r="CM782" s="1377"/>
      <c r="CN782" s="1388" t="s">
        <v>9972</v>
      </c>
      <c r="CO782" s="1388" t="s">
        <v>8125</v>
      </c>
      <c r="CP782" s="1388" t="s">
        <v>8106</v>
      </c>
      <c r="CQ782" s="1388" t="s">
        <v>9973</v>
      </c>
      <c r="CR782" s="1388" t="s">
        <v>9973</v>
      </c>
      <c r="CS782" s="1388" t="s">
        <v>8788</v>
      </c>
      <c r="CT782" s="1388" t="s">
        <v>8789</v>
      </c>
      <c r="CU782" s="1388" t="s">
        <v>9276</v>
      </c>
      <c r="CV782" s="1389" t="s">
        <v>9277</v>
      </c>
      <c r="CX782" s="1379">
        <v>1</v>
      </c>
    </row>
    <row r="783" spans="91:102" ht="21" customHeight="1" x14ac:dyDescent="0.25">
      <c r="CM783" s="1377"/>
      <c r="CN783" s="1388" t="s">
        <v>9974</v>
      </c>
      <c r="CO783" s="1388" t="s">
        <v>8125</v>
      </c>
      <c r="CP783" s="1388" t="s">
        <v>8106</v>
      </c>
      <c r="CQ783" s="1388" t="s">
        <v>9975</v>
      </c>
      <c r="CR783" s="1388" t="s">
        <v>9975</v>
      </c>
      <c r="CS783" s="1388" t="s">
        <v>8788</v>
      </c>
      <c r="CT783" s="1388" t="s">
        <v>8789</v>
      </c>
      <c r="CU783" s="1388" t="s">
        <v>9276</v>
      </c>
      <c r="CV783" s="1389" t="s">
        <v>9277</v>
      </c>
      <c r="CX783" s="1379">
        <v>1</v>
      </c>
    </row>
    <row r="784" spans="91:102" ht="21" customHeight="1" x14ac:dyDescent="0.25">
      <c r="CM784" s="1377"/>
      <c r="CN784" s="1388" t="s">
        <v>9976</v>
      </c>
      <c r="CO784" s="1388" t="s">
        <v>8125</v>
      </c>
      <c r="CP784" s="1388" t="s">
        <v>8106</v>
      </c>
      <c r="CQ784" s="1388" t="s">
        <v>9977</v>
      </c>
      <c r="CR784" s="1388" t="s">
        <v>9977</v>
      </c>
      <c r="CS784" s="1388" t="s">
        <v>8788</v>
      </c>
      <c r="CT784" s="1388" t="s">
        <v>8789</v>
      </c>
      <c r="CU784" s="1388" t="s">
        <v>9276</v>
      </c>
      <c r="CV784" s="1389" t="s">
        <v>9277</v>
      </c>
      <c r="CX784" s="1379">
        <v>1</v>
      </c>
    </row>
    <row r="785" spans="91:102" ht="21" customHeight="1" x14ac:dyDescent="0.25">
      <c r="CM785" s="1377"/>
      <c r="CN785" s="1388" t="s">
        <v>9978</v>
      </c>
      <c r="CO785" s="1388" t="s">
        <v>8125</v>
      </c>
      <c r="CP785" s="1388" t="s">
        <v>8106</v>
      </c>
      <c r="CQ785" s="1388" t="s">
        <v>9979</v>
      </c>
      <c r="CR785" s="1388" t="s">
        <v>9979</v>
      </c>
      <c r="CS785" s="1388" t="s">
        <v>8788</v>
      </c>
      <c r="CT785" s="1388" t="s">
        <v>8789</v>
      </c>
      <c r="CU785" s="1388" t="s">
        <v>9276</v>
      </c>
      <c r="CV785" s="1389" t="s">
        <v>9277</v>
      </c>
      <c r="CX785" s="1379">
        <v>1</v>
      </c>
    </row>
    <row r="786" spans="91:102" ht="21" customHeight="1" x14ac:dyDescent="0.25">
      <c r="CM786" s="1377"/>
      <c r="CN786" s="1388" t="s">
        <v>9980</v>
      </c>
      <c r="CO786" s="1388" t="s">
        <v>8125</v>
      </c>
      <c r="CP786" s="1388" t="s">
        <v>8106</v>
      </c>
      <c r="CQ786" s="1388" t="s">
        <v>9981</v>
      </c>
      <c r="CR786" s="1388" t="s">
        <v>9981</v>
      </c>
      <c r="CS786" s="1388" t="s">
        <v>8788</v>
      </c>
      <c r="CT786" s="1388" t="s">
        <v>8789</v>
      </c>
      <c r="CU786" s="1388" t="s">
        <v>9276</v>
      </c>
      <c r="CV786" s="1389" t="s">
        <v>9277</v>
      </c>
      <c r="CX786" s="1379">
        <v>1</v>
      </c>
    </row>
    <row r="787" spans="91:102" ht="21" customHeight="1" x14ac:dyDescent="0.25">
      <c r="CM787" s="1377"/>
      <c r="CN787" s="1388" t="s">
        <v>9982</v>
      </c>
      <c r="CO787" s="1388" t="s">
        <v>8125</v>
      </c>
      <c r="CP787" s="1388" t="s">
        <v>8106</v>
      </c>
      <c r="CQ787" s="1388" t="s">
        <v>9983</v>
      </c>
      <c r="CR787" s="1388" t="s">
        <v>9983</v>
      </c>
      <c r="CS787" s="1388" t="s">
        <v>8788</v>
      </c>
      <c r="CT787" s="1388" t="s">
        <v>8789</v>
      </c>
      <c r="CU787" s="1388" t="s">
        <v>9276</v>
      </c>
      <c r="CV787" s="1389" t="s">
        <v>9277</v>
      </c>
      <c r="CX787" s="1379">
        <v>1</v>
      </c>
    </row>
    <row r="788" spans="91:102" ht="21" customHeight="1" x14ac:dyDescent="0.25">
      <c r="CM788" s="1377"/>
      <c r="CN788" s="1388" t="s">
        <v>9984</v>
      </c>
      <c r="CO788" s="1388" t="s">
        <v>8125</v>
      </c>
      <c r="CP788" s="1388" t="s">
        <v>8106</v>
      </c>
      <c r="CQ788" s="1388" t="s">
        <v>9985</v>
      </c>
      <c r="CR788" s="1388" t="s">
        <v>9985</v>
      </c>
      <c r="CS788" s="1388" t="s">
        <v>8788</v>
      </c>
      <c r="CT788" s="1388" t="s">
        <v>8789</v>
      </c>
      <c r="CU788" s="1388" t="s">
        <v>9276</v>
      </c>
      <c r="CV788" s="1389" t="s">
        <v>9277</v>
      </c>
      <c r="CX788" s="1379">
        <v>1</v>
      </c>
    </row>
    <row r="789" spans="91:102" ht="21" customHeight="1" x14ac:dyDescent="0.25">
      <c r="CM789" s="1377"/>
      <c r="CN789" s="1388" t="s">
        <v>9986</v>
      </c>
      <c r="CO789" s="1388" t="s">
        <v>8125</v>
      </c>
      <c r="CP789" s="1388" t="s">
        <v>8106</v>
      </c>
      <c r="CQ789" s="1388" t="s">
        <v>9987</v>
      </c>
      <c r="CR789" s="1388" t="s">
        <v>9987</v>
      </c>
      <c r="CS789" s="1388" t="s">
        <v>8788</v>
      </c>
      <c r="CT789" s="1388" t="s">
        <v>8789</v>
      </c>
      <c r="CU789" s="1388" t="s">
        <v>9276</v>
      </c>
      <c r="CV789" s="1389" t="s">
        <v>9277</v>
      </c>
      <c r="CX789" s="1379">
        <v>1</v>
      </c>
    </row>
    <row r="790" spans="91:102" ht="21" customHeight="1" x14ac:dyDescent="0.25">
      <c r="CM790" s="1377"/>
      <c r="CN790" s="1388" t="s">
        <v>9988</v>
      </c>
      <c r="CO790" s="1388" t="s">
        <v>8125</v>
      </c>
      <c r="CP790" s="1388" t="s">
        <v>8106</v>
      </c>
      <c r="CQ790" s="1388" t="s">
        <v>9989</v>
      </c>
      <c r="CR790" s="1388" t="s">
        <v>9989</v>
      </c>
      <c r="CS790" s="1388" t="s">
        <v>8788</v>
      </c>
      <c r="CT790" s="1388" t="s">
        <v>8789</v>
      </c>
      <c r="CU790" s="1388" t="s">
        <v>9276</v>
      </c>
      <c r="CV790" s="1389" t="s">
        <v>9277</v>
      </c>
      <c r="CX790" s="1379">
        <v>1</v>
      </c>
    </row>
    <row r="791" spans="91:102" ht="21" customHeight="1" x14ac:dyDescent="0.25">
      <c r="CM791" s="1377"/>
      <c r="CN791" s="1388" t="s">
        <v>9990</v>
      </c>
      <c r="CO791" s="1388" t="s">
        <v>8125</v>
      </c>
      <c r="CP791" s="1388" t="s">
        <v>8106</v>
      </c>
      <c r="CQ791" s="1388" t="s">
        <v>9991</v>
      </c>
      <c r="CR791" s="1388" t="s">
        <v>9991</v>
      </c>
      <c r="CS791" s="1388" t="s">
        <v>8788</v>
      </c>
      <c r="CT791" s="1388" t="s">
        <v>8789</v>
      </c>
      <c r="CU791" s="1388" t="s">
        <v>9276</v>
      </c>
      <c r="CV791" s="1389" t="s">
        <v>9277</v>
      </c>
      <c r="CX791" s="1379">
        <v>1</v>
      </c>
    </row>
    <row r="792" spans="91:102" ht="21" customHeight="1" x14ac:dyDescent="0.25">
      <c r="CM792" s="1377"/>
      <c r="CN792" s="1388" t="s">
        <v>9992</v>
      </c>
      <c r="CO792" s="1388" t="s">
        <v>8125</v>
      </c>
      <c r="CP792" s="1388" t="s">
        <v>8106</v>
      </c>
      <c r="CQ792" s="1388" t="s">
        <v>9993</v>
      </c>
      <c r="CR792" s="1388" t="s">
        <v>9993</v>
      </c>
      <c r="CS792" s="1388" t="s">
        <v>8788</v>
      </c>
      <c r="CT792" s="1388" t="s">
        <v>8789</v>
      </c>
      <c r="CU792" s="1388" t="s">
        <v>9276</v>
      </c>
      <c r="CV792" s="1389" t="s">
        <v>9277</v>
      </c>
      <c r="CX792" s="1379">
        <v>1</v>
      </c>
    </row>
    <row r="793" spans="91:102" ht="21" customHeight="1" x14ac:dyDescent="0.25">
      <c r="CM793" s="1377"/>
      <c r="CN793" s="1388" t="s">
        <v>9994</v>
      </c>
      <c r="CO793" s="1388" t="s">
        <v>8125</v>
      </c>
      <c r="CP793" s="1388" t="s">
        <v>8106</v>
      </c>
      <c r="CQ793" s="1388" t="s">
        <v>9995</v>
      </c>
      <c r="CR793" s="1388" t="s">
        <v>9995</v>
      </c>
      <c r="CS793" s="1388" t="s">
        <v>8788</v>
      </c>
      <c r="CT793" s="1388" t="s">
        <v>8789</v>
      </c>
      <c r="CU793" s="1388" t="s">
        <v>9276</v>
      </c>
      <c r="CV793" s="1389" t="s">
        <v>9277</v>
      </c>
      <c r="CX793" s="1379">
        <v>1</v>
      </c>
    </row>
    <row r="794" spans="91:102" ht="21" customHeight="1" x14ac:dyDescent="0.25">
      <c r="CM794" s="1377"/>
      <c r="CN794" s="1388" t="s">
        <v>9996</v>
      </c>
      <c r="CO794" s="1388" t="s">
        <v>8125</v>
      </c>
      <c r="CP794" s="1388" t="s">
        <v>8106</v>
      </c>
      <c r="CQ794" s="1388" t="s">
        <v>9997</v>
      </c>
      <c r="CR794" s="1388" t="s">
        <v>9997</v>
      </c>
      <c r="CS794" s="1388" t="s">
        <v>8788</v>
      </c>
      <c r="CT794" s="1388" t="s">
        <v>8789</v>
      </c>
      <c r="CU794" s="1388" t="s">
        <v>9276</v>
      </c>
      <c r="CV794" s="1389" t="s">
        <v>9277</v>
      </c>
      <c r="CX794" s="1379">
        <v>1</v>
      </c>
    </row>
    <row r="795" spans="91:102" ht="21" customHeight="1" x14ac:dyDescent="0.25">
      <c r="CM795" s="1377"/>
      <c r="CN795" s="1388" t="s">
        <v>9998</v>
      </c>
      <c r="CO795" s="1388" t="s">
        <v>8125</v>
      </c>
      <c r="CP795" s="1388" t="s">
        <v>8106</v>
      </c>
      <c r="CQ795" s="1388" t="s">
        <v>9999</v>
      </c>
      <c r="CR795" s="1388" t="s">
        <v>9999</v>
      </c>
      <c r="CS795" s="1388" t="s">
        <v>8788</v>
      </c>
      <c r="CT795" s="1388" t="s">
        <v>8789</v>
      </c>
      <c r="CU795" s="1388" t="s">
        <v>9276</v>
      </c>
      <c r="CV795" s="1389" t="s">
        <v>9277</v>
      </c>
      <c r="CX795" s="1379">
        <v>1</v>
      </c>
    </row>
    <row r="796" spans="91:102" ht="21" customHeight="1" x14ac:dyDescent="0.25">
      <c r="CM796" s="1377"/>
      <c r="CN796" s="1388" t="s">
        <v>10000</v>
      </c>
      <c r="CO796" s="1388" t="s">
        <v>8125</v>
      </c>
      <c r="CP796" s="1388" t="s">
        <v>8106</v>
      </c>
      <c r="CQ796" s="1388" t="s">
        <v>10001</v>
      </c>
      <c r="CR796" s="1388" t="s">
        <v>10001</v>
      </c>
      <c r="CS796" s="1388" t="s">
        <v>8788</v>
      </c>
      <c r="CT796" s="1388" t="s">
        <v>8789</v>
      </c>
      <c r="CU796" s="1388" t="s">
        <v>9276</v>
      </c>
      <c r="CV796" s="1389" t="s">
        <v>9277</v>
      </c>
      <c r="CX796" s="1379">
        <v>1</v>
      </c>
    </row>
    <row r="797" spans="91:102" ht="21" customHeight="1" x14ac:dyDescent="0.25">
      <c r="CM797" s="1377"/>
      <c r="CN797" s="1388" t="s">
        <v>10002</v>
      </c>
      <c r="CO797" s="1388" t="s">
        <v>8125</v>
      </c>
      <c r="CP797" s="1388" t="s">
        <v>8106</v>
      </c>
      <c r="CQ797" s="1388" t="s">
        <v>10003</v>
      </c>
      <c r="CR797" s="1388" t="s">
        <v>10003</v>
      </c>
      <c r="CS797" s="1388" t="s">
        <v>8788</v>
      </c>
      <c r="CT797" s="1388" t="s">
        <v>8789</v>
      </c>
      <c r="CU797" s="1388" t="s">
        <v>9276</v>
      </c>
      <c r="CV797" s="1389" t="s">
        <v>9277</v>
      </c>
      <c r="CX797" s="1379">
        <v>1</v>
      </c>
    </row>
    <row r="798" spans="91:102" ht="21" customHeight="1" x14ac:dyDescent="0.25">
      <c r="CM798" s="1377"/>
      <c r="CN798" s="1388" t="s">
        <v>10004</v>
      </c>
      <c r="CO798" s="1388" t="s">
        <v>8125</v>
      </c>
      <c r="CP798" s="1388" t="s">
        <v>8106</v>
      </c>
      <c r="CQ798" s="1388" t="s">
        <v>10005</v>
      </c>
      <c r="CR798" s="1388" t="s">
        <v>10005</v>
      </c>
      <c r="CS798" s="1388" t="s">
        <v>8788</v>
      </c>
      <c r="CT798" s="1388" t="s">
        <v>8789</v>
      </c>
      <c r="CU798" s="1388" t="s">
        <v>9276</v>
      </c>
      <c r="CV798" s="1389" t="s">
        <v>9277</v>
      </c>
      <c r="CX798" s="1379">
        <v>1</v>
      </c>
    </row>
    <row r="799" spans="91:102" ht="21" customHeight="1" x14ac:dyDescent="0.25">
      <c r="CM799" s="1377"/>
      <c r="CN799" s="1388" t="s">
        <v>10006</v>
      </c>
      <c r="CO799" s="1388" t="s">
        <v>8125</v>
      </c>
      <c r="CP799" s="1388" t="s">
        <v>8106</v>
      </c>
      <c r="CQ799" s="1388" t="s">
        <v>10007</v>
      </c>
      <c r="CR799" s="1388" t="s">
        <v>10007</v>
      </c>
      <c r="CS799" s="1388" t="s">
        <v>8788</v>
      </c>
      <c r="CT799" s="1388" t="s">
        <v>8789</v>
      </c>
      <c r="CU799" s="1388" t="s">
        <v>9276</v>
      </c>
      <c r="CV799" s="1389" t="s">
        <v>9277</v>
      </c>
      <c r="CX799" s="1379">
        <v>1</v>
      </c>
    </row>
    <row r="800" spans="91:102" ht="21" customHeight="1" x14ac:dyDescent="0.25">
      <c r="CM800" s="1377"/>
      <c r="CN800" s="1388" t="s">
        <v>10008</v>
      </c>
      <c r="CO800" s="1388" t="s">
        <v>8125</v>
      </c>
      <c r="CP800" s="1388" t="s">
        <v>8106</v>
      </c>
      <c r="CQ800" s="1388" t="s">
        <v>10009</v>
      </c>
      <c r="CR800" s="1388" t="s">
        <v>10009</v>
      </c>
      <c r="CS800" s="1388" t="s">
        <v>8788</v>
      </c>
      <c r="CT800" s="1388" t="s">
        <v>8789</v>
      </c>
      <c r="CU800" s="1388" t="s">
        <v>9276</v>
      </c>
      <c r="CV800" s="1389" t="s">
        <v>9277</v>
      </c>
      <c r="CX800" s="1379">
        <v>1</v>
      </c>
    </row>
    <row r="801" spans="91:102" ht="21" customHeight="1" x14ac:dyDescent="0.25">
      <c r="CM801" s="1377"/>
      <c r="CN801" s="1388" t="s">
        <v>10010</v>
      </c>
      <c r="CO801" s="1388" t="s">
        <v>8125</v>
      </c>
      <c r="CP801" s="1388" t="s">
        <v>8106</v>
      </c>
      <c r="CQ801" s="1388" t="s">
        <v>10011</v>
      </c>
      <c r="CR801" s="1388" t="s">
        <v>10011</v>
      </c>
      <c r="CS801" s="1388" t="s">
        <v>8788</v>
      </c>
      <c r="CT801" s="1388" t="s">
        <v>8789</v>
      </c>
      <c r="CU801" s="1388" t="s">
        <v>9276</v>
      </c>
      <c r="CV801" s="1389" t="s">
        <v>9277</v>
      </c>
      <c r="CX801" s="1379">
        <v>1</v>
      </c>
    </row>
    <row r="802" spans="91:102" ht="21" customHeight="1" x14ac:dyDescent="0.25">
      <c r="CM802" s="1377"/>
      <c r="CN802" s="1388" t="s">
        <v>10012</v>
      </c>
      <c r="CO802" s="1388" t="s">
        <v>8125</v>
      </c>
      <c r="CP802" s="1388" t="s">
        <v>8106</v>
      </c>
      <c r="CQ802" s="1388" t="s">
        <v>10013</v>
      </c>
      <c r="CR802" s="1388" t="s">
        <v>10013</v>
      </c>
      <c r="CS802" s="1388" t="s">
        <v>8788</v>
      </c>
      <c r="CT802" s="1388" t="s">
        <v>8789</v>
      </c>
      <c r="CU802" s="1388" t="s">
        <v>9276</v>
      </c>
      <c r="CV802" s="1389" t="s">
        <v>9277</v>
      </c>
      <c r="CX802" s="1379">
        <v>1</v>
      </c>
    </row>
    <row r="803" spans="91:102" ht="21" customHeight="1" x14ac:dyDescent="0.25">
      <c r="CM803" s="1377"/>
      <c r="CN803" s="1388" t="s">
        <v>10014</v>
      </c>
      <c r="CO803" s="1388" t="s">
        <v>8125</v>
      </c>
      <c r="CP803" s="1388" t="s">
        <v>8106</v>
      </c>
      <c r="CQ803" s="1388" t="s">
        <v>10015</v>
      </c>
      <c r="CR803" s="1388" t="s">
        <v>10015</v>
      </c>
      <c r="CS803" s="1388" t="s">
        <v>8788</v>
      </c>
      <c r="CT803" s="1388" t="s">
        <v>8789</v>
      </c>
      <c r="CU803" s="1388" t="s">
        <v>9276</v>
      </c>
      <c r="CV803" s="1389" t="s">
        <v>9277</v>
      </c>
      <c r="CX803" s="1379">
        <v>1</v>
      </c>
    </row>
    <row r="804" spans="91:102" ht="21" customHeight="1" x14ac:dyDescent="0.25">
      <c r="CM804" s="1377"/>
      <c r="CN804" s="1388" t="s">
        <v>10016</v>
      </c>
      <c r="CO804" s="1388" t="s">
        <v>8125</v>
      </c>
      <c r="CP804" s="1388" t="s">
        <v>8106</v>
      </c>
      <c r="CQ804" s="1388" t="s">
        <v>10017</v>
      </c>
      <c r="CR804" s="1388" t="s">
        <v>10017</v>
      </c>
      <c r="CS804" s="1388" t="s">
        <v>8788</v>
      </c>
      <c r="CT804" s="1388" t="s">
        <v>8789</v>
      </c>
      <c r="CU804" s="1388" t="s">
        <v>9276</v>
      </c>
      <c r="CV804" s="1389" t="s">
        <v>9277</v>
      </c>
      <c r="CX804" s="1379">
        <v>1</v>
      </c>
    </row>
    <row r="805" spans="91:102" ht="21" customHeight="1" x14ac:dyDescent="0.25">
      <c r="CM805" s="1377"/>
      <c r="CN805" s="1388" t="s">
        <v>10018</v>
      </c>
      <c r="CO805" s="1388" t="s">
        <v>8125</v>
      </c>
      <c r="CP805" s="1388" t="s">
        <v>8106</v>
      </c>
      <c r="CQ805" s="1388" t="s">
        <v>10019</v>
      </c>
      <c r="CR805" s="1388" t="s">
        <v>10019</v>
      </c>
      <c r="CS805" s="1388" t="s">
        <v>8788</v>
      </c>
      <c r="CT805" s="1388" t="s">
        <v>8789</v>
      </c>
      <c r="CU805" s="1388" t="s">
        <v>9276</v>
      </c>
      <c r="CV805" s="1389" t="s">
        <v>9277</v>
      </c>
      <c r="CX805" s="1379">
        <v>1</v>
      </c>
    </row>
    <row r="806" spans="91:102" ht="21" customHeight="1" x14ac:dyDescent="0.25">
      <c r="CM806" s="1377"/>
      <c r="CN806" s="1388" t="s">
        <v>10020</v>
      </c>
      <c r="CO806" s="1388" t="s">
        <v>8125</v>
      </c>
      <c r="CP806" s="1388" t="s">
        <v>8106</v>
      </c>
      <c r="CQ806" s="1388" t="s">
        <v>10021</v>
      </c>
      <c r="CR806" s="1388" t="s">
        <v>10021</v>
      </c>
      <c r="CS806" s="1388" t="s">
        <v>8194</v>
      </c>
      <c r="CT806" s="1388" t="s">
        <v>8195</v>
      </c>
      <c r="CU806" s="1388" t="s">
        <v>8110</v>
      </c>
      <c r="CV806" s="1389" t="s">
        <v>8196</v>
      </c>
      <c r="CX806" s="1379">
        <v>1</v>
      </c>
    </row>
    <row r="807" spans="91:102" ht="21" customHeight="1" x14ac:dyDescent="0.25">
      <c r="CM807" s="1377"/>
      <c r="CN807" s="1388" t="s">
        <v>10022</v>
      </c>
      <c r="CO807" s="1388" t="s">
        <v>8125</v>
      </c>
      <c r="CP807" s="1388" t="s">
        <v>8106</v>
      </c>
      <c r="CQ807" s="1388" t="s">
        <v>10023</v>
      </c>
      <c r="CR807" s="1388" t="s">
        <v>10023</v>
      </c>
      <c r="CS807" s="1388" t="s">
        <v>8194</v>
      </c>
      <c r="CT807" s="1388" t="s">
        <v>8195</v>
      </c>
      <c r="CU807" s="1388" t="s">
        <v>8110</v>
      </c>
      <c r="CV807" s="1389" t="s">
        <v>8196</v>
      </c>
      <c r="CX807" s="1379">
        <v>1</v>
      </c>
    </row>
    <row r="808" spans="91:102" ht="21" customHeight="1" x14ac:dyDescent="0.25">
      <c r="CM808" s="1377"/>
      <c r="CN808" s="1388" t="s">
        <v>10024</v>
      </c>
      <c r="CO808" s="1388" t="s">
        <v>8125</v>
      </c>
      <c r="CP808" s="1388" t="s">
        <v>8106</v>
      </c>
      <c r="CQ808" s="1388" t="s">
        <v>10025</v>
      </c>
      <c r="CR808" s="1388" t="s">
        <v>10025</v>
      </c>
      <c r="CS808" s="1388" t="s">
        <v>8788</v>
      </c>
      <c r="CT808" s="1388" t="s">
        <v>8789</v>
      </c>
      <c r="CU808" s="1388" t="s">
        <v>9276</v>
      </c>
      <c r="CV808" s="1389" t="s">
        <v>9277</v>
      </c>
      <c r="CX808" s="1379">
        <v>1</v>
      </c>
    </row>
    <row r="809" spans="91:102" ht="21" customHeight="1" x14ac:dyDescent="0.25">
      <c r="CM809" s="1377"/>
      <c r="CN809" s="1388" t="s">
        <v>10026</v>
      </c>
      <c r="CO809" s="1388" t="s">
        <v>8125</v>
      </c>
      <c r="CP809" s="1388" t="s">
        <v>8106</v>
      </c>
      <c r="CQ809" s="1388" t="s">
        <v>10027</v>
      </c>
      <c r="CR809" s="1388" t="s">
        <v>10027</v>
      </c>
      <c r="CS809" s="1388" t="s">
        <v>8788</v>
      </c>
      <c r="CT809" s="1388" t="s">
        <v>8789</v>
      </c>
      <c r="CU809" s="1388" t="s">
        <v>9276</v>
      </c>
      <c r="CV809" s="1389" t="s">
        <v>9277</v>
      </c>
      <c r="CX809" s="1379">
        <v>1</v>
      </c>
    </row>
    <row r="810" spans="91:102" ht="21" customHeight="1" x14ac:dyDescent="0.25">
      <c r="CM810" s="1377"/>
      <c r="CN810" s="1388" t="s">
        <v>10028</v>
      </c>
      <c r="CO810" s="1388" t="s">
        <v>8125</v>
      </c>
      <c r="CP810" s="1388" t="s">
        <v>8106</v>
      </c>
      <c r="CQ810" s="1388" t="s">
        <v>10029</v>
      </c>
      <c r="CR810" s="1388" t="s">
        <v>10029</v>
      </c>
      <c r="CS810" s="1388" t="s">
        <v>8788</v>
      </c>
      <c r="CT810" s="1388" t="s">
        <v>8789</v>
      </c>
      <c r="CU810" s="1388" t="s">
        <v>9276</v>
      </c>
      <c r="CV810" s="1389" t="s">
        <v>9277</v>
      </c>
      <c r="CX810" s="1379">
        <v>1</v>
      </c>
    </row>
    <row r="811" spans="91:102" ht="21" customHeight="1" x14ac:dyDescent="0.25">
      <c r="CM811" s="1377"/>
      <c r="CN811" s="1388" t="s">
        <v>10030</v>
      </c>
      <c r="CO811" s="1388" t="s">
        <v>8125</v>
      </c>
      <c r="CP811" s="1388" t="s">
        <v>8106</v>
      </c>
      <c r="CQ811" s="1388" t="s">
        <v>10031</v>
      </c>
      <c r="CR811" s="1388" t="s">
        <v>10031</v>
      </c>
      <c r="CS811" s="1388" t="s">
        <v>8788</v>
      </c>
      <c r="CT811" s="1388" t="s">
        <v>8789</v>
      </c>
      <c r="CU811" s="1388" t="s">
        <v>9276</v>
      </c>
      <c r="CV811" s="1389" t="s">
        <v>9277</v>
      </c>
      <c r="CX811" s="1379">
        <v>1</v>
      </c>
    </row>
    <row r="812" spans="91:102" ht="21" customHeight="1" x14ac:dyDescent="0.25">
      <c r="CM812" s="1377"/>
      <c r="CN812" s="1388" t="s">
        <v>10032</v>
      </c>
      <c r="CO812" s="1388" t="s">
        <v>8125</v>
      </c>
      <c r="CP812" s="1388" t="s">
        <v>8106</v>
      </c>
      <c r="CQ812" s="1388" t="s">
        <v>10033</v>
      </c>
      <c r="CR812" s="1388" t="s">
        <v>10033</v>
      </c>
      <c r="CS812" s="1388" t="s">
        <v>8788</v>
      </c>
      <c r="CT812" s="1388" t="s">
        <v>8789</v>
      </c>
      <c r="CU812" s="1388" t="s">
        <v>9276</v>
      </c>
      <c r="CV812" s="1389" t="s">
        <v>9277</v>
      </c>
      <c r="CX812" s="1379">
        <v>1</v>
      </c>
    </row>
    <row r="813" spans="91:102" ht="21" customHeight="1" x14ac:dyDescent="0.25">
      <c r="CM813" s="1377"/>
      <c r="CN813" s="1388" t="s">
        <v>10034</v>
      </c>
      <c r="CO813" s="1388" t="s">
        <v>8125</v>
      </c>
      <c r="CP813" s="1388" t="s">
        <v>8106</v>
      </c>
      <c r="CQ813" s="1388" t="s">
        <v>10035</v>
      </c>
      <c r="CR813" s="1388" t="s">
        <v>10035</v>
      </c>
      <c r="CS813" s="1388" t="s">
        <v>8788</v>
      </c>
      <c r="CT813" s="1388" t="s">
        <v>8789</v>
      </c>
      <c r="CU813" s="1388" t="s">
        <v>9276</v>
      </c>
      <c r="CV813" s="1389" t="s">
        <v>9277</v>
      </c>
      <c r="CX813" s="1379">
        <v>1</v>
      </c>
    </row>
    <row r="814" spans="91:102" ht="21" customHeight="1" x14ac:dyDescent="0.25">
      <c r="CM814" s="1377"/>
      <c r="CN814" s="1388" t="s">
        <v>10036</v>
      </c>
      <c r="CO814" s="1388" t="s">
        <v>8125</v>
      </c>
      <c r="CP814" s="1388" t="s">
        <v>8106</v>
      </c>
      <c r="CQ814" s="1388" t="s">
        <v>10037</v>
      </c>
      <c r="CR814" s="1388" t="s">
        <v>10037</v>
      </c>
      <c r="CS814" s="1388" t="s">
        <v>8788</v>
      </c>
      <c r="CT814" s="1388" t="s">
        <v>8789</v>
      </c>
      <c r="CU814" s="1388" t="s">
        <v>9276</v>
      </c>
      <c r="CV814" s="1389" t="s">
        <v>9277</v>
      </c>
      <c r="CX814" s="1379">
        <v>1</v>
      </c>
    </row>
    <row r="815" spans="91:102" ht="21" customHeight="1" x14ac:dyDescent="0.25">
      <c r="CM815" s="1377"/>
      <c r="CN815" s="1388" t="s">
        <v>10038</v>
      </c>
      <c r="CO815" s="1388" t="s">
        <v>8125</v>
      </c>
      <c r="CP815" s="1388" t="s">
        <v>8106</v>
      </c>
      <c r="CQ815" s="1388" t="s">
        <v>10039</v>
      </c>
      <c r="CR815" s="1388" t="s">
        <v>10039</v>
      </c>
      <c r="CS815" s="1388" t="s">
        <v>8788</v>
      </c>
      <c r="CT815" s="1388" t="s">
        <v>8789</v>
      </c>
      <c r="CU815" s="1388" t="s">
        <v>9276</v>
      </c>
      <c r="CV815" s="1389" t="s">
        <v>9277</v>
      </c>
      <c r="CX815" s="1379">
        <v>1</v>
      </c>
    </row>
    <row r="816" spans="91:102" ht="21" customHeight="1" x14ac:dyDescent="0.25">
      <c r="CM816" s="1377"/>
      <c r="CN816" s="1388" t="s">
        <v>10040</v>
      </c>
      <c r="CO816" s="1388" t="s">
        <v>8125</v>
      </c>
      <c r="CP816" s="1388" t="s">
        <v>8106</v>
      </c>
      <c r="CQ816" s="1388" t="s">
        <v>10041</v>
      </c>
      <c r="CR816" s="1388" t="s">
        <v>10041</v>
      </c>
      <c r="CS816" s="1388" t="s">
        <v>8108</v>
      </c>
      <c r="CT816" s="1388" t="s">
        <v>9359</v>
      </c>
      <c r="CU816" s="1388" t="s">
        <v>8110</v>
      </c>
      <c r="CV816" s="1389" t="s">
        <v>8111</v>
      </c>
      <c r="CX816" s="1379">
        <v>1</v>
      </c>
    </row>
    <row r="817" spans="91:102" ht="21" customHeight="1" x14ac:dyDescent="0.25">
      <c r="CM817" s="1377"/>
      <c r="CN817" s="1388" t="s">
        <v>10042</v>
      </c>
      <c r="CO817" s="1388" t="s">
        <v>8125</v>
      </c>
      <c r="CP817" s="1388" t="s">
        <v>8106</v>
      </c>
      <c r="CQ817" s="1388" t="s">
        <v>10043</v>
      </c>
      <c r="CR817" s="1388" t="s">
        <v>10043</v>
      </c>
      <c r="CS817" s="1388" t="s">
        <v>8788</v>
      </c>
      <c r="CT817" s="1388" t="s">
        <v>8789</v>
      </c>
      <c r="CU817" s="1388" t="s">
        <v>9276</v>
      </c>
      <c r="CV817" s="1389" t="s">
        <v>9277</v>
      </c>
      <c r="CX817" s="1379">
        <v>1</v>
      </c>
    </row>
    <row r="818" spans="91:102" ht="21" customHeight="1" x14ac:dyDescent="0.25">
      <c r="CM818" s="1377"/>
      <c r="CN818" s="1388" t="s">
        <v>10044</v>
      </c>
      <c r="CO818" s="1388" t="s">
        <v>8125</v>
      </c>
      <c r="CP818" s="1388" t="s">
        <v>8106</v>
      </c>
      <c r="CQ818" s="1388" t="s">
        <v>10045</v>
      </c>
      <c r="CR818" s="1388" t="s">
        <v>10045</v>
      </c>
      <c r="CS818" s="1388" t="s">
        <v>8788</v>
      </c>
      <c r="CT818" s="1388" t="s">
        <v>8789</v>
      </c>
      <c r="CU818" s="1388" t="s">
        <v>9276</v>
      </c>
      <c r="CV818" s="1389" t="s">
        <v>9277</v>
      </c>
      <c r="CX818" s="1379">
        <v>1</v>
      </c>
    </row>
    <row r="819" spans="91:102" ht="21" customHeight="1" x14ac:dyDescent="0.25">
      <c r="CM819" s="1377"/>
      <c r="CN819" s="1388" t="s">
        <v>10046</v>
      </c>
      <c r="CO819" s="1388" t="s">
        <v>8125</v>
      </c>
      <c r="CP819" s="1388" t="s">
        <v>8106</v>
      </c>
      <c r="CQ819" s="1388" t="s">
        <v>10047</v>
      </c>
      <c r="CR819" s="1388" t="s">
        <v>10047</v>
      </c>
      <c r="CS819" s="1388" t="s">
        <v>8788</v>
      </c>
      <c r="CT819" s="1388" t="s">
        <v>8789</v>
      </c>
      <c r="CU819" s="1388" t="s">
        <v>9276</v>
      </c>
      <c r="CV819" s="1389" t="s">
        <v>9277</v>
      </c>
      <c r="CX819" s="1379">
        <v>1</v>
      </c>
    </row>
    <row r="820" spans="91:102" ht="21" customHeight="1" x14ac:dyDescent="0.25">
      <c r="CM820" s="1377"/>
      <c r="CN820" s="1388" t="s">
        <v>10048</v>
      </c>
      <c r="CO820" s="1388" t="s">
        <v>8125</v>
      </c>
      <c r="CP820" s="1388" t="s">
        <v>8106</v>
      </c>
      <c r="CQ820" s="1388" t="s">
        <v>10049</v>
      </c>
      <c r="CR820" s="1388" t="s">
        <v>10049</v>
      </c>
      <c r="CS820" s="1388" t="s">
        <v>8788</v>
      </c>
      <c r="CT820" s="1388" t="s">
        <v>8789</v>
      </c>
      <c r="CU820" s="1388" t="s">
        <v>9276</v>
      </c>
      <c r="CV820" s="1389" t="s">
        <v>9277</v>
      </c>
      <c r="CX820" s="1379">
        <v>1</v>
      </c>
    </row>
    <row r="821" spans="91:102" ht="21" customHeight="1" x14ac:dyDescent="0.25">
      <c r="CM821" s="1377"/>
      <c r="CN821" s="1388" t="s">
        <v>10050</v>
      </c>
      <c r="CO821" s="1388" t="s">
        <v>8125</v>
      </c>
      <c r="CP821" s="1388" t="s">
        <v>8106</v>
      </c>
      <c r="CQ821" s="1388" t="s">
        <v>10051</v>
      </c>
      <c r="CR821" s="1388" t="s">
        <v>10051</v>
      </c>
      <c r="CS821" s="1388" t="s">
        <v>8788</v>
      </c>
      <c r="CT821" s="1388" t="s">
        <v>8789</v>
      </c>
      <c r="CU821" s="1388" t="s">
        <v>9276</v>
      </c>
      <c r="CV821" s="1389" t="s">
        <v>9277</v>
      </c>
      <c r="CX821" s="1379">
        <v>1</v>
      </c>
    </row>
    <row r="822" spans="91:102" ht="21" customHeight="1" x14ac:dyDescent="0.25">
      <c r="CM822" s="1377"/>
      <c r="CN822" s="1388" t="s">
        <v>10052</v>
      </c>
      <c r="CO822" s="1388" t="s">
        <v>8125</v>
      </c>
      <c r="CP822" s="1388" t="s">
        <v>8106</v>
      </c>
      <c r="CQ822" s="1388" t="s">
        <v>10053</v>
      </c>
      <c r="CR822" s="1388" t="s">
        <v>10053</v>
      </c>
      <c r="CS822" s="1388" t="s">
        <v>8788</v>
      </c>
      <c r="CT822" s="1388" t="s">
        <v>8789</v>
      </c>
      <c r="CU822" s="1388" t="s">
        <v>9276</v>
      </c>
      <c r="CV822" s="1389" t="s">
        <v>9277</v>
      </c>
      <c r="CX822" s="1379">
        <v>1</v>
      </c>
    </row>
    <row r="823" spans="91:102" ht="21" customHeight="1" x14ac:dyDescent="0.25">
      <c r="CM823" s="1377"/>
      <c r="CN823" s="1388" t="s">
        <v>10054</v>
      </c>
      <c r="CO823" s="1388" t="s">
        <v>8125</v>
      </c>
      <c r="CP823" s="1388" t="s">
        <v>8106</v>
      </c>
      <c r="CQ823" s="1388" t="s">
        <v>10055</v>
      </c>
      <c r="CR823" s="1388" t="s">
        <v>10055</v>
      </c>
      <c r="CS823" s="1388" t="s">
        <v>8788</v>
      </c>
      <c r="CT823" s="1388" t="s">
        <v>8789</v>
      </c>
      <c r="CU823" s="1388" t="s">
        <v>9276</v>
      </c>
      <c r="CV823" s="1389" t="s">
        <v>9277</v>
      </c>
      <c r="CX823" s="1379">
        <v>1</v>
      </c>
    </row>
    <row r="824" spans="91:102" ht="21" customHeight="1" x14ac:dyDescent="0.25">
      <c r="CM824" s="1377"/>
      <c r="CN824" s="1388" t="s">
        <v>10056</v>
      </c>
      <c r="CO824" s="1388" t="s">
        <v>8125</v>
      </c>
      <c r="CP824" s="1388" t="s">
        <v>8106</v>
      </c>
      <c r="CQ824" s="1388" t="s">
        <v>10057</v>
      </c>
      <c r="CR824" s="1388" t="s">
        <v>10057</v>
      </c>
      <c r="CS824" s="1388" t="s">
        <v>8788</v>
      </c>
      <c r="CT824" s="1388" t="s">
        <v>8789</v>
      </c>
      <c r="CU824" s="1388" t="s">
        <v>9276</v>
      </c>
      <c r="CV824" s="1389" t="s">
        <v>9277</v>
      </c>
      <c r="CX824" s="1379">
        <v>1</v>
      </c>
    </row>
    <row r="825" spans="91:102" ht="21" customHeight="1" x14ac:dyDescent="0.25">
      <c r="CM825" s="1377"/>
      <c r="CN825" s="1388" t="s">
        <v>10058</v>
      </c>
      <c r="CO825" s="1388" t="s">
        <v>8125</v>
      </c>
      <c r="CP825" s="1388" t="s">
        <v>8106</v>
      </c>
      <c r="CQ825" s="1388" t="s">
        <v>10059</v>
      </c>
      <c r="CR825" s="1388" t="s">
        <v>10059</v>
      </c>
      <c r="CS825" s="1388" t="s">
        <v>8788</v>
      </c>
      <c r="CT825" s="1388" t="s">
        <v>8789</v>
      </c>
      <c r="CU825" s="1388" t="s">
        <v>9276</v>
      </c>
      <c r="CV825" s="1389" t="s">
        <v>9277</v>
      </c>
      <c r="CX825" s="1379">
        <v>1</v>
      </c>
    </row>
    <row r="826" spans="91:102" ht="21" customHeight="1" x14ac:dyDescent="0.25">
      <c r="CM826" s="1377"/>
      <c r="CN826" s="1388" t="s">
        <v>10060</v>
      </c>
      <c r="CO826" s="1388" t="s">
        <v>8125</v>
      </c>
      <c r="CP826" s="1388" t="s">
        <v>8106</v>
      </c>
      <c r="CQ826" s="1388" t="s">
        <v>10061</v>
      </c>
      <c r="CR826" s="1388" t="s">
        <v>10061</v>
      </c>
      <c r="CS826" s="1388" t="s">
        <v>8788</v>
      </c>
      <c r="CT826" s="1388" t="s">
        <v>8789</v>
      </c>
      <c r="CU826" s="1388" t="s">
        <v>9276</v>
      </c>
      <c r="CV826" s="1389" t="s">
        <v>9277</v>
      </c>
      <c r="CX826" s="1379">
        <v>1</v>
      </c>
    </row>
    <row r="827" spans="91:102" ht="21" customHeight="1" x14ac:dyDescent="0.25">
      <c r="CM827" s="1377"/>
      <c r="CN827" s="1388" t="s">
        <v>10062</v>
      </c>
      <c r="CO827" s="1388" t="s">
        <v>8125</v>
      </c>
      <c r="CP827" s="1388" t="s">
        <v>8106</v>
      </c>
      <c r="CQ827" s="1388" t="s">
        <v>10063</v>
      </c>
      <c r="CR827" s="1388" t="s">
        <v>10063</v>
      </c>
      <c r="CS827" s="1388" t="s">
        <v>8788</v>
      </c>
      <c r="CT827" s="1388" t="s">
        <v>8789</v>
      </c>
      <c r="CU827" s="1388" t="s">
        <v>9276</v>
      </c>
      <c r="CV827" s="1389" t="s">
        <v>9277</v>
      </c>
      <c r="CX827" s="1379">
        <v>1</v>
      </c>
    </row>
    <row r="828" spans="91:102" ht="21" customHeight="1" x14ac:dyDescent="0.25">
      <c r="CM828" s="1377"/>
      <c r="CN828" s="1388" t="s">
        <v>10064</v>
      </c>
      <c r="CO828" s="1388" t="s">
        <v>8125</v>
      </c>
      <c r="CP828" s="1388" t="s">
        <v>8106</v>
      </c>
      <c r="CQ828" s="1388" t="s">
        <v>10065</v>
      </c>
      <c r="CR828" s="1388" t="s">
        <v>10065</v>
      </c>
      <c r="CS828" s="1388" t="s">
        <v>8788</v>
      </c>
      <c r="CT828" s="1388" t="s">
        <v>8789</v>
      </c>
      <c r="CU828" s="1388" t="s">
        <v>9276</v>
      </c>
      <c r="CV828" s="1389" t="s">
        <v>9277</v>
      </c>
      <c r="CX828" s="1379">
        <v>1</v>
      </c>
    </row>
    <row r="829" spans="91:102" ht="21" customHeight="1" x14ac:dyDescent="0.25">
      <c r="CM829" s="1377"/>
      <c r="CN829" s="1388" t="s">
        <v>10066</v>
      </c>
      <c r="CO829" s="1388" t="s">
        <v>8125</v>
      </c>
      <c r="CP829" s="1388" t="s">
        <v>8106</v>
      </c>
      <c r="CQ829" s="1388" t="s">
        <v>10067</v>
      </c>
      <c r="CR829" s="1388" t="s">
        <v>10067</v>
      </c>
      <c r="CS829" s="1388" t="s">
        <v>8788</v>
      </c>
      <c r="CT829" s="1388" t="s">
        <v>8789</v>
      </c>
      <c r="CU829" s="1388" t="s">
        <v>9276</v>
      </c>
      <c r="CV829" s="1389" t="s">
        <v>9277</v>
      </c>
      <c r="CX829" s="1379">
        <v>1</v>
      </c>
    </row>
    <row r="830" spans="91:102" ht="21" customHeight="1" x14ac:dyDescent="0.25">
      <c r="CM830" s="1377"/>
      <c r="CN830" s="1388" t="s">
        <v>10068</v>
      </c>
      <c r="CO830" s="1388" t="s">
        <v>8125</v>
      </c>
      <c r="CP830" s="1388" t="s">
        <v>8106</v>
      </c>
      <c r="CQ830" s="1388" t="s">
        <v>10069</v>
      </c>
      <c r="CR830" s="1388" t="s">
        <v>10069</v>
      </c>
      <c r="CS830" s="1388" t="s">
        <v>8788</v>
      </c>
      <c r="CT830" s="1388" t="s">
        <v>8789</v>
      </c>
      <c r="CU830" s="1388" t="s">
        <v>9276</v>
      </c>
      <c r="CV830" s="1389" t="s">
        <v>9277</v>
      </c>
      <c r="CX830" s="1379">
        <v>1</v>
      </c>
    </row>
    <row r="831" spans="91:102" ht="21" customHeight="1" x14ac:dyDescent="0.25">
      <c r="CM831" s="1377"/>
      <c r="CN831" s="1388" t="s">
        <v>10070</v>
      </c>
      <c r="CO831" s="1388" t="s">
        <v>8125</v>
      </c>
      <c r="CP831" s="1388" t="s">
        <v>8106</v>
      </c>
      <c r="CQ831" s="1388" t="s">
        <v>10071</v>
      </c>
      <c r="CR831" s="1388" t="s">
        <v>10071</v>
      </c>
      <c r="CS831" s="1388" t="s">
        <v>8788</v>
      </c>
      <c r="CT831" s="1388" t="s">
        <v>8789</v>
      </c>
      <c r="CU831" s="1388" t="s">
        <v>9276</v>
      </c>
      <c r="CV831" s="1389" t="s">
        <v>9277</v>
      </c>
      <c r="CX831" s="1379">
        <v>1</v>
      </c>
    </row>
    <row r="832" spans="91:102" ht="21" customHeight="1" x14ac:dyDescent="0.25">
      <c r="CM832" s="1377"/>
      <c r="CN832" s="1388" t="s">
        <v>10072</v>
      </c>
      <c r="CO832" s="1388" t="s">
        <v>8125</v>
      </c>
      <c r="CP832" s="1388" t="s">
        <v>8106</v>
      </c>
      <c r="CQ832" s="1388" t="s">
        <v>10073</v>
      </c>
      <c r="CR832" s="1388" t="s">
        <v>10073</v>
      </c>
      <c r="CS832" s="1388" t="s">
        <v>8788</v>
      </c>
      <c r="CT832" s="1388" t="s">
        <v>8789</v>
      </c>
      <c r="CU832" s="1388" t="s">
        <v>9276</v>
      </c>
      <c r="CV832" s="1389" t="s">
        <v>9277</v>
      </c>
      <c r="CX832" s="1379">
        <v>1</v>
      </c>
    </row>
    <row r="833" spans="91:102" ht="21" customHeight="1" x14ac:dyDescent="0.25">
      <c r="CM833" s="1377"/>
      <c r="CN833" s="1388" t="s">
        <v>10074</v>
      </c>
      <c r="CO833" s="1388" t="s">
        <v>8125</v>
      </c>
      <c r="CP833" s="1388" t="s">
        <v>8106</v>
      </c>
      <c r="CQ833" s="1388" t="s">
        <v>10075</v>
      </c>
      <c r="CR833" s="1388" t="s">
        <v>10075</v>
      </c>
      <c r="CS833" s="1388" t="s">
        <v>8788</v>
      </c>
      <c r="CT833" s="1388" t="s">
        <v>8789</v>
      </c>
      <c r="CU833" s="1388" t="s">
        <v>9276</v>
      </c>
      <c r="CV833" s="1389" t="s">
        <v>9277</v>
      </c>
      <c r="CX833" s="1379">
        <v>1</v>
      </c>
    </row>
    <row r="834" spans="91:102" ht="21" customHeight="1" x14ac:dyDescent="0.25">
      <c r="CM834" s="1377"/>
      <c r="CN834" s="1388" t="s">
        <v>10076</v>
      </c>
      <c r="CO834" s="1388" t="s">
        <v>8125</v>
      </c>
      <c r="CP834" s="1388" t="s">
        <v>8106</v>
      </c>
      <c r="CQ834" s="1388" t="s">
        <v>10077</v>
      </c>
      <c r="CR834" s="1388" t="s">
        <v>10077</v>
      </c>
      <c r="CS834" s="1388" t="s">
        <v>8788</v>
      </c>
      <c r="CT834" s="1388" t="s">
        <v>8789</v>
      </c>
      <c r="CU834" s="1388" t="s">
        <v>9276</v>
      </c>
      <c r="CV834" s="1389" t="s">
        <v>9277</v>
      </c>
      <c r="CX834" s="1379">
        <v>1</v>
      </c>
    </row>
    <row r="835" spans="91:102" ht="21" customHeight="1" x14ac:dyDescent="0.25">
      <c r="CM835" s="1377"/>
      <c r="CN835" s="1388" t="s">
        <v>10078</v>
      </c>
      <c r="CO835" s="1388" t="s">
        <v>8125</v>
      </c>
      <c r="CP835" s="1388" t="s">
        <v>8106</v>
      </c>
      <c r="CQ835" s="1388" t="s">
        <v>10079</v>
      </c>
      <c r="CR835" s="1388" t="s">
        <v>10079</v>
      </c>
      <c r="CS835" s="1388" t="s">
        <v>8788</v>
      </c>
      <c r="CT835" s="1388" t="s">
        <v>8789</v>
      </c>
      <c r="CU835" s="1388" t="s">
        <v>9276</v>
      </c>
      <c r="CV835" s="1389" t="s">
        <v>9277</v>
      </c>
      <c r="CX835" s="1379">
        <v>1</v>
      </c>
    </row>
    <row r="836" spans="91:102" ht="21" customHeight="1" x14ac:dyDescent="0.25">
      <c r="CM836" s="1377"/>
      <c r="CN836" s="1388" t="s">
        <v>10080</v>
      </c>
      <c r="CO836" s="1388" t="s">
        <v>8125</v>
      </c>
      <c r="CP836" s="1388" t="s">
        <v>8106</v>
      </c>
      <c r="CQ836" s="1388" t="s">
        <v>10081</v>
      </c>
      <c r="CR836" s="1388" t="s">
        <v>10081</v>
      </c>
      <c r="CS836" s="1388" t="s">
        <v>8788</v>
      </c>
      <c r="CT836" s="1388" t="s">
        <v>8789</v>
      </c>
      <c r="CU836" s="1388" t="s">
        <v>9276</v>
      </c>
      <c r="CV836" s="1389" t="s">
        <v>9277</v>
      </c>
      <c r="CX836" s="1379">
        <v>1</v>
      </c>
    </row>
    <row r="837" spans="91:102" ht="21" customHeight="1" x14ac:dyDescent="0.25">
      <c r="CM837" s="1377"/>
      <c r="CN837" s="1388" t="s">
        <v>10082</v>
      </c>
      <c r="CO837" s="1388" t="s">
        <v>8125</v>
      </c>
      <c r="CP837" s="1388" t="s">
        <v>8106</v>
      </c>
      <c r="CQ837" s="1388" t="s">
        <v>10083</v>
      </c>
      <c r="CR837" s="1388" t="s">
        <v>10083</v>
      </c>
      <c r="CS837" s="1388" t="s">
        <v>8788</v>
      </c>
      <c r="CT837" s="1388" t="s">
        <v>8789</v>
      </c>
      <c r="CU837" s="1388" t="s">
        <v>9276</v>
      </c>
      <c r="CV837" s="1389" t="s">
        <v>9277</v>
      </c>
      <c r="CX837" s="1379">
        <v>1</v>
      </c>
    </row>
    <row r="838" spans="91:102" ht="21" customHeight="1" x14ac:dyDescent="0.25">
      <c r="CM838" s="1377"/>
      <c r="CN838" s="1388" t="s">
        <v>10084</v>
      </c>
      <c r="CO838" s="1388" t="s">
        <v>8125</v>
      </c>
      <c r="CP838" s="1388" t="s">
        <v>8106</v>
      </c>
      <c r="CQ838" s="1388" t="s">
        <v>10085</v>
      </c>
      <c r="CR838" s="1388" t="s">
        <v>10085</v>
      </c>
      <c r="CS838" s="1388" t="s">
        <v>8788</v>
      </c>
      <c r="CT838" s="1388" t="s">
        <v>8789</v>
      </c>
      <c r="CU838" s="1388" t="s">
        <v>9276</v>
      </c>
      <c r="CV838" s="1389" t="s">
        <v>9277</v>
      </c>
      <c r="CX838" s="1379">
        <v>1</v>
      </c>
    </row>
    <row r="839" spans="91:102" ht="21" customHeight="1" x14ac:dyDescent="0.25">
      <c r="CM839" s="1377"/>
      <c r="CN839" s="1388" t="s">
        <v>10086</v>
      </c>
      <c r="CO839" s="1388" t="s">
        <v>8125</v>
      </c>
      <c r="CP839" s="1388" t="s">
        <v>8106</v>
      </c>
      <c r="CQ839" s="1388" t="s">
        <v>10087</v>
      </c>
      <c r="CR839" s="1388" t="s">
        <v>10087</v>
      </c>
      <c r="CS839" s="1388" t="s">
        <v>8788</v>
      </c>
      <c r="CT839" s="1388" t="s">
        <v>8789</v>
      </c>
      <c r="CU839" s="1388" t="s">
        <v>9276</v>
      </c>
      <c r="CV839" s="1389" t="s">
        <v>9277</v>
      </c>
      <c r="CX839" s="1379">
        <v>1</v>
      </c>
    </row>
    <row r="840" spans="91:102" ht="21" customHeight="1" x14ac:dyDescent="0.25">
      <c r="CM840" s="1377"/>
      <c r="CN840" s="1388" t="s">
        <v>10088</v>
      </c>
      <c r="CO840" s="1388" t="s">
        <v>8125</v>
      </c>
      <c r="CP840" s="1388" t="s">
        <v>8106</v>
      </c>
      <c r="CQ840" s="1388" t="s">
        <v>10089</v>
      </c>
      <c r="CR840" s="1388" t="s">
        <v>10089</v>
      </c>
      <c r="CS840" s="1388" t="s">
        <v>8788</v>
      </c>
      <c r="CT840" s="1388" t="s">
        <v>8789</v>
      </c>
      <c r="CU840" s="1388" t="s">
        <v>9276</v>
      </c>
      <c r="CV840" s="1389" t="s">
        <v>9277</v>
      </c>
      <c r="CX840" s="1379">
        <v>1</v>
      </c>
    </row>
    <row r="841" spans="91:102" ht="21" customHeight="1" x14ac:dyDescent="0.25">
      <c r="CM841" s="1377"/>
      <c r="CN841" s="1388" t="s">
        <v>10090</v>
      </c>
      <c r="CO841" s="1388" t="s">
        <v>8125</v>
      </c>
      <c r="CP841" s="1388" t="s">
        <v>8106</v>
      </c>
      <c r="CQ841" s="1388" t="s">
        <v>10091</v>
      </c>
      <c r="CR841" s="1388" t="s">
        <v>10091</v>
      </c>
      <c r="CS841" s="1388" t="s">
        <v>8788</v>
      </c>
      <c r="CT841" s="1388" t="s">
        <v>8789</v>
      </c>
      <c r="CU841" s="1388" t="s">
        <v>9276</v>
      </c>
      <c r="CV841" s="1389" t="s">
        <v>9277</v>
      </c>
      <c r="CX841" s="1379">
        <v>1</v>
      </c>
    </row>
    <row r="842" spans="91:102" ht="21" customHeight="1" x14ac:dyDescent="0.25">
      <c r="CM842" s="1377"/>
      <c r="CN842" s="1388" t="s">
        <v>10092</v>
      </c>
      <c r="CO842" s="1388" t="s">
        <v>8125</v>
      </c>
      <c r="CP842" s="1388" t="s">
        <v>8106</v>
      </c>
      <c r="CQ842" s="1388" t="s">
        <v>10093</v>
      </c>
      <c r="CR842" s="1388" t="s">
        <v>10093</v>
      </c>
      <c r="CS842" s="1388" t="s">
        <v>8788</v>
      </c>
      <c r="CT842" s="1388" t="s">
        <v>8789</v>
      </c>
      <c r="CU842" s="1388" t="s">
        <v>9276</v>
      </c>
      <c r="CV842" s="1389" t="s">
        <v>9277</v>
      </c>
      <c r="CX842" s="1379">
        <v>1</v>
      </c>
    </row>
    <row r="843" spans="91:102" ht="21" customHeight="1" x14ac:dyDescent="0.25">
      <c r="CM843" s="1377"/>
      <c r="CN843" s="1388" t="s">
        <v>10094</v>
      </c>
      <c r="CO843" s="1388" t="s">
        <v>8125</v>
      </c>
      <c r="CP843" s="1388" t="s">
        <v>8106</v>
      </c>
      <c r="CQ843" s="1388" t="s">
        <v>10095</v>
      </c>
      <c r="CR843" s="1388" t="s">
        <v>10095</v>
      </c>
      <c r="CS843" s="1388" t="s">
        <v>8788</v>
      </c>
      <c r="CT843" s="1388" t="s">
        <v>8789</v>
      </c>
      <c r="CU843" s="1388" t="s">
        <v>9276</v>
      </c>
      <c r="CV843" s="1389" t="s">
        <v>9277</v>
      </c>
      <c r="CX843" s="1379">
        <v>1</v>
      </c>
    </row>
    <row r="844" spans="91:102" ht="21" customHeight="1" x14ac:dyDescent="0.25">
      <c r="CM844" s="1377"/>
      <c r="CN844" s="1388" t="s">
        <v>10096</v>
      </c>
      <c r="CO844" s="1388" t="s">
        <v>8125</v>
      </c>
      <c r="CP844" s="1388" t="s">
        <v>8106</v>
      </c>
      <c r="CQ844" s="1388" t="s">
        <v>10097</v>
      </c>
      <c r="CR844" s="1388" t="s">
        <v>10097</v>
      </c>
      <c r="CS844" s="1388" t="s">
        <v>8788</v>
      </c>
      <c r="CT844" s="1388" t="s">
        <v>8789</v>
      </c>
      <c r="CU844" s="1388" t="s">
        <v>9276</v>
      </c>
      <c r="CV844" s="1389" t="s">
        <v>9277</v>
      </c>
      <c r="CX844" s="1379">
        <v>1</v>
      </c>
    </row>
    <row r="845" spans="91:102" ht="21" customHeight="1" x14ac:dyDescent="0.25">
      <c r="CM845" s="1377"/>
      <c r="CN845" s="1388" t="s">
        <v>10098</v>
      </c>
      <c r="CO845" s="1388" t="s">
        <v>8125</v>
      </c>
      <c r="CP845" s="1388" t="s">
        <v>8106</v>
      </c>
      <c r="CQ845" s="1388" t="s">
        <v>10099</v>
      </c>
      <c r="CR845" s="1388" t="s">
        <v>10099</v>
      </c>
      <c r="CS845" s="1388" t="s">
        <v>8788</v>
      </c>
      <c r="CT845" s="1388" t="s">
        <v>8789</v>
      </c>
      <c r="CU845" s="1388" t="s">
        <v>9276</v>
      </c>
      <c r="CV845" s="1389" t="s">
        <v>9277</v>
      </c>
      <c r="CX845" s="1379">
        <v>1</v>
      </c>
    </row>
    <row r="846" spans="91:102" ht="21" customHeight="1" x14ac:dyDescent="0.25">
      <c r="CM846" s="1377"/>
      <c r="CN846" s="1388" t="s">
        <v>10100</v>
      </c>
      <c r="CO846" s="1388" t="s">
        <v>8125</v>
      </c>
      <c r="CP846" s="1388" t="s">
        <v>8106</v>
      </c>
      <c r="CQ846" s="1388" t="s">
        <v>10101</v>
      </c>
      <c r="CR846" s="1388" t="s">
        <v>10101</v>
      </c>
      <c r="CS846" s="1388" t="s">
        <v>8788</v>
      </c>
      <c r="CT846" s="1388" t="s">
        <v>8789</v>
      </c>
      <c r="CU846" s="1388" t="s">
        <v>9276</v>
      </c>
      <c r="CV846" s="1389" t="s">
        <v>9277</v>
      </c>
      <c r="CX846" s="1379">
        <v>1</v>
      </c>
    </row>
    <row r="847" spans="91:102" ht="21" customHeight="1" x14ac:dyDescent="0.25">
      <c r="CM847" s="1377"/>
      <c r="CN847" s="1388" t="s">
        <v>10102</v>
      </c>
      <c r="CO847" s="1388" t="s">
        <v>8125</v>
      </c>
      <c r="CP847" s="1388" t="s">
        <v>8106</v>
      </c>
      <c r="CQ847" s="1388" t="s">
        <v>10103</v>
      </c>
      <c r="CR847" s="1388" t="s">
        <v>10103</v>
      </c>
      <c r="CS847" s="1388" t="s">
        <v>8788</v>
      </c>
      <c r="CT847" s="1388" t="s">
        <v>8789</v>
      </c>
      <c r="CU847" s="1388" t="s">
        <v>9276</v>
      </c>
      <c r="CV847" s="1389" t="s">
        <v>9277</v>
      </c>
      <c r="CX847" s="1379">
        <v>1</v>
      </c>
    </row>
    <row r="848" spans="91:102" ht="21" customHeight="1" x14ac:dyDescent="0.25">
      <c r="CM848" s="1377"/>
      <c r="CN848" s="1388" t="s">
        <v>10104</v>
      </c>
      <c r="CO848" s="1388" t="s">
        <v>8125</v>
      </c>
      <c r="CP848" s="1388" t="s">
        <v>8106</v>
      </c>
      <c r="CQ848" s="1388" t="s">
        <v>10105</v>
      </c>
      <c r="CR848" s="1388" t="s">
        <v>10105</v>
      </c>
      <c r="CS848" s="1388" t="s">
        <v>8788</v>
      </c>
      <c r="CT848" s="1388" t="s">
        <v>8789</v>
      </c>
      <c r="CU848" s="1388" t="s">
        <v>9276</v>
      </c>
      <c r="CV848" s="1389" t="s">
        <v>9277</v>
      </c>
      <c r="CX848" s="1379">
        <v>1</v>
      </c>
    </row>
    <row r="849" spans="91:102" ht="21" customHeight="1" x14ac:dyDescent="0.25">
      <c r="CM849" s="1377"/>
      <c r="CN849" s="1388" t="s">
        <v>10106</v>
      </c>
      <c r="CO849" s="1388" t="s">
        <v>8125</v>
      </c>
      <c r="CP849" s="1388" t="s">
        <v>8106</v>
      </c>
      <c r="CQ849" s="1388" t="s">
        <v>10107</v>
      </c>
      <c r="CR849" s="1388" t="s">
        <v>10107</v>
      </c>
      <c r="CS849" s="1388" t="s">
        <v>8788</v>
      </c>
      <c r="CT849" s="1388" t="s">
        <v>8789</v>
      </c>
      <c r="CU849" s="1388" t="s">
        <v>9276</v>
      </c>
      <c r="CV849" s="1389" t="s">
        <v>9277</v>
      </c>
      <c r="CX849" s="1379">
        <v>1</v>
      </c>
    </row>
    <row r="850" spans="91:102" ht="21" customHeight="1" x14ac:dyDescent="0.25">
      <c r="CM850" s="1377"/>
      <c r="CN850" s="1388" t="s">
        <v>10108</v>
      </c>
      <c r="CO850" s="1388" t="s">
        <v>8125</v>
      </c>
      <c r="CP850" s="1388" t="s">
        <v>8106</v>
      </c>
      <c r="CQ850" s="1388" t="s">
        <v>10109</v>
      </c>
      <c r="CR850" s="1388" t="s">
        <v>10109</v>
      </c>
      <c r="CS850" s="1388" t="s">
        <v>8788</v>
      </c>
      <c r="CT850" s="1388" t="s">
        <v>8789</v>
      </c>
      <c r="CU850" s="1388" t="s">
        <v>9276</v>
      </c>
      <c r="CV850" s="1389" t="s">
        <v>9277</v>
      </c>
      <c r="CX850" s="1379">
        <v>1</v>
      </c>
    </row>
    <row r="851" spans="91:102" ht="21" customHeight="1" x14ac:dyDescent="0.25">
      <c r="CM851" s="1377"/>
      <c r="CN851" s="1388" t="s">
        <v>10110</v>
      </c>
      <c r="CO851" s="1388" t="s">
        <v>8125</v>
      </c>
      <c r="CP851" s="1388" t="s">
        <v>8106</v>
      </c>
      <c r="CQ851" s="1388" t="s">
        <v>10111</v>
      </c>
      <c r="CR851" s="1388" t="s">
        <v>10111</v>
      </c>
      <c r="CS851" s="1388" t="s">
        <v>8788</v>
      </c>
      <c r="CT851" s="1388" t="s">
        <v>8789</v>
      </c>
      <c r="CU851" s="1388" t="s">
        <v>9276</v>
      </c>
      <c r="CV851" s="1389" t="s">
        <v>9277</v>
      </c>
      <c r="CX851" s="1379">
        <v>1</v>
      </c>
    </row>
    <row r="852" spans="91:102" ht="21" customHeight="1" x14ac:dyDescent="0.25">
      <c r="CM852" s="1377"/>
      <c r="CN852" s="1388" t="s">
        <v>10112</v>
      </c>
      <c r="CO852" s="1388" t="s">
        <v>8125</v>
      </c>
      <c r="CP852" s="1388" t="s">
        <v>8106</v>
      </c>
      <c r="CQ852" s="1388" t="s">
        <v>10113</v>
      </c>
      <c r="CR852" s="1388" t="s">
        <v>10113</v>
      </c>
      <c r="CS852" s="1388" t="s">
        <v>8788</v>
      </c>
      <c r="CT852" s="1388" t="s">
        <v>8789</v>
      </c>
      <c r="CU852" s="1388" t="s">
        <v>9276</v>
      </c>
      <c r="CV852" s="1389" t="s">
        <v>9277</v>
      </c>
      <c r="CX852" s="1379">
        <v>1</v>
      </c>
    </row>
    <row r="853" spans="91:102" ht="21" customHeight="1" x14ac:dyDescent="0.25">
      <c r="CM853" s="1377"/>
      <c r="CN853" s="1388" t="s">
        <v>10114</v>
      </c>
      <c r="CO853" s="1388" t="s">
        <v>8125</v>
      </c>
      <c r="CP853" s="1388" t="s">
        <v>8106</v>
      </c>
      <c r="CQ853" s="1388" t="s">
        <v>10115</v>
      </c>
      <c r="CR853" s="1388" t="s">
        <v>10115</v>
      </c>
      <c r="CS853" s="1388" t="s">
        <v>8788</v>
      </c>
      <c r="CT853" s="1388" t="s">
        <v>8789</v>
      </c>
      <c r="CU853" s="1388" t="s">
        <v>9276</v>
      </c>
      <c r="CV853" s="1389" t="s">
        <v>9277</v>
      </c>
      <c r="CX853" s="1379">
        <v>1</v>
      </c>
    </row>
    <row r="854" spans="91:102" ht="21" customHeight="1" x14ac:dyDescent="0.25">
      <c r="CM854" s="1377"/>
      <c r="CN854" s="1388" t="s">
        <v>10116</v>
      </c>
      <c r="CO854" s="1388" t="s">
        <v>8125</v>
      </c>
      <c r="CP854" s="1388" t="s">
        <v>8106</v>
      </c>
      <c r="CQ854" s="1388" t="s">
        <v>10117</v>
      </c>
      <c r="CR854" s="1388" t="s">
        <v>10117</v>
      </c>
      <c r="CS854" s="1388" t="s">
        <v>8788</v>
      </c>
      <c r="CT854" s="1388" t="s">
        <v>8789</v>
      </c>
      <c r="CU854" s="1388" t="s">
        <v>9276</v>
      </c>
      <c r="CV854" s="1389" t="s">
        <v>9277</v>
      </c>
      <c r="CX854" s="1379">
        <v>1</v>
      </c>
    </row>
    <row r="855" spans="91:102" ht="21" customHeight="1" x14ac:dyDescent="0.25">
      <c r="CM855" s="1377"/>
      <c r="CN855" s="1388" t="s">
        <v>10118</v>
      </c>
      <c r="CO855" s="1388" t="s">
        <v>8125</v>
      </c>
      <c r="CP855" s="1388" t="s">
        <v>8106</v>
      </c>
      <c r="CQ855" s="1388" t="s">
        <v>10119</v>
      </c>
      <c r="CR855" s="1388" t="s">
        <v>10119</v>
      </c>
      <c r="CS855" s="1388" t="s">
        <v>8788</v>
      </c>
      <c r="CT855" s="1388" t="s">
        <v>8789</v>
      </c>
      <c r="CU855" s="1388" t="s">
        <v>9276</v>
      </c>
      <c r="CV855" s="1389" t="s">
        <v>9277</v>
      </c>
      <c r="CX855" s="1379">
        <v>1</v>
      </c>
    </row>
    <row r="856" spans="91:102" ht="21" customHeight="1" x14ac:dyDescent="0.25">
      <c r="CM856" s="1377"/>
      <c r="CN856" s="1388" t="s">
        <v>10120</v>
      </c>
      <c r="CO856" s="1388" t="s">
        <v>8125</v>
      </c>
      <c r="CP856" s="1388" t="s">
        <v>8106</v>
      </c>
      <c r="CQ856" s="1388" t="s">
        <v>10121</v>
      </c>
      <c r="CR856" s="1388" t="s">
        <v>10121</v>
      </c>
      <c r="CS856" s="1388" t="s">
        <v>8788</v>
      </c>
      <c r="CT856" s="1388" t="s">
        <v>8789</v>
      </c>
      <c r="CU856" s="1388" t="s">
        <v>9276</v>
      </c>
      <c r="CV856" s="1389" t="s">
        <v>9277</v>
      </c>
      <c r="CX856" s="1379">
        <v>1</v>
      </c>
    </row>
    <row r="857" spans="91:102" ht="21" customHeight="1" x14ac:dyDescent="0.25">
      <c r="CM857" s="1377"/>
      <c r="CN857" s="1388" t="s">
        <v>10122</v>
      </c>
      <c r="CO857" s="1388" t="s">
        <v>8125</v>
      </c>
      <c r="CP857" s="1388" t="s">
        <v>8106</v>
      </c>
      <c r="CQ857" s="1388" t="s">
        <v>10123</v>
      </c>
      <c r="CR857" s="1388" t="s">
        <v>10123</v>
      </c>
      <c r="CS857" s="1388" t="s">
        <v>8788</v>
      </c>
      <c r="CT857" s="1388" t="s">
        <v>8789</v>
      </c>
      <c r="CU857" s="1388" t="s">
        <v>9276</v>
      </c>
      <c r="CV857" s="1389" t="s">
        <v>9277</v>
      </c>
      <c r="CX857" s="1379">
        <v>1</v>
      </c>
    </row>
    <row r="858" spans="91:102" ht="21" customHeight="1" x14ac:dyDescent="0.25">
      <c r="CM858" s="1377"/>
      <c r="CN858" s="1388" t="s">
        <v>10124</v>
      </c>
      <c r="CO858" s="1388" t="s">
        <v>8125</v>
      </c>
      <c r="CP858" s="1388" t="s">
        <v>8106</v>
      </c>
      <c r="CQ858" s="1388" t="s">
        <v>10125</v>
      </c>
      <c r="CR858" s="1388" t="s">
        <v>10125</v>
      </c>
      <c r="CS858" s="1388" t="s">
        <v>8788</v>
      </c>
      <c r="CT858" s="1388" t="s">
        <v>8789</v>
      </c>
      <c r="CU858" s="1388" t="s">
        <v>9276</v>
      </c>
      <c r="CV858" s="1389" t="s">
        <v>9277</v>
      </c>
      <c r="CX858" s="1379">
        <v>1</v>
      </c>
    </row>
    <row r="859" spans="91:102" ht="21" customHeight="1" x14ac:dyDescent="0.25">
      <c r="CM859" s="1377"/>
      <c r="CN859" s="1388" t="s">
        <v>10126</v>
      </c>
      <c r="CO859" s="1388" t="s">
        <v>8125</v>
      </c>
      <c r="CP859" s="1388" t="s">
        <v>8106</v>
      </c>
      <c r="CQ859" s="1388" t="s">
        <v>10127</v>
      </c>
      <c r="CR859" s="1388" t="s">
        <v>10127</v>
      </c>
      <c r="CS859" s="1388" t="s">
        <v>8788</v>
      </c>
      <c r="CT859" s="1388" t="s">
        <v>8789</v>
      </c>
      <c r="CU859" s="1388" t="s">
        <v>9276</v>
      </c>
      <c r="CV859" s="1389" t="s">
        <v>9277</v>
      </c>
      <c r="CX859" s="1379">
        <v>1</v>
      </c>
    </row>
    <row r="860" spans="91:102" ht="21" customHeight="1" x14ac:dyDescent="0.25">
      <c r="CM860" s="1377"/>
      <c r="CN860" s="1388" t="s">
        <v>10128</v>
      </c>
      <c r="CO860" s="1388" t="s">
        <v>8125</v>
      </c>
      <c r="CP860" s="1388" t="s">
        <v>8106</v>
      </c>
      <c r="CQ860" s="1388" t="s">
        <v>10129</v>
      </c>
      <c r="CR860" s="1388" t="s">
        <v>10129</v>
      </c>
      <c r="CS860" s="1388" t="s">
        <v>8788</v>
      </c>
      <c r="CT860" s="1388" t="s">
        <v>8789</v>
      </c>
      <c r="CU860" s="1388" t="s">
        <v>9276</v>
      </c>
      <c r="CV860" s="1389" t="s">
        <v>9277</v>
      </c>
      <c r="CX860" s="1379">
        <v>1</v>
      </c>
    </row>
    <row r="861" spans="91:102" ht="21" customHeight="1" x14ac:dyDescent="0.25">
      <c r="CM861" s="1377"/>
      <c r="CN861" s="1388" t="s">
        <v>10130</v>
      </c>
      <c r="CO861" s="1388" t="s">
        <v>8125</v>
      </c>
      <c r="CP861" s="1388" t="s">
        <v>8106</v>
      </c>
      <c r="CQ861" s="1388" t="s">
        <v>10131</v>
      </c>
      <c r="CR861" s="1388" t="s">
        <v>10131</v>
      </c>
      <c r="CS861" s="1388" t="s">
        <v>8788</v>
      </c>
      <c r="CT861" s="1388" t="s">
        <v>8789</v>
      </c>
      <c r="CU861" s="1388" t="s">
        <v>9276</v>
      </c>
      <c r="CV861" s="1389" t="s">
        <v>9277</v>
      </c>
      <c r="CX861" s="1379">
        <v>1</v>
      </c>
    </row>
    <row r="862" spans="91:102" ht="21" customHeight="1" x14ac:dyDescent="0.25">
      <c r="CM862" s="1377"/>
      <c r="CN862" s="1388" t="s">
        <v>10132</v>
      </c>
      <c r="CO862" s="1388" t="s">
        <v>8125</v>
      </c>
      <c r="CP862" s="1388" t="s">
        <v>8106</v>
      </c>
      <c r="CQ862" s="1388" t="s">
        <v>10133</v>
      </c>
      <c r="CR862" s="1388" t="s">
        <v>10133</v>
      </c>
      <c r="CS862" s="1388" t="s">
        <v>8788</v>
      </c>
      <c r="CT862" s="1388" t="s">
        <v>8789</v>
      </c>
      <c r="CU862" s="1388" t="s">
        <v>9276</v>
      </c>
      <c r="CV862" s="1389" t="s">
        <v>9277</v>
      </c>
      <c r="CX862" s="1379">
        <v>1</v>
      </c>
    </row>
    <row r="863" spans="91:102" ht="21" customHeight="1" x14ac:dyDescent="0.25">
      <c r="CM863" s="1377"/>
      <c r="CN863" s="1388" t="s">
        <v>10134</v>
      </c>
      <c r="CO863" s="1388" t="s">
        <v>8125</v>
      </c>
      <c r="CP863" s="1388" t="s">
        <v>8106</v>
      </c>
      <c r="CQ863" s="1388" t="s">
        <v>10135</v>
      </c>
      <c r="CR863" s="1388" t="s">
        <v>10135</v>
      </c>
      <c r="CS863" s="1388" t="s">
        <v>8788</v>
      </c>
      <c r="CT863" s="1388" t="s">
        <v>8789</v>
      </c>
      <c r="CU863" s="1388" t="s">
        <v>9276</v>
      </c>
      <c r="CV863" s="1389" t="s">
        <v>9277</v>
      </c>
      <c r="CX863" s="1379">
        <v>1</v>
      </c>
    </row>
    <row r="864" spans="91:102" ht="21" customHeight="1" x14ac:dyDescent="0.25">
      <c r="CM864" s="1377"/>
      <c r="CN864" s="1388" t="s">
        <v>10136</v>
      </c>
      <c r="CO864" s="1388" t="s">
        <v>8125</v>
      </c>
      <c r="CP864" s="1388" t="s">
        <v>8106</v>
      </c>
      <c r="CQ864" s="1388" t="s">
        <v>10137</v>
      </c>
      <c r="CR864" s="1388" t="s">
        <v>10137</v>
      </c>
      <c r="CS864" s="1388" t="s">
        <v>8788</v>
      </c>
      <c r="CT864" s="1388" t="s">
        <v>8789</v>
      </c>
      <c r="CU864" s="1388" t="s">
        <v>9276</v>
      </c>
      <c r="CV864" s="1389" t="s">
        <v>9277</v>
      </c>
      <c r="CX864" s="1379">
        <v>1</v>
      </c>
    </row>
    <row r="865" spans="91:102" ht="21" customHeight="1" x14ac:dyDescent="0.25">
      <c r="CM865" s="1377"/>
      <c r="CN865" s="1388" t="s">
        <v>10138</v>
      </c>
      <c r="CO865" s="1388" t="s">
        <v>8125</v>
      </c>
      <c r="CP865" s="1388" t="s">
        <v>8106</v>
      </c>
      <c r="CQ865" s="1388" t="s">
        <v>10139</v>
      </c>
      <c r="CR865" s="1388" t="s">
        <v>10139</v>
      </c>
      <c r="CS865" s="1388" t="s">
        <v>8788</v>
      </c>
      <c r="CT865" s="1388" t="s">
        <v>8789</v>
      </c>
      <c r="CU865" s="1388" t="s">
        <v>9276</v>
      </c>
      <c r="CV865" s="1389" t="s">
        <v>9277</v>
      </c>
      <c r="CX865" s="1379">
        <v>1</v>
      </c>
    </row>
    <row r="866" spans="91:102" ht="21" customHeight="1" x14ac:dyDescent="0.25">
      <c r="CM866" s="1377"/>
      <c r="CN866" s="1388" t="s">
        <v>10140</v>
      </c>
      <c r="CO866" s="1388" t="s">
        <v>8125</v>
      </c>
      <c r="CP866" s="1388" t="s">
        <v>8106</v>
      </c>
      <c r="CQ866" s="1388" t="s">
        <v>10141</v>
      </c>
      <c r="CR866" s="1388" t="s">
        <v>10141</v>
      </c>
      <c r="CS866" s="1388" t="s">
        <v>8788</v>
      </c>
      <c r="CT866" s="1388" t="s">
        <v>8789</v>
      </c>
      <c r="CU866" s="1388" t="s">
        <v>9276</v>
      </c>
      <c r="CV866" s="1389" t="s">
        <v>9277</v>
      </c>
      <c r="CX866" s="1379">
        <v>1</v>
      </c>
    </row>
    <row r="867" spans="91:102" ht="21" customHeight="1" x14ac:dyDescent="0.25">
      <c r="CM867" s="1377"/>
      <c r="CN867" s="1388" t="s">
        <v>10142</v>
      </c>
      <c r="CO867" s="1388" t="s">
        <v>8125</v>
      </c>
      <c r="CP867" s="1388" t="s">
        <v>8106</v>
      </c>
      <c r="CQ867" s="1388" t="s">
        <v>10143</v>
      </c>
      <c r="CR867" s="1388" t="s">
        <v>10143</v>
      </c>
      <c r="CS867" s="1388" t="s">
        <v>8788</v>
      </c>
      <c r="CT867" s="1388" t="s">
        <v>8789</v>
      </c>
      <c r="CU867" s="1388" t="s">
        <v>9276</v>
      </c>
      <c r="CV867" s="1389" t="s">
        <v>9277</v>
      </c>
      <c r="CX867" s="1379">
        <v>1</v>
      </c>
    </row>
    <row r="868" spans="91:102" ht="21" customHeight="1" x14ac:dyDescent="0.25">
      <c r="CM868" s="1377"/>
      <c r="CN868" s="1388" t="s">
        <v>10144</v>
      </c>
      <c r="CO868" s="1388" t="s">
        <v>8125</v>
      </c>
      <c r="CP868" s="1388" t="s">
        <v>8106</v>
      </c>
      <c r="CQ868" s="1388" t="s">
        <v>10145</v>
      </c>
      <c r="CR868" s="1388" t="s">
        <v>10145</v>
      </c>
      <c r="CS868" s="1388" t="s">
        <v>8788</v>
      </c>
      <c r="CT868" s="1388" t="s">
        <v>8789</v>
      </c>
      <c r="CU868" s="1388" t="s">
        <v>9276</v>
      </c>
      <c r="CV868" s="1389" t="s">
        <v>9277</v>
      </c>
      <c r="CX868" s="1379">
        <v>1</v>
      </c>
    </row>
    <row r="869" spans="91:102" ht="21" customHeight="1" x14ac:dyDescent="0.25">
      <c r="CM869" s="1377"/>
      <c r="CN869" s="1388" t="s">
        <v>10146</v>
      </c>
      <c r="CO869" s="1388" t="s">
        <v>8125</v>
      </c>
      <c r="CP869" s="1388" t="s">
        <v>8106</v>
      </c>
      <c r="CQ869" s="1388" t="s">
        <v>10147</v>
      </c>
      <c r="CR869" s="1388" t="s">
        <v>10147</v>
      </c>
      <c r="CS869" s="1388" t="s">
        <v>8788</v>
      </c>
      <c r="CT869" s="1388" t="s">
        <v>8789</v>
      </c>
      <c r="CU869" s="1388" t="s">
        <v>9276</v>
      </c>
      <c r="CV869" s="1389" t="s">
        <v>9277</v>
      </c>
      <c r="CX869" s="1379">
        <v>1</v>
      </c>
    </row>
    <row r="870" spans="91:102" ht="21" customHeight="1" x14ac:dyDescent="0.25">
      <c r="CM870" s="1377"/>
      <c r="CN870" s="1388" t="s">
        <v>10148</v>
      </c>
      <c r="CO870" s="1388" t="s">
        <v>8125</v>
      </c>
      <c r="CP870" s="1388" t="s">
        <v>8106</v>
      </c>
      <c r="CQ870" s="1388" t="s">
        <v>10149</v>
      </c>
      <c r="CR870" s="1388" t="s">
        <v>10149</v>
      </c>
      <c r="CS870" s="1388" t="s">
        <v>8788</v>
      </c>
      <c r="CT870" s="1388" t="s">
        <v>8789</v>
      </c>
      <c r="CU870" s="1388" t="s">
        <v>9276</v>
      </c>
      <c r="CV870" s="1389" t="s">
        <v>9277</v>
      </c>
      <c r="CX870" s="1379">
        <v>1</v>
      </c>
    </row>
    <row r="871" spans="91:102" ht="21" customHeight="1" x14ac:dyDescent="0.25">
      <c r="CM871" s="1377"/>
      <c r="CN871" s="1388" t="s">
        <v>10150</v>
      </c>
      <c r="CO871" s="1388" t="s">
        <v>8125</v>
      </c>
      <c r="CP871" s="1388" t="s">
        <v>8106</v>
      </c>
      <c r="CQ871" s="1388" t="s">
        <v>10151</v>
      </c>
      <c r="CR871" s="1388" t="s">
        <v>10151</v>
      </c>
      <c r="CS871" s="1388" t="s">
        <v>8788</v>
      </c>
      <c r="CT871" s="1388" t="s">
        <v>8789</v>
      </c>
      <c r="CU871" s="1388" t="s">
        <v>9276</v>
      </c>
      <c r="CV871" s="1389" t="s">
        <v>9277</v>
      </c>
      <c r="CX871" s="1379">
        <v>1</v>
      </c>
    </row>
    <row r="872" spans="91:102" ht="21" customHeight="1" x14ac:dyDescent="0.25">
      <c r="CM872" s="1377"/>
      <c r="CN872" s="1388" t="s">
        <v>10152</v>
      </c>
      <c r="CO872" s="1388" t="s">
        <v>8125</v>
      </c>
      <c r="CP872" s="1388" t="s">
        <v>8106</v>
      </c>
      <c r="CQ872" s="1388" t="s">
        <v>10153</v>
      </c>
      <c r="CR872" s="1388" t="s">
        <v>10153</v>
      </c>
      <c r="CS872" s="1388" t="s">
        <v>8788</v>
      </c>
      <c r="CT872" s="1388" t="s">
        <v>8789</v>
      </c>
      <c r="CU872" s="1388" t="s">
        <v>9276</v>
      </c>
      <c r="CV872" s="1389" t="s">
        <v>9277</v>
      </c>
      <c r="CX872" s="1379">
        <v>1</v>
      </c>
    </row>
    <row r="873" spans="91:102" ht="21" customHeight="1" x14ac:dyDescent="0.25">
      <c r="CM873" s="1377"/>
      <c r="CN873" s="1388" t="s">
        <v>10154</v>
      </c>
      <c r="CO873" s="1388" t="s">
        <v>8125</v>
      </c>
      <c r="CP873" s="1388" t="s">
        <v>8106</v>
      </c>
      <c r="CQ873" s="1388" t="s">
        <v>10155</v>
      </c>
      <c r="CR873" s="1388" t="s">
        <v>10155</v>
      </c>
      <c r="CS873" s="1388" t="s">
        <v>8788</v>
      </c>
      <c r="CT873" s="1388" t="s">
        <v>8789</v>
      </c>
      <c r="CU873" s="1388" t="s">
        <v>9276</v>
      </c>
      <c r="CV873" s="1389" t="s">
        <v>9277</v>
      </c>
      <c r="CX873" s="1379">
        <v>1</v>
      </c>
    </row>
    <row r="874" spans="91:102" ht="21" customHeight="1" x14ac:dyDescent="0.25">
      <c r="CM874" s="1377"/>
      <c r="CN874" s="1388" t="s">
        <v>10156</v>
      </c>
      <c r="CO874" s="1388" t="s">
        <v>8125</v>
      </c>
      <c r="CP874" s="1388" t="s">
        <v>8106</v>
      </c>
      <c r="CQ874" s="1388" t="s">
        <v>10157</v>
      </c>
      <c r="CR874" s="1388" t="s">
        <v>10157</v>
      </c>
      <c r="CS874" s="1388" t="s">
        <v>8788</v>
      </c>
      <c r="CT874" s="1388" t="s">
        <v>8789</v>
      </c>
      <c r="CU874" s="1388" t="s">
        <v>9276</v>
      </c>
      <c r="CV874" s="1389" t="s">
        <v>9277</v>
      </c>
      <c r="CX874" s="1379">
        <v>1</v>
      </c>
    </row>
    <row r="875" spans="91:102" ht="21" customHeight="1" x14ac:dyDescent="0.25">
      <c r="CM875" s="1377"/>
      <c r="CN875" s="1388" t="s">
        <v>10158</v>
      </c>
      <c r="CO875" s="1388" t="s">
        <v>8125</v>
      </c>
      <c r="CP875" s="1388" t="s">
        <v>8106</v>
      </c>
      <c r="CQ875" s="1388" t="s">
        <v>10159</v>
      </c>
      <c r="CR875" s="1388" t="s">
        <v>10159</v>
      </c>
      <c r="CS875" s="1388" t="s">
        <v>8788</v>
      </c>
      <c r="CT875" s="1388" t="s">
        <v>8789</v>
      </c>
      <c r="CU875" s="1388" t="s">
        <v>9276</v>
      </c>
      <c r="CV875" s="1389" t="s">
        <v>9277</v>
      </c>
      <c r="CX875" s="1379">
        <v>1</v>
      </c>
    </row>
    <row r="876" spans="91:102" ht="21" customHeight="1" x14ac:dyDescent="0.25">
      <c r="CM876" s="1377"/>
      <c r="CN876" s="1388" t="s">
        <v>10160</v>
      </c>
      <c r="CO876" s="1388" t="s">
        <v>8125</v>
      </c>
      <c r="CP876" s="1388" t="s">
        <v>8106</v>
      </c>
      <c r="CQ876" s="1388" t="s">
        <v>10161</v>
      </c>
      <c r="CR876" s="1388" t="s">
        <v>10161</v>
      </c>
      <c r="CS876" s="1388" t="s">
        <v>8788</v>
      </c>
      <c r="CT876" s="1388" t="s">
        <v>8789</v>
      </c>
      <c r="CU876" s="1388" t="s">
        <v>9276</v>
      </c>
      <c r="CV876" s="1389" t="s">
        <v>9277</v>
      </c>
      <c r="CX876" s="1379">
        <v>1</v>
      </c>
    </row>
    <row r="877" spans="91:102" ht="21" customHeight="1" x14ac:dyDescent="0.25">
      <c r="CM877" s="1377"/>
      <c r="CN877" s="1388" t="s">
        <v>10162</v>
      </c>
      <c r="CO877" s="1388" t="s">
        <v>8125</v>
      </c>
      <c r="CP877" s="1388" t="s">
        <v>8106</v>
      </c>
      <c r="CQ877" s="1388" t="s">
        <v>10163</v>
      </c>
      <c r="CR877" s="1388" t="s">
        <v>10163</v>
      </c>
      <c r="CS877" s="1388" t="s">
        <v>8788</v>
      </c>
      <c r="CT877" s="1388" t="s">
        <v>8789</v>
      </c>
      <c r="CU877" s="1388" t="s">
        <v>9276</v>
      </c>
      <c r="CV877" s="1389" t="s">
        <v>9277</v>
      </c>
      <c r="CX877" s="1379">
        <v>1</v>
      </c>
    </row>
    <row r="878" spans="91:102" ht="21" customHeight="1" x14ac:dyDescent="0.25">
      <c r="CM878" s="1377"/>
      <c r="CN878" s="1388" t="s">
        <v>10164</v>
      </c>
      <c r="CO878" s="1388" t="s">
        <v>8125</v>
      </c>
      <c r="CP878" s="1388" t="s">
        <v>8106</v>
      </c>
      <c r="CQ878" s="1388" t="s">
        <v>10165</v>
      </c>
      <c r="CR878" s="1388" t="s">
        <v>10165</v>
      </c>
      <c r="CS878" s="1388" t="s">
        <v>8788</v>
      </c>
      <c r="CT878" s="1388" t="s">
        <v>8789</v>
      </c>
      <c r="CU878" s="1388" t="s">
        <v>9276</v>
      </c>
      <c r="CV878" s="1389" t="s">
        <v>9277</v>
      </c>
      <c r="CX878" s="1379">
        <v>1</v>
      </c>
    </row>
    <row r="879" spans="91:102" ht="21" customHeight="1" x14ac:dyDescent="0.25">
      <c r="CM879" s="1377"/>
      <c r="CN879" s="1388" t="s">
        <v>10166</v>
      </c>
      <c r="CO879" s="1388" t="s">
        <v>8125</v>
      </c>
      <c r="CP879" s="1388" t="s">
        <v>8106</v>
      </c>
      <c r="CQ879" s="1388" t="s">
        <v>10167</v>
      </c>
      <c r="CR879" s="1388" t="s">
        <v>10167</v>
      </c>
      <c r="CS879" s="1388" t="s">
        <v>8788</v>
      </c>
      <c r="CT879" s="1388" t="s">
        <v>8789</v>
      </c>
      <c r="CU879" s="1388" t="s">
        <v>9276</v>
      </c>
      <c r="CV879" s="1389" t="s">
        <v>9277</v>
      </c>
      <c r="CX879" s="1379">
        <v>1</v>
      </c>
    </row>
    <row r="880" spans="91:102" ht="21" customHeight="1" x14ac:dyDescent="0.25">
      <c r="CM880" s="1377"/>
      <c r="CN880" s="1388" t="s">
        <v>10168</v>
      </c>
      <c r="CO880" s="1388" t="s">
        <v>8125</v>
      </c>
      <c r="CP880" s="1388" t="s">
        <v>8106</v>
      </c>
      <c r="CQ880" s="1388" t="s">
        <v>10169</v>
      </c>
      <c r="CR880" s="1388" t="s">
        <v>10169</v>
      </c>
      <c r="CS880" s="1388" t="s">
        <v>8788</v>
      </c>
      <c r="CT880" s="1388" t="s">
        <v>8789</v>
      </c>
      <c r="CU880" s="1388" t="s">
        <v>9276</v>
      </c>
      <c r="CV880" s="1389" t="s">
        <v>9277</v>
      </c>
      <c r="CX880" s="1379">
        <v>1</v>
      </c>
    </row>
    <row r="881" spans="91:102" ht="21" customHeight="1" x14ac:dyDescent="0.25">
      <c r="CM881" s="1377"/>
      <c r="CN881" s="1388" t="s">
        <v>10170</v>
      </c>
      <c r="CO881" s="1388" t="s">
        <v>8125</v>
      </c>
      <c r="CP881" s="1388" t="s">
        <v>8106</v>
      </c>
      <c r="CQ881" s="1388" t="s">
        <v>10171</v>
      </c>
      <c r="CR881" s="1388" t="s">
        <v>10171</v>
      </c>
      <c r="CS881" s="1388" t="s">
        <v>8788</v>
      </c>
      <c r="CT881" s="1388" t="s">
        <v>8789</v>
      </c>
      <c r="CU881" s="1388" t="s">
        <v>9276</v>
      </c>
      <c r="CV881" s="1389" t="s">
        <v>9277</v>
      </c>
      <c r="CX881" s="1379">
        <v>1</v>
      </c>
    </row>
    <row r="882" spans="91:102" ht="21" customHeight="1" x14ac:dyDescent="0.25">
      <c r="CM882" s="1377"/>
      <c r="CN882" s="1388" t="s">
        <v>10172</v>
      </c>
      <c r="CO882" s="1388" t="s">
        <v>8125</v>
      </c>
      <c r="CP882" s="1388" t="s">
        <v>8106</v>
      </c>
      <c r="CQ882" s="1388" t="s">
        <v>10173</v>
      </c>
      <c r="CR882" s="1388" t="s">
        <v>10173</v>
      </c>
      <c r="CS882" s="1388" t="s">
        <v>8788</v>
      </c>
      <c r="CT882" s="1388" t="s">
        <v>8789</v>
      </c>
      <c r="CU882" s="1388" t="s">
        <v>9276</v>
      </c>
      <c r="CV882" s="1389" t="s">
        <v>9277</v>
      </c>
      <c r="CX882" s="1379">
        <v>1</v>
      </c>
    </row>
    <row r="883" spans="91:102" ht="21" customHeight="1" x14ac:dyDescent="0.25">
      <c r="CM883" s="1377"/>
      <c r="CN883" s="1388" t="s">
        <v>10174</v>
      </c>
      <c r="CO883" s="1388" t="s">
        <v>8125</v>
      </c>
      <c r="CP883" s="1388" t="s">
        <v>8106</v>
      </c>
      <c r="CQ883" s="1388" t="s">
        <v>10175</v>
      </c>
      <c r="CR883" s="1388" t="s">
        <v>10175</v>
      </c>
      <c r="CS883" s="1388" t="s">
        <v>8788</v>
      </c>
      <c r="CT883" s="1388" t="s">
        <v>8789</v>
      </c>
      <c r="CU883" s="1388" t="s">
        <v>9276</v>
      </c>
      <c r="CV883" s="1389" t="s">
        <v>9277</v>
      </c>
      <c r="CX883" s="1379">
        <v>1</v>
      </c>
    </row>
    <row r="884" spans="91:102" ht="21" customHeight="1" x14ac:dyDescent="0.25">
      <c r="CM884" s="1377"/>
      <c r="CN884" s="1388" t="s">
        <v>10176</v>
      </c>
      <c r="CO884" s="1388" t="s">
        <v>8125</v>
      </c>
      <c r="CP884" s="1388" t="s">
        <v>8106</v>
      </c>
      <c r="CQ884" s="1388" t="s">
        <v>10177</v>
      </c>
      <c r="CR884" s="1388" t="s">
        <v>10177</v>
      </c>
      <c r="CS884" s="1388" t="s">
        <v>8788</v>
      </c>
      <c r="CT884" s="1388" t="s">
        <v>8789</v>
      </c>
      <c r="CU884" s="1388" t="s">
        <v>9276</v>
      </c>
      <c r="CV884" s="1389" t="s">
        <v>9277</v>
      </c>
      <c r="CX884" s="1379">
        <v>1</v>
      </c>
    </row>
    <row r="885" spans="91:102" ht="21" customHeight="1" x14ac:dyDescent="0.25">
      <c r="CM885" s="1377"/>
      <c r="CN885" s="1388" t="s">
        <v>10178</v>
      </c>
      <c r="CO885" s="1388" t="s">
        <v>8125</v>
      </c>
      <c r="CP885" s="1388" t="s">
        <v>8106</v>
      </c>
      <c r="CQ885" s="1388" t="s">
        <v>10179</v>
      </c>
      <c r="CR885" s="1388" t="s">
        <v>10179</v>
      </c>
      <c r="CS885" s="1388" t="s">
        <v>8788</v>
      </c>
      <c r="CT885" s="1388" t="s">
        <v>8789</v>
      </c>
      <c r="CU885" s="1388" t="s">
        <v>9276</v>
      </c>
      <c r="CV885" s="1389" t="s">
        <v>9277</v>
      </c>
      <c r="CX885" s="1379">
        <v>1</v>
      </c>
    </row>
    <row r="886" spans="91:102" ht="21" customHeight="1" x14ac:dyDescent="0.25">
      <c r="CM886" s="1377"/>
      <c r="CN886" s="1388" t="s">
        <v>10180</v>
      </c>
      <c r="CO886" s="1388" t="s">
        <v>8125</v>
      </c>
      <c r="CP886" s="1388" t="s">
        <v>8106</v>
      </c>
      <c r="CQ886" s="1388" t="s">
        <v>10181</v>
      </c>
      <c r="CR886" s="1388" t="s">
        <v>10181</v>
      </c>
      <c r="CS886" s="1388" t="s">
        <v>8788</v>
      </c>
      <c r="CT886" s="1388" t="s">
        <v>8789</v>
      </c>
      <c r="CU886" s="1388" t="s">
        <v>9276</v>
      </c>
      <c r="CV886" s="1389" t="s">
        <v>9277</v>
      </c>
      <c r="CX886" s="1379">
        <v>1</v>
      </c>
    </row>
    <row r="887" spans="91:102" ht="21" customHeight="1" x14ac:dyDescent="0.25">
      <c r="CM887" s="1377"/>
      <c r="CN887" s="1388" t="s">
        <v>10182</v>
      </c>
      <c r="CO887" s="1388" t="s">
        <v>8125</v>
      </c>
      <c r="CP887" s="1388" t="s">
        <v>8106</v>
      </c>
      <c r="CQ887" s="1388" t="s">
        <v>10183</v>
      </c>
      <c r="CR887" s="1388" t="s">
        <v>10183</v>
      </c>
      <c r="CS887" s="1388" t="s">
        <v>8194</v>
      </c>
      <c r="CT887" s="1388" t="s">
        <v>8195</v>
      </c>
      <c r="CU887" s="1388" t="s">
        <v>8110</v>
      </c>
      <c r="CV887" s="1389" t="s">
        <v>8196</v>
      </c>
      <c r="CX887" s="1379">
        <v>1</v>
      </c>
    </row>
    <row r="888" spans="91:102" ht="21" customHeight="1" x14ac:dyDescent="0.25">
      <c r="CM888" s="1377"/>
      <c r="CN888" s="1388" t="s">
        <v>10184</v>
      </c>
      <c r="CO888" s="1388" t="s">
        <v>8125</v>
      </c>
      <c r="CP888" s="1388" t="s">
        <v>8106</v>
      </c>
      <c r="CQ888" s="1388" t="s">
        <v>10185</v>
      </c>
      <c r="CR888" s="1388" t="s">
        <v>10185</v>
      </c>
      <c r="CS888" s="1388" t="s">
        <v>8788</v>
      </c>
      <c r="CT888" s="1388" t="s">
        <v>8789</v>
      </c>
      <c r="CU888" s="1388" t="s">
        <v>9276</v>
      </c>
      <c r="CV888" s="1389" t="s">
        <v>9277</v>
      </c>
      <c r="CX888" s="1379">
        <v>1</v>
      </c>
    </row>
    <row r="889" spans="91:102" ht="21" customHeight="1" x14ac:dyDescent="0.25">
      <c r="CM889" s="1377"/>
      <c r="CN889" s="1388" t="s">
        <v>10186</v>
      </c>
      <c r="CO889" s="1388" t="s">
        <v>8125</v>
      </c>
      <c r="CP889" s="1388" t="s">
        <v>8106</v>
      </c>
      <c r="CQ889" s="1388" t="s">
        <v>10187</v>
      </c>
      <c r="CR889" s="1388" t="s">
        <v>10187</v>
      </c>
      <c r="CS889" s="1388" t="s">
        <v>8788</v>
      </c>
      <c r="CT889" s="1388" t="s">
        <v>8789</v>
      </c>
      <c r="CU889" s="1388" t="s">
        <v>9276</v>
      </c>
      <c r="CV889" s="1389" t="s">
        <v>9277</v>
      </c>
      <c r="CX889" s="1379">
        <v>1</v>
      </c>
    </row>
    <row r="890" spans="91:102" ht="21" customHeight="1" x14ac:dyDescent="0.25">
      <c r="CM890" s="1377"/>
      <c r="CN890" s="1388" t="s">
        <v>10188</v>
      </c>
      <c r="CO890" s="1388" t="s">
        <v>8125</v>
      </c>
      <c r="CP890" s="1388" t="s">
        <v>8106</v>
      </c>
      <c r="CQ890" s="1388" t="s">
        <v>10189</v>
      </c>
      <c r="CR890" s="1388" t="s">
        <v>10189</v>
      </c>
      <c r="CS890" s="1388" t="s">
        <v>8788</v>
      </c>
      <c r="CT890" s="1388" t="s">
        <v>8789</v>
      </c>
      <c r="CU890" s="1388" t="s">
        <v>9276</v>
      </c>
      <c r="CV890" s="1389" t="s">
        <v>9277</v>
      </c>
      <c r="CX890" s="1379">
        <v>1</v>
      </c>
    </row>
    <row r="891" spans="91:102" ht="21" customHeight="1" x14ac:dyDescent="0.25">
      <c r="CM891" s="1377"/>
      <c r="CN891" s="1388" t="s">
        <v>10190</v>
      </c>
      <c r="CO891" s="1388" t="s">
        <v>8125</v>
      </c>
      <c r="CP891" s="1388" t="s">
        <v>8106</v>
      </c>
      <c r="CQ891" s="1388" t="s">
        <v>10191</v>
      </c>
      <c r="CR891" s="1388" t="s">
        <v>10191</v>
      </c>
      <c r="CS891" s="1388" t="s">
        <v>8788</v>
      </c>
      <c r="CT891" s="1388" t="s">
        <v>8789</v>
      </c>
      <c r="CU891" s="1388" t="s">
        <v>9276</v>
      </c>
      <c r="CV891" s="1389" t="s">
        <v>9277</v>
      </c>
      <c r="CX891" s="1379">
        <v>1</v>
      </c>
    </row>
    <row r="892" spans="91:102" ht="21" customHeight="1" x14ac:dyDescent="0.25">
      <c r="CM892" s="1377"/>
      <c r="CN892" s="1388" t="s">
        <v>10192</v>
      </c>
      <c r="CO892" s="1388" t="s">
        <v>8125</v>
      </c>
      <c r="CP892" s="1388" t="s">
        <v>8106</v>
      </c>
      <c r="CQ892" s="1388" t="s">
        <v>10193</v>
      </c>
      <c r="CR892" s="1388" t="s">
        <v>10193</v>
      </c>
      <c r="CS892" s="1388" t="s">
        <v>8788</v>
      </c>
      <c r="CT892" s="1388" t="s">
        <v>8789</v>
      </c>
      <c r="CU892" s="1388" t="s">
        <v>9276</v>
      </c>
      <c r="CV892" s="1389" t="s">
        <v>9277</v>
      </c>
      <c r="CX892" s="1379">
        <v>1</v>
      </c>
    </row>
    <row r="893" spans="91:102" ht="21" customHeight="1" x14ac:dyDescent="0.25">
      <c r="CM893" s="1377"/>
      <c r="CN893" s="1388" t="s">
        <v>10194</v>
      </c>
      <c r="CO893" s="1388" t="s">
        <v>8125</v>
      </c>
      <c r="CP893" s="1388" t="s">
        <v>8106</v>
      </c>
      <c r="CQ893" s="1388" t="s">
        <v>10195</v>
      </c>
      <c r="CR893" s="1388" t="s">
        <v>10195</v>
      </c>
      <c r="CS893" s="1388" t="s">
        <v>8788</v>
      </c>
      <c r="CT893" s="1388" t="s">
        <v>8789</v>
      </c>
      <c r="CU893" s="1388" t="s">
        <v>9276</v>
      </c>
      <c r="CV893" s="1389" t="s">
        <v>9277</v>
      </c>
      <c r="CX893" s="1379">
        <v>1</v>
      </c>
    </row>
    <row r="894" spans="91:102" ht="21" customHeight="1" x14ac:dyDescent="0.25">
      <c r="CM894" s="1377"/>
      <c r="CN894" s="1388" t="s">
        <v>10196</v>
      </c>
      <c r="CO894" s="1388" t="s">
        <v>8125</v>
      </c>
      <c r="CP894" s="1388" t="s">
        <v>8106</v>
      </c>
      <c r="CQ894" s="1388" t="s">
        <v>10197</v>
      </c>
      <c r="CR894" s="1388" t="s">
        <v>10197</v>
      </c>
      <c r="CS894" s="1388" t="s">
        <v>8788</v>
      </c>
      <c r="CT894" s="1388" t="s">
        <v>8789</v>
      </c>
      <c r="CU894" s="1388" t="s">
        <v>9276</v>
      </c>
      <c r="CV894" s="1389" t="s">
        <v>9277</v>
      </c>
      <c r="CX894" s="1379">
        <v>1</v>
      </c>
    </row>
    <row r="895" spans="91:102" ht="21" customHeight="1" x14ac:dyDescent="0.25">
      <c r="CM895" s="1377"/>
      <c r="CN895" s="1388" t="s">
        <v>10198</v>
      </c>
      <c r="CO895" s="1388" t="s">
        <v>8125</v>
      </c>
      <c r="CP895" s="1388" t="s">
        <v>8106</v>
      </c>
      <c r="CQ895" s="1388" t="s">
        <v>10199</v>
      </c>
      <c r="CR895" s="1388" t="s">
        <v>10199</v>
      </c>
      <c r="CS895" s="1388" t="s">
        <v>8788</v>
      </c>
      <c r="CT895" s="1388" t="s">
        <v>8789</v>
      </c>
      <c r="CU895" s="1388" t="s">
        <v>9276</v>
      </c>
      <c r="CV895" s="1389" t="s">
        <v>9277</v>
      </c>
      <c r="CX895" s="1379">
        <v>1</v>
      </c>
    </row>
    <row r="896" spans="91:102" ht="21" customHeight="1" x14ac:dyDescent="0.25">
      <c r="CM896" s="1377"/>
      <c r="CN896" s="1388" t="s">
        <v>10200</v>
      </c>
      <c r="CO896" s="1388" t="s">
        <v>8125</v>
      </c>
      <c r="CP896" s="1388" t="s">
        <v>8106</v>
      </c>
      <c r="CQ896" s="1388" t="s">
        <v>10201</v>
      </c>
      <c r="CR896" s="1388" t="s">
        <v>10201</v>
      </c>
      <c r="CS896" s="1388" t="s">
        <v>8788</v>
      </c>
      <c r="CT896" s="1388" t="s">
        <v>8789</v>
      </c>
      <c r="CU896" s="1388" t="s">
        <v>9276</v>
      </c>
      <c r="CV896" s="1389" t="s">
        <v>9277</v>
      </c>
      <c r="CX896" s="1379">
        <v>1</v>
      </c>
    </row>
    <row r="897" spans="91:102" ht="21" customHeight="1" x14ac:dyDescent="0.25">
      <c r="CM897" s="1377"/>
      <c r="CN897" s="1388" t="s">
        <v>10202</v>
      </c>
      <c r="CO897" s="1388" t="s">
        <v>8125</v>
      </c>
      <c r="CP897" s="1388" t="s">
        <v>8106</v>
      </c>
      <c r="CQ897" s="1388" t="s">
        <v>10203</v>
      </c>
      <c r="CR897" s="1388" t="s">
        <v>10203</v>
      </c>
      <c r="CS897" s="1388" t="s">
        <v>8788</v>
      </c>
      <c r="CT897" s="1388" t="s">
        <v>8789</v>
      </c>
      <c r="CU897" s="1388" t="s">
        <v>9276</v>
      </c>
      <c r="CV897" s="1389" t="s">
        <v>9277</v>
      </c>
      <c r="CX897" s="1379">
        <v>1</v>
      </c>
    </row>
    <row r="898" spans="91:102" ht="21" customHeight="1" x14ac:dyDescent="0.25">
      <c r="CM898" s="1377"/>
      <c r="CN898" s="1388" t="s">
        <v>10204</v>
      </c>
      <c r="CO898" s="1388" t="s">
        <v>8125</v>
      </c>
      <c r="CP898" s="1388" t="s">
        <v>8106</v>
      </c>
      <c r="CQ898" s="1388" t="s">
        <v>10205</v>
      </c>
      <c r="CR898" s="1388" t="s">
        <v>10205</v>
      </c>
      <c r="CS898" s="1388" t="s">
        <v>8788</v>
      </c>
      <c r="CT898" s="1388" t="s">
        <v>8789</v>
      </c>
      <c r="CU898" s="1388" t="s">
        <v>9276</v>
      </c>
      <c r="CV898" s="1389" t="s">
        <v>9277</v>
      </c>
      <c r="CX898" s="1379">
        <v>1</v>
      </c>
    </row>
    <row r="899" spans="91:102" ht="21" customHeight="1" x14ac:dyDescent="0.25">
      <c r="CM899" s="1377"/>
      <c r="CN899" s="1388" t="s">
        <v>10206</v>
      </c>
      <c r="CO899" s="1388" t="s">
        <v>8125</v>
      </c>
      <c r="CP899" s="1388" t="s">
        <v>8106</v>
      </c>
      <c r="CQ899" s="1388" t="s">
        <v>10207</v>
      </c>
      <c r="CR899" s="1388" t="s">
        <v>10207</v>
      </c>
      <c r="CS899" s="1388" t="s">
        <v>8788</v>
      </c>
      <c r="CT899" s="1388" t="s">
        <v>8789</v>
      </c>
      <c r="CU899" s="1388" t="s">
        <v>9276</v>
      </c>
      <c r="CV899" s="1389" t="s">
        <v>9277</v>
      </c>
      <c r="CX899" s="1379">
        <v>1</v>
      </c>
    </row>
    <row r="900" spans="91:102" ht="21" customHeight="1" x14ac:dyDescent="0.25">
      <c r="CM900" s="1377"/>
      <c r="CN900" s="1388" t="s">
        <v>10208</v>
      </c>
      <c r="CO900" s="1388" t="s">
        <v>8125</v>
      </c>
      <c r="CP900" s="1388" t="s">
        <v>8106</v>
      </c>
      <c r="CQ900" s="1388" t="s">
        <v>10209</v>
      </c>
      <c r="CR900" s="1388" t="s">
        <v>10209</v>
      </c>
      <c r="CS900" s="1388" t="s">
        <v>8788</v>
      </c>
      <c r="CT900" s="1388" t="s">
        <v>8789</v>
      </c>
      <c r="CU900" s="1388" t="s">
        <v>9276</v>
      </c>
      <c r="CV900" s="1389" t="s">
        <v>9277</v>
      </c>
      <c r="CX900" s="1379">
        <v>1</v>
      </c>
    </row>
    <row r="901" spans="91:102" ht="21" customHeight="1" x14ac:dyDescent="0.25">
      <c r="CM901" s="1377"/>
      <c r="CN901" s="1388" t="s">
        <v>10210</v>
      </c>
      <c r="CO901" s="1388" t="s">
        <v>8125</v>
      </c>
      <c r="CP901" s="1388" t="s">
        <v>8106</v>
      </c>
      <c r="CQ901" s="1388" t="s">
        <v>10211</v>
      </c>
      <c r="CR901" s="1388" t="s">
        <v>10211</v>
      </c>
      <c r="CS901" s="1388" t="s">
        <v>8788</v>
      </c>
      <c r="CT901" s="1388" t="s">
        <v>8789</v>
      </c>
      <c r="CU901" s="1388" t="s">
        <v>9276</v>
      </c>
      <c r="CV901" s="1389" t="s">
        <v>9277</v>
      </c>
      <c r="CX901" s="1379">
        <v>1</v>
      </c>
    </row>
    <row r="902" spans="91:102" ht="21" customHeight="1" x14ac:dyDescent="0.25">
      <c r="CM902" s="1377"/>
      <c r="CN902" s="1388" t="s">
        <v>10212</v>
      </c>
      <c r="CO902" s="1388" t="s">
        <v>8125</v>
      </c>
      <c r="CP902" s="1388" t="s">
        <v>8106</v>
      </c>
      <c r="CQ902" s="1388" t="s">
        <v>10213</v>
      </c>
      <c r="CR902" s="1388" t="s">
        <v>10213</v>
      </c>
      <c r="CS902" s="1388" t="s">
        <v>8788</v>
      </c>
      <c r="CT902" s="1388" t="s">
        <v>8789</v>
      </c>
      <c r="CU902" s="1388" t="s">
        <v>9276</v>
      </c>
      <c r="CV902" s="1389" t="s">
        <v>9277</v>
      </c>
      <c r="CX902" s="1379">
        <v>1</v>
      </c>
    </row>
    <row r="903" spans="91:102" ht="21" customHeight="1" x14ac:dyDescent="0.25">
      <c r="CM903" s="1377"/>
      <c r="CN903" s="1388" t="s">
        <v>10214</v>
      </c>
      <c r="CO903" s="1388" t="s">
        <v>8125</v>
      </c>
      <c r="CP903" s="1388" t="s">
        <v>8106</v>
      </c>
      <c r="CQ903" s="1388" t="s">
        <v>10215</v>
      </c>
      <c r="CR903" s="1388" t="s">
        <v>10215</v>
      </c>
      <c r="CS903" s="1388" t="s">
        <v>8788</v>
      </c>
      <c r="CT903" s="1388" t="s">
        <v>8789</v>
      </c>
      <c r="CU903" s="1388" t="s">
        <v>9276</v>
      </c>
      <c r="CV903" s="1389" t="s">
        <v>9277</v>
      </c>
      <c r="CX903" s="1379">
        <v>1</v>
      </c>
    </row>
    <row r="904" spans="91:102" ht="21" customHeight="1" x14ac:dyDescent="0.25">
      <c r="CM904" s="1377"/>
      <c r="CN904" s="1388" t="s">
        <v>10216</v>
      </c>
      <c r="CO904" s="1388" t="s">
        <v>8125</v>
      </c>
      <c r="CP904" s="1388" t="s">
        <v>8106</v>
      </c>
      <c r="CQ904" s="1388" t="s">
        <v>10217</v>
      </c>
      <c r="CR904" s="1388" t="s">
        <v>10217</v>
      </c>
      <c r="CS904" s="1388" t="s">
        <v>8788</v>
      </c>
      <c r="CT904" s="1388" t="s">
        <v>8789</v>
      </c>
      <c r="CU904" s="1388" t="s">
        <v>9276</v>
      </c>
      <c r="CV904" s="1389" t="s">
        <v>9277</v>
      </c>
      <c r="CX904" s="1379">
        <v>1</v>
      </c>
    </row>
    <row r="905" spans="91:102" ht="21" customHeight="1" x14ac:dyDescent="0.25">
      <c r="CM905" s="1377"/>
      <c r="CN905" s="1388" t="s">
        <v>10218</v>
      </c>
      <c r="CO905" s="1388" t="s">
        <v>8125</v>
      </c>
      <c r="CP905" s="1388" t="s">
        <v>8106</v>
      </c>
      <c r="CQ905" s="1388" t="s">
        <v>10219</v>
      </c>
      <c r="CR905" s="1388" t="s">
        <v>10219</v>
      </c>
      <c r="CS905" s="1388" t="s">
        <v>8788</v>
      </c>
      <c r="CT905" s="1388" t="s">
        <v>8789</v>
      </c>
      <c r="CU905" s="1388" t="s">
        <v>9276</v>
      </c>
      <c r="CV905" s="1389" t="s">
        <v>9277</v>
      </c>
      <c r="CX905" s="1379">
        <v>1</v>
      </c>
    </row>
    <row r="906" spans="91:102" ht="21" customHeight="1" x14ac:dyDescent="0.25">
      <c r="CM906" s="1377"/>
      <c r="CN906" s="1388" t="s">
        <v>10220</v>
      </c>
      <c r="CO906" s="1388" t="s">
        <v>8125</v>
      </c>
      <c r="CP906" s="1388" t="s">
        <v>8106</v>
      </c>
      <c r="CQ906" s="1388" t="s">
        <v>10221</v>
      </c>
      <c r="CR906" s="1388" t="s">
        <v>10221</v>
      </c>
      <c r="CS906" s="1388" t="s">
        <v>8788</v>
      </c>
      <c r="CT906" s="1388" t="s">
        <v>8789</v>
      </c>
      <c r="CU906" s="1388" t="s">
        <v>9276</v>
      </c>
      <c r="CV906" s="1389" t="s">
        <v>9277</v>
      </c>
      <c r="CX906" s="1379">
        <v>1</v>
      </c>
    </row>
    <row r="907" spans="91:102" ht="21" customHeight="1" x14ac:dyDescent="0.25">
      <c r="CM907" s="1377"/>
      <c r="CN907" s="1388" t="s">
        <v>10222</v>
      </c>
      <c r="CO907" s="1388" t="s">
        <v>8125</v>
      </c>
      <c r="CP907" s="1388" t="s">
        <v>8106</v>
      </c>
      <c r="CQ907" s="1388" t="s">
        <v>10223</v>
      </c>
      <c r="CR907" s="1388" t="s">
        <v>10223</v>
      </c>
      <c r="CS907" s="1388" t="s">
        <v>8788</v>
      </c>
      <c r="CT907" s="1388" t="s">
        <v>8789</v>
      </c>
      <c r="CU907" s="1388" t="s">
        <v>9276</v>
      </c>
      <c r="CV907" s="1389" t="s">
        <v>9277</v>
      </c>
      <c r="CX907" s="1379">
        <v>1</v>
      </c>
    </row>
    <row r="908" spans="91:102" ht="21" customHeight="1" x14ac:dyDescent="0.25">
      <c r="CM908" s="1377"/>
      <c r="CN908" s="1388" t="s">
        <v>10224</v>
      </c>
      <c r="CO908" s="1388" t="s">
        <v>8125</v>
      </c>
      <c r="CP908" s="1388" t="s">
        <v>8106</v>
      </c>
      <c r="CQ908" s="1388" t="s">
        <v>10225</v>
      </c>
      <c r="CR908" s="1388" t="s">
        <v>10225</v>
      </c>
      <c r="CS908" s="1388" t="s">
        <v>8788</v>
      </c>
      <c r="CT908" s="1388" t="s">
        <v>8789</v>
      </c>
      <c r="CU908" s="1388" t="s">
        <v>9276</v>
      </c>
      <c r="CV908" s="1389" t="s">
        <v>9277</v>
      </c>
      <c r="CX908" s="1379">
        <v>1</v>
      </c>
    </row>
    <row r="909" spans="91:102" ht="21" customHeight="1" x14ac:dyDescent="0.25">
      <c r="CM909" s="1377"/>
      <c r="CN909" s="1388" t="s">
        <v>10226</v>
      </c>
      <c r="CO909" s="1388" t="s">
        <v>8125</v>
      </c>
      <c r="CP909" s="1388" t="s">
        <v>8106</v>
      </c>
      <c r="CQ909" s="1388" t="s">
        <v>10227</v>
      </c>
      <c r="CR909" s="1388" t="s">
        <v>10227</v>
      </c>
      <c r="CS909" s="1388" t="s">
        <v>8788</v>
      </c>
      <c r="CT909" s="1388" t="s">
        <v>8789</v>
      </c>
      <c r="CU909" s="1388" t="s">
        <v>9276</v>
      </c>
      <c r="CV909" s="1389" t="s">
        <v>9277</v>
      </c>
      <c r="CX909" s="1379">
        <v>1</v>
      </c>
    </row>
    <row r="910" spans="91:102" ht="21" customHeight="1" x14ac:dyDescent="0.25">
      <c r="CM910" s="1377"/>
      <c r="CN910" s="1388" t="s">
        <v>10228</v>
      </c>
      <c r="CO910" s="1388" t="s">
        <v>8125</v>
      </c>
      <c r="CP910" s="1388" t="s">
        <v>8106</v>
      </c>
      <c r="CQ910" s="1388" t="s">
        <v>10229</v>
      </c>
      <c r="CR910" s="1388" t="s">
        <v>10229</v>
      </c>
      <c r="CS910" s="1388" t="s">
        <v>8788</v>
      </c>
      <c r="CT910" s="1388" t="s">
        <v>8789</v>
      </c>
      <c r="CU910" s="1388" t="s">
        <v>9276</v>
      </c>
      <c r="CV910" s="1389" t="s">
        <v>9277</v>
      </c>
      <c r="CX910" s="1379">
        <v>1</v>
      </c>
    </row>
    <row r="911" spans="91:102" ht="21" customHeight="1" x14ac:dyDescent="0.25">
      <c r="CM911" s="1377"/>
      <c r="CN911" s="1388" t="s">
        <v>10230</v>
      </c>
      <c r="CO911" s="1388" t="s">
        <v>8125</v>
      </c>
      <c r="CP911" s="1388" t="s">
        <v>8106</v>
      </c>
      <c r="CQ911" s="1388" t="s">
        <v>10231</v>
      </c>
      <c r="CR911" s="1388" t="s">
        <v>10231</v>
      </c>
      <c r="CS911" s="1388" t="s">
        <v>8788</v>
      </c>
      <c r="CT911" s="1388" t="s">
        <v>8789</v>
      </c>
      <c r="CU911" s="1388" t="s">
        <v>9276</v>
      </c>
      <c r="CV911" s="1389" t="s">
        <v>9277</v>
      </c>
      <c r="CX911" s="1379">
        <v>1</v>
      </c>
    </row>
    <row r="912" spans="91:102" ht="21" customHeight="1" x14ac:dyDescent="0.25">
      <c r="CM912" s="1377"/>
      <c r="CN912" s="1388" t="s">
        <v>10232</v>
      </c>
      <c r="CO912" s="1388" t="s">
        <v>8125</v>
      </c>
      <c r="CP912" s="1388" t="s">
        <v>8106</v>
      </c>
      <c r="CQ912" s="1388" t="s">
        <v>10233</v>
      </c>
      <c r="CR912" s="1388" t="s">
        <v>10233</v>
      </c>
      <c r="CS912" s="1388" t="s">
        <v>8788</v>
      </c>
      <c r="CT912" s="1388" t="s">
        <v>8789</v>
      </c>
      <c r="CU912" s="1388" t="s">
        <v>9276</v>
      </c>
      <c r="CV912" s="1389" t="s">
        <v>9277</v>
      </c>
      <c r="CX912" s="1379">
        <v>1</v>
      </c>
    </row>
    <row r="913" spans="91:102" ht="21" customHeight="1" x14ac:dyDescent="0.25">
      <c r="CM913" s="1377"/>
      <c r="CN913" s="1388" t="s">
        <v>10234</v>
      </c>
      <c r="CO913" s="1388" t="s">
        <v>8125</v>
      </c>
      <c r="CP913" s="1388" t="s">
        <v>8106</v>
      </c>
      <c r="CQ913" s="1388" t="s">
        <v>10235</v>
      </c>
      <c r="CR913" s="1388" t="s">
        <v>10235</v>
      </c>
      <c r="CS913" s="1388" t="s">
        <v>8108</v>
      </c>
      <c r="CT913" s="1388" t="s">
        <v>9359</v>
      </c>
      <c r="CU913" s="1388" t="s">
        <v>8110</v>
      </c>
      <c r="CV913" s="1389" t="s">
        <v>8111</v>
      </c>
      <c r="CX913" s="1379">
        <v>1</v>
      </c>
    </row>
    <row r="914" spans="91:102" ht="21" customHeight="1" x14ac:dyDescent="0.25">
      <c r="CM914" s="1377"/>
      <c r="CN914" s="1388" t="s">
        <v>10236</v>
      </c>
      <c r="CO914" s="1388" t="s">
        <v>8125</v>
      </c>
      <c r="CP914" s="1388" t="s">
        <v>8106</v>
      </c>
      <c r="CQ914" s="1388" t="s">
        <v>10237</v>
      </c>
      <c r="CR914" s="1388" t="s">
        <v>10237</v>
      </c>
      <c r="CS914" s="1388" t="s">
        <v>8788</v>
      </c>
      <c r="CT914" s="1388" t="s">
        <v>8789</v>
      </c>
      <c r="CU914" s="1388" t="s">
        <v>9276</v>
      </c>
      <c r="CV914" s="1389" t="s">
        <v>9277</v>
      </c>
      <c r="CX914" s="1379">
        <v>1</v>
      </c>
    </row>
    <row r="915" spans="91:102" ht="21" customHeight="1" x14ac:dyDescent="0.25">
      <c r="CM915" s="1377"/>
      <c r="CN915" s="1388" t="s">
        <v>10238</v>
      </c>
      <c r="CO915" s="1388" t="s">
        <v>8125</v>
      </c>
      <c r="CP915" s="1388" t="s">
        <v>8106</v>
      </c>
      <c r="CQ915" s="1388" t="s">
        <v>10239</v>
      </c>
      <c r="CR915" s="1388" t="s">
        <v>10239</v>
      </c>
      <c r="CS915" s="1388" t="s">
        <v>8788</v>
      </c>
      <c r="CT915" s="1388" t="s">
        <v>8789</v>
      </c>
      <c r="CU915" s="1388" t="s">
        <v>9276</v>
      </c>
      <c r="CV915" s="1389" t="s">
        <v>9277</v>
      </c>
      <c r="CX915" s="1379">
        <v>1</v>
      </c>
    </row>
    <row r="916" spans="91:102" ht="21" customHeight="1" x14ac:dyDescent="0.25">
      <c r="CM916" s="1377"/>
      <c r="CN916" s="1388" t="s">
        <v>10240</v>
      </c>
      <c r="CO916" s="1388" t="s">
        <v>8125</v>
      </c>
      <c r="CP916" s="1388" t="s">
        <v>8106</v>
      </c>
      <c r="CQ916" s="1388" t="s">
        <v>10241</v>
      </c>
      <c r="CR916" s="1388" t="s">
        <v>10241</v>
      </c>
      <c r="CS916" s="1388" t="s">
        <v>8788</v>
      </c>
      <c r="CT916" s="1388" t="s">
        <v>8789</v>
      </c>
      <c r="CU916" s="1388" t="s">
        <v>9276</v>
      </c>
      <c r="CV916" s="1389" t="s">
        <v>9277</v>
      </c>
      <c r="CX916" s="1379">
        <v>1</v>
      </c>
    </row>
    <row r="917" spans="91:102" ht="21" customHeight="1" x14ac:dyDescent="0.25">
      <c r="CM917" s="1377"/>
      <c r="CN917" s="1388" t="s">
        <v>10242</v>
      </c>
      <c r="CO917" s="1388" t="s">
        <v>8125</v>
      </c>
      <c r="CP917" s="1388" t="s">
        <v>8106</v>
      </c>
      <c r="CQ917" s="1388" t="s">
        <v>10243</v>
      </c>
      <c r="CR917" s="1388" t="s">
        <v>10243</v>
      </c>
      <c r="CS917" s="1388" t="s">
        <v>8788</v>
      </c>
      <c r="CT917" s="1388" t="s">
        <v>8789</v>
      </c>
      <c r="CU917" s="1388" t="s">
        <v>9276</v>
      </c>
      <c r="CV917" s="1389" t="s">
        <v>9277</v>
      </c>
      <c r="CX917" s="1379">
        <v>1</v>
      </c>
    </row>
    <row r="918" spans="91:102" ht="21" customHeight="1" x14ac:dyDescent="0.25">
      <c r="CM918" s="1377"/>
      <c r="CN918" s="1388" t="s">
        <v>10244</v>
      </c>
      <c r="CO918" s="1388" t="s">
        <v>8125</v>
      </c>
      <c r="CP918" s="1388" t="s">
        <v>8106</v>
      </c>
      <c r="CQ918" s="1388" t="s">
        <v>10245</v>
      </c>
      <c r="CR918" s="1388" t="s">
        <v>10245</v>
      </c>
      <c r="CS918" s="1388" t="s">
        <v>8788</v>
      </c>
      <c r="CT918" s="1388" t="s">
        <v>8789</v>
      </c>
      <c r="CU918" s="1388" t="s">
        <v>9276</v>
      </c>
      <c r="CV918" s="1389" t="s">
        <v>9277</v>
      </c>
      <c r="CX918" s="1379">
        <v>1</v>
      </c>
    </row>
    <row r="919" spans="91:102" ht="21" customHeight="1" x14ac:dyDescent="0.25">
      <c r="CM919" s="1377"/>
      <c r="CN919" s="1388" t="s">
        <v>10246</v>
      </c>
      <c r="CO919" s="1388" t="s">
        <v>8125</v>
      </c>
      <c r="CP919" s="1388" t="s">
        <v>8106</v>
      </c>
      <c r="CQ919" s="1388" t="s">
        <v>10247</v>
      </c>
      <c r="CR919" s="1388" t="s">
        <v>10247</v>
      </c>
      <c r="CS919" s="1388" t="s">
        <v>8788</v>
      </c>
      <c r="CT919" s="1388" t="s">
        <v>8789</v>
      </c>
      <c r="CU919" s="1388" t="s">
        <v>9276</v>
      </c>
      <c r="CV919" s="1389" t="s">
        <v>9277</v>
      </c>
      <c r="CX919" s="1379">
        <v>1</v>
      </c>
    </row>
    <row r="920" spans="91:102" ht="21" customHeight="1" x14ac:dyDescent="0.25">
      <c r="CM920" s="1377"/>
      <c r="CN920" s="1388" t="s">
        <v>10248</v>
      </c>
      <c r="CO920" s="1388" t="s">
        <v>8125</v>
      </c>
      <c r="CP920" s="1388" t="s">
        <v>8106</v>
      </c>
      <c r="CQ920" s="1388" t="s">
        <v>10249</v>
      </c>
      <c r="CR920" s="1388" t="s">
        <v>10249</v>
      </c>
      <c r="CS920" s="1388" t="s">
        <v>8788</v>
      </c>
      <c r="CT920" s="1388" t="s">
        <v>8789</v>
      </c>
      <c r="CU920" s="1388" t="s">
        <v>9276</v>
      </c>
      <c r="CV920" s="1389" t="s">
        <v>9277</v>
      </c>
      <c r="CX920" s="1379">
        <v>1</v>
      </c>
    </row>
    <row r="921" spans="91:102" ht="21" customHeight="1" x14ac:dyDescent="0.25">
      <c r="CM921" s="1377"/>
      <c r="CN921" s="1388" t="s">
        <v>10250</v>
      </c>
      <c r="CO921" s="1388" t="s">
        <v>8125</v>
      </c>
      <c r="CP921" s="1388" t="s">
        <v>8106</v>
      </c>
      <c r="CQ921" s="1388" t="s">
        <v>10251</v>
      </c>
      <c r="CR921" s="1388" t="s">
        <v>10251</v>
      </c>
      <c r="CS921" s="1388" t="s">
        <v>8788</v>
      </c>
      <c r="CT921" s="1388" t="s">
        <v>8789</v>
      </c>
      <c r="CU921" s="1388" t="s">
        <v>9276</v>
      </c>
      <c r="CV921" s="1389" t="s">
        <v>9277</v>
      </c>
      <c r="CX921" s="1379">
        <v>1</v>
      </c>
    </row>
    <row r="922" spans="91:102" ht="21" customHeight="1" x14ac:dyDescent="0.25">
      <c r="CM922" s="1377"/>
      <c r="CN922" s="1388" t="s">
        <v>10252</v>
      </c>
      <c r="CO922" s="1388" t="s">
        <v>8125</v>
      </c>
      <c r="CP922" s="1388" t="s">
        <v>8106</v>
      </c>
      <c r="CQ922" s="1388" t="s">
        <v>10253</v>
      </c>
      <c r="CR922" s="1388" t="s">
        <v>10253</v>
      </c>
      <c r="CS922" s="1388" t="s">
        <v>8788</v>
      </c>
      <c r="CT922" s="1388" t="s">
        <v>8789</v>
      </c>
      <c r="CU922" s="1388" t="s">
        <v>9276</v>
      </c>
      <c r="CV922" s="1389" t="s">
        <v>9277</v>
      </c>
      <c r="CX922" s="1379">
        <v>1</v>
      </c>
    </row>
    <row r="923" spans="91:102" ht="21" customHeight="1" x14ac:dyDescent="0.25">
      <c r="CM923" s="1377"/>
      <c r="CN923" s="1388" t="s">
        <v>10254</v>
      </c>
      <c r="CO923" s="1388" t="s">
        <v>8125</v>
      </c>
      <c r="CP923" s="1388" t="s">
        <v>8106</v>
      </c>
      <c r="CQ923" s="1388" t="s">
        <v>10255</v>
      </c>
      <c r="CR923" s="1388" t="s">
        <v>10255</v>
      </c>
      <c r="CS923" s="1388" t="s">
        <v>8788</v>
      </c>
      <c r="CT923" s="1388" t="s">
        <v>8789</v>
      </c>
      <c r="CU923" s="1388" t="s">
        <v>9276</v>
      </c>
      <c r="CV923" s="1389" t="s">
        <v>9277</v>
      </c>
      <c r="CX923" s="1379">
        <v>1</v>
      </c>
    </row>
    <row r="924" spans="91:102" ht="21" customHeight="1" x14ac:dyDescent="0.25">
      <c r="CM924" s="1377"/>
      <c r="CN924" s="1388" t="s">
        <v>10256</v>
      </c>
      <c r="CO924" s="1388" t="s">
        <v>8125</v>
      </c>
      <c r="CP924" s="1388" t="s">
        <v>8106</v>
      </c>
      <c r="CQ924" s="1388" t="s">
        <v>10257</v>
      </c>
      <c r="CR924" s="1388" t="s">
        <v>10257</v>
      </c>
      <c r="CS924" s="1388" t="s">
        <v>8788</v>
      </c>
      <c r="CT924" s="1388" t="s">
        <v>8789</v>
      </c>
      <c r="CU924" s="1388" t="s">
        <v>9276</v>
      </c>
      <c r="CV924" s="1389" t="s">
        <v>9277</v>
      </c>
      <c r="CX924" s="1379">
        <v>1</v>
      </c>
    </row>
    <row r="925" spans="91:102" ht="21" customHeight="1" x14ac:dyDescent="0.25">
      <c r="CM925" s="1377"/>
      <c r="CN925" s="1388" t="s">
        <v>10258</v>
      </c>
      <c r="CO925" s="1388" t="s">
        <v>8125</v>
      </c>
      <c r="CP925" s="1388" t="s">
        <v>8106</v>
      </c>
      <c r="CQ925" s="1388" t="s">
        <v>10259</v>
      </c>
      <c r="CR925" s="1388" t="s">
        <v>10259</v>
      </c>
      <c r="CS925" s="1388" t="s">
        <v>8788</v>
      </c>
      <c r="CT925" s="1388" t="s">
        <v>8789</v>
      </c>
      <c r="CU925" s="1388" t="s">
        <v>9276</v>
      </c>
      <c r="CV925" s="1389" t="s">
        <v>9277</v>
      </c>
      <c r="CX925" s="1379">
        <v>1</v>
      </c>
    </row>
    <row r="926" spans="91:102" ht="21" customHeight="1" x14ac:dyDescent="0.25">
      <c r="CM926" s="1377"/>
      <c r="CN926" s="1388" t="s">
        <v>10260</v>
      </c>
      <c r="CO926" s="1388" t="s">
        <v>8125</v>
      </c>
      <c r="CP926" s="1388" t="s">
        <v>8106</v>
      </c>
      <c r="CQ926" s="1388" t="s">
        <v>10261</v>
      </c>
      <c r="CR926" s="1388" t="s">
        <v>10261</v>
      </c>
      <c r="CS926" s="1388" t="s">
        <v>8788</v>
      </c>
      <c r="CT926" s="1388" t="s">
        <v>8789</v>
      </c>
      <c r="CU926" s="1388" t="s">
        <v>9276</v>
      </c>
      <c r="CV926" s="1389" t="s">
        <v>9277</v>
      </c>
      <c r="CX926" s="1379">
        <v>1</v>
      </c>
    </row>
    <row r="927" spans="91:102" ht="21" customHeight="1" x14ac:dyDescent="0.25">
      <c r="CM927" s="1377"/>
      <c r="CN927" s="1388" t="s">
        <v>10262</v>
      </c>
      <c r="CO927" s="1388" t="s">
        <v>8125</v>
      </c>
      <c r="CP927" s="1388" t="s">
        <v>8106</v>
      </c>
      <c r="CQ927" s="1388" t="s">
        <v>10263</v>
      </c>
      <c r="CR927" s="1388" t="s">
        <v>10263</v>
      </c>
      <c r="CS927" s="1388" t="s">
        <v>8788</v>
      </c>
      <c r="CT927" s="1388" t="s">
        <v>8789</v>
      </c>
      <c r="CU927" s="1388" t="s">
        <v>9276</v>
      </c>
      <c r="CV927" s="1389" t="s">
        <v>9277</v>
      </c>
      <c r="CX927" s="1379">
        <v>1</v>
      </c>
    </row>
    <row r="928" spans="91:102" ht="21" customHeight="1" x14ac:dyDescent="0.25">
      <c r="CM928" s="1377"/>
      <c r="CN928" s="1388" t="s">
        <v>10264</v>
      </c>
      <c r="CO928" s="1388" t="s">
        <v>8125</v>
      </c>
      <c r="CP928" s="1388" t="s">
        <v>8106</v>
      </c>
      <c r="CQ928" s="1388" t="s">
        <v>10265</v>
      </c>
      <c r="CR928" s="1388" t="s">
        <v>10265</v>
      </c>
      <c r="CS928" s="1388" t="s">
        <v>8788</v>
      </c>
      <c r="CT928" s="1388" t="s">
        <v>8789</v>
      </c>
      <c r="CU928" s="1388" t="s">
        <v>9276</v>
      </c>
      <c r="CV928" s="1389" t="s">
        <v>9277</v>
      </c>
      <c r="CX928" s="1379">
        <v>1</v>
      </c>
    </row>
    <row r="929" spans="91:102" ht="21" customHeight="1" x14ac:dyDescent="0.25">
      <c r="CM929" s="1377"/>
      <c r="CN929" s="1388" t="s">
        <v>10266</v>
      </c>
      <c r="CO929" s="1388" t="s">
        <v>8125</v>
      </c>
      <c r="CP929" s="1388" t="s">
        <v>8106</v>
      </c>
      <c r="CQ929" s="1388" t="s">
        <v>10267</v>
      </c>
      <c r="CR929" s="1388" t="s">
        <v>10267</v>
      </c>
      <c r="CS929" s="1388" t="s">
        <v>8788</v>
      </c>
      <c r="CT929" s="1388" t="s">
        <v>8789</v>
      </c>
      <c r="CU929" s="1388" t="s">
        <v>9276</v>
      </c>
      <c r="CV929" s="1389" t="s">
        <v>9277</v>
      </c>
      <c r="CX929" s="1379">
        <v>1</v>
      </c>
    </row>
    <row r="930" spans="91:102" ht="21" customHeight="1" x14ac:dyDescent="0.25">
      <c r="CM930" s="1377"/>
      <c r="CN930" s="1388" t="s">
        <v>10268</v>
      </c>
      <c r="CO930" s="1388" t="s">
        <v>8125</v>
      </c>
      <c r="CP930" s="1388" t="s">
        <v>8106</v>
      </c>
      <c r="CQ930" s="1388" t="s">
        <v>10269</v>
      </c>
      <c r="CR930" s="1388" t="s">
        <v>10269</v>
      </c>
      <c r="CS930" s="1388" t="s">
        <v>8788</v>
      </c>
      <c r="CT930" s="1388" t="s">
        <v>8789</v>
      </c>
      <c r="CU930" s="1388" t="s">
        <v>9276</v>
      </c>
      <c r="CV930" s="1389" t="s">
        <v>9277</v>
      </c>
      <c r="CX930" s="1379">
        <v>1</v>
      </c>
    </row>
    <row r="931" spans="91:102" ht="21" customHeight="1" x14ac:dyDescent="0.25">
      <c r="CM931" s="1377"/>
      <c r="CN931" s="1388" t="s">
        <v>10270</v>
      </c>
      <c r="CO931" s="1388" t="s">
        <v>8125</v>
      </c>
      <c r="CP931" s="1388" t="s">
        <v>8106</v>
      </c>
      <c r="CQ931" s="1388" t="s">
        <v>10271</v>
      </c>
      <c r="CR931" s="1388" t="s">
        <v>10271</v>
      </c>
      <c r="CS931" s="1388" t="s">
        <v>8788</v>
      </c>
      <c r="CT931" s="1388" t="s">
        <v>8789</v>
      </c>
      <c r="CU931" s="1388" t="s">
        <v>9276</v>
      </c>
      <c r="CV931" s="1389" t="s">
        <v>9277</v>
      </c>
      <c r="CX931" s="1379">
        <v>1</v>
      </c>
    </row>
    <row r="932" spans="91:102" ht="21" customHeight="1" x14ac:dyDescent="0.25">
      <c r="CM932" s="1377"/>
      <c r="CN932" s="1388" t="s">
        <v>10272</v>
      </c>
      <c r="CO932" s="1388" t="s">
        <v>8125</v>
      </c>
      <c r="CP932" s="1388" t="s">
        <v>8106</v>
      </c>
      <c r="CQ932" s="1388" t="s">
        <v>10273</v>
      </c>
      <c r="CR932" s="1388" t="s">
        <v>10273</v>
      </c>
      <c r="CS932" s="1388" t="s">
        <v>8788</v>
      </c>
      <c r="CT932" s="1388" t="s">
        <v>8789</v>
      </c>
      <c r="CU932" s="1388" t="s">
        <v>9276</v>
      </c>
      <c r="CV932" s="1389" t="s">
        <v>9277</v>
      </c>
      <c r="CX932" s="1379">
        <v>1</v>
      </c>
    </row>
    <row r="933" spans="91:102" ht="21" customHeight="1" x14ac:dyDescent="0.25">
      <c r="CM933" s="1377"/>
      <c r="CN933" s="1388" t="s">
        <v>10274</v>
      </c>
      <c r="CO933" s="1388" t="s">
        <v>8125</v>
      </c>
      <c r="CP933" s="1388" t="s">
        <v>8106</v>
      </c>
      <c r="CQ933" s="1388" t="s">
        <v>10275</v>
      </c>
      <c r="CR933" s="1388" t="s">
        <v>10275</v>
      </c>
      <c r="CS933" s="1388" t="s">
        <v>8788</v>
      </c>
      <c r="CT933" s="1388" t="s">
        <v>8789</v>
      </c>
      <c r="CU933" s="1388" t="s">
        <v>9276</v>
      </c>
      <c r="CV933" s="1389" t="s">
        <v>9277</v>
      </c>
      <c r="CX933" s="1379">
        <v>1</v>
      </c>
    </row>
    <row r="934" spans="91:102" ht="21" customHeight="1" x14ac:dyDescent="0.25">
      <c r="CM934" s="1377"/>
      <c r="CN934" s="1388" t="s">
        <v>10276</v>
      </c>
      <c r="CO934" s="1388" t="s">
        <v>8125</v>
      </c>
      <c r="CP934" s="1388" t="s">
        <v>8106</v>
      </c>
      <c r="CQ934" s="1388" t="s">
        <v>10277</v>
      </c>
      <c r="CR934" s="1388" t="s">
        <v>10277</v>
      </c>
      <c r="CS934" s="1388" t="s">
        <v>8788</v>
      </c>
      <c r="CT934" s="1388" t="s">
        <v>8789</v>
      </c>
      <c r="CU934" s="1388" t="s">
        <v>9276</v>
      </c>
      <c r="CV934" s="1389" t="s">
        <v>9277</v>
      </c>
      <c r="CX934" s="1379">
        <v>1</v>
      </c>
    </row>
    <row r="935" spans="91:102" ht="21" customHeight="1" x14ac:dyDescent="0.25">
      <c r="CM935" s="1377"/>
      <c r="CN935" s="1388" t="s">
        <v>10278</v>
      </c>
      <c r="CO935" s="1388" t="s">
        <v>8125</v>
      </c>
      <c r="CP935" s="1388" t="s">
        <v>8106</v>
      </c>
      <c r="CQ935" s="1388" t="s">
        <v>10279</v>
      </c>
      <c r="CR935" s="1388" t="s">
        <v>10279</v>
      </c>
      <c r="CS935" s="1388" t="s">
        <v>8788</v>
      </c>
      <c r="CT935" s="1388" t="s">
        <v>8789</v>
      </c>
      <c r="CU935" s="1388" t="s">
        <v>9276</v>
      </c>
      <c r="CV935" s="1389" t="s">
        <v>9277</v>
      </c>
      <c r="CX935" s="1379">
        <v>1</v>
      </c>
    </row>
    <row r="936" spans="91:102" ht="21" customHeight="1" x14ac:dyDescent="0.25">
      <c r="CM936" s="1377"/>
      <c r="CN936" s="1388" t="s">
        <v>10280</v>
      </c>
      <c r="CO936" s="1388" t="s">
        <v>8125</v>
      </c>
      <c r="CP936" s="1388" t="s">
        <v>8106</v>
      </c>
      <c r="CQ936" s="1388" t="s">
        <v>10281</v>
      </c>
      <c r="CR936" s="1388" t="s">
        <v>10281</v>
      </c>
      <c r="CS936" s="1388" t="s">
        <v>8788</v>
      </c>
      <c r="CT936" s="1388" t="s">
        <v>8789</v>
      </c>
      <c r="CU936" s="1388" t="s">
        <v>9276</v>
      </c>
      <c r="CV936" s="1389" t="s">
        <v>9277</v>
      </c>
      <c r="CX936" s="1379">
        <v>1</v>
      </c>
    </row>
    <row r="937" spans="91:102" ht="21" customHeight="1" x14ac:dyDescent="0.25">
      <c r="CM937" s="1377"/>
      <c r="CN937" s="1388" t="s">
        <v>10282</v>
      </c>
      <c r="CO937" s="1388" t="s">
        <v>8125</v>
      </c>
      <c r="CP937" s="1388" t="s">
        <v>8106</v>
      </c>
      <c r="CQ937" s="1388" t="s">
        <v>10283</v>
      </c>
      <c r="CR937" s="1388" t="s">
        <v>10283</v>
      </c>
      <c r="CS937" s="1388" t="s">
        <v>8788</v>
      </c>
      <c r="CT937" s="1388" t="s">
        <v>8789</v>
      </c>
      <c r="CU937" s="1388" t="s">
        <v>9276</v>
      </c>
      <c r="CV937" s="1389" t="s">
        <v>9277</v>
      </c>
      <c r="CX937" s="1379">
        <v>1</v>
      </c>
    </row>
    <row r="938" spans="91:102" ht="21" customHeight="1" x14ac:dyDescent="0.25">
      <c r="CM938" s="1377"/>
      <c r="CN938" s="1388" t="s">
        <v>10284</v>
      </c>
      <c r="CO938" s="1388" t="s">
        <v>8125</v>
      </c>
      <c r="CP938" s="1388" t="s">
        <v>8106</v>
      </c>
      <c r="CQ938" s="1388" t="s">
        <v>10285</v>
      </c>
      <c r="CR938" s="1388" t="s">
        <v>10285</v>
      </c>
      <c r="CS938" s="1388" t="s">
        <v>8788</v>
      </c>
      <c r="CT938" s="1388" t="s">
        <v>8789</v>
      </c>
      <c r="CU938" s="1388" t="s">
        <v>9276</v>
      </c>
      <c r="CV938" s="1389" t="s">
        <v>9277</v>
      </c>
      <c r="CX938" s="1379">
        <v>1</v>
      </c>
    </row>
    <row r="939" spans="91:102" ht="21" customHeight="1" x14ac:dyDescent="0.25">
      <c r="CM939" s="1377"/>
      <c r="CN939" s="1388" t="s">
        <v>10286</v>
      </c>
      <c r="CO939" s="1388" t="s">
        <v>8125</v>
      </c>
      <c r="CP939" s="1388" t="s">
        <v>8106</v>
      </c>
      <c r="CQ939" s="1388" t="s">
        <v>10287</v>
      </c>
      <c r="CR939" s="1388" t="s">
        <v>10287</v>
      </c>
      <c r="CS939" s="1388" t="s">
        <v>8788</v>
      </c>
      <c r="CT939" s="1388" t="s">
        <v>8789</v>
      </c>
      <c r="CU939" s="1388" t="s">
        <v>9276</v>
      </c>
      <c r="CV939" s="1389" t="s">
        <v>9277</v>
      </c>
      <c r="CX939" s="1379">
        <v>1</v>
      </c>
    </row>
    <row r="940" spans="91:102" ht="21" customHeight="1" x14ac:dyDescent="0.25">
      <c r="CM940" s="1377"/>
      <c r="CN940" s="1388" t="s">
        <v>10288</v>
      </c>
      <c r="CO940" s="1388" t="s">
        <v>8125</v>
      </c>
      <c r="CP940" s="1388" t="s">
        <v>8106</v>
      </c>
      <c r="CQ940" s="1388" t="s">
        <v>10289</v>
      </c>
      <c r="CR940" s="1388" t="s">
        <v>10289</v>
      </c>
      <c r="CS940" s="1388" t="s">
        <v>8788</v>
      </c>
      <c r="CT940" s="1388" t="s">
        <v>8789</v>
      </c>
      <c r="CU940" s="1388" t="s">
        <v>9276</v>
      </c>
      <c r="CV940" s="1389" t="s">
        <v>9277</v>
      </c>
      <c r="CX940" s="1379">
        <v>1</v>
      </c>
    </row>
    <row r="941" spans="91:102" ht="21" customHeight="1" x14ac:dyDescent="0.25">
      <c r="CM941" s="1377"/>
      <c r="CN941" s="1388" t="s">
        <v>10290</v>
      </c>
      <c r="CO941" s="1388" t="s">
        <v>8125</v>
      </c>
      <c r="CP941" s="1388" t="s">
        <v>8106</v>
      </c>
      <c r="CQ941" s="1388" t="s">
        <v>10291</v>
      </c>
      <c r="CR941" s="1388" t="s">
        <v>10291</v>
      </c>
      <c r="CS941" s="1388" t="s">
        <v>8788</v>
      </c>
      <c r="CT941" s="1388" t="s">
        <v>8789</v>
      </c>
      <c r="CU941" s="1388" t="s">
        <v>9276</v>
      </c>
      <c r="CV941" s="1389" t="s">
        <v>9277</v>
      </c>
      <c r="CX941" s="1379">
        <v>1</v>
      </c>
    </row>
    <row r="942" spans="91:102" ht="21" customHeight="1" x14ac:dyDescent="0.25">
      <c r="CM942" s="1377"/>
      <c r="CN942" s="1388" t="s">
        <v>10292</v>
      </c>
      <c r="CO942" s="1388" t="s">
        <v>8125</v>
      </c>
      <c r="CP942" s="1388" t="s">
        <v>8106</v>
      </c>
      <c r="CQ942" s="1388" t="s">
        <v>10293</v>
      </c>
      <c r="CR942" s="1388" t="s">
        <v>10293</v>
      </c>
      <c r="CS942" s="1388" t="s">
        <v>8788</v>
      </c>
      <c r="CT942" s="1388" t="s">
        <v>8789</v>
      </c>
      <c r="CU942" s="1388" t="s">
        <v>9276</v>
      </c>
      <c r="CV942" s="1389" t="s">
        <v>9277</v>
      </c>
      <c r="CX942" s="1379">
        <v>1</v>
      </c>
    </row>
    <row r="943" spans="91:102" ht="21" customHeight="1" x14ac:dyDescent="0.25">
      <c r="CM943" s="1377"/>
      <c r="CN943" s="1388" t="s">
        <v>10294</v>
      </c>
      <c r="CO943" s="1388" t="s">
        <v>8125</v>
      </c>
      <c r="CP943" s="1388" t="s">
        <v>8106</v>
      </c>
      <c r="CQ943" s="1388" t="s">
        <v>10295</v>
      </c>
      <c r="CR943" s="1388" t="s">
        <v>10295</v>
      </c>
      <c r="CS943" s="1388" t="s">
        <v>8788</v>
      </c>
      <c r="CT943" s="1388" t="s">
        <v>8789</v>
      </c>
      <c r="CU943" s="1388" t="s">
        <v>9276</v>
      </c>
      <c r="CV943" s="1389" t="s">
        <v>9277</v>
      </c>
      <c r="CX943" s="1379">
        <v>1</v>
      </c>
    </row>
    <row r="944" spans="91:102" ht="21" customHeight="1" x14ac:dyDescent="0.25">
      <c r="CM944" s="1377"/>
      <c r="CN944" s="1388" t="s">
        <v>10296</v>
      </c>
      <c r="CO944" s="1388" t="s">
        <v>8125</v>
      </c>
      <c r="CP944" s="1388" t="s">
        <v>8106</v>
      </c>
      <c r="CQ944" s="1388" t="s">
        <v>10297</v>
      </c>
      <c r="CR944" s="1388" t="s">
        <v>10297</v>
      </c>
      <c r="CS944" s="1388" t="s">
        <v>8788</v>
      </c>
      <c r="CT944" s="1388" t="s">
        <v>8789</v>
      </c>
      <c r="CU944" s="1388" t="s">
        <v>9276</v>
      </c>
      <c r="CV944" s="1389" t="s">
        <v>9277</v>
      </c>
      <c r="CX944" s="1379">
        <v>1</v>
      </c>
    </row>
    <row r="945" spans="91:102" ht="21" customHeight="1" x14ac:dyDescent="0.25">
      <c r="CM945" s="1377"/>
      <c r="CN945" s="1388" t="s">
        <v>10298</v>
      </c>
      <c r="CO945" s="1388" t="s">
        <v>8125</v>
      </c>
      <c r="CP945" s="1388" t="s">
        <v>8106</v>
      </c>
      <c r="CQ945" s="1388" t="s">
        <v>10299</v>
      </c>
      <c r="CR945" s="1388" t="s">
        <v>10299</v>
      </c>
      <c r="CS945" s="1388" t="s">
        <v>8788</v>
      </c>
      <c r="CT945" s="1388" t="s">
        <v>8789</v>
      </c>
      <c r="CU945" s="1388" t="s">
        <v>9276</v>
      </c>
      <c r="CV945" s="1389" t="s">
        <v>9277</v>
      </c>
      <c r="CX945" s="1379">
        <v>1</v>
      </c>
    </row>
    <row r="946" spans="91:102" ht="21" customHeight="1" x14ac:dyDescent="0.25">
      <c r="CM946" s="1377"/>
      <c r="CN946" s="1388" t="s">
        <v>10300</v>
      </c>
      <c r="CO946" s="1388" t="s">
        <v>8125</v>
      </c>
      <c r="CP946" s="1388" t="s">
        <v>8106</v>
      </c>
      <c r="CQ946" s="1388" t="s">
        <v>10301</v>
      </c>
      <c r="CR946" s="1388" t="s">
        <v>10301</v>
      </c>
      <c r="CS946" s="1388" t="s">
        <v>8788</v>
      </c>
      <c r="CT946" s="1388" t="s">
        <v>8789</v>
      </c>
      <c r="CU946" s="1388" t="s">
        <v>9276</v>
      </c>
      <c r="CV946" s="1389" t="s">
        <v>9277</v>
      </c>
      <c r="CX946" s="1379">
        <v>1</v>
      </c>
    </row>
    <row r="947" spans="91:102" ht="21" customHeight="1" x14ac:dyDescent="0.25">
      <c r="CM947" s="1377"/>
      <c r="CN947" s="1388" t="s">
        <v>10302</v>
      </c>
      <c r="CO947" s="1388" t="s">
        <v>8125</v>
      </c>
      <c r="CP947" s="1388" t="s">
        <v>8106</v>
      </c>
      <c r="CQ947" s="1388" t="s">
        <v>10303</v>
      </c>
      <c r="CR947" s="1388" t="s">
        <v>10303</v>
      </c>
      <c r="CS947" s="1388" t="s">
        <v>8788</v>
      </c>
      <c r="CT947" s="1388" t="s">
        <v>8789</v>
      </c>
      <c r="CU947" s="1388" t="s">
        <v>9276</v>
      </c>
      <c r="CV947" s="1389" t="s">
        <v>9277</v>
      </c>
      <c r="CX947" s="1379">
        <v>1</v>
      </c>
    </row>
    <row r="948" spans="91:102" ht="21" customHeight="1" x14ac:dyDescent="0.25">
      <c r="CM948" s="1377"/>
      <c r="CN948" s="1388" t="s">
        <v>10304</v>
      </c>
      <c r="CO948" s="1388" t="s">
        <v>8125</v>
      </c>
      <c r="CP948" s="1388" t="s">
        <v>8106</v>
      </c>
      <c r="CQ948" s="1388" t="s">
        <v>10305</v>
      </c>
      <c r="CR948" s="1388" t="s">
        <v>10305</v>
      </c>
      <c r="CS948" s="1388" t="s">
        <v>8788</v>
      </c>
      <c r="CT948" s="1388" t="s">
        <v>8789</v>
      </c>
      <c r="CU948" s="1388" t="s">
        <v>9276</v>
      </c>
      <c r="CV948" s="1389" t="s">
        <v>9277</v>
      </c>
      <c r="CX948" s="1379">
        <v>1</v>
      </c>
    </row>
    <row r="949" spans="91:102" ht="21" customHeight="1" x14ac:dyDescent="0.25">
      <c r="CM949" s="1377"/>
      <c r="CN949" s="1388" t="s">
        <v>10306</v>
      </c>
      <c r="CO949" s="1388" t="s">
        <v>8125</v>
      </c>
      <c r="CP949" s="1388" t="s">
        <v>8106</v>
      </c>
      <c r="CQ949" s="1388" t="s">
        <v>10307</v>
      </c>
      <c r="CR949" s="1388" t="s">
        <v>10307</v>
      </c>
      <c r="CS949" s="1388" t="s">
        <v>8788</v>
      </c>
      <c r="CT949" s="1388" t="s">
        <v>8789</v>
      </c>
      <c r="CU949" s="1388" t="s">
        <v>9276</v>
      </c>
      <c r="CV949" s="1389" t="s">
        <v>9277</v>
      </c>
      <c r="CX949" s="1379">
        <v>1</v>
      </c>
    </row>
    <row r="950" spans="91:102" ht="21" customHeight="1" x14ac:dyDescent="0.25">
      <c r="CM950" s="1377"/>
      <c r="CN950" s="1388" t="s">
        <v>10308</v>
      </c>
      <c r="CO950" s="1388" t="s">
        <v>8125</v>
      </c>
      <c r="CP950" s="1388" t="s">
        <v>8106</v>
      </c>
      <c r="CQ950" s="1388" t="s">
        <v>10309</v>
      </c>
      <c r="CR950" s="1388" t="s">
        <v>10309</v>
      </c>
      <c r="CS950" s="1388" t="s">
        <v>8788</v>
      </c>
      <c r="CT950" s="1388" t="s">
        <v>8789</v>
      </c>
      <c r="CU950" s="1388" t="s">
        <v>9276</v>
      </c>
      <c r="CV950" s="1389" t="s">
        <v>9277</v>
      </c>
      <c r="CX950" s="1379">
        <v>1</v>
      </c>
    </row>
    <row r="951" spans="91:102" ht="21" customHeight="1" x14ac:dyDescent="0.25">
      <c r="CM951" s="1377"/>
      <c r="CN951" s="1388" t="s">
        <v>10310</v>
      </c>
      <c r="CO951" s="1388" t="s">
        <v>8125</v>
      </c>
      <c r="CP951" s="1388" t="s">
        <v>8106</v>
      </c>
      <c r="CQ951" s="1388" t="s">
        <v>10311</v>
      </c>
      <c r="CR951" s="1388" t="s">
        <v>10311</v>
      </c>
      <c r="CS951" s="1388" t="s">
        <v>8788</v>
      </c>
      <c r="CT951" s="1388" t="s">
        <v>8789</v>
      </c>
      <c r="CU951" s="1388" t="s">
        <v>9276</v>
      </c>
      <c r="CV951" s="1389" t="s">
        <v>9277</v>
      </c>
      <c r="CX951" s="1379">
        <v>1</v>
      </c>
    </row>
    <row r="952" spans="91:102" ht="21" customHeight="1" x14ac:dyDescent="0.25">
      <c r="CM952" s="1377"/>
      <c r="CN952" s="1388" t="s">
        <v>10312</v>
      </c>
      <c r="CO952" s="1388" t="s">
        <v>8125</v>
      </c>
      <c r="CP952" s="1388" t="s">
        <v>8106</v>
      </c>
      <c r="CQ952" s="1388" t="s">
        <v>10313</v>
      </c>
      <c r="CR952" s="1388" t="s">
        <v>10313</v>
      </c>
      <c r="CS952" s="1388" t="s">
        <v>8788</v>
      </c>
      <c r="CT952" s="1388" t="s">
        <v>8789</v>
      </c>
      <c r="CU952" s="1388" t="s">
        <v>9276</v>
      </c>
      <c r="CV952" s="1389" t="s">
        <v>9277</v>
      </c>
      <c r="CX952" s="1379">
        <v>1</v>
      </c>
    </row>
    <row r="953" spans="91:102" ht="21" customHeight="1" x14ac:dyDescent="0.25">
      <c r="CM953" s="1377"/>
      <c r="CN953" s="1388" t="s">
        <v>10314</v>
      </c>
      <c r="CO953" s="1388" t="s">
        <v>8125</v>
      </c>
      <c r="CP953" s="1388" t="s">
        <v>8106</v>
      </c>
      <c r="CQ953" s="1388" t="s">
        <v>10315</v>
      </c>
      <c r="CR953" s="1388" t="s">
        <v>10315</v>
      </c>
      <c r="CS953" s="1388" t="s">
        <v>8788</v>
      </c>
      <c r="CT953" s="1388" t="s">
        <v>8789</v>
      </c>
      <c r="CU953" s="1388" t="s">
        <v>9276</v>
      </c>
      <c r="CV953" s="1389" t="s">
        <v>9277</v>
      </c>
      <c r="CX953" s="1379">
        <v>1</v>
      </c>
    </row>
    <row r="954" spans="91:102" ht="21" customHeight="1" x14ac:dyDescent="0.25">
      <c r="CM954" s="1377"/>
      <c r="CN954" s="1388" t="s">
        <v>10316</v>
      </c>
      <c r="CO954" s="1388" t="s">
        <v>8125</v>
      </c>
      <c r="CP954" s="1388" t="s">
        <v>8106</v>
      </c>
      <c r="CQ954" s="1388" t="s">
        <v>10317</v>
      </c>
      <c r="CR954" s="1388" t="s">
        <v>10317</v>
      </c>
      <c r="CS954" s="1388" t="s">
        <v>8788</v>
      </c>
      <c r="CT954" s="1388" t="s">
        <v>8789</v>
      </c>
      <c r="CU954" s="1388" t="s">
        <v>9276</v>
      </c>
      <c r="CV954" s="1389" t="s">
        <v>9277</v>
      </c>
      <c r="CX954" s="1379">
        <v>1</v>
      </c>
    </row>
    <row r="955" spans="91:102" ht="21" customHeight="1" x14ac:dyDescent="0.25">
      <c r="CM955" s="1377"/>
      <c r="CN955" s="1388" t="s">
        <v>10318</v>
      </c>
      <c r="CO955" s="1388" t="s">
        <v>8125</v>
      </c>
      <c r="CP955" s="1388" t="s">
        <v>8106</v>
      </c>
      <c r="CQ955" s="1388" t="s">
        <v>10319</v>
      </c>
      <c r="CR955" s="1388" t="s">
        <v>10319</v>
      </c>
      <c r="CS955" s="1388" t="s">
        <v>8788</v>
      </c>
      <c r="CT955" s="1388" t="s">
        <v>8789</v>
      </c>
      <c r="CU955" s="1388" t="s">
        <v>9276</v>
      </c>
      <c r="CV955" s="1389" t="s">
        <v>9277</v>
      </c>
      <c r="CX955" s="1379">
        <v>1</v>
      </c>
    </row>
    <row r="956" spans="91:102" ht="21" customHeight="1" x14ac:dyDescent="0.25">
      <c r="CM956" s="1377"/>
      <c r="CN956" s="1388" t="s">
        <v>10320</v>
      </c>
      <c r="CO956" s="1388" t="s">
        <v>8125</v>
      </c>
      <c r="CP956" s="1388" t="s">
        <v>8106</v>
      </c>
      <c r="CQ956" s="1388" t="s">
        <v>10321</v>
      </c>
      <c r="CR956" s="1388" t="s">
        <v>10321</v>
      </c>
      <c r="CS956" s="1388" t="s">
        <v>8788</v>
      </c>
      <c r="CT956" s="1388" t="s">
        <v>8789</v>
      </c>
      <c r="CU956" s="1388" t="s">
        <v>9276</v>
      </c>
      <c r="CV956" s="1389" t="s">
        <v>9277</v>
      </c>
      <c r="CX956" s="1379">
        <v>1</v>
      </c>
    </row>
    <row r="957" spans="91:102" ht="21" customHeight="1" x14ac:dyDescent="0.25">
      <c r="CM957" s="1377"/>
      <c r="CN957" s="1388" t="s">
        <v>10322</v>
      </c>
      <c r="CO957" s="1388" t="s">
        <v>8125</v>
      </c>
      <c r="CP957" s="1388" t="s">
        <v>8106</v>
      </c>
      <c r="CQ957" s="1388" t="s">
        <v>10323</v>
      </c>
      <c r="CR957" s="1388" t="s">
        <v>10323</v>
      </c>
      <c r="CS957" s="1388" t="s">
        <v>8788</v>
      </c>
      <c r="CT957" s="1388" t="s">
        <v>8789</v>
      </c>
      <c r="CU957" s="1388" t="s">
        <v>9276</v>
      </c>
      <c r="CV957" s="1389" t="s">
        <v>9277</v>
      </c>
      <c r="CX957" s="1379">
        <v>1</v>
      </c>
    </row>
    <row r="958" spans="91:102" ht="21" customHeight="1" x14ac:dyDescent="0.25">
      <c r="CM958" s="1377"/>
      <c r="CN958" s="1388" t="s">
        <v>10324</v>
      </c>
      <c r="CO958" s="1388" t="s">
        <v>8125</v>
      </c>
      <c r="CP958" s="1388" t="s">
        <v>8106</v>
      </c>
      <c r="CQ958" s="1388" t="s">
        <v>10325</v>
      </c>
      <c r="CR958" s="1388" t="s">
        <v>10325</v>
      </c>
      <c r="CS958" s="1388" t="s">
        <v>8788</v>
      </c>
      <c r="CT958" s="1388" t="s">
        <v>8789</v>
      </c>
      <c r="CU958" s="1388" t="s">
        <v>9276</v>
      </c>
      <c r="CV958" s="1389" t="s">
        <v>9277</v>
      </c>
      <c r="CX958" s="1379">
        <v>1</v>
      </c>
    </row>
    <row r="959" spans="91:102" ht="21" customHeight="1" x14ac:dyDescent="0.25">
      <c r="CM959" s="1377"/>
      <c r="CN959" s="1388" t="s">
        <v>10326</v>
      </c>
      <c r="CO959" s="1388" t="s">
        <v>8125</v>
      </c>
      <c r="CP959" s="1388" t="s">
        <v>8106</v>
      </c>
      <c r="CQ959" s="1388" t="s">
        <v>10327</v>
      </c>
      <c r="CR959" s="1388" t="s">
        <v>10327</v>
      </c>
      <c r="CS959" s="1388" t="s">
        <v>8788</v>
      </c>
      <c r="CT959" s="1388" t="s">
        <v>8789</v>
      </c>
      <c r="CU959" s="1388" t="s">
        <v>9276</v>
      </c>
      <c r="CV959" s="1389" t="s">
        <v>9277</v>
      </c>
      <c r="CX959" s="1379">
        <v>1</v>
      </c>
    </row>
    <row r="960" spans="91:102" ht="21" customHeight="1" x14ac:dyDescent="0.25">
      <c r="CM960" s="1377"/>
      <c r="CN960" s="1388" t="s">
        <v>10328</v>
      </c>
      <c r="CO960" s="1388" t="s">
        <v>8125</v>
      </c>
      <c r="CP960" s="1388" t="s">
        <v>8106</v>
      </c>
      <c r="CQ960" s="1388" t="s">
        <v>10329</v>
      </c>
      <c r="CR960" s="1388" t="s">
        <v>10329</v>
      </c>
      <c r="CS960" s="1388" t="s">
        <v>8788</v>
      </c>
      <c r="CT960" s="1388" t="s">
        <v>8789</v>
      </c>
      <c r="CU960" s="1388" t="s">
        <v>9276</v>
      </c>
      <c r="CV960" s="1389" t="s">
        <v>9277</v>
      </c>
      <c r="CX960" s="1379">
        <v>1</v>
      </c>
    </row>
    <row r="961" spans="91:102" ht="21" customHeight="1" x14ac:dyDescent="0.25">
      <c r="CM961" s="1377"/>
      <c r="CN961" s="1388" t="s">
        <v>10330</v>
      </c>
      <c r="CO961" s="1388" t="s">
        <v>8125</v>
      </c>
      <c r="CP961" s="1388" t="s">
        <v>8106</v>
      </c>
      <c r="CQ961" s="1388" t="s">
        <v>10331</v>
      </c>
      <c r="CR961" s="1388" t="s">
        <v>10331</v>
      </c>
      <c r="CS961" s="1388" t="s">
        <v>8788</v>
      </c>
      <c r="CT961" s="1388" t="s">
        <v>8789</v>
      </c>
      <c r="CU961" s="1388" t="s">
        <v>9276</v>
      </c>
      <c r="CV961" s="1389" t="s">
        <v>9277</v>
      </c>
      <c r="CX961" s="1379">
        <v>1</v>
      </c>
    </row>
    <row r="962" spans="91:102" ht="21" customHeight="1" x14ac:dyDescent="0.25">
      <c r="CM962" s="1377"/>
      <c r="CN962" s="1388" t="s">
        <v>10332</v>
      </c>
      <c r="CO962" s="1388" t="s">
        <v>8125</v>
      </c>
      <c r="CP962" s="1388" t="s">
        <v>8106</v>
      </c>
      <c r="CQ962" s="1388" t="s">
        <v>10333</v>
      </c>
      <c r="CR962" s="1388" t="s">
        <v>10333</v>
      </c>
      <c r="CS962" s="1388" t="s">
        <v>8788</v>
      </c>
      <c r="CT962" s="1388" t="s">
        <v>8789</v>
      </c>
      <c r="CU962" s="1388" t="s">
        <v>9276</v>
      </c>
      <c r="CV962" s="1389" t="s">
        <v>9277</v>
      </c>
      <c r="CX962" s="1379">
        <v>1</v>
      </c>
    </row>
    <row r="963" spans="91:102" ht="21" customHeight="1" x14ac:dyDescent="0.25">
      <c r="CM963" s="1377"/>
      <c r="CN963" s="1388" t="s">
        <v>10334</v>
      </c>
      <c r="CO963" s="1388" t="s">
        <v>8125</v>
      </c>
      <c r="CP963" s="1388" t="s">
        <v>8106</v>
      </c>
      <c r="CQ963" s="1388" t="s">
        <v>10335</v>
      </c>
      <c r="CR963" s="1388" t="s">
        <v>10335</v>
      </c>
      <c r="CS963" s="1388" t="s">
        <v>8788</v>
      </c>
      <c r="CT963" s="1388" t="s">
        <v>8789</v>
      </c>
      <c r="CU963" s="1388" t="s">
        <v>9276</v>
      </c>
      <c r="CV963" s="1389" t="s">
        <v>9277</v>
      </c>
      <c r="CX963" s="1379">
        <v>1</v>
      </c>
    </row>
    <row r="964" spans="91:102" ht="21" customHeight="1" x14ac:dyDescent="0.25">
      <c r="CM964" s="1377"/>
      <c r="CN964" s="1388" t="s">
        <v>10336</v>
      </c>
      <c r="CO964" s="1388" t="s">
        <v>8125</v>
      </c>
      <c r="CP964" s="1388" t="s">
        <v>8106</v>
      </c>
      <c r="CQ964" s="1388" t="s">
        <v>10337</v>
      </c>
      <c r="CR964" s="1388" t="s">
        <v>10337</v>
      </c>
      <c r="CS964" s="1388" t="s">
        <v>8788</v>
      </c>
      <c r="CT964" s="1388" t="s">
        <v>8789</v>
      </c>
      <c r="CU964" s="1388" t="s">
        <v>9276</v>
      </c>
      <c r="CV964" s="1389" t="s">
        <v>9277</v>
      </c>
      <c r="CX964" s="1379">
        <v>1</v>
      </c>
    </row>
    <row r="965" spans="91:102" ht="21" customHeight="1" x14ac:dyDescent="0.25">
      <c r="CM965" s="1377"/>
      <c r="CN965" s="1388" t="s">
        <v>10338</v>
      </c>
      <c r="CO965" s="1388" t="s">
        <v>8125</v>
      </c>
      <c r="CP965" s="1388" t="s">
        <v>8106</v>
      </c>
      <c r="CQ965" s="1388" t="s">
        <v>10339</v>
      </c>
      <c r="CR965" s="1388" t="s">
        <v>10339</v>
      </c>
      <c r="CS965" s="1388" t="s">
        <v>8788</v>
      </c>
      <c r="CT965" s="1388" t="s">
        <v>8789</v>
      </c>
      <c r="CU965" s="1388" t="s">
        <v>9276</v>
      </c>
      <c r="CV965" s="1389" t="s">
        <v>9277</v>
      </c>
      <c r="CX965" s="1379">
        <v>1</v>
      </c>
    </row>
    <row r="966" spans="91:102" ht="21" customHeight="1" x14ac:dyDescent="0.25">
      <c r="CM966" s="1377"/>
      <c r="CN966" s="1388" t="s">
        <v>10340</v>
      </c>
      <c r="CO966" s="1388" t="s">
        <v>8125</v>
      </c>
      <c r="CP966" s="1388" t="s">
        <v>8106</v>
      </c>
      <c r="CQ966" s="1388" t="s">
        <v>10341</v>
      </c>
      <c r="CR966" s="1388" t="s">
        <v>10341</v>
      </c>
      <c r="CS966" s="1388" t="s">
        <v>8788</v>
      </c>
      <c r="CT966" s="1388" t="s">
        <v>8789</v>
      </c>
      <c r="CU966" s="1388" t="s">
        <v>9276</v>
      </c>
      <c r="CV966" s="1389" t="s">
        <v>9277</v>
      </c>
      <c r="CX966" s="1379">
        <v>1</v>
      </c>
    </row>
    <row r="967" spans="91:102" ht="21" customHeight="1" x14ac:dyDescent="0.25">
      <c r="CM967" s="1377"/>
      <c r="CN967" s="1388" t="s">
        <v>10342</v>
      </c>
      <c r="CO967" s="1388" t="s">
        <v>8125</v>
      </c>
      <c r="CP967" s="1388" t="s">
        <v>8106</v>
      </c>
      <c r="CQ967" s="1388" t="s">
        <v>10343</v>
      </c>
      <c r="CR967" s="1388" t="s">
        <v>10343</v>
      </c>
      <c r="CS967" s="1388" t="s">
        <v>8788</v>
      </c>
      <c r="CT967" s="1388" t="s">
        <v>8789</v>
      </c>
      <c r="CU967" s="1388" t="s">
        <v>9276</v>
      </c>
      <c r="CV967" s="1389" t="s">
        <v>9277</v>
      </c>
      <c r="CX967" s="1379">
        <v>1</v>
      </c>
    </row>
    <row r="968" spans="91:102" ht="21" customHeight="1" x14ac:dyDescent="0.25">
      <c r="CM968" s="1377"/>
      <c r="CN968" s="1388" t="s">
        <v>10344</v>
      </c>
      <c r="CO968" s="1388" t="s">
        <v>8125</v>
      </c>
      <c r="CP968" s="1388" t="s">
        <v>8106</v>
      </c>
      <c r="CQ968" s="1388" t="s">
        <v>10345</v>
      </c>
      <c r="CR968" s="1388" t="s">
        <v>10345</v>
      </c>
      <c r="CS968" s="1388" t="s">
        <v>8788</v>
      </c>
      <c r="CT968" s="1388" t="s">
        <v>8789</v>
      </c>
      <c r="CU968" s="1388" t="s">
        <v>9276</v>
      </c>
      <c r="CV968" s="1389" t="s">
        <v>9277</v>
      </c>
      <c r="CX968" s="1379">
        <v>1</v>
      </c>
    </row>
    <row r="969" spans="91:102" ht="21" customHeight="1" x14ac:dyDescent="0.25">
      <c r="CM969" s="1377"/>
      <c r="CN969" s="1388" t="s">
        <v>10346</v>
      </c>
      <c r="CO969" s="1388" t="s">
        <v>8125</v>
      </c>
      <c r="CP969" s="1388" t="s">
        <v>8106</v>
      </c>
      <c r="CQ969" s="1388" t="s">
        <v>10347</v>
      </c>
      <c r="CR969" s="1388" t="s">
        <v>10347</v>
      </c>
      <c r="CS969" s="1388" t="s">
        <v>8788</v>
      </c>
      <c r="CT969" s="1388" t="s">
        <v>8789</v>
      </c>
      <c r="CU969" s="1388" t="s">
        <v>9276</v>
      </c>
      <c r="CV969" s="1389" t="s">
        <v>9277</v>
      </c>
      <c r="CX969" s="1379">
        <v>1</v>
      </c>
    </row>
    <row r="970" spans="91:102" ht="21" customHeight="1" x14ac:dyDescent="0.25">
      <c r="CM970" s="1377"/>
      <c r="CN970" s="1388" t="s">
        <v>10348</v>
      </c>
      <c r="CO970" s="1388" t="s">
        <v>8125</v>
      </c>
      <c r="CP970" s="1388" t="s">
        <v>8106</v>
      </c>
      <c r="CQ970" s="1388" t="s">
        <v>10349</v>
      </c>
      <c r="CR970" s="1388" t="s">
        <v>10349</v>
      </c>
      <c r="CS970" s="1388" t="s">
        <v>8788</v>
      </c>
      <c r="CT970" s="1388" t="s">
        <v>8789</v>
      </c>
      <c r="CU970" s="1388" t="s">
        <v>9276</v>
      </c>
      <c r="CV970" s="1389" t="s">
        <v>9277</v>
      </c>
      <c r="CX970" s="1379">
        <v>1</v>
      </c>
    </row>
    <row r="971" spans="91:102" ht="21" customHeight="1" x14ac:dyDescent="0.25">
      <c r="CM971" s="1377"/>
      <c r="CN971" s="1388" t="s">
        <v>10350</v>
      </c>
      <c r="CO971" s="1388" t="s">
        <v>8125</v>
      </c>
      <c r="CP971" s="1388" t="s">
        <v>8106</v>
      </c>
      <c r="CQ971" s="1388" t="s">
        <v>10351</v>
      </c>
      <c r="CR971" s="1388" t="s">
        <v>10351</v>
      </c>
      <c r="CS971" s="1388" t="s">
        <v>8788</v>
      </c>
      <c r="CT971" s="1388" t="s">
        <v>8789</v>
      </c>
      <c r="CU971" s="1388" t="s">
        <v>9276</v>
      </c>
      <c r="CV971" s="1389" t="s">
        <v>9277</v>
      </c>
      <c r="CX971" s="1379">
        <v>1</v>
      </c>
    </row>
    <row r="972" spans="91:102" ht="21" customHeight="1" x14ac:dyDescent="0.25">
      <c r="CM972" s="1377"/>
      <c r="CN972" s="1388" t="s">
        <v>10352</v>
      </c>
      <c r="CO972" s="1388" t="s">
        <v>8125</v>
      </c>
      <c r="CP972" s="1388" t="s">
        <v>8106</v>
      </c>
      <c r="CQ972" s="1388" t="s">
        <v>10353</v>
      </c>
      <c r="CR972" s="1388" t="s">
        <v>10353</v>
      </c>
      <c r="CS972" s="1388" t="s">
        <v>8194</v>
      </c>
      <c r="CT972" s="1388" t="s">
        <v>8195</v>
      </c>
      <c r="CU972" s="1388" t="s">
        <v>8110</v>
      </c>
      <c r="CV972" s="1389" t="s">
        <v>8196</v>
      </c>
      <c r="CX972" s="1379">
        <v>1</v>
      </c>
    </row>
    <row r="973" spans="91:102" ht="21" customHeight="1" x14ac:dyDescent="0.25">
      <c r="CM973" s="1377"/>
      <c r="CN973" s="1388" t="s">
        <v>10354</v>
      </c>
      <c r="CO973" s="1388" t="s">
        <v>8125</v>
      </c>
      <c r="CP973" s="1388" t="s">
        <v>8106</v>
      </c>
      <c r="CQ973" s="1388" t="s">
        <v>10355</v>
      </c>
      <c r="CR973" s="1388" t="s">
        <v>10355</v>
      </c>
      <c r="CS973" s="1388" t="s">
        <v>8788</v>
      </c>
      <c r="CT973" s="1388" t="s">
        <v>8789</v>
      </c>
      <c r="CU973" s="1388" t="s">
        <v>9276</v>
      </c>
      <c r="CV973" s="1389" t="s">
        <v>9277</v>
      </c>
      <c r="CX973" s="1379">
        <v>1</v>
      </c>
    </row>
    <row r="974" spans="91:102" ht="21" customHeight="1" x14ac:dyDescent="0.25">
      <c r="CM974" s="1377"/>
      <c r="CN974" s="1388" t="s">
        <v>10356</v>
      </c>
      <c r="CO974" s="1388" t="s">
        <v>8125</v>
      </c>
      <c r="CP974" s="1388" t="s">
        <v>8106</v>
      </c>
      <c r="CQ974" s="1388" t="s">
        <v>10357</v>
      </c>
      <c r="CR974" s="1388" t="s">
        <v>10357</v>
      </c>
      <c r="CS974" s="1388" t="s">
        <v>8788</v>
      </c>
      <c r="CT974" s="1388" t="s">
        <v>8789</v>
      </c>
      <c r="CU974" s="1388" t="s">
        <v>9276</v>
      </c>
      <c r="CV974" s="1389" t="s">
        <v>9277</v>
      </c>
      <c r="CX974" s="1379">
        <v>1</v>
      </c>
    </row>
    <row r="975" spans="91:102" ht="21" customHeight="1" x14ac:dyDescent="0.25">
      <c r="CM975" s="1377"/>
      <c r="CN975" s="1388" t="s">
        <v>10358</v>
      </c>
      <c r="CO975" s="1388" t="s">
        <v>8125</v>
      </c>
      <c r="CP975" s="1388" t="s">
        <v>8106</v>
      </c>
      <c r="CQ975" s="1388" t="s">
        <v>10359</v>
      </c>
      <c r="CR975" s="1388" t="s">
        <v>10359</v>
      </c>
      <c r="CS975" s="1388" t="s">
        <v>8788</v>
      </c>
      <c r="CT975" s="1388" t="s">
        <v>8789</v>
      </c>
      <c r="CU975" s="1388" t="s">
        <v>9276</v>
      </c>
      <c r="CV975" s="1389" t="s">
        <v>9277</v>
      </c>
      <c r="CX975" s="1379">
        <v>1</v>
      </c>
    </row>
    <row r="976" spans="91:102" ht="21" customHeight="1" x14ac:dyDescent="0.25">
      <c r="CM976" s="1377"/>
      <c r="CN976" s="1388" t="s">
        <v>10360</v>
      </c>
      <c r="CO976" s="1388" t="s">
        <v>8125</v>
      </c>
      <c r="CP976" s="1388" t="s">
        <v>8106</v>
      </c>
      <c r="CQ976" s="1388" t="s">
        <v>10361</v>
      </c>
      <c r="CR976" s="1388" t="s">
        <v>10361</v>
      </c>
      <c r="CS976" s="1388" t="s">
        <v>8788</v>
      </c>
      <c r="CT976" s="1388" t="s">
        <v>8789</v>
      </c>
      <c r="CU976" s="1388" t="s">
        <v>9276</v>
      </c>
      <c r="CV976" s="1389" t="s">
        <v>9277</v>
      </c>
      <c r="CX976" s="1379">
        <v>1</v>
      </c>
    </row>
    <row r="977" spans="91:102" ht="21" customHeight="1" x14ac:dyDescent="0.25">
      <c r="CM977" s="1377"/>
      <c r="CN977" s="1388" t="s">
        <v>10362</v>
      </c>
      <c r="CO977" s="1388" t="s">
        <v>8125</v>
      </c>
      <c r="CP977" s="1388" t="s">
        <v>8106</v>
      </c>
      <c r="CQ977" s="1388" t="s">
        <v>10363</v>
      </c>
      <c r="CR977" s="1388" t="s">
        <v>10363</v>
      </c>
      <c r="CS977" s="1388" t="s">
        <v>8788</v>
      </c>
      <c r="CT977" s="1388" t="s">
        <v>8789</v>
      </c>
      <c r="CU977" s="1388" t="s">
        <v>9276</v>
      </c>
      <c r="CV977" s="1389" t="s">
        <v>9277</v>
      </c>
      <c r="CX977" s="1379">
        <v>1</v>
      </c>
    </row>
    <row r="978" spans="91:102" ht="21" customHeight="1" x14ac:dyDescent="0.25">
      <c r="CM978" s="1377"/>
      <c r="CN978" s="1388" t="s">
        <v>10364</v>
      </c>
      <c r="CO978" s="1388" t="s">
        <v>8125</v>
      </c>
      <c r="CP978" s="1388" t="s">
        <v>8106</v>
      </c>
      <c r="CQ978" s="1388" t="s">
        <v>10365</v>
      </c>
      <c r="CR978" s="1388" t="s">
        <v>10365</v>
      </c>
      <c r="CS978" s="1388" t="s">
        <v>8788</v>
      </c>
      <c r="CT978" s="1388" t="s">
        <v>8789</v>
      </c>
      <c r="CU978" s="1388" t="s">
        <v>9276</v>
      </c>
      <c r="CV978" s="1389" t="s">
        <v>9277</v>
      </c>
      <c r="CX978" s="1379">
        <v>1</v>
      </c>
    </row>
    <row r="979" spans="91:102" ht="21" customHeight="1" x14ac:dyDescent="0.25">
      <c r="CM979" s="1377"/>
      <c r="CN979" s="1388" t="s">
        <v>10366</v>
      </c>
      <c r="CO979" s="1388" t="s">
        <v>8125</v>
      </c>
      <c r="CP979" s="1388" t="s">
        <v>8106</v>
      </c>
      <c r="CQ979" s="1388" t="s">
        <v>10367</v>
      </c>
      <c r="CR979" s="1388" t="s">
        <v>10367</v>
      </c>
      <c r="CS979" s="1388" t="s">
        <v>8788</v>
      </c>
      <c r="CT979" s="1388" t="s">
        <v>8789</v>
      </c>
      <c r="CU979" s="1388" t="s">
        <v>9276</v>
      </c>
      <c r="CV979" s="1389" t="s">
        <v>9277</v>
      </c>
      <c r="CX979" s="1379">
        <v>1</v>
      </c>
    </row>
    <row r="980" spans="91:102" ht="21" customHeight="1" x14ac:dyDescent="0.25">
      <c r="CM980" s="1377"/>
      <c r="CN980" s="1388" t="s">
        <v>10368</v>
      </c>
      <c r="CO980" s="1388" t="s">
        <v>8125</v>
      </c>
      <c r="CP980" s="1388" t="s">
        <v>8106</v>
      </c>
      <c r="CQ980" s="1388" t="s">
        <v>10369</v>
      </c>
      <c r="CR980" s="1388" t="s">
        <v>10369</v>
      </c>
      <c r="CS980" s="1388" t="s">
        <v>8788</v>
      </c>
      <c r="CT980" s="1388" t="s">
        <v>8789</v>
      </c>
      <c r="CU980" s="1388" t="s">
        <v>9276</v>
      </c>
      <c r="CV980" s="1389" t="s">
        <v>9277</v>
      </c>
      <c r="CX980" s="1379">
        <v>1</v>
      </c>
    </row>
    <row r="981" spans="91:102" ht="21" customHeight="1" x14ac:dyDescent="0.25">
      <c r="CM981" s="1377"/>
      <c r="CN981" s="1388" t="s">
        <v>10370</v>
      </c>
      <c r="CO981" s="1388" t="s">
        <v>8125</v>
      </c>
      <c r="CP981" s="1388" t="s">
        <v>8106</v>
      </c>
      <c r="CQ981" s="1388" t="s">
        <v>10371</v>
      </c>
      <c r="CR981" s="1388" t="s">
        <v>10371</v>
      </c>
      <c r="CS981" s="1388" t="s">
        <v>8788</v>
      </c>
      <c r="CT981" s="1388" t="s">
        <v>8789</v>
      </c>
      <c r="CU981" s="1388" t="s">
        <v>9276</v>
      </c>
      <c r="CV981" s="1389" t="s">
        <v>9277</v>
      </c>
      <c r="CX981" s="1379">
        <v>1</v>
      </c>
    </row>
    <row r="982" spans="91:102" ht="21" customHeight="1" x14ac:dyDescent="0.25">
      <c r="CM982" s="1377"/>
      <c r="CN982" s="1388" t="s">
        <v>10372</v>
      </c>
      <c r="CO982" s="1388" t="s">
        <v>8125</v>
      </c>
      <c r="CP982" s="1388" t="s">
        <v>8106</v>
      </c>
      <c r="CQ982" s="1388" t="s">
        <v>10373</v>
      </c>
      <c r="CR982" s="1388" t="s">
        <v>10373</v>
      </c>
      <c r="CS982" s="1388" t="s">
        <v>8788</v>
      </c>
      <c r="CT982" s="1388" t="s">
        <v>8789</v>
      </c>
      <c r="CU982" s="1388" t="s">
        <v>9276</v>
      </c>
      <c r="CV982" s="1389" t="s">
        <v>9277</v>
      </c>
      <c r="CX982" s="1379">
        <v>1</v>
      </c>
    </row>
    <row r="983" spans="91:102" ht="21" customHeight="1" x14ac:dyDescent="0.25">
      <c r="CM983" s="1377"/>
      <c r="CN983" s="1388" t="s">
        <v>10374</v>
      </c>
      <c r="CO983" s="1388" t="s">
        <v>8125</v>
      </c>
      <c r="CP983" s="1388" t="s">
        <v>8106</v>
      </c>
      <c r="CQ983" s="1388" t="s">
        <v>10375</v>
      </c>
      <c r="CR983" s="1388" t="s">
        <v>10375</v>
      </c>
      <c r="CS983" s="1388" t="s">
        <v>8788</v>
      </c>
      <c r="CT983" s="1388" t="s">
        <v>8789</v>
      </c>
      <c r="CU983" s="1388" t="s">
        <v>9276</v>
      </c>
      <c r="CV983" s="1389" t="s">
        <v>9277</v>
      </c>
      <c r="CX983" s="1379">
        <v>1</v>
      </c>
    </row>
    <row r="984" spans="91:102" ht="21" customHeight="1" x14ac:dyDescent="0.25">
      <c r="CM984" s="1377"/>
      <c r="CN984" s="1388" t="s">
        <v>10376</v>
      </c>
      <c r="CO984" s="1388" t="s">
        <v>8125</v>
      </c>
      <c r="CP984" s="1388" t="s">
        <v>8106</v>
      </c>
      <c r="CQ984" s="1388" t="s">
        <v>10377</v>
      </c>
      <c r="CR984" s="1388" t="s">
        <v>10377</v>
      </c>
      <c r="CS984" s="1388" t="s">
        <v>8788</v>
      </c>
      <c r="CT984" s="1388" t="s">
        <v>8789</v>
      </c>
      <c r="CU984" s="1388" t="s">
        <v>9276</v>
      </c>
      <c r="CV984" s="1389" t="s">
        <v>9277</v>
      </c>
      <c r="CX984" s="1379">
        <v>1</v>
      </c>
    </row>
    <row r="985" spans="91:102" ht="21" customHeight="1" x14ac:dyDescent="0.25">
      <c r="CM985" s="1377"/>
      <c r="CN985" s="1388" t="s">
        <v>10378</v>
      </c>
      <c r="CO985" s="1388" t="s">
        <v>8125</v>
      </c>
      <c r="CP985" s="1388" t="s">
        <v>8106</v>
      </c>
      <c r="CQ985" s="1388" t="s">
        <v>10379</v>
      </c>
      <c r="CR985" s="1388" t="s">
        <v>10379</v>
      </c>
      <c r="CS985" s="1388" t="s">
        <v>8788</v>
      </c>
      <c r="CT985" s="1388" t="s">
        <v>8789</v>
      </c>
      <c r="CU985" s="1388" t="s">
        <v>9276</v>
      </c>
      <c r="CV985" s="1389" t="s">
        <v>9277</v>
      </c>
      <c r="CX985" s="1379">
        <v>1</v>
      </c>
    </row>
    <row r="986" spans="91:102" ht="21" customHeight="1" x14ac:dyDescent="0.25">
      <c r="CM986" s="1377"/>
      <c r="CN986" s="1388" t="s">
        <v>10380</v>
      </c>
      <c r="CO986" s="1388" t="s">
        <v>8125</v>
      </c>
      <c r="CP986" s="1388" t="s">
        <v>8106</v>
      </c>
      <c r="CQ986" s="1388" t="s">
        <v>10381</v>
      </c>
      <c r="CR986" s="1388" t="s">
        <v>10381</v>
      </c>
      <c r="CS986" s="1388" t="s">
        <v>8788</v>
      </c>
      <c r="CT986" s="1388" t="s">
        <v>8789</v>
      </c>
      <c r="CU986" s="1388" t="s">
        <v>9276</v>
      </c>
      <c r="CV986" s="1389" t="s">
        <v>9277</v>
      </c>
      <c r="CX986" s="1379">
        <v>1</v>
      </c>
    </row>
    <row r="987" spans="91:102" ht="21" customHeight="1" x14ac:dyDescent="0.25">
      <c r="CM987" s="1377"/>
      <c r="CN987" s="1388" t="s">
        <v>10382</v>
      </c>
      <c r="CO987" s="1388" t="s">
        <v>8125</v>
      </c>
      <c r="CP987" s="1388" t="s">
        <v>8106</v>
      </c>
      <c r="CQ987" s="1388" t="s">
        <v>10383</v>
      </c>
      <c r="CR987" s="1388" t="s">
        <v>10383</v>
      </c>
      <c r="CS987" s="1388" t="s">
        <v>8788</v>
      </c>
      <c r="CT987" s="1388" t="s">
        <v>8789</v>
      </c>
      <c r="CU987" s="1388" t="s">
        <v>9276</v>
      </c>
      <c r="CV987" s="1389" t="s">
        <v>9277</v>
      </c>
      <c r="CX987" s="1379">
        <v>1</v>
      </c>
    </row>
    <row r="988" spans="91:102" ht="21" customHeight="1" x14ac:dyDescent="0.25">
      <c r="CM988" s="1377"/>
      <c r="CN988" s="1388" t="s">
        <v>10384</v>
      </c>
      <c r="CO988" s="1388" t="s">
        <v>8125</v>
      </c>
      <c r="CP988" s="1388" t="s">
        <v>8106</v>
      </c>
      <c r="CQ988" s="1388" t="s">
        <v>10385</v>
      </c>
      <c r="CR988" s="1388" t="s">
        <v>10385</v>
      </c>
      <c r="CS988" s="1388" t="s">
        <v>8788</v>
      </c>
      <c r="CT988" s="1388" t="s">
        <v>8789</v>
      </c>
      <c r="CU988" s="1388" t="s">
        <v>9276</v>
      </c>
      <c r="CV988" s="1389" t="s">
        <v>9277</v>
      </c>
      <c r="CX988" s="1379">
        <v>1</v>
      </c>
    </row>
    <row r="989" spans="91:102" ht="21" customHeight="1" x14ac:dyDescent="0.25">
      <c r="CM989" s="1377"/>
      <c r="CN989" s="1388" t="s">
        <v>10386</v>
      </c>
      <c r="CO989" s="1388" t="s">
        <v>8125</v>
      </c>
      <c r="CP989" s="1388" t="s">
        <v>8106</v>
      </c>
      <c r="CQ989" s="1388" t="s">
        <v>10387</v>
      </c>
      <c r="CR989" s="1388" t="s">
        <v>10387</v>
      </c>
      <c r="CS989" s="1388" t="s">
        <v>8788</v>
      </c>
      <c r="CT989" s="1388" t="s">
        <v>8789</v>
      </c>
      <c r="CU989" s="1388" t="s">
        <v>9276</v>
      </c>
      <c r="CV989" s="1389" t="s">
        <v>9277</v>
      </c>
      <c r="CX989" s="1379">
        <v>1</v>
      </c>
    </row>
    <row r="990" spans="91:102" ht="21" customHeight="1" x14ac:dyDescent="0.25">
      <c r="CM990" s="1377"/>
      <c r="CN990" s="1388" t="s">
        <v>10388</v>
      </c>
      <c r="CO990" s="1388" t="s">
        <v>8125</v>
      </c>
      <c r="CP990" s="1388" t="s">
        <v>8106</v>
      </c>
      <c r="CQ990" s="1388" t="s">
        <v>10389</v>
      </c>
      <c r="CR990" s="1388" t="s">
        <v>10389</v>
      </c>
      <c r="CS990" s="1388" t="s">
        <v>8788</v>
      </c>
      <c r="CT990" s="1388" t="s">
        <v>8789</v>
      </c>
      <c r="CU990" s="1388" t="s">
        <v>9276</v>
      </c>
      <c r="CV990" s="1389" t="s">
        <v>9277</v>
      </c>
      <c r="CX990" s="1379">
        <v>1</v>
      </c>
    </row>
    <row r="991" spans="91:102" ht="21" customHeight="1" x14ac:dyDescent="0.25">
      <c r="CM991" s="1377"/>
      <c r="CN991" s="1388" t="s">
        <v>10390</v>
      </c>
      <c r="CO991" s="1388" t="s">
        <v>8125</v>
      </c>
      <c r="CP991" s="1388" t="s">
        <v>8106</v>
      </c>
      <c r="CQ991" s="1388" t="s">
        <v>10391</v>
      </c>
      <c r="CR991" s="1388" t="s">
        <v>10391</v>
      </c>
      <c r="CS991" s="1388" t="s">
        <v>8788</v>
      </c>
      <c r="CT991" s="1388" t="s">
        <v>8789</v>
      </c>
      <c r="CU991" s="1388" t="s">
        <v>9276</v>
      </c>
      <c r="CV991" s="1389" t="s">
        <v>9277</v>
      </c>
      <c r="CX991" s="1379">
        <v>1</v>
      </c>
    </row>
    <row r="992" spans="91:102" ht="21" customHeight="1" x14ac:dyDescent="0.25">
      <c r="CM992" s="1377"/>
      <c r="CN992" s="1388" t="s">
        <v>10392</v>
      </c>
      <c r="CO992" s="1388" t="s">
        <v>8125</v>
      </c>
      <c r="CP992" s="1388" t="s">
        <v>8106</v>
      </c>
      <c r="CQ992" s="1388" t="s">
        <v>10393</v>
      </c>
      <c r="CR992" s="1388" t="s">
        <v>10393</v>
      </c>
      <c r="CS992" s="1388" t="s">
        <v>8788</v>
      </c>
      <c r="CT992" s="1388" t="s">
        <v>8789</v>
      </c>
      <c r="CU992" s="1388" t="s">
        <v>9276</v>
      </c>
      <c r="CV992" s="1389" t="s">
        <v>9277</v>
      </c>
      <c r="CX992" s="1379">
        <v>1</v>
      </c>
    </row>
    <row r="993" spans="91:102" ht="21" customHeight="1" x14ac:dyDescent="0.25">
      <c r="CM993" s="1377"/>
      <c r="CN993" s="1388" t="s">
        <v>10394</v>
      </c>
      <c r="CO993" s="1388" t="s">
        <v>8125</v>
      </c>
      <c r="CP993" s="1388" t="s">
        <v>8106</v>
      </c>
      <c r="CQ993" s="1388" t="s">
        <v>10395</v>
      </c>
      <c r="CR993" s="1388" t="s">
        <v>10395</v>
      </c>
      <c r="CS993" s="1388" t="s">
        <v>8788</v>
      </c>
      <c r="CT993" s="1388" t="s">
        <v>8789</v>
      </c>
      <c r="CU993" s="1388" t="s">
        <v>9276</v>
      </c>
      <c r="CV993" s="1389" t="s">
        <v>9277</v>
      </c>
      <c r="CX993" s="1379">
        <v>1</v>
      </c>
    </row>
    <row r="994" spans="91:102" ht="21" customHeight="1" x14ac:dyDescent="0.25">
      <c r="CM994" s="1377"/>
      <c r="CN994" s="1388" t="s">
        <v>10396</v>
      </c>
      <c r="CO994" s="1388" t="s">
        <v>8125</v>
      </c>
      <c r="CP994" s="1388" t="s">
        <v>8106</v>
      </c>
      <c r="CQ994" s="1388" t="s">
        <v>10397</v>
      </c>
      <c r="CR994" s="1388" t="s">
        <v>10397</v>
      </c>
      <c r="CS994" s="1388" t="s">
        <v>8788</v>
      </c>
      <c r="CT994" s="1388" t="s">
        <v>8789</v>
      </c>
      <c r="CU994" s="1388" t="s">
        <v>9276</v>
      </c>
      <c r="CV994" s="1389" t="s">
        <v>9277</v>
      </c>
      <c r="CX994" s="1379">
        <v>1</v>
      </c>
    </row>
    <row r="995" spans="91:102" ht="21" customHeight="1" x14ac:dyDescent="0.25">
      <c r="CM995" s="1377"/>
      <c r="CN995" s="1388" t="s">
        <v>10398</v>
      </c>
      <c r="CO995" s="1388" t="s">
        <v>8125</v>
      </c>
      <c r="CP995" s="1388" t="s">
        <v>8106</v>
      </c>
      <c r="CQ995" s="1388" t="s">
        <v>10399</v>
      </c>
      <c r="CR995" s="1388" t="s">
        <v>10399</v>
      </c>
      <c r="CS995" s="1388" t="s">
        <v>8108</v>
      </c>
      <c r="CT995" s="1388" t="s">
        <v>9359</v>
      </c>
      <c r="CU995" s="1388" t="s">
        <v>8110</v>
      </c>
      <c r="CV995" s="1389" t="s">
        <v>8111</v>
      </c>
      <c r="CX995" s="1379">
        <v>1</v>
      </c>
    </row>
    <row r="996" spans="91:102" ht="21" customHeight="1" x14ac:dyDescent="0.25">
      <c r="CM996" s="1377"/>
      <c r="CN996" s="1388" t="s">
        <v>10400</v>
      </c>
      <c r="CO996" s="1388" t="s">
        <v>8125</v>
      </c>
      <c r="CP996" s="1388" t="s">
        <v>8106</v>
      </c>
      <c r="CQ996" s="1388" t="s">
        <v>10401</v>
      </c>
      <c r="CR996" s="1388" t="s">
        <v>10401</v>
      </c>
      <c r="CS996" s="1388" t="s">
        <v>8788</v>
      </c>
      <c r="CT996" s="1388" t="s">
        <v>8789</v>
      </c>
      <c r="CU996" s="1388" t="s">
        <v>9276</v>
      </c>
      <c r="CV996" s="1389" t="s">
        <v>9277</v>
      </c>
      <c r="CX996" s="1379">
        <v>1</v>
      </c>
    </row>
    <row r="997" spans="91:102" ht="21" customHeight="1" x14ac:dyDescent="0.25">
      <c r="CM997" s="1377"/>
      <c r="CN997" s="1388" t="s">
        <v>10402</v>
      </c>
      <c r="CO997" s="1388" t="s">
        <v>8125</v>
      </c>
      <c r="CP997" s="1388" t="s">
        <v>8106</v>
      </c>
      <c r="CQ997" s="1388" t="s">
        <v>10403</v>
      </c>
      <c r="CR997" s="1388" t="s">
        <v>10403</v>
      </c>
      <c r="CS997" s="1388" t="s">
        <v>8788</v>
      </c>
      <c r="CT997" s="1388" t="s">
        <v>8789</v>
      </c>
      <c r="CU997" s="1388" t="s">
        <v>9276</v>
      </c>
      <c r="CV997" s="1389" t="s">
        <v>9277</v>
      </c>
      <c r="CX997" s="1379">
        <v>1</v>
      </c>
    </row>
    <row r="998" spans="91:102" ht="21" customHeight="1" x14ac:dyDescent="0.25">
      <c r="CM998" s="1377"/>
      <c r="CN998" s="1388" t="s">
        <v>10404</v>
      </c>
      <c r="CO998" s="1388" t="s">
        <v>8125</v>
      </c>
      <c r="CP998" s="1388" t="s">
        <v>8106</v>
      </c>
      <c r="CQ998" s="1388" t="s">
        <v>10405</v>
      </c>
      <c r="CR998" s="1388" t="s">
        <v>10405</v>
      </c>
      <c r="CS998" s="1388" t="s">
        <v>8788</v>
      </c>
      <c r="CT998" s="1388" t="s">
        <v>8789</v>
      </c>
      <c r="CU998" s="1388" t="s">
        <v>9276</v>
      </c>
      <c r="CV998" s="1389" t="s">
        <v>9277</v>
      </c>
      <c r="CX998" s="1379">
        <v>1</v>
      </c>
    </row>
    <row r="999" spans="91:102" ht="21" customHeight="1" x14ac:dyDescent="0.25">
      <c r="CM999" s="1377"/>
      <c r="CN999" s="1388" t="s">
        <v>10406</v>
      </c>
      <c r="CO999" s="1388" t="s">
        <v>8125</v>
      </c>
      <c r="CP999" s="1388" t="s">
        <v>8106</v>
      </c>
      <c r="CQ999" s="1388" t="s">
        <v>10407</v>
      </c>
      <c r="CR999" s="1388" t="s">
        <v>10407</v>
      </c>
      <c r="CS999" s="1388" t="s">
        <v>8788</v>
      </c>
      <c r="CT999" s="1388" t="s">
        <v>8789</v>
      </c>
      <c r="CU999" s="1388" t="s">
        <v>9276</v>
      </c>
      <c r="CV999" s="1389" t="s">
        <v>9277</v>
      </c>
      <c r="CX999" s="1379">
        <v>1</v>
      </c>
    </row>
    <row r="1000" spans="91:102" ht="21" customHeight="1" x14ac:dyDescent="0.25">
      <c r="CM1000" s="1377"/>
      <c r="CN1000" s="1388" t="s">
        <v>10408</v>
      </c>
      <c r="CO1000" s="1388" t="s">
        <v>8125</v>
      </c>
      <c r="CP1000" s="1388" t="s">
        <v>8106</v>
      </c>
      <c r="CQ1000" s="1388" t="s">
        <v>10409</v>
      </c>
      <c r="CR1000" s="1388" t="s">
        <v>10409</v>
      </c>
      <c r="CS1000" s="1388" t="s">
        <v>8788</v>
      </c>
      <c r="CT1000" s="1388" t="s">
        <v>8789</v>
      </c>
      <c r="CU1000" s="1388" t="s">
        <v>9276</v>
      </c>
      <c r="CV1000" s="1389" t="s">
        <v>9277</v>
      </c>
      <c r="CX1000" s="1379">
        <v>1</v>
      </c>
    </row>
    <row r="1001" spans="91:102" ht="21" customHeight="1" x14ac:dyDescent="0.25">
      <c r="CM1001" s="1377"/>
      <c r="CN1001" s="1388" t="s">
        <v>10410</v>
      </c>
      <c r="CO1001" s="1388" t="s">
        <v>8125</v>
      </c>
      <c r="CP1001" s="1388" t="s">
        <v>8106</v>
      </c>
      <c r="CQ1001" s="1388" t="s">
        <v>10411</v>
      </c>
      <c r="CR1001" s="1388" t="s">
        <v>10411</v>
      </c>
      <c r="CS1001" s="1388" t="s">
        <v>8108</v>
      </c>
      <c r="CT1001" s="1388" t="s">
        <v>9359</v>
      </c>
      <c r="CU1001" s="1388" t="s">
        <v>8110</v>
      </c>
      <c r="CV1001" s="1389" t="s">
        <v>8111</v>
      </c>
      <c r="CX1001" s="1379">
        <v>1</v>
      </c>
    </row>
    <row r="1002" spans="91:102" ht="21" customHeight="1" x14ac:dyDescent="0.25">
      <c r="CM1002" s="1377"/>
      <c r="CN1002" s="1388" t="s">
        <v>10412</v>
      </c>
      <c r="CO1002" s="1388" t="s">
        <v>8125</v>
      </c>
      <c r="CP1002" s="1388" t="s">
        <v>8106</v>
      </c>
      <c r="CQ1002" s="1388" t="s">
        <v>10413</v>
      </c>
      <c r="CR1002" s="1388" t="s">
        <v>10414</v>
      </c>
      <c r="CS1002" s="1388" t="s">
        <v>8108</v>
      </c>
      <c r="CT1002" s="1388" t="s">
        <v>9359</v>
      </c>
      <c r="CU1002" s="1388" t="s">
        <v>8110</v>
      </c>
      <c r="CV1002" s="1389" t="s">
        <v>8111</v>
      </c>
      <c r="CX1002" s="1379">
        <v>1</v>
      </c>
    </row>
    <row r="1003" spans="91:102" ht="21" customHeight="1" x14ac:dyDescent="0.25">
      <c r="CM1003" s="1377"/>
      <c r="CN1003" s="1388" t="s">
        <v>10415</v>
      </c>
      <c r="CO1003" s="1388" t="s">
        <v>8125</v>
      </c>
      <c r="CP1003" s="1388" t="s">
        <v>8106</v>
      </c>
      <c r="CQ1003" s="1388" t="s">
        <v>10416</v>
      </c>
      <c r="CR1003" s="1388" t="s">
        <v>10417</v>
      </c>
      <c r="CS1003" s="1388" t="s">
        <v>8108</v>
      </c>
      <c r="CT1003" s="1388" t="s">
        <v>9359</v>
      </c>
      <c r="CU1003" s="1388" t="s">
        <v>8110</v>
      </c>
      <c r="CV1003" s="1389" t="s">
        <v>8111</v>
      </c>
      <c r="CX1003" s="1379">
        <v>1</v>
      </c>
    </row>
    <row r="1004" spans="91:102" ht="21" customHeight="1" x14ac:dyDescent="0.25">
      <c r="CM1004" s="1377"/>
      <c r="CN1004" s="1388" t="s">
        <v>10418</v>
      </c>
      <c r="CO1004" s="1388" t="s">
        <v>8125</v>
      </c>
      <c r="CP1004" s="1388" t="s">
        <v>8106</v>
      </c>
      <c r="CQ1004" s="1388" t="s">
        <v>10419</v>
      </c>
      <c r="CR1004" s="1388" t="s">
        <v>10420</v>
      </c>
      <c r="CS1004" s="1388" t="s">
        <v>8108</v>
      </c>
      <c r="CT1004" s="1388" t="s">
        <v>9359</v>
      </c>
      <c r="CU1004" s="1388" t="s">
        <v>8110</v>
      </c>
      <c r="CV1004" s="1389" t="s">
        <v>8111</v>
      </c>
      <c r="CX1004" s="1379">
        <v>1</v>
      </c>
    </row>
    <row r="1005" spans="91:102" ht="21" customHeight="1" x14ac:dyDescent="0.25">
      <c r="CM1005" s="1377"/>
      <c r="CN1005" s="1388" t="s">
        <v>10421</v>
      </c>
      <c r="CO1005" s="1388" t="s">
        <v>8125</v>
      </c>
      <c r="CP1005" s="1388" t="s">
        <v>8106</v>
      </c>
      <c r="CQ1005" s="1388" t="s">
        <v>10422</v>
      </c>
      <c r="CR1005" s="1388" t="s">
        <v>10423</v>
      </c>
      <c r="CS1005" s="1388" t="s">
        <v>8108</v>
      </c>
      <c r="CT1005" s="1388" t="s">
        <v>9359</v>
      </c>
      <c r="CU1005" s="1388" t="s">
        <v>8110</v>
      </c>
      <c r="CV1005" s="1389" t="s">
        <v>8111</v>
      </c>
      <c r="CX1005" s="1379">
        <v>1</v>
      </c>
    </row>
    <row r="1006" spans="91:102" ht="21" customHeight="1" x14ac:dyDescent="0.25">
      <c r="CM1006" s="1377"/>
      <c r="CN1006" s="1388" t="s">
        <v>10424</v>
      </c>
      <c r="CO1006" s="1388" t="s">
        <v>8125</v>
      </c>
      <c r="CP1006" s="1388" t="s">
        <v>8106</v>
      </c>
      <c r="CQ1006" s="1388" t="s">
        <v>10425</v>
      </c>
      <c r="CR1006" s="1388" t="s">
        <v>10425</v>
      </c>
      <c r="CS1006" s="1388" t="s">
        <v>8788</v>
      </c>
      <c r="CT1006" s="1388" t="s">
        <v>8789</v>
      </c>
      <c r="CU1006" s="1388" t="s">
        <v>9276</v>
      </c>
      <c r="CV1006" s="1389" t="s">
        <v>9277</v>
      </c>
      <c r="CX1006" s="1379">
        <v>1</v>
      </c>
    </row>
    <row r="1007" spans="91:102" ht="21" customHeight="1" x14ac:dyDescent="0.25">
      <c r="CM1007" s="1377"/>
      <c r="CN1007" s="1388" t="s">
        <v>10426</v>
      </c>
      <c r="CO1007" s="1388" t="s">
        <v>8125</v>
      </c>
      <c r="CP1007" s="1388" t="s">
        <v>8106</v>
      </c>
      <c r="CQ1007" s="1388" t="s">
        <v>10427</v>
      </c>
      <c r="CR1007" s="1388" t="s">
        <v>10427</v>
      </c>
      <c r="CS1007" s="1388" t="s">
        <v>8788</v>
      </c>
      <c r="CT1007" s="1388" t="s">
        <v>8789</v>
      </c>
      <c r="CU1007" s="1388" t="s">
        <v>9276</v>
      </c>
      <c r="CV1007" s="1389" t="s">
        <v>9277</v>
      </c>
      <c r="CX1007" s="1379">
        <v>1</v>
      </c>
    </row>
    <row r="1008" spans="91:102" ht="21" customHeight="1" x14ac:dyDescent="0.25">
      <c r="CM1008" s="1377"/>
      <c r="CN1008" s="1388" t="s">
        <v>10428</v>
      </c>
      <c r="CO1008" s="1388" t="s">
        <v>8125</v>
      </c>
      <c r="CP1008" s="1388" t="s">
        <v>8106</v>
      </c>
      <c r="CQ1008" s="1388" t="s">
        <v>10429</v>
      </c>
      <c r="CR1008" s="1388" t="s">
        <v>10429</v>
      </c>
      <c r="CS1008" s="1388" t="s">
        <v>8788</v>
      </c>
      <c r="CT1008" s="1388" t="s">
        <v>8789</v>
      </c>
      <c r="CU1008" s="1388" t="s">
        <v>9276</v>
      </c>
      <c r="CV1008" s="1389" t="s">
        <v>9277</v>
      </c>
      <c r="CX1008" s="1379">
        <v>1</v>
      </c>
    </row>
    <row r="1009" spans="91:102" ht="21" customHeight="1" x14ac:dyDescent="0.25">
      <c r="CM1009" s="1377"/>
      <c r="CN1009" s="1388" t="s">
        <v>10430</v>
      </c>
      <c r="CO1009" s="1388" t="s">
        <v>8125</v>
      </c>
      <c r="CP1009" s="1388" t="s">
        <v>8106</v>
      </c>
      <c r="CQ1009" s="1388" t="s">
        <v>10431</v>
      </c>
      <c r="CR1009" s="1388" t="s">
        <v>10431</v>
      </c>
      <c r="CS1009" s="1388" t="s">
        <v>8788</v>
      </c>
      <c r="CT1009" s="1388" t="s">
        <v>8789</v>
      </c>
      <c r="CU1009" s="1388" t="s">
        <v>9276</v>
      </c>
      <c r="CV1009" s="1389" t="s">
        <v>9277</v>
      </c>
      <c r="CX1009" s="1379">
        <v>1</v>
      </c>
    </row>
    <row r="1010" spans="91:102" ht="21" customHeight="1" x14ac:dyDescent="0.25">
      <c r="CM1010" s="1377"/>
      <c r="CN1010" s="1388" t="s">
        <v>10432</v>
      </c>
      <c r="CO1010" s="1388" t="s">
        <v>8125</v>
      </c>
      <c r="CP1010" s="1388" t="s">
        <v>8106</v>
      </c>
      <c r="CQ1010" s="1388" t="s">
        <v>10433</v>
      </c>
      <c r="CR1010" s="1388" t="s">
        <v>10433</v>
      </c>
      <c r="CS1010" s="1388" t="s">
        <v>8788</v>
      </c>
      <c r="CT1010" s="1388" t="s">
        <v>8789</v>
      </c>
      <c r="CU1010" s="1388" t="s">
        <v>9276</v>
      </c>
      <c r="CV1010" s="1389" t="s">
        <v>9277</v>
      </c>
      <c r="CX1010" s="1379">
        <v>1</v>
      </c>
    </row>
    <row r="1011" spans="91:102" ht="21" customHeight="1" x14ac:dyDescent="0.25">
      <c r="CM1011" s="1377"/>
      <c r="CN1011" s="1388" t="s">
        <v>10434</v>
      </c>
      <c r="CO1011" s="1388" t="s">
        <v>8125</v>
      </c>
      <c r="CP1011" s="1388" t="s">
        <v>8106</v>
      </c>
      <c r="CQ1011" s="1388" t="s">
        <v>10435</v>
      </c>
      <c r="CR1011" s="1388" t="s">
        <v>10435</v>
      </c>
      <c r="CS1011" s="1388" t="s">
        <v>8788</v>
      </c>
      <c r="CT1011" s="1388" t="s">
        <v>8789</v>
      </c>
      <c r="CU1011" s="1388" t="s">
        <v>9276</v>
      </c>
      <c r="CV1011" s="1389" t="s">
        <v>9277</v>
      </c>
      <c r="CX1011" s="1379">
        <v>1</v>
      </c>
    </row>
    <row r="1012" spans="91:102" ht="21" customHeight="1" x14ac:dyDescent="0.25">
      <c r="CM1012" s="1377"/>
      <c r="CN1012" s="1388" t="s">
        <v>10436</v>
      </c>
      <c r="CO1012" s="1388" t="s">
        <v>8125</v>
      </c>
      <c r="CP1012" s="1388" t="s">
        <v>8106</v>
      </c>
      <c r="CQ1012" s="1388" t="s">
        <v>10437</v>
      </c>
      <c r="CR1012" s="1388" t="s">
        <v>10437</v>
      </c>
      <c r="CS1012" s="1388" t="s">
        <v>8788</v>
      </c>
      <c r="CT1012" s="1388" t="s">
        <v>8789</v>
      </c>
      <c r="CU1012" s="1388" t="s">
        <v>9276</v>
      </c>
      <c r="CV1012" s="1389" t="s">
        <v>9277</v>
      </c>
      <c r="CX1012" s="1379">
        <v>1</v>
      </c>
    </row>
    <row r="1013" spans="91:102" ht="21" customHeight="1" x14ac:dyDescent="0.25">
      <c r="CM1013" s="1377"/>
      <c r="CN1013" s="1388" t="s">
        <v>10438</v>
      </c>
      <c r="CO1013" s="1388" t="s">
        <v>8125</v>
      </c>
      <c r="CP1013" s="1388" t="s">
        <v>8106</v>
      </c>
      <c r="CQ1013" s="1388" t="s">
        <v>10439</v>
      </c>
      <c r="CR1013" s="1388" t="s">
        <v>10439</v>
      </c>
      <c r="CS1013" s="1388" t="s">
        <v>8788</v>
      </c>
      <c r="CT1013" s="1388" t="s">
        <v>8789</v>
      </c>
      <c r="CU1013" s="1388" t="s">
        <v>9276</v>
      </c>
      <c r="CV1013" s="1389" t="s">
        <v>9277</v>
      </c>
      <c r="CX1013" s="1379">
        <v>1</v>
      </c>
    </row>
    <row r="1014" spans="91:102" ht="21" customHeight="1" x14ac:dyDescent="0.25">
      <c r="CM1014" s="1377"/>
      <c r="CN1014" s="1388" t="s">
        <v>10440</v>
      </c>
      <c r="CO1014" s="1388" t="s">
        <v>8125</v>
      </c>
      <c r="CP1014" s="1388" t="s">
        <v>8106</v>
      </c>
      <c r="CQ1014" s="1388" t="s">
        <v>10441</v>
      </c>
      <c r="CR1014" s="1388" t="s">
        <v>10441</v>
      </c>
      <c r="CS1014" s="1388" t="s">
        <v>8788</v>
      </c>
      <c r="CT1014" s="1388" t="s">
        <v>8789</v>
      </c>
      <c r="CU1014" s="1388" t="s">
        <v>9276</v>
      </c>
      <c r="CV1014" s="1389" t="s">
        <v>9277</v>
      </c>
      <c r="CX1014" s="1379">
        <v>1</v>
      </c>
    </row>
    <row r="1015" spans="91:102" ht="21" customHeight="1" x14ac:dyDescent="0.25">
      <c r="CM1015" s="1377"/>
      <c r="CN1015" s="1388" t="s">
        <v>10442</v>
      </c>
      <c r="CO1015" s="1388" t="s">
        <v>8125</v>
      </c>
      <c r="CP1015" s="1388" t="s">
        <v>8106</v>
      </c>
      <c r="CQ1015" s="1388" t="s">
        <v>10443</v>
      </c>
      <c r="CR1015" s="1388" t="s">
        <v>10443</v>
      </c>
      <c r="CS1015" s="1388" t="s">
        <v>8788</v>
      </c>
      <c r="CT1015" s="1388" t="s">
        <v>8789</v>
      </c>
      <c r="CU1015" s="1388" t="s">
        <v>9276</v>
      </c>
      <c r="CV1015" s="1389" t="s">
        <v>9277</v>
      </c>
      <c r="CX1015" s="1379">
        <v>1</v>
      </c>
    </row>
    <row r="1016" spans="91:102" ht="21" customHeight="1" x14ac:dyDescent="0.25">
      <c r="CM1016" s="1377"/>
      <c r="CN1016" s="1388" t="s">
        <v>10444</v>
      </c>
      <c r="CO1016" s="1388" t="s">
        <v>8125</v>
      </c>
      <c r="CP1016" s="1388" t="s">
        <v>8106</v>
      </c>
      <c r="CQ1016" s="1388" t="s">
        <v>10445</v>
      </c>
      <c r="CR1016" s="1388" t="s">
        <v>10445</v>
      </c>
      <c r="CS1016" s="1388" t="s">
        <v>8788</v>
      </c>
      <c r="CT1016" s="1388" t="s">
        <v>8789</v>
      </c>
      <c r="CU1016" s="1388" t="s">
        <v>9276</v>
      </c>
      <c r="CV1016" s="1389" t="s">
        <v>9277</v>
      </c>
      <c r="CX1016" s="1379">
        <v>1</v>
      </c>
    </row>
    <row r="1017" spans="91:102" ht="21" customHeight="1" x14ac:dyDescent="0.25">
      <c r="CM1017" s="1377"/>
      <c r="CN1017" s="1388" t="s">
        <v>10446</v>
      </c>
      <c r="CO1017" s="1388" t="s">
        <v>8125</v>
      </c>
      <c r="CP1017" s="1388" t="s">
        <v>8106</v>
      </c>
      <c r="CQ1017" s="1388" t="s">
        <v>10447</v>
      </c>
      <c r="CR1017" s="1388" t="s">
        <v>10447</v>
      </c>
      <c r="CS1017" s="1388" t="s">
        <v>8788</v>
      </c>
      <c r="CT1017" s="1388" t="s">
        <v>8789</v>
      </c>
      <c r="CU1017" s="1388" t="s">
        <v>9276</v>
      </c>
      <c r="CV1017" s="1389" t="s">
        <v>9277</v>
      </c>
      <c r="CX1017" s="1379">
        <v>1</v>
      </c>
    </row>
    <row r="1018" spans="91:102" ht="21" customHeight="1" x14ac:dyDescent="0.25">
      <c r="CM1018" s="1377"/>
      <c r="CN1018" s="1388" t="s">
        <v>10448</v>
      </c>
      <c r="CO1018" s="1388" t="s">
        <v>8125</v>
      </c>
      <c r="CP1018" s="1388" t="s">
        <v>8106</v>
      </c>
      <c r="CQ1018" s="1388" t="s">
        <v>10449</v>
      </c>
      <c r="CR1018" s="1388" t="s">
        <v>10449</v>
      </c>
      <c r="CS1018" s="1388" t="s">
        <v>8788</v>
      </c>
      <c r="CT1018" s="1388" t="s">
        <v>8789</v>
      </c>
      <c r="CU1018" s="1388" t="s">
        <v>9276</v>
      </c>
      <c r="CV1018" s="1389" t="s">
        <v>9277</v>
      </c>
      <c r="CX1018" s="1379">
        <v>1</v>
      </c>
    </row>
    <row r="1019" spans="91:102" ht="21" customHeight="1" x14ac:dyDescent="0.25">
      <c r="CM1019" s="1377"/>
      <c r="CN1019" s="1388" t="s">
        <v>10450</v>
      </c>
      <c r="CO1019" s="1388" t="s">
        <v>8125</v>
      </c>
      <c r="CP1019" s="1388" t="s">
        <v>8106</v>
      </c>
      <c r="CQ1019" s="1388" t="s">
        <v>10451</v>
      </c>
      <c r="CR1019" s="1388" t="s">
        <v>10451</v>
      </c>
      <c r="CS1019" s="1388" t="s">
        <v>8788</v>
      </c>
      <c r="CT1019" s="1388" t="s">
        <v>8789</v>
      </c>
      <c r="CU1019" s="1388" t="s">
        <v>9276</v>
      </c>
      <c r="CV1019" s="1389" t="s">
        <v>9277</v>
      </c>
      <c r="CX1019" s="1379">
        <v>1</v>
      </c>
    </row>
    <row r="1020" spans="91:102" ht="21" customHeight="1" x14ac:dyDescent="0.25">
      <c r="CM1020" s="1377"/>
      <c r="CN1020" s="1388" t="s">
        <v>10452</v>
      </c>
      <c r="CO1020" s="1388" t="s">
        <v>8125</v>
      </c>
      <c r="CP1020" s="1388" t="s">
        <v>8106</v>
      </c>
      <c r="CQ1020" s="1388" t="s">
        <v>10453</v>
      </c>
      <c r="CR1020" s="1388" t="s">
        <v>10453</v>
      </c>
      <c r="CS1020" s="1388" t="s">
        <v>8788</v>
      </c>
      <c r="CT1020" s="1388" t="s">
        <v>8789</v>
      </c>
      <c r="CU1020" s="1388" t="s">
        <v>9276</v>
      </c>
      <c r="CV1020" s="1389" t="s">
        <v>9277</v>
      </c>
      <c r="CX1020" s="1379">
        <v>1</v>
      </c>
    </row>
    <row r="1021" spans="91:102" ht="21" customHeight="1" x14ac:dyDescent="0.25">
      <c r="CM1021" s="1377"/>
      <c r="CN1021" s="1388" t="s">
        <v>10454</v>
      </c>
      <c r="CO1021" s="1388" t="s">
        <v>8125</v>
      </c>
      <c r="CP1021" s="1388" t="s">
        <v>8106</v>
      </c>
      <c r="CQ1021" s="1388" t="s">
        <v>10455</v>
      </c>
      <c r="CR1021" s="1388" t="s">
        <v>10455</v>
      </c>
      <c r="CS1021" s="1388" t="s">
        <v>8788</v>
      </c>
      <c r="CT1021" s="1388" t="s">
        <v>8789</v>
      </c>
      <c r="CU1021" s="1388" t="s">
        <v>9276</v>
      </c>
      <c r="CV1021" s="1389" t="s">
        <v>9277</v>
      </c>
      <c r="CX1021" s="1379">
        <v>1</v>
      </c>
    </row>
    <row r="1022" spans="91:102" ht="21" customHeight="1" x14ac:dyDescent="0.25">
      <c r="CM1022" s="1377"/>
      <c r="CN1022" s="1388" t="s">
        <v>10456</v>
      </c>
      <c r="CO1022" s="1388" t="s">
        <v>8125</v>
      </c>
      <c r="CP1022" s="1388" t="s">
        <v>8106</v>
      </c>
      <c r="CQ1022" s="1388" t="s">
        <v>10457</v>
      </c>
      <c r="CR1022" s="1388" t="s">
        <v>10457</v>
      </c>
      <c r="CS1022" s="1388" t="s">
        <v>8788</v>
      </c>
      <c r="CT1022" s="1388" t="s">
        <v>8789</v>
      </c>
      <c r="CU1022" s="1388" t="s">
        <v>9276</v>
      </c>
      <c r="CV1022" s="1389" t="s">
        <v>9277</v>
      </c>
      <c r="CX1022" s="1379">
        <v>1</v>
      </c>
    </row>
    <row r="1023" spans="91:102" ht="21" customHeight="1" x14ac:dyDescent="0.25">
      <c r="CM1023" s="1377"/>
      <c r="CN1023" s="1388" t="s">
        <v>10458</v>
      </c>
      <c r="CO1023" s="1388" t="s">
        <v>8125</v>
      </c>
      <c r="CP1023" s="1388" t="s">
        <v>8106</v>
      </c>
      <c r="CQ1023" s="1388" t="s">
        <v>10459</v>
      </c>
      <c r="CR1023" s="1388" t="s">
        <v>10459</v>
      </c>
      <c r="CS1023" s="1388" t="s">
        <v>8788</v>
      </c>
      <c r="CT1023" s="1388" t="s">
        <v>8789</v>
      </c>
      <c r="CU1023" s="1388" t="s">
        <v>9276</v>
      </c>
      <c r="CV1023" s="1389" t="s">
        <v>9277</v>
      </c>
      <c r="CX1023" s="1379">
        <v>1</v>
      </c>
    </row>
    <row r="1024" spans="91:102" ht="21" customHeight="1" x14ac:dyDescent="0.25">
      <c r="CM1024" s="1377"/>
      <c r="CN1024" s="1388" t="s">
        <v>10460</v>
      </c>
      <c r="CO1024" s="1388" t="s">
        <v>8125</v>
      </c>
      <c r="CP1024" s="1388" t="s">
        <v>8106</v>
      </c>
      <c r="CQ1024" s="1388" t="s">
        <v>10461</v>
      </c>
      <c r="CR1024" s="1388" t="s">
        <v>10461</v>
      </c>
      <c r="CS1024" s="1388" t="s">
        <v>8788</v>
      </c>
      <c r="CT1024" s="1388" t="s">
        <v>8789</v>
      </c>
      <c r="CU1024" s="1388" t="s">
        <v>9276</v>
      </c>
      <c r="CV1024" s="1389" t="s">
        <v>9277</v>
      </c>
      <c r="CX1024" s="1379">
        <v>1</v>
      </c>
    </row>
    <row r="1025" spans="91:102" ht="21" customHeight="1" x14ac:dyDescent="0.25">
      <c r="CM1025" s="1377"/>
      <c r="CN1025" s="1388" t="s">
        <v>10462</v>
      </c>
      <c r="CO1025" s="1388" t="s">
        <v>8125</v>
      </c>
      <c r="CP1025" s="1388" t="s">
        <v>8106</v>
      </c>
      <c r="CQ1025" s="1388" t="s">
        <v>10463</v>
      </c>
      <c r="CR1025" s="1388" t="s">
        <v>10463</v>
      </c>
      <c r="CS1025" s="1388" t="s">
        <v>8788</v>
      </c>
      <c r="CT1025" s="1388" t="s">
        <v>8789</v>
      </c>
      <c r="CU1025" s="1388" t="s">
        <v>9276</v>
      </c>
      <c r="CV1025" s="1389" t="s">
        <v>9277</v>
      </c>
      <c r="CX1025" s="1379">
        <v>1</v>
      </c>
    </row>
    <row r="1026" spans="91:102" ht="21" customHeight="1" x14ac:dyDescent="0.25">
      <c r="CM1026" s="1377"/>
      <c r="CN1026" s="1388" t="s">
        <v>10464</v>
      </c>
      <c r="CO1026" s="1388" t="s">
        <v>8125</v>
      </c>
      <c r="CP1026" s="1388" t="s">
        <v>8106</v>
      </c>
      <c r="CQ1026" s="1388" t="s">
        <v>10465</v>
      </c>
      <c r="CR1026" s="1388" t="s">
        <v>10465</v>
      </c>
      <c r="CS1026" s="1388" t="s">
        <v>8788</v>
      </c>
      <c r="CT1026" s="1388" t="s">
        <v>8789</v>
      </c>
      <c r="CU1026" s="1388" t="s">
        <v>9276</v>
      </c>
      <c r="CV1026" s="1389" t="s">
        <v>9277</v>
      </c>
      <c r="CX1026" s="1379">
        <v>1</v>
      </c>
    </row>
    <row r="1027" spans="91:102" ht="21" customHeight="1" x14ac:dyDescent="0.25">
      <c r="CM1027" s="1377"/>
      <c r="CN1027" s="1388" t="s">
        <v>10466</v>
      </c>
      <c r="CO1027" s="1388" t="s">
        <v>8125</v>
      </c>
      <c r="CP1027" s="1388" t="s">
        <v>8106</v>
      </c>
      <c r="CQ1027" s="1388" t="s">
        <v>10467</v>
      </c>
      <c r="CR1027" s="1388" t="s">
        <v>10467</v>
      </c>
      <c r="CS1027" s="1388" t="s">
        <v>8788</v>
      </c>
      <c r="CT1027" s="1388" t="s">
        <v>8789</v>
      </c>
      <c r="CU1027" s="1388" t="s">
        <v>9276</v>
      </c>
      <c r="CV1027" s="1389" t="s">
        <v>9277</v>
      </c>
      <c r="CX1027" s="1379">
        <v>1</v>
      </c>
    </row>
    <row r="1028" spans="91:102" ht="21" customHeight="1" x14ac:dyDescent="0.25">
      <c r="CM1028" s="1377"/>
      <c r="CN1028" s="1388" t="s">
        <v>10468</v>
      </c>
      <c r="CO1028" s="1388" t="s">
        <v>8125</v>
      </c>
      <c r="CP1028" s="1388" t="s">
        <v>8106</v>
      </c>
      <c r="CQ1028" s="1388" t="s">
        <v>10469</v>
      </c>
      <c r="CR1028" s="1388" t="s">
        <v>10469</v>
      </c>
      <c r="CS1028" s="1388" t="s">
        <v>8788</v>
      </c>
      <c r="CT1028" s="1388" t="s">
        <v>8789</v>
      </c>
      <c r="CU1028" s="1388" t="s">
        <v>9276</v>
      </c>
      <c r="CV1028" s="1389" t="s">
        <v>9277</v>
      </c>
      <c r="CX1028" s="1379">
        <v>1</v>
      </c>
    </row>
    <row r="1029" spans="91:102" ht="21" customHeight="1" x14ac:dyDescent="0.25">
      <c r="CM1029" s="1377"/>
      <c r="CN1029" s="1388" t="s">
        <v>10470</v>
      </c>
      <c r="CO1029" s="1388" t="s">
        <v>8125</v>
      </c>
      <c r="CP1029" s="1388" t="s">
        <v>8106</v>
      </c>
      <c r="CQ1029" s="1388" t="s">
        <v>10471</v>
      </c>
      <c r="CR1029" s="1388" t="s">
        <v>10471</v>
      </c>
      <c r="CS1029" s="1388" t="s">
        <v>8788</v>
      </c>
      <c r="CT1029" s="1388" t="s">
        <v>8789</v>
      </c>
      <c r="CU1029" s="1388" t="s">
        <v>9276</v>
      </c>
      <c r="CV1029" s="1389" t="s">
        <v>9277</v>
      </c>
      <c r="CX1029" s="1379">
        <v>1</v>
      </c>
    </row>
    <row r="1030" spans="91:102" ht="21" customHeight="1" x14ac:dyDescent="0.25">
      <c r="CM1030" s="1377"/>
      <c r="CN1030" s="1388" t="s">
        <v>10472</v>
      </c>
      <c r="CO1030" s="1388" t="s">
        <v>8125</v>
      </c>
      <c r="CP1030" s="1388" t="s">
        <v>8106</v>
      </c>
      <c r="CQ1030" s="1388" t="s">
        <v>10473</v>
      </c>
      <c r="CR1030" s="1388" t="s">
        <v>10473</v>
      </c>
      <c r="CS1030" s="1388" t="s">
        <v>8788</v>
      </c>
      <c r="CT1030" s="1388" t="s">
        <v>8789</v>
      </c>
      <c r="CU1030" s="1388" t="s">
        <v>9276</v>
      </c>
      <c r="CV1030" s="1389" t="s">
        <v>9277</v>
      </c>
      <c r="CX1030" s="1379">
        <v>1</v>
      </c>
    </row>
    <row r="1031" spans="91:102" ht="21" customHeight="1" x14ac:dyDescent="0.25">
      <c r="CM1031" s="1377"/>
      <c r="CN1031" s="1388" t="s">
        <v>10474</v>
      </c>
      <c r="CO1031" s="1388" t="s">
        <v>8125</v>
      </c>
      <c r="CP1031" s="1388" t="s">
        <v>8106</v>
      </c>
      <c r="CQ1031" s="1388" t="s">
        <v>10475</v>
      </c>
      <c r="CR1031" s="1388" t="s">
        <v>10475</v>
      </c>
      <c r="CS1031" s="1388" t="s">
        <v>8788</v>
      </c>
      <c r="CT1031" s="1388" t="s">
        <v>8789</v>
      </c>
      <c r="CU1031" s="1388" t="s">
        <v>9276</v>
      </c>
      <c r="CV1031" s="1389" t="s">
        <v>9277</v>
      </c>
      <c r="CX1031" s="1379">
        <v>1</v>
      </c>
    </row>
    <row r="1032" spans="91:102" ht="21" customHeight="1" x14ac:dyDescent="0.25">
      <c r="CM1032" s="1377"/>
      <c r="CN1032" s="1388" t="s">
        <v>10476</v>
      </c>
      <c r="CO1032" s="1388" t="s">
        <v>8125</v>
      </c>
      <c r="CP1032" s="1388" t="s">
        <v>8106</v>
      </c>
      <c r="CQ1032" s="1388" t="s">
        <v>10477</v>
      </c>
      <c r="CR1032" s="1388" t="s">
        <v>10477</v>
      </c>
      <c r="CS1032" s="1388" t="s">
        <v>8788</v>
      </c>
      <c r="CT1032" s="1388" t="s">
        <v>8789</v>
      </c>
      <c r="CU1032" s="1388" t="s">
        <v>9276</v>
      </c>
      <c r="CV1032" s="1389" t="s">
        <v>9277</v>
      </c>
      <c r="CX1032" s="1379">
        <v>1</v>
      </c>
    </row>
    <row r="1033" spans="91:102" ht="21" customHeight="1" x14ac:dyDescent="0.25">
      <c r="CM1033" s="1377"/>
      <c r="CN1033" s="1388" t="s">
        <v>10478</v>
      </c>
      <c r="CO1033" s="1388" t="s">
        <v>8125</v>
      </c>
      <c r="CP1033" s="1388" t="s">
        <v>8106</v>
      </c>
      <c r="CQ1033" s="1388" t="s">
        <v>10479</v>
      </c>
      <c r="CR1033" s="1388" t="s">
        <v>10479</v>
      </c>
      <c r="CS1033" s="1388" t="s">
        <v>8788</v>
      </c>
      <c r="CT1033" s="1388" t="s">
        <v>8789</v>
      </c>
      <c r="CU1033" s="1388" t="s">
        <v>9276</v>
      </c>
      <c r="CV1033" s="1389" t="s">
        <v>9277</v>
      </c>
      <c r="CX1033" s="1379">
        <v>1</v>
      </c>
    </row>
    <row r="1034" spans="91:102" ht="21" customHeight="1" x14ac:dyDescent="0.25">
      <c r="CM1034" s="1377"/>
      <c r="CN1034" s="1388" t="s">
        <v>10480</v>
      </c>
      <c r="CO1034" s="1388" t="s">
        <v>8125</v>
      </c>
      <c r="CP1034" s="1388" t="s">
        <v>8106</v>
      </c>
      <c r="CQ1034" s="1388" t="s">
        <v>10481</v>
      </c>
      <c r="CR1034" s="1388" t="s">
        <v>10481</v>
      </c>
      <c r="CS1034" s="1388" t="s">
        <v>8788</v>
      </c>
      <c r="CT1034" s="1388" t="s">
        <v>8789</v>
      </c>
      <c r="CU1034" s="1388" t="s">
        <v>9276</v>
      </c>
      <c r="CV1034" s="1389" t="s">
        <v>9277</v>
      </c>
      <c r="CX1034" s="1379">
        <v>1</v>
      </c>
    </row>
    <row r="1035" spans="91:102" ht="21" customHeight="1" x14ac:dyDescent="0.25">
      <c r="CM1035" s="1377"/>
      <c r="CN1035" s="1388" t="s">
        <v>10482</v>
      </c>
      <c r="CO1035" s="1388" t="s">
        <v>8125</v>
      </c>
      <c r="CP1035" s="1388" t="s">
        <v>8106</v>
      </c>
      <c r="CQ1035" s="1388" t="s">
        <v>10483</v>
      </c>
      <c r="CR1035" s="1388" t="s">
        <v>10483</v>
      </c>
      <c r="CS1035" s="1388" t="s">
        <v>8788</v>
      </c>
      <c r="CT1035" s="1388" t="s">
        <v>8789</v>
      </c>
      <c r="CU1035" s="1388" t="s">
        <v>9276</v>
      </c>
      <c r="CV1035" s="1389" t="s">
        <v>9277</v>
      </c>
      <c r="CX1035" s="1379">
        <v>1</v>
      </c>
    </row>
    <row r="1036" spans="91:102" ht="21" customHeight="1" x14ac:dyDescent="0.25">
      <c r="CM1036" s="1377"/>
      <c r="CN1036" s="1388" t="s">
        <v>10484</v>
      </c>
      <c r="CO1036" s="1388" t="s">
        <v>8125</v>
      </c>
      <c r="CP1036" s="1388" t="s">
        <v>8106</v>
      </c>
      <c r="CQ1036" s="1388" t="s">
        <v>10485</v>
      </c>
      <c r="CR1036" s="1388" t="s">
        <v>10485</v>
      </c>
      <c r="CS1036" s="1388" t="s">
        <v>8788</v>
      </c>
      <c r="CT1036" s="1388" t="s">
        <v>8789</v>
      </c>
      <c r="CU1036" s="1388" t="s">
        <v>9276</v>
      </c>
      <c r="CV1036" s="1389" t="s">
        <v>9277</v>
      </c>
      <c r="CX1036" s="1379">
        <v>1</v>
      </c>
    </row>
    <row r="1037" spans="91:102" ht="21" customHeight="1" x14ac:dyDescent="0.25">
      <c r="CM1037" s="1377"/>
      <c r="CN1037" s="1388" t="s">
        <v>10486</v>
      </c>
      <c r="CO1037" s="1388" t="s">
        <v>8125</v>
      </c>
      <c r="CP1037" s="1388" t="s">
        <v>8106</v>
      </c>
      <c r="CQ1037" s="1388" t="s">
        <v>10487</v>
      </c>
      <c r="CR1037" s="1388" t="s">
        <v>10487</v>
      </c>
      <c r="CS1037" s="1388" t="s">
        <v>8788</v>
      </c>
      <c r="CT1037" s="1388" t="s">
        <v>8789</v>
      </c>
      <c r="CU1037" s="1388" t="s">
        <v>9276</v>
      </c>
      <c r="CV1037" s="1389" t="s">
        <v>9277</v>
      </c>
      <c r="CX1037" s="1379">
        <v>1</v>
      </c>
    </row>
    <row r="1038" spans="91:102" ht="21" customHeight="1" x14ac:dyDescent="0.25">
      <c r="CM1038" s="1377"/>
      <c r="CN1038" s="1388" t="s">
        <v>10488</v>
      </c>
      <c r="CO1038" s="1388" t="s">
        <v>8125</v>
      </c>
      <c r="CP1038" s="1388" t="s">
        <v>8106</v>
      </c>
      <c r="CQ1038" s="1388" t="s">
        <v>10489</v>
      </c>
      <c r="CR1038" s="1388" t="s">
        <v>10489</v>
      </c>
      <c r="CS1038" s="1388" t="s">
        <v>8788</v>
      </c>
      <c r="CT1038" s="1388" t="s">
        <v>8789</v>
      </c>
      <c r="CU1038" s="1388" t="s">
        <v>9276</v>
      </c>
      <c r="CV1038" s="1389" t="s">
        <v>9277</v>
      </c>
      <c r="CX1038" s="1379">
        <v>1</v>
      </c>
    </row>
    <row r="1039" spans="91:102" ht="21" customHeight="1" x14ac:dyDescent="0.25">
      <c r="CM1039" s="1377"/>
      <c r="CN1039" s="1388" t="s">
        <v>10490</v>
      </c>
      <c r="CO1039" s="1388" t="s">
        <v>8125</v>
      </c>
      <c r="CP1039" s="1388" t="s">
        <v>8106</v>
      </c>
      <c r="CQ1039" s="1388" t="s">
        <v>10491</v>
      </c>
      <c r="CR1039" s="1388" t="s">
        <v>10491</v>
      </c>
      <c r="CS1039" s="1388" t="s">
        <v>8788</v>
      </c>
      <c r="CT1039" s="1388" t="s">
        <v>8789</v>
      </c>
      <c r="CU1039" s="1388" t="s">
        <v>9276</v>
      </c>
      <c r="CV1039" s="1389" t="s">
        <v>9277</v>
      </c>
      <c r="CX1039" s="1379">
        <v>1</v>
      </c>
    </row>
    <row r="1040" spans="91:102" ht="21" customHeight="1" x14ac:dyDescent="0.25">
      <c r="CM1040" s="1377"/>
      <c r="CN1040" s="1388" t="s">
        <v>10492</v>
      </c>
      <c r="CO1040" s="1388" t="s">
        <v>8125</v>
      </c>
      <c r="CP1040" s="1388" t="s">
        <v>8106</v>
      </c>
      <c r="CQ1040" s="1388" t="s">
        <v>10493</v>
      </c>
      <c r="CR1040" s="1388" t="s">
        <v>10493</v>
      </c>
      <c r="CS1040" s="1388" t="s">
        <v>8788</v>
      </c>
      <c r="CT1040" s="1388" t="s">
        <v>8789</v>
      </c>
      <c r="CU1040" s="1388" t="s">
        <v>9276</v>
      </c>
      <c r="CV1040" s="1389" t="s">
        <v>9277</v>
      </c>
      <c r="CX1040" s="1379">
        <v>1</v>
      </c>
    </row>
    <row r="1041" spans="91:102" ht="21" customHeight="1" x14ac:dyDescent="0.25">
      <c r="CM1041" s="1377"/>
      <c r="CN1041" s="1388" t="s">
        <v>10494</v>
      </c>
      <c r="CO1041" s="1388" t="s">
        <v>8125</v>
      </c>
      <c r="CP1041" s="1388" t="s">
        <v>8106</v>
      </c>
      <c r="CQ1041" s="1388" t="s">
        <v>10495</v>
      </c>
      <c r="CR1041" s="1388" t="s">
        <v>10495</v>
      </c>
      <c r="CS1041" s="1388" t="s">
        <v>8788</v>
      </c>
      <c r="CT1041" s="1388" t="s">
        <v>8789</v>
      </c>
      <c r="CU1041" s="1388" t="s">
        <v>9276</v>
      </c>
      <c r="CV1041" s="1389" t="s">
        <v>9277</v>
      </c>
      <c r="CX1041" s="1379">
        <v>1</v>
      </c>
    </row>
    <row r="1042" spans="91:102" ht="21" customHeight="1" x14ac:dyDescent="0.25">
      <c r="CM1042" s="1377"/>
      <c r="CN1042" s="1388" t="s">
        <v>10496</v>
      </c>
      <c r="CO1042" s="1388" t="s">
        <v>8125</v>
      </c>
      <c r="CP1042" s="1388" t="s">
        <v>8106</v>
      </c>
      <c r="CQ1042" s="1388" t="s">
        <v>10497</v>
      </c>
      <c r="CR1042" s="1388" t="s">
        <v>10497</v>
      </c>
      <c r="CS1042" s="1388" t="s">
        <v>8788</v>
      </c>
      <c r="CT1042" s="1388" t="s">
        <v>8789</v>
      </c>
      <c r="CU1042" s="1388" t="s">
        <v>9276</v>
      </c>
      <c r="CV1042" s="1389" t="s">
        <v>9277</v>
      </c>
      <c r="CX1042" s="1379">
        <v>1</v>
      </c>
    </row>
    <row r="1043" spans="91:102" ht="21" customHeight="1" x14ac:dyDescent="0.25">
      <c r="CM1043" s="1377"/>
      <c r="CN1043" s="1388" t="s">
        <v>10498</v>
      </c>
      <c r="CO1043" s="1388" t="s">
        <v>8125</v>
      </c>
      <c r="CP1043" s="1388" t="s">
        <v>8106</v>
      </c>
      <c r="CQ1043" s="1388" t="s">
        <v>10499</v>
      </c>
      <c r="CR1043" s="1388" t="s">
        <v>10499</v>
      </c>
      <c r="CS1043" s="1388" t="s">
        <v>8788</v>
      </c>
      <c r="CT1043" s="1388" t="s">
        <v>8789</v>
      </c>
      <c r="CU1043" s="1388" t="s">
        <v>9276</v>
      </c>
      <c r="CV1043" s="1389" t="s">
        <v>9277</v>
      </c>
      <c r="CX1043" s="1379">
        <v>1</v>
      </c>
    </row>
    <row r="1044" spans="91:102" ht="21" customHeight="1" x14ac:dyDescent="0.25">
      <c r="CM1044" s="1377"/>
      <c r="CN1044" s="1388" t="s">
        <v>10500</v>
      </c>
      <c r="CO1044" s="1388" t="s">
        <v>8125</v>
      </c>
      <c r="CP1044" s="1388" t="s">
        <v>8106</v>
      </c>
      <c r="CQ1044" s="1388" t="s">
        <v>10501</v>
      </c>
      <c r="CR1044" s="1388" t="s">
        <v>10501</v>
      </c>
      <c r="CS1044" s="1388" t="s">
        <v>8788</v>
      </c>
      <c r="CT1044" s="1388" t="s">
        <v>8789</v>
      </c>
      <c r="CU1044" s="1388" t="s">
        <v>9276</v>
      </c>
      <c r="CV1044" s="1389" t="s">
        <v>9277</v>
      </c>
      <c r="CX1044" s="1379">
        <v>1</v>
      </c>
    </row>
    <row r="1045" spans="91:102" ht="21" customHeight="1" x14ac:dyDescent="0.25">
      <c r="CM1045" s="1377"/>
      <c r="CN1045" s="1388" t="s">
        <v>10502</v>
      </c>
      <c r="CO1045" s="1388" t="s">
        <v>8125</v>
      </c>
      <c r="CP1045" s="1388" t="s">
        <v>8106</v>
      </c>
      <c r="CQ1045" s="1388" t="s">
        <v>10503</v>
      </c>
      <c r="CR1045" s="1388" t="s">
        <v>10503</v>
      </c>
      <c r="CS1045" s="1388" t="s">
        <v>8788</v>
      </c>
      <c r="CT1045" s="1388" t="s">
        <v>8789</v>
      </c>
      <c r="CU1045" s="1388" t="s">
        <v>9276</v>
      </c>
      <c r="CV1045" s="1389" t="s">
        <v>9277</v>
      </c>
      <c r="CX1045" s="1379">
        <v>1</v>
      </c>
    </row>
    <row r="1046" spans="91:102" ht="21" customHeight="1" x14ac:dyDescent="0.25">
      <c r="CM1046" s="1377"/>
      <c r="CN1046" s="1388" t="s">
        <v>10504</v>
      </c>
      <c r="CO1046" s="1388" t="s">
        <v>8125</v>
      </c>
      <c r="CP1046" s="1388" t="s">
        <v>8106</v>
      </c>
      <c r="CQ1046" s="1388" t="s">
        <v>10505</v>
      </c>
      <c r="CR1046" s="1388" t="s">
        <v>10505</v>
      </c>
      <c r="CS1046" s="1388" t="s">
        <v>8788</v>
      </c>
      <c r="CT1046" s="1388" t="s">
        <v>8789</v>
      </c>
      <c r="CU1046" s="1388" t="s">
        <v>9276</v>
      </c>
      <c r="CV1046" s="1389" t="s">
        <v>9277</v>
      </c>
      <c r="CX1046" s="1379">
        <v>1</v>
      </c>
    </row>
    <row r="1047" spans="91:102" ht="21" customHeight="1" x14ac:dyDescent="0.25">
      <c r="CM1047" s="1377"/>
      <c r="CN1047" s="1388" t="s">
        <v>10506</v>
      </c>
      <c r="CO1047" s="1388" t="s">
        <v>8125</v>
      </c>
      <c r="CP1047" s="1388" t="s">
        <v>8106</v>
      </c>
      <c r="CQ1047" s="1388" t="s">
        <v>10507</v>
      </c>
      <c r="CR1047" s="1388" t="s">
        <v>10507</v>
      </c>
      <c r="CS1047" s="1388" t="s">
        <v>8788</v>
      </c>
      <c r="CT1047" s="1388" t="s">
        <v>8789</v>
      </c>
      <c r="CU1047" s="1388" t="s">
        <v>9276</v>
      </c>
      <c r="CV1047" s="1389" t="s">
        <v>9277</v>
      </c>
      <c r="CX1047" s="1379">
        <v>1</v>
      </c>
    </row>
    <row r="1048" spans="91:102" ht="21" customHeight="1" x14ac:dyDescent="0.25">
      <c r="CM1048" s="1377"/>
      <c r="CN1048" s="1388" t="s">
        <v>10508</v>
      </c>
      <c r="CO1048" s="1388" t="s">
        <v>8125</v>
      </c>
      <c r="CP1048" s="1388" t="s">
        <v>8106</v>
      </c>
      <c r="CQ1048" s="1388" t="s">
        <v>10509</v>
      </c>
      <c r="CR1048" s="1388" t="s">
        <v>10509</v>
      </c>
      <c r="CS1048" s="1388" t="s">
        <v>8788</v>
      </c>
      <c r="CT1048" s="1388" t="s">
        <v>8789</v>
      </c>
      <c r="CU1048" s="1388" t="s">
        <v>9276</v>
      </c>
      <c r="CV1048" s="1389" t="s">
        <v>9277</v>
      </c>
      <c r="CX1048" s="1379">
        <v>1</v>
      </c>
    </row>
    <row r="1049" spans="91:102" ht="21" customHeight="1" x14ac:dyDescent="0.25">
      <c r="CM1049" s="1377"/>
      <c r="CN1049" s="1388" t="s">
        <v>10510</v>
      </c>
      <c r="CO1049" s="1388" t="s">
        <v>8125</v>
      </c>
      <c r="CP1049" s="1388" t="s">
        <v>8106</v>
      </c>
      <c r="CQ1049" s="1388" t="s">
        <v>10511</v>
      </c>
      <c r="CR1049" s="1388" t="s">
        <v>10511</v>
      </c>
      <c r="CS1049" s="1388" t="s">
        <v>8788</v>
      </c>
      <c r="CT1049" s="1388" t="s">
        <v>8789</v>
      </c>
      <c r="CU1049" s="1388" t="s">
        <v>9276</v>
      </c>
      <c r="CV1049" s="1389" t="s">
        <v>9277</v>
      </c>
      <c r="CX1049" s="1379">
        <v>1</v>
      </c>
    </row>
    <row r="1050" spans="91:102" ht="21" customHeight="1" x14ac:dyDescent="0.25">
      <c r="CM1050" s="1377"/>
      <c r="CN1050" s="1388" t="s">
        <v>10512</v>
      </c>
      <c r="CO1050" s="1388" t="s">
        <v>8125</v>
      </c>
      <c r="CP1050" s="1388" t="s">
        <v>8106</v>
      </c>
      <c r="CQ1050" s="1388" t="s">
        <v>10513</v>
      </c>
      <c r="CR1050" s="1388" t="s">
        <v>10513</v>
      </c>
      <c r="CS1050" s="1388" t="s">
        <v>8788</v>
      </c>
      <c r="CT1050" s="1388" t="s">
        <v>8789</v>
      </c>
      <c r="CU1050" s="1388" t="s">
        <v>9276</v>
      </c>
      <c r="CV1050" s="1389" t="s">
        <v>9277</v>
      </c>
      <c r="CX1050" s="1379">
        <v>1</v>
      </c>
    </row>
    <row r="1051" spans="91:102" ht="21" customHeight="1" x14ac:dyDescent="0.25">
      <c r="CM1051" s="1377"/>
      <c r="CN1051" s="1388" t="s">
        <v>10514</v>
      </c>
      <c r="CO1051" s="1388" t="s">
        <v>8125</v>
      </c>
      <c r="CP1051" s="1388" t="s">
        <v>8106</v>
      </c>
      <c r="CQ1051" s="1388" t="s">
        <v>10515</v>
      </c>
      <c r="CR1051" s="1388" t="s">
        <v>10515</v>
      </c>
      <c r="CS1051" s="1388" t="s">
        <v>8788</v>
      </c>
      <c r="CT1051" s="1388" t="s">
        <v>8789</v>
      </c>
      <c r="CU1051" s="1388" t="s">
        <v>9276</v>
      </c>
      <c r="CV1051" s="1389" t="s">
        <v>9277</v>
      </c>
      <c r="CX1051" s="1379">
        <v>1</v>
      </c>
    </row>
    <row r="1052" spans="91:102" ht="21" customHeight="1" x14ac:dyDescent="0.25">
      <c r="CM1052" s="1377"/>
      <c r="CN1052" s="1388" t="s">
        <v>10516</v>
      </c>
      <c r="CO1052" s="1388" t="s">
        <v>8125</v>
      </c>
      <c r="CP1052" s="1388" t="s">
        <v>8106</v>
      </c>
      <c r="CQ1052" s="1388" t="s">
        <v>10517</v>
      </c>
      <c r="CR1052" s="1388" t="s">
        <v>10517</v>
      </c>
      <c r="CS1052" s="1388" t="s">
        <v>8788</v>
      </c>
      <c r="CT1052" s="1388" t="s">
        <v>8789</v>
      </c>
      <c r="CU1052" s="1388" t="s">
        <v>9276</v>
      </c>
      <c r="CV1052" s="1389" t="s">
        <v>9277</v>
      </c>
      <c r="CX1052" s="1379">
        <v>1</v>
      </c>
    </row>
    <row r="1053" spans="91:102" ht="21" customHeight="1" x14ac:dyDescent="0.25">
      <c r="CM1053" s="1377"/>
      <c r="CN1053" s="1388" t="s">
        <v>10518</v>
      </c>
      <c r="CO1053" s="1388" t="s">
        <v>8125</v>
      </c>
      <c r="CP1053" s="1388" t="s">
        <v>8106</v>
      </c>
      <c r="CQ1053" s="1388" t="s">
        <v>10519</v>
      </c>
      <c r="CR1053" s="1388" t="s">
        <v>10519</v>
      </c>
      <c r="CS1053" s="1388" t="s">
        <v>8788</v>
      </c>
      <c r="CT1053" s="1388" t="s">
        <v>8789</v>
      </c>
      <c r="CU1053" s="1388" t="s">
        <v>9276</v>
      </c>
      <c r="CV1053" s="1389" t="s">
        <v>9277</v>
      </c>
      <c r="CX1053" s="1379">
        <v>1</v>
      </c>
    </row>
    <row r="1054" spans="91:102" ht="21" customHeight="1" x14ac:dyDescent="0.25">
      <c r="CM1054" s="1377"/>
      <c r="CN1054" s="1388" t="s">
        <v>10520</v>
      </c>
      <c r="CO1054" s="1388" t="s">
        <v>8125</v>
      </c>
      <c r="CP1054" s="1388" t="s">
        <v>8106</v>
      </c>
      <c r="CQ1054" s="1388" t="s">
        <v>10521</v>
      </c>
      <c r="CR1054" s="1388" t="s">
        <v>10521</v>
      </c>
      <c r="CS1054" s="1388" t="s">
        <v>8788</v>
      </c>
      <c r="CT1054" s="1388" t="s">
        <v>8789</v>
      </c>
      <c r="CU1054" s="1388" t="s">
        <v>9276</v>
      </c>
      <c r="CV1054" s="1389" t="s">
        <v>9277</v>
      </c>
      <c r="CX1054" s="1379">
        <v>1</v>
      </c>
    </row>
    <row r="1055" spans="91:102" ht="21" customHeight="1" x14ac:dyDescent="0.25">
      <c r="CM1055" s="1377"/>
      <c r="CN1055" s="1388" t="s">
        <v>10522</v>
      </c>
      <c r="CO1055" s="1388" t="s">
        <v>8125</v>
      </c>
      <c r="CP1055" s="1388" t="s">
        <v>8106</v>
      </c>
      <c r="CQ1055" s="1388" t="s">
        <v>10523</v>
      </c>
      <c r="CR1055" s="1388" t="s">
        <v>10523</v>
      </c>
      <c r="CS1055" s="1388" t="s">
        <v>8788</v>
      </c>
      <c r="CT1055" s="1388" t="s">
        <v>8789</v>
      </c>
      <c r="CU1055" s="1388" t="s">
        <v>9276</v>
      </c>
      <c r="CV1055" s="1389" t="s">
        <v>9277</v>
      </c>
      <c r="CX1055" s="1379">
        <v>1</v>
      </c>
    </row>
    <row r="1056" spans="91:102" ht="21" customHeight="1" x14ac:dyDescent="0.25">
      <c r="CM1056" s="1377"/>
      <c r="CN1056" s="1388" t="s">
        <v>10524</v>
      </c>
      <c r="CO1056" s="1388" t="s">
        <v>8125</v>
      </c>
      <c r="CP1056" s="1388" t="s">
        <v>8106</v>
      </c>
      <c r="CQ1056" s="1388" t="s">
        <v>10525</v>
      </c>
      <c r="CR1056" s="1388" t="s">
        <v>10525</v>
      </c>
      <c r="CS1056" s="1388" t="s">
        <v>8788</v>
      </c>
      <c r="CT1056" s="1388" t="s">
        <v>8789</v>
      </c>
      <c r="CU1056" s="1388" t="s">
        <v>9276</v>
      </c>
      <c r="CV1056" s="1389" t="s">
        <v>9277</v>
      </c>
      <c r="CX1056" s="1379">
        <v>1</v>
      </c>
    </row>
    <row r="1057" spans="91:102" ht="21" customHeight="1" x14ac:dyDescent="0.25">
      <c r="CM1057" s="1377"/>
      <c r="CN1057" s="1388" t="s">
        <v>10526</v>
      </c>
      <c r="CO1057" s="1388" t="s">
        <v>8125</v>
      </c>
      <c r="CP1057" s="1388" t="s">
        <v>8106</v>
      </c>
      <c r="CQ1057" s="1388" t="s">
        <v>10527</v>
      </c>
      <c r="CR1057" s="1388" t="s">
        <v>10527</v>
      </c>
      <c r="CS1057" s="1388" t="s">
        <v>8788</v>
      </c>
      <c r="CT1057" s="1388" t="s">
        <v>8789</v>
      </c>
      <c r="CU1057" s="1388" t="s">
        <v>9276</v>
      </c>
      <c r="CV1057" s="1389" t="s">
        <v>9277</v>
      </c>
      <c r="CX1057" s="1379">
        <v>1</v>
      </c>
    </row>
    <row r="1058" spans="91:102" ht="21" customHeight="1" x14ac:dyDescent="0.25">
      <c r="CM1058" s="1377"/>
      <c r="CN1058" s="1388" t="s">
        <v>10528</v>
      </c>
      <c r="CO1058" s="1388" t="s">
        <v>8125</v>
      </c>
      <c r="CP1058" s="1388" t="s">
        <v>8106</v>
      </c>
      <c r="CQ1058" s="1388" t="s">
        <v>10529</v>
      </c>
      <c r="CR1058" s="1388" t="s">
        <v>10529</v>
      </c>
      <c r="CS1058" s="1388" t="s">
        <v>8788</v>
      </c>
      <c r="CT1058" s="1388" t="s">
        <v>8789</v>
      </c>
      <c r="CU1058" s="1388" t="s">
        <v>9276</v>
      </c>
      <c r="CV1058" s="1389" t="s">
        <v>9277</v>
      </c>
      <c r="CX1058" s="1379">
        <v>1</v>
      </c>
    </row>
    <row r="1059" spans="91:102" ht="21" customHeight="1" x14ac:dyDescent="0.25">
      <c r="CM1059" s="1377"/>
      <c r="CN1059" s="1388" t="s">
        <v>10530</v>
      </c>
      <c r="CO1059" s="1388" t="s">
        <v>8125</v>
      </c>
      <c r="CP1059" s="1388" t="s">
        <v>8106</v>
      </c>
      <c r="CQ1059" s="1388" t="s">
        <v>10531</v>
      </c>
      <c r="CR1059" s="1388" t="s">
        <v>10531</v>
      </c>
      <c r="CS1059" s="1388" t="s">
        <v>8788</v>
      </c>
      <c r="CT1059" s="1388" t="s">
        <v>8789</v>
      </c>
      <c r="CU1059" s="1388" t="s">
        <v>9276</v>
      </c>
      <c r="CV1059" s="1389" t="s">
        <v>9277</v>
      </c>
      <c r="CX1059" s="1379">
        <v>1</v>
      </c>
    </row>
    <row r="1060" spans="91:102" ht="21" customHeight="1" x14ac:dyDescent="0.25">
      <c r="CM1060" s="1377"/>
      <c r="CN1060" s="1388" t="s">
        <v>10532</v>
      </c>
      <c r="CO1060" s="1388" t="s">
        <v>8125</v>
      </c>
      <c r="CP1060" s="1388" t="s">
        <v>8106</v>
      </c>
      <c r="CQ1060" s="1388" t="s">
        <v>10533</v>
      </c>
      <c r="CR1060" s="1388" t="s">
        <v>10533</v>
      </c>
      <c r="CS1060" s="1388" t="s">
        <v>8788</v>
      </c>
      <c r="CT1060" s="1388" t="s">
        <v>8789</v>
      </c>
      <c r="CU1060" s="1388" t="s">
        <v>9276</v>
      </c>
      <c r="CV1060" s="1389" t="s">
        <v>9277</v>
      </c>
      <c r="CX1060" s="1379">
        <v>1</v>
      </c>
    </row>
    <row r="1061" spans="91:102" ht="21" customHeight="1" x14ac:dyDescent="0.25">
      <c r="CM1061" s="1377"/>
      <c r="CN1061" s="1388" t="s">
        <v>10534</v>
      </c>
      <c r="CO1061" s="1388" t="s">
        <v>8125</v>
      </c>
      <c r="CP1061" s="1388" t="s">
        <v>8106</v>
      </c>
      <c r="CQ1061" s="1388" t="s">
        <v>10535</v>
      </c>
      <c r="CR1061" s="1388" t="s">
        <v>10535</v>
      </c>
      <c r="CS1061" s="1388" t="s">
        <v>8788</v>
      </c>
      <c r="CT1061" s="1388" t="s">
        <v>8789</v>
      </c>
      <c r="CU1061" s="1388" t="s">
        <v>9276</v>
      </c>
      <c r="CV1061" s="1389" t="s">
        <v>9277</v>
      </c>
      <c r="CX1061" s="1379">
        <v>1</v>
      </c>
    </row>
    <row r="1062" spans="91:102" ht="21" customHeight="1" x14ac:dyDescent="0.25">
      <c r="CM1062" s="1377"/>
      <c r="CN1062" s="1388" t="s">
        <v>10536</v>
      </c>
      <c r="CO1062" s="1388" t="s">
        <v>8125</v>
      </c>
      <c r="CP1062" s="1388" t="s">
        <v>8106</v>
      </c>
      <c r="CQ1062" s="1388" t="s">
        <v>10537</v>
      </c>
      <c r="CR1062" s="1388" t="s">
        <v>10537</v>
      </c>
      <c r="CS1062" s="1388" t="s">
        <v>8788</v>
      </c>
      <c r="CT1062" s="1388" t="s">
        <v>8789</v>
      </c>
      <c r="CU1062" s="1388" t="s">
        <v>9276</v>
      </c>
      <c r="CV1062" s="1389" t="s">
        <v>9277</v>
      </c>
      <c r="CX1062" s="1379">
        <v>1</v>
      </c>
    </row>
    <row r="1063" spans="91:102" ht="21" customHeight="1" x14ac:dyDescent="0.25">
      <c r="CM1063" s="1377"/>
      <c r="CN1063" s="1388" t="s">
        <v>10538</v>
      </c>
      <c r="CO1063" s="1388" t="s">
        <v>8125</v>
      </c>
      <c r="CP1063" s="1388" t="s">
        <v>8106</v>
      </c>
      <c r="CQ1063" s="1388" t="s">
        <v>10539</v>
      </c>
      <c r="CR1063" s="1388" t="s">
        <v>10539</v>
      </c>
      <c r="CS1063" s="1388" t="s">
        <v>8788</v>
      </c>
      <c r="CT1063" s="1388" t="s">
        <v>8789</v>
      </c>
      <c r="CU1063" s="1388" t="s">
        <v>9276</v>
      </c>
      <c r="CV1063" s="1389" t="s">
        <v>9277</v>
      </c>
      <c r="CX1063" s="1379">
        <v>1</v>
      </c>
    </row>
    <row r="1064" spans="91:102" ht="21" customHeight="1" x14ac:dyDescent="0.25">
      <c r="CM1064" s="1377"/>
      <c r="CN1064" s="1388" t="s">
        <v>10540</v>
      </c>
      <c r="CO1064" s="1388" t="s">
        <v>8125</v>
      </c>
      <c r="CP1064" s="1388" t="s">
        <v>8106</v>
      </c>
      <c r="CQ1064" s="1388" t="s">
        <v>10541</v>
      </c>
      <c r="CR1064" s="1388" t="s">
        <v>10541</v>
      </c>
      <c r="CS1064" s="1388" t="s">
        <v>8788</v>
      </c>
      <c r="CT1064" s="1388" t="s">
        <v>8789</v>
      </c>
      <c r="CU1064" s="1388" t="s">
        <v>9276</v>
      </c>
      <c r="CV1064" s="1389" t="s">
        <v>9277</v>
      </c>
      <c r="CX1064" s="1379">
        <v>1</v>
      </c>
    </row>
    <row r="1065" spans="91:102" ht="21" customHeight="1" x14ac:dyDescent="0.25">
      <c r="CM1065" s="1377"/>
      <c r="CN1065" s="1388" t="s">
        <v>10542</v>
      </c>
      <c r="CO1065" s="1388" t="s">
        <v>8125</v>
      </c>
      <c r="CP1065" s="1388" t="s">
        <v>8106</v>
      </c>
      <c r="CQ1065" s="1388" t="s">
        <v>10543</v>
      </c>
      <c r="CR1065" s="1388" t="s">
        <v>10543</v>
      </c>
      <c r="CS1065" s="1388" t="s">
        <v>8788</v>
      </c>
      <c r="CT1065" s="1388" t="s">
        <v>8789</v>
      </c>
      <c r="CU1065" s="1388" t="s">
        <v>9276</v>
      </c>
      <c r="CV1065" s="1389" t="s">
        <v>9277</v>
      </c>
      <c r="CX1065" s="1379">
        <v>1</v>
      </c>
    </row>
    <row r="1066" spans="91:102" ht="21" customHeight="1" x14ac:dyDescent="0.25">
      <c r="CM1066" s="1377"/>
      <c r="CN1066" s="1388" t="s">
        <v>10544</v>
      </c>
      <c r="CO1066" s="1388" t="s">
        <v>8125</v>
      </c>
      <c r="CP1066" s="1388" t="s">
        <v>8106</v>
      </c>
      <c r="CQ1066" s="1388" t="s">
        <v>10545</v>
      </c>
      <c r="CR1066" s="1388" t="s">
        <v>10545</v>
      </c>
      <c r="CS1066" s="1388" t="s">
        <v>8788</v>
      </c>
      <c r="CT1066" s="1388" t="s">
        <v>8789</v>
      </c>
      <c r="CU1066" s="1388" t="s">
        <v>9276</v>
      </c>
      <c r="CV1066" s="1389" t="s">
        <v>9277</v>
      </c>
      <c r="CX1066" s="1379">
        <v>1</v>
      </c>
    </row>
    <row r="1067" spans="91:102" ht="21" customHeight="1" x14ac:dyDescent="0.25">
      <c r="CM1067" s="1377"/>
      <c r="CN1067" s="1388" t="s">
        <v>10546</v>
      </c>
      <c r="CO1067" s="1388" t="s">
        <v>8125</v>
      </c>
      <c r="CP1067" s="1388" t="s">
        <v>8106</v>
      </c>
      <c r="CQ1067" s="1388" t="s">
        <v>10547</v>
      </c>
      <c r="CR1067" s="1388" t="s">
        <v>10547</v>
      </c>
      <c r="CS1067" s="1388" t="s">
        <v>8788</v>
      </c>
      <c r="CT1067" s="1388" t="s">
        <v>8789</v>
      </c>
      <c r="CU1067" s="1388" t="s">
        <v>9276</v>
      </c>
      <c r="CV1067" s="1389" t="s">
        <v>9277</v>
      </c>
      <c r="CX1067" s="1379">
        <v>1</v>
      </c>
    </row>
    <row r="1068" spans="91:102" ht="21" customHeight="1" x14ac:dyDescent="0.25">
      <c r="CM1068" s="1377"/>
      <c r="CN1068" s="1388" t="s">
        <v>10548</v>
      </c>
      <c r="CO1068" s="1388" t="s">
        <v>8125</v>
      </c>
      <c r="CP1068" s="1388" t="s">
        <v>8106</v>
      </c>
      <c r="CQ1068" s="1388" t="s">
        <v>10549</v>
      </c>
      <c r="CR1068" s="1388" t="s">
        <v>10549</v>
      </c>
      <c r="CS1068" s="1388" t="s">
        <v>8788</v>
      </c>
      <c r="CT1068" s="1388" t="s">
        <v>8789</v>
      </c>
      <c r="CU1068" s="1388" t="s">
        <v>9276</v>
      </c>
      <c r="CV1068" s="1389" t="s">
        <v>9277</v>
      </c>
      <c r="CX1068" s="1379">
        <v>1</v>
      </c>
    </row>
    <row r="1069" spans="91:102" ht="21" customHeight="1" x14ac:dyDescent="0.25">
      <c r="CM1069" s="1377"/>
      <c r="CN1069" s="1388" t="s">
        <v>10550</v>
      </c>
      <c r="CO1069" s="1388" t="s">
        <v>8125</v>
      </c>
      <c r="CP1069" s="1388" t="s">
        <v>8106</v>
      </c>
      <c r="CQ1069" s="1388" t="s">
        <v>10551</v>
      </c>
      <c r="CR1069" s="1388" t="s">
        <v>10551</v>
      </c>
      <c r="CS1069" s="1388" t="s">
        <v>8788</v>
      </c>
      <c r="CT1069" s="1388" t="s">
        <v>8789</v>
      </c>
      <c r="CU1069" s="1388" t="s">
        <v>9276</v>
      </c>
      <c r="CV1069" s="1389" t="s">
        <v>9277</v>
      </c>
      <c r="CX1069" s="1379">
        <v>1</v>
      </c>
    </row>
    <row r="1070" spans="91:102" ht="21" customHeight="1" x14ac:dyDescent="0.25">
      <c r="CM1070" s="1377"/>
      <c r="CN1070" s="1388" t="s">
        <v>10552</v>
      </c>
      <c r="CO1070" s="1388" t="s">
        <v>8125</v>
      </c>
      <c r="CP1070" s="1388" t="s">
        <v>8106</v>
      </c>
      <c r="CQ1070" s="1388" t="s">
        <v>10553</v>
      </c>
      <c r="CR1070" s="1388" t="s">
        <v>10553</v>
      </c>
      <c r="CS1070" s="1388" t="s">
        <v>8788</v>
      </c>
      <c r="CT1070" s="1388" t="s">
        <v>8789</v>
      </c>
      <c r="CU1070" s="1388" t="s">
        <v>9276</v>
      </c>
      <c r="CV1070" s="1389" t="s">
        <v>9277</v>
      </c>
      <c r="CX1070" s="1379">
        <v>1</v>
      </c>
    </row>
    <row r="1071" spans="91:102" ht="21" customHeight="1" x14ac:dyDescent="0.25">
      <c r="CM1071" s="1377"/>
      <c r="CN1071" s="1388" t="s">
        <v>10554</v>
      </c>
      <c r="CO1071" s="1388" t="s">
        <v>8125</v>
      </c>
      <c r="CP1071" s="1388" t="s">
        <v>8106</v>
      </c>
      <c r="CQ1071" s="1388" t="s">
        <v>10555</v>
      </c>
      <c r="CR1071" s="1388" t="s">
        <v>10555</v>
      </c>
      <c r="CS1071" s="1388" t="s">
        <v>8788</v>
      </c>
      <c r="CT1071" s="1388" t="s">
        <v>8789</v>
      </c>
      <c r="CU1071" s="1388" t="s">
        <v>9276</v>
      </c>
      <c r="CV1071" s="1389" t="s">
        <v>9277</v>
      </c>
      <c r="CX1071" s="1379">
        <v>1</v>
      </c>
    </row>
    <row r="1072" spans="91:102" ht="21" customHeight="1" x14ac:dyDescent="0.25">
      <c r="CM1072" s="1377"/>
      <c r="CN1072" s="1388" t="s">
        <v>10556</v>
      </c>
      <c r="CO1072" s="1388" t="s">
        <v>8125</v>
      </c>
      <c r="CP1072" s="1388" t="s">
        <v>8106</v>
      </c>
      <c r="CQ1072" s="1388" t="s">
        <v>10557</v>
      </c>
      <c r="CR1072" s="1388" t="s">
        <v>10557</v>
      </c>
      <c r="CS1072" s="1388" t="s">
        <v>8788</v>
      </c>
      <c r="CT1072" s="1388" t="s">
        <v>8789</v>
      </c>
      <c r="CU1072" s="1388" t="s">
        <v>9276</v>
      </c>
      <c r="CV1072" s="1389" t="s">
        <v>9277</v>
      </c>
      <c r="CX1072" s="1379">
        <v>1</v>
      </c>
    </row>
    <row r="1073" spans="91:102" ht="21" customHeight="1" x14ac:dyDescent="0.25">
      <c r="CM1073" s="1377"/>
      <c r="CN1073" s="1388" t="s">
        <v>10558</v>
      </c>
      <c r="CO1073" s="1388" t="s">
        <v>8125</v>
      </c>
      <c r="CP1073" s="1388" t="s">
        <v>8106</v>
      </c>
      <c r="CQ1073" s="1388" t="s">
        <v>10559</v>
      </c>
      <c r="CR1073" s="1388" t="s">
        <v>10559</v>
      </c>
      <c r="CS1073" s="1388" t="s">
        <v>8788</v>
      </c>
      <c r="CT1073" s="1388" t="s">
        <v>8789</v>
      </c>
      <c r="CU1073" s="1388" t="s">
        <v>9276</v>
      </c>
      <c r="CV1073" s="1389" t="s">
        <v>9277</v>
      </c>
      <c r="CX1073" s="1379">
        <v>1</v>
      </c>
    </row>
    <row r="1074" spans="91:102" ht="21" customHeight="1" x14ac:dyDescent="0.25">
      <c r="CM1074" s="1377"/>
      <c r="CN1074" s="1388" t="s">
        <v>10560</v>
      </c>
      <c r="CO1074" s="1388" t="s">
        <v>8125</v>
      </c>
      <c r="CP1074" s="1388" t="s">
        <v>8106</v>
      </c>
      <c r="CQ1074" s="1388" t="s">
        <v>10561</v>
      </c>
      <c r="CR1074" s="1388" t="s">
        <v>10561</v>
      </c>
      <c r="CS1074" s="1388" t="s">
        <v>8788</v>
      </c>
      <c r="CT1074" s="1388" t="s">
        <v>8789</v>
      </c>
      <c r="CU1074" s="1388" t="s">
        <v>9276</v>
      </c>
      <c r="CV1074" s="1389" t="s">
        <v>9277</v>
      </c>
      <c r="CX1074" s="1379">
        <v>1</v>
      </c>
    </row>
    <row r="1075" spans="91:102" ht="21" customHeight="1" x14ac:dyDescent="0.25">
      <c r="CM1075" s="1377"/>
      <c r="CN1075" s="1388" t="s">
        <v>10562</v>
      </c>
      <c r="CO1075" s="1388" t="s">
        <v>8125</v>
      </c>
      <c r="CP1075" s="1388" t="s">
        <v>8106</v>
      </c>
      <c r="CQ1075" s="1388" t="s">
        <v>10563</v>
      </c>
      <c r="CR1075" s="1388" t="s">
        <v>10563</v>
      </c>
      <c r="CS1075" s="1388" t="s">
        <v>8788</v>
      </c>
      <c r="CT1075" s="1388" t="s">
        <v>8789</v>
      </c>
      <c r="CU1075" s="1388" t="s">
        <v>9276</v>
      </c>
      <c r="CV1075" s="1389" t="s">
        <v>9277</v>
      </c>
      <c r="CX1075" s="1379">
        <v>1</v>
      </c>
    </row>
    <row r="1076" spans="91:102" ht="21" customHeight="1" x14ac:dyDescent="0.25">
      <c r="CM1076" s="1377"/>
      <c r="CN1076" s="1388" t="s">
        <v>10564</v>
      </c>
      <c r="CO1076" s="1388" t="s">
        <v>8125</v>
      </c>
      <c r="CP1076" s="1388" t="s">
        <v>8106</v>
      </c>
      <c r="CQ1076" s="1388" t="s">
        <v>346</v>
      </c>
      <c r="CR1076" s="1388" t="s">
        <v>346</v>
      </c>
      <c r="CS1076" s="1388" t="s">
        <v>8108</v>
      </c>
      <c r="CT1076" s="1388" t="s">
        <v>9359</v>
      </c>
      <c r="CU1076" s="1388" t="s">
        <v>8110</v>
      </c>
      <c r="CV1076" s="1389" t="s">
        <v>8111</v>
      </c>
      <c r="CX1076" s="1379">
        <v>1</v>
      </c>
    </row>
    <row r="1077" spans="91:102" ht="21" customHeight="1" x14ac:dyDescent="0.25">
      <c r="CM1077" s="1377"/>
      <c r="CN1077" s="1388" t="s">
        <v>10565</v>
      </c>
      <c r="CO1077" s="1388" t="s">
        <v>8125</v>
      </c>
      <c r="CP1077" s="1388" t="s">
        <v>8106</v>
      </c>
      <c r="CQ1077" s="1388" t="s">
        <v>10566</v>
      </c>
      <c r="CR1077" s="1388" t="s">
        <v>10566</v>
      </c>
      <c r="CS1077" s="1388" t="s">
        <v>8788</v>
      </c>
      <c r="CT1077" s="1388" t="s">
        <v>8789</v>
      </c>
      <c r="CU1077" s="1388" t="s">
        <v>9276</v>
      </c>
      <c r="CV1077" s="1389" t="s">
        <v>9277</v>
      </c>
      <c r="CX1077" s="1379">
        <v>1</v>
      </c>
    </row>
    <row r="1078" spans="91:102" ht="21" customHeight="1" x14ac:dyDescent="0.25">
      <c r="CM1078" s="1377"/>
      <c r="CN1078" s="1388" t="s">
        <v>10567</v>
      </c>
      <c r="CO1078" s="1388" t="s">
        <v>8125</v>
      </c>
      <c r="CP1078" s="1388" t="s">
        <v>8106</v>
      </c>
      <c r="CQ1078" s="1388" t="s">
        <v>10568</v>
      </c>
      <c r="CR1078" s="1388" t="s">
        <v>10568</v>
      </c>
      <c r="CS1078" s="1388" t="s">
        <v>8788</v>
      </c>
      <c r="CT1078" s="1388" t="s">
        <v>8789</v>
      </c>
      <c r="CU1078" s="1388" t="s">
        <v>9276</v>
      </c>
      <c r="CV1078" s="1389" t="s">
        <v>9277</v>
      </c>
      <c r="CX1078" s="1379">
        <v>1</v>
      </c>
    </row>
    <row r="1079" spans="91:102" ht="21" customHeight="1" x14ac:dyDescent="0.25">
      <c r="CM1079" s="1377"/>
      <c r="CN1079" s="1388" t="s">
        <v>10569</v>
      </c>
      <c r="CO1079" s="1388" t="s">
        <v>8125</v>
      </c>
      <c r="CP1079" s="1388" t="s">
        <v>8106</v>
      </c>
      <c r="CQ1079" s="1388" t="s">
        <v>10570</v>
      </c>
      <c r="CR1079" s="1388" t="s">
        <v>10570</v>
      </c>
      <c r="CS1079" s="1388" t="s">
        <v>8788</v>
      </c>
      <c r="CT1079" s="1388" t="s">
        <v>8789</v>
      </c>
      <c r="CU1079" s="1388" t="s">
        <v>9276</v>
      </c>
      <c r="CV1079" s="1389" t="s">
        <v>9277</v>
      </c>
      <c r="CX1079" s="1379">
        <v>1</v>
      </c>
    </row>
    <row r="1080" spans="91:102" ht="21" customHeight="1" x14ac:dyDescent="0.25">
      <c r="CM1080" s="1377"/>
      <c r="CN1080" s="1388" t="s">
        <v>10571</v>
      </c>
      <c r="CO1080" s="1388" t="s">
        <v>8125</v>
      </c>
      <c r="CP1080" s="1388" t="s">
        <v>8106</v>
      </c>
      <c r="CQ1080" s="1388" t="s">
        <v>10572</v>
      </c>
      <c r="CR1080" s="1388" t="s">
        <v>10572</v>
      </c>
      <c r="CS1080" s="1388" t="s">
        <v>8788</v>
      </c>
      <c r="CT1080" s="1388" t="s">
        <v>8789</v>
      </c>
      <c r="CU1080" s="1388" t="s">
        <v>9276</v>
      </c>
      <c r="CV1080" s="1389" t="s">
        <v>9277</v>
      </c>
      <c r="CX1080" s="1379">
        <v>1</v>
      </c>
    </row>
    <row r="1081" spans="91:102" ht="21" customHeight="1" x14ac:dyDescent="0.25">
      <c r="CM1081" s="1377"/>
      <c r="CN1081" s="1388" t="s">
        <v>10573</v>
      </c>
      <c r="CO1081" s="1388" t="s">
        <v>8125</v>
      </c>
      <c r="CP1081" s="1388" t="s">
        <v>8106</v>
      </c>
      <c r="CQ1081" s="1388" t="s">
        <v>10574</v>
      </c>
      <c r="CR1081" s="1388" t="s">
        <v>10574</v>
      </c>
      <c r="CS1081" s="1388" t="s">
        <v>8788</v>
      </c>
      <c r="CT1081" s="1388" t="s">
        <v>8789</v>
      </c>
      <c r="CU1081" s="1388" t="s">
        <v>9276</v>
      </c>
      <c r="CV1081" s="1389" t="s">
        <v>9277</v>
      </c>
      <c r="CX1081" s="1379">
        <v>1</v>
      </c>
    </row>
    <row r="1082" spans="91:102" ht="21" customHeight="1" x14ac:dyDescent="0.25">
      <c r="CM1082" s="1377"/>
      <c r="CN1082" s="1388" t="s">
        <v>10575</v>
      </c>
      <c r="CO1082" s="1388" t="s">
        <v>8125</v>
      </c>
      <c r="CP1082" s="1388" t="s">
        <v>8106</v>
      </c>
      <c r="CQ1082" s="1388" t="s">
        <v>10576</v>
      </c>
      <c r="CR1082" s="1388" t="s">
        <v>10576</v>
      </c>
      <c r="CS1082" s="1388" t="s">
        <v>8788</v>
      </c>
      <c r="CT1082" s="1388" t="s">
        <v>8789</v>
      </c>
      <c r="CU1082" s="1388" t="s">
        <v>9276</v>
      </c>
      <c r="CV1082" s="1389" t="s">
        <v>9277</v>
      </c>
      <c r="CX1082" s="1379">
        <v>1</v>
      </c>
    </row>
    <row r="1083" spans="91:102" ht="21" customHeight="1" x14ac:dyDescent="0.25">
      <c r="CM1083" s="1377"/>
      <c r="CN1083" s="1388" t="s">
        <v>10577</v>
      </c>
      <c r="CO1083" s="1388" t="s">
        <v>8125</v>
      </c>
      <c r="CP1083" s="1388" t="s">
        <v>8106</v>
      </c>
      <c r="CQ1083" s="1388" t="s">
        <v>10578</v>
      </c>
      <c r="CR1083" s="1388" t="s">
        <v>10578</v>
      </c>
      <c r="CS1083" s="1388" t="s">
        <v>8788</v>
      </c>
      <c r="CT1083" s="1388" t="s">
        <v>8789</v>
      </c>
      <c r="CU1083" s="1388" t="s">
        <v>9276</v>
      </c>
      <c r="CV1083" s="1389" t="s">
        <v>9277</v>
      </c>
      <c r="CX1083" s="1379">
        <v>1</v>
      </c>
    </row>
    <row r="1084" spans="91:102" ht="21" customHeight="1" x14ac:dyDescent="0.25">
      <c r="CM1084" s="1377"/>
      <c r="CN1084" s="1388" t="s">
        <v>10579</v>
      </c>
      <c r="CO1084" s="1388" t="s">
        <v>8125</v>
      </c>
      <c r="CP1084" s="1388" t="s">
        <v>8106</v>
      </c>
      <c r="CQ1084" s="1388" t="s">
        <v>10580</v>
      </c>
      <c r="CR1084" s="1388" t="s">
        <v>10580</v>
      </c>
      <c r="CS1084" s="1388" t="s">
        <v>8788</v>
      </c>
      <c r="CT1084" s="1388" t="s">
        <v>8789</v>
      </c>
      <c r="CU1084" s="1388" t="s">
        <v>9276</v>
      </c>
      <c r="CV1084" s="1389" t="s">
        <v>9277</v>
      </c>
      <c r="CX1084" s="1379">
        <v>1</v>
      </c>
    </row>
    <row r="1085" spans="91:102" ht="21" customHeight="1" x14ac:dyDescent="0.25">
      <c r="CM1085" s="1377"/>
      <c r="CN1085" s="1388" t="s">
        <v>10581</v>
      </c>
      <c r="CO1085" s="1388" t="s">
        <v>8125</v>
      </c>
      <c r="CP1085" s="1388" t="s">
        <v>8106</v>
      </c>
      <c r="CQ1085" s="1388" t="s">
        <v>10582</v>
      </c>
      <c r="CR1085" s="1388" t="s">
        <v>10582</v>
      </c>
      <c r="CS1085" s="1388" t="s">
        <v>8788</v>
      </c>
      <c r="CT1085" s="1388" t="s">
        <v>8789</v>
      </c>
      <c r="CU1085" s="1388" t="s">
        <v>9276</v>
      </c>
      <c r="CV1085" s="1389" t="s">
        <v>9277</v>
      </c>
      <c r="CX1085" s="1379">
        <v>1</v>
      </c>
    </row>
    <row r="1086" spans="91:102" ht="21" customHeight="1" x14ac:dyDescent="0.25">
      <c r="CM1086" s="1377"/>
      <c r="CN1086" s="1388" t="s">
        <v>10583</v>
      </c>
      <c r="CO1086" s="1388" t="s">
        <v>8125</v>
      </c>
      <c r="CP1086" s="1388" t="s">
        <v>8106</v>
      </c>
      <c r="CQ1086" s="1388" t="s">
        <v>10584</v>
      </c>
      <c r="CR1086" s="1388" t="s">
        <v>10584</v>
      </c>
      <c r="CS1086" s="1388" t="s">
        <v>8788</v>
      </c>
      <c r="CT1086" s="1388" t="s">
        <v>8789</v>
      </c>
      <c r="CU1086" s="1388" t="s">
        <v>9276</v>
      </c>
      <c r="CV1086" s="1389" t="s">
        <v>9277</v>
      </c>
      <c r="CX1086" s="1379">
        <v>1</v>
      </c>
    </row>
    <row r="1087" spans="91:102" ht="21" customHeight="1" x14ac:dyDescent="0.25">
      <c r="CM1087" s="1377"/>
      <c r="CN1087" s="1388" t="s">
        <v>10585</v>
      </c>
      <c r="CO1087" s="1388" t="s">
        <v>8125</v>
      </c>
      <c r="CP1087" s="1388" t="s">
        <v>8106</v>
      </c>
      <c r="CQ1087" s="1388" t="s">
        <v>10586</v>
      </c>
      <c r="CR1087" s="1388" t="s">
        <v>10586</v>
      </c>
      <c r="CS1087" s="1388" t="s">
        <v>8108</v>
      </c>
      <c r="CT1087" s="1388" t="s">
        <v>9359</v>
      </c>
      <c r="CU1087" s="1388" t="s">
        <v>8110</v>
      </c>
      <c r="CV1087" s="1389" t="s">
        <v>8111</v>
      </c>
      <c r="CX1087" s="1379">
        <v>1</v>
      </c>
    </row>
    <row r="1088" spans="91:102" ht="21" customHeight="1" x14ac:dyDescent="0.25">
      <c r="CM1088" s="1377"/>
      <c r="CN1088" s="1388" t="s">
        <v>10587</v>
      </c>
      <c r="CO1088" s="1388" t="s">
        <v>8125</v>
      </c>
      <c r="CP1088" s="1388" t="s">
        <v>8106</v>
      </c>
      <c r="CQ1088" s="1388" t="s">
        <v>10588</v>
      </c>
      <c r="CR1088" s="1388" t="s">
        <v>10588</v>
      </c>
      <c r="CS1088" s="1388" t="s">
        <v>8788</v>
      </c>
      <c r="CT1088" s="1388" t="s">
        <v>8789</v>
      </c>
      <c r="CU1088" s="1388" t="s">
        <v>9276</v>
      </c>
      <c r="CV1088" s="1389" t="s">
        <v>9277</v>
      </c>
      <c r="CX1088" s="1379">
        <v>1</v>
      </c>
    </row>
    <row r="1089" spans="91:102" ht="21" customHeight="1" x14ac:dyDescent="0.25">
      <c r="CM1089" s="1377"/>
      <c r="CN1089" s="1388" t="s">
        <v>10589</v>
      </c>
      <c r="CO1089" s="1388" t="s">
        <v>8125</v>
      </c>
      <c r="CP1089" s="1388" t="s">
        <v>8106</v>
      </c>
      <c r="CQ1089" s="1388" t="s">
        <v>10590</v>
      </c>
      <c r="CR1089" s="1388" t="s">
        <v>10590</v>
      </c>
      <c r="CS1089" s="1388" t="s">
        <v>8788</v>
      </c>
      <c r="CT1089" s="1388" t="s">
        <v>8789</v>
      </c>
      <c r="CU1089" s="1388" t="s">
        <v>9276</v>
      </c>
      <c r="CV1089" s="1389" t="s">
        <v>9277</v>
      </c>
      <c r="CX1089" s="1379">
        <v>1</v>
      </c>
    </row>
    <row r="1090" spans="91:102" ht="21" customHeight="1" x14ac:dyDescent="0.25">
      <c r="CM1090" s="1377"/>
      <c r="CN1090" s="1388" t="s">
        <v>10591</v>
      </c>
      <c r="CO1090" s="1388" t="s">
        <v>8125</v>
      </c>
      <c r="CP1090" s="1388" t="s">
        <v>8106</v>
      </c>
      <c r="CQ1090" s="1388" t="s">
        <v>10592</v>
      </c>
      <c r="CR1090" s="1388" t="s">
        <v>10592</v>
      </c>
      <c r="CS1090" s="1388" t="s">
        <v>8788</v>
      </c>
      <c r="CT1090" s="1388" t="s">
        <v>8789</v>
      </c>
      <c r="CU1090" s="1388" t="s">
        <v>9276</v>
      </c>
      <c r="CV1090" s="1389" t="s">
        <v>9277</v>
      </c>
      <c r="CX1090" s="1379">
        <v>1</v>
      </c>
    </row>
    <row r="1091" spans="91:102" ht="21" customHeight="1" x14ac:dyDescent="0.25">
      <c r="CM1091" s="1377"/>
      <c r="CN1091" s="1388" t="s">
        <v>10593</v>
      </c>
      <c r="CO1091" s="1388" t="s">
        <v>8125</v>
      </c>
      <c r="CP1091" s="1388" t="s">
        <v>8106</v>
      </c>
      <c r="CQ1091" s="1388" t="s">
        <v>10594</v>
      </c>
      <c r="CR1091" s="1388" t="s">
        <v>10594</v>
      </c>
      <c r="CS1091" s="1388" t="s">
        <v>8108</v>
      </c>
      <c r="CT1091" s="1388" t="s">
        <v>9359</v>
      </c>
      <c r="CU1091" s="1388" t="s">
        <v>8110</v>
      </c>
      <c r="CV1091" s="1389" t="s">
        <v>8111</v>
      </c>
      <c r="CX1091" s="1379">
        <v>1</v>
      </c>
    </row>
    <row r="1092" spans="91:102" ht="21" customHeight="1" x14ac:dyDescent="0.25">
      <c r="CM1092" s="1377"/>
      <c r="CN1092" s="1388" t="s">
        <v>10595</v>
      </c>
      <c r="CO1092" s="1388" t="s">
        <v>8125</v>
      </c>
      <c r="CP1092" s="1388" t="s">
        <v>8106</v>
      </c>
      <c r="CQ1092" s="1388" t="s">
        <v>10596</v>
      </c>
      <c r="CR1092" s="1388" t="s">
        <v>10597</v>
      </c>
      <c r="CS1092" s="1388" t="s">
        <v>8108</v>
      </c>
      <c r="CT1092" s="1388" t="s">
        <v>9359</v>
      </c>
      <c r="CU1092" s="1388" t="s">
        <v>8110</v>
      </c>
      <c r="CV1092" s="1389" t="s">
        <v>8111</v>
      </c>
      <c r="CX1092" s="1379">
        <v>1</v>
      </c>
    </row>
    <row r="1093" spans="91:102" ht="21" customHeight="1" x14ac:dyDescent="0.25">
      <c r="CM1093" s="1377"/>
      <c r="CN1093" s="1388" t="s">
        <v>10598</v>
      </c>
      <c r="CO1093" s="1388" t="s">
        <v>8125</v>
      </c>
      <c r="CP1093" s="1388" t="s">
        <v>8106</v>
      </c>
      <c r="CQ1093" s="1388" t="s">
        <v>10599</v>
      </c>
      <c r="CR1093" s="1388" t="s">
        <v>10599</v>
      </c>
      <c r="CS1093" s="1388" t="s">
        <v>8108</v>
      </c>
      <c r="CT1093" s="1388" t="s">
        <v>9359</v>
      </c>
      <c r="CU1093" s="1388" t="s">
        <v>8110</v>
      </c>
      <c r="CV1093" s="1389" t="s">
        <v>8111</v>
      </c>
      <c r="CX1093" s="1379">
        <v>1</v>
      </c>
    </row>
    <row r="1094" spans="91:102" ht="21" customHeight="1" x14ac:dyDescent="0.25">
      <c r="CM1094" s="1377"/>
      <c r="CN1094" s="1388" t="s">
        <v>10600</v>
      </c>
      <c r="CO1094" s="1388" t="s">
        <v>8125</v>
      </c>
      <c r="CP1094" s="1388" t="s">
        <v>8106</v>
      </c>
      <c r="CQ1094" s="1388" t="s">
        <v>10601</v>
      </c>
      <c r="CR1094" s="1388" t="s">
        <v>10601</v>
      </c>
      <c r="CS1094" s="1388" t="s">
        <v>8788</v>
      </c>
      <c r="CT1094" s="1388" t="s">
        <v>8789</v>
      </c>
      <c r="CU1094" s="1388" t="s">
        <v>9276</v>
      </c>
      <c r="CV1094" s="1389" t="s">
        <v>9277</v>
      </c>
      <c r="CX1094" s="1379">
        <v>1</v>
      </c>
    </row>
    <row r="1095" spans="91:102" ht="21" customHeight="1" x14ac:dyDescent="0.25">
      <c r="CM1095" s="1377"/>
      <c r="CN1095" s="1388" t="s">
        <v>10602</v>
      </c>
      <c r="CO1095" s="1388" t="s">
        <v>8125</v>
      </c>
      <c r="CP1095" s="1388" t="s">
        <v>8106</v>
      </c>
      <c r="CQ1095" s="1388" t="s">
        <v>10603</v>
      </c>
      <c r="CR1095" s="1388" t="s">
        <v>10603</v>
      </c>
      <c r="CS1095" s="1388" t="s">
        <v>8788</v>
      </c>
      <c r="CT1095" s="1388" t="s">
        <v>8789</v>
      </c>
      <c r="CU1095" s="1388" t="s">
        <v>9276</v>
      </c>
      <c r="CV1095" s="1389" t="s">
        <v>9277</v>
      </c>
      <c r="CX1095" s="1379">
        <v>1</v>
      </c>
    </row>
    <row r="1096" spans="91:102" ht="21" customHeight="1" x14ac:dyDescent="0.25">
      <c r="CM1096" s="1377"/>
      <c r="CN1096" s="1388" t="s">
        <v>10604</v>
      </c>
      <c r="CO1096" s="1388" t="s">
        <v>8125</v>
      </c>
      <c r="CP1096" s="1388" t="s">
        <v>8106</v>
      </c>
      <c r="CQ1096" s="1388" t="s">
        <v>10605</v>
      </c>
      <c r="CR1096" s="1388" t="s">
        <v>10605</v>
      </c>
      <c r="CS1096" s="1388" t="s">
        <v>8788</v>
      </c>
      <c r="CT1096" s="1388" t="s">
        <v>8789</v>
      </c>
      <c r="CU1096" s="1388" t="s">
        <v>9276</v>
      </c>
      <c r="CV1096" s="1389" t="s">
        <v>9277</v>
      </c>
      <c r="CX1096" s="1379">
        <v>1</v>
      </c>
    </row>
    <row r="1097" spans="91:102" ht="21" customHeight="1" x14ac:dyDescent="0.25">
      <c r="CM1097" s="1377"/>
      <c r="CN1097" s="1388" t="s">
        <v>10606</v>
      </c>
      <c r="CO1097" s="1388" t="s">
        <v>8125</v>
      </c>
      <c r="CP1097" s="1388" t="s">
        <v>8106</v>
      </c>
      <c r="CQ1097" s="1388" t="s">
        <v>10607</v>
      </c>
      <c r="CR1097" s="1388" t="s">
        <v>10607</v>
      </c>
      <c r="CS1097" s="1388" t="s">
        <v>8788</v>
      </c>
      <c r="CT1097" s="1388" t="s">
        <v>8789</v>
      </c>
      <c r="CU1097" s="1388" t="s">
        <v>9276</v>
      </c>
      <c r="CV1097" s="1389" t="s">
        <v>9277</v>
      </c>
      <c r="CX1097" s="1379">
        <v>1</v>
      </c>
    </row>
    <row r="1098" spans="91:102" ht="21" customHeight="1" x14ac:dyDescent="0.25">
      <c r="CM1098" s="1377"/>
      <c r="CN1098" s="1388" t="s">
        <v>10608</v>
      </c>
      <c r="CO1098" s="1388" t="s">
        <v>8125</v>
      </c>
      <c r="CP1098" s="1388" t="s">
        <v>8106</v>
      </c>
      <c r="CQ1098" s="1388" t="s">
        <v>10609</v>
      </c>
      <c r="CR1098" s="1388" t="s">
        <v>10609</v>
      </c>
      <c r="CS1098" s="1388" t="s">
        <v>8788</v>
      </c>
      <c r="CT1098" s="1388" t="s">
        <v>8789</v>
      </c>
      <c r="CU1098" s="1388" t="s">
        <v>9276</v>
      </c>
      <c r="CV1098" s="1389" t="s">
        <v>9277</v>
      </c>
      <c r="CX1098" s="1379">
        <v>1</v>
      </c>
    </row>
    <row r="1099" spans="91:102" ht="21" customHeight="1" x14ac:dyDescent="0.25">
      <c r="CM1099" s="1377"/>
      <c r="CN1099" s="1388" t="s">
        <v>10610</v>
      </c>
      <c r="CO1099" s="1388" t="s">
        <v>8125</v>
      </c>
      <c r="CP1099" s="1388" t="s">
        <v>8106</v>
      </c>
      <c r="CQ1099" s="1388" t="s">
        <v>10611</v>
      </c>
      <c r="CR1099" s="1388" t="s">
        <v>10611</v>
      </c>
      <c r="CS1099" s="1388" t="s">
        <v>8788</v>
      </c>
      <c r="CT1099" s="1388" t="s">
        <v>8789</v>
      </c>
      <c r="CU1099" s="1388" t="s">
        <v>9276</v>
      </c>
      <c r="CV1099" s="1389" t="s">
        <v>9277</v>
      </c>
      <c r="CX1099" s="1379">
        <v>1</v>
      </c>
    </row>
    <row r="1100" spans="91:102" ht="21" customHeight="1" x14ac:dyDescent="0.25">
      <c r="CM1100" s="1377"/>
      <c r="CN1100" s="1388" t="s">
        <v>10612</v>
      </c>
      <c r="CO1100" s="1388" t="s">
        <v>8125</v>
      </c>
      <c r="CP1100" s="1388" t="s">
        <v>8106</v>
      </c>
      <c r="CQ1100" s="1388" t="s">
        <v>10613</v>
      </c>
      <c r="CR1100" s="1388" t="s">
        <v>10613</v>
      </c>
      <c r="CS1100" s="1388" t="s">
        <v>8788</v>
      </c>
      <c r="CT1100" s="1388" t="s">
        <v>8789</v>
      </c>
      <c r="CU1100" s="1388" t="s">
        <v>9276</v>
      </c>
      <c r="CV1100" s="1389" t="s">
        <v>9277</v>
      </c>
      <c r="CX1100" s="1379">
        <v>1</v>
      </c>
    </row>
    <row r="1101" spans="91:102" ht="21" customHeight="1" x14ac:dyDescent="0.25">
      <c r="CM1101" s="1377"/>
      <c r="CN1101" s="1388" t="s">
        <v>10614</v>
      </c>
      <c r="CO1101" s="1388" t="s">
        <v>8125</v>
      </c>
      <c r="CP1101" s="1388" t="s">
        <v>8106</v>
      </c>
      <c r="CQ1101" s="1388" t="s">
        <v>10615</v>
      </c>
      <c r="CR1101" s="1388" t="s">
        <v>10615</v>
      </c>
      <c r="CS1101" s="1388" t="s">
        <v>8788</v>
      </c>
      <c r="CT1101" s="1388" t="s">
        <v>8789</v>
      </c>
      <c r="CU1101" s="1388" t="s">
        <v>9276</v>
      </c>
      <c r="CV1101" s="1389" t="s">
        <v>9277</v>
      </c>
      <c r="CX1101" s="1379">
        <v>1</v>
      </c>
    </row>
    <row r="1102" spans="91:102" ht="21" customHeight="1" x14ac:dyDescent="0.25">
      <c r="CM1102" s="1377"/>
      <c r="CN1102" s="1388" t="s">
        <v>10616</v>
      </c>
      <c r="CO1102" s="1388" t="s">
        <v>8125</v>
      </c>
      <c r="CP1102" s="1388" t="s">
        <v>8106</v>
      </c>
      <c r="CQ1102" s="1388" t="s">
        <v>10617</v>
      </c>
      <c r="CR1102" s="1388" t="s">
        <v>10617</v>
      </c>
      <c r="CS1102" s="1388" t="s">
        <v>8788</v>
      </c>
      <c r="CT1102" s="1388" t="s">
        <v>8789</v>
      </c>
      <c r="CU1102" s="1388" t="s">
        <v>9276</v>
      </c>
      <c r="CV1102" s="1389" t="s">
        <v>9277</v>
      </c>
      <c r="CX1102" s="1379">
        <v>1</v>
      </c>
    </row>
    <row r="1103" spans="91:102" ht="21" customHeight="1" x14ac:dyDescent="0.25">
      <c r="CM1103" s="1377"/>
      <c r="CN1103" s="1388" t="s">
        <v>10618</v>
      </c>
      <c r="CO1103" s="1388" t="s">
        <v>8125</v>
      </c>
      <c r="CP1103" s="1388" t="s">
        <v>8106</v>
      </c>
      <c r="CQ1103" s="1388" t="s">
        <v>10619</v>
      </c>
      <c r="CR1103" s="1388" t="s">
        <v>10619</v>
      </c>
      <c r="CS1103" s="1388" t="s">
        <v>8788</v>
      </c>
      <c r="CT1103" s="1388" t="s">
        <v>8789</v>
      </c>
      <c r="CU1103" s="1388" t="s">
        <v>9276</v>
      </c>
      <c r="CV1103" s="1389" t="s">
        <v>9277</v>
      </c>
      <c r="CX1103" s="1379">
        <v>1</v>
      </c>
    </row>
    <row r="1104" spans="91:102" ht="21" customHeight="1" x14ac:dyDescent="0.25">
      <c r="CM1104" s="1377"/>
      <c r="CN1104" s="1388" t="s">
        <v>10620</v>
      </c>
      <c r="CO1104" s="1388" t="s">
        <v>8125</v>
      </c>
      <c r="CP1104" s="1388" t="s">
        <v>8106</v>
      </c>
      <c r="CQ1104" s="1388" t="s">
        <v>10621</v>
      </c>
      <c r="CR1104" s="1388" t="s">
        <v>10621</v>
      </c>
      <c r="CS1104" s="1388" t="s">
        <v>8788</v>
      </c>
      <c r="CT1104" s="1388" t="s">
        <v>8789</v>
      </c>
      <c r="CU1104" s="1388" t="s">
        <v>9276</v>
      </c>
      <c r="CV1104" s="1389" t="s">
        <v>9277</v>
      </c>
      <c r="CX1104" s="1379">
        <v>1</v>
      </c>
    </row>
    <row r="1105" spans="91:102" ht="21" customHeight="1" x14ac:dyDescent="0.25">
      <c r="CM1105" s="1377"/>
      <c r="CN1105" s="1388" t="s">
        <v>10622</v>
      </c>
      <c r="CO1105" s="1388" t="s">
        <v>8125</v>
      </c>
      <c r="CP1105" s="1388" t="s">
        <v>8106</v>
      </c>
      <c r="CQ1105" s="1388" t="s">
        <v>10623</v>
      </c>
      <c r="CR1105" s="1388" t="s">
        <v>10623</v>
      </c>
      <c r="CS1105" s="1388" t="s">
        <v>8788</v>
      </c>
      <c r="CT1105" s="1388" t="s">
        <v>8789</v>
      </c>
      <c r="CU1105" s="1388" t="s">
        <v>9276</v>
      </c>
      <c r="CV1105" s="1389" t="s">
        <v>9277</v>
      </c>
      <c r="CX1105" s="1379">
        <v>1</v>
      </c>
    </row>
    <row r="1106" spans="91:102" ht="21" customHeight="1" x14ac:dyDescent="0.25">
      <c r="CM1106" s="1377"/>
      <c r="CN1106" s="1388" t="s">
        <v>10624</v>
      </c>
      <c r="CO1106" s="1388" t="s">
        <v>8125</v>
      </c>
      <c r="CP1106" s="1388" t="s">
        <v>8106</v>
      </c>
      <c r="CQ1106" s="1388" t="s">
        <v>10625</v>
      </c>
      <c r="CR1106" s="1388" t="s">
        <v>10625</v>
      </c>
      <c r="CS1106" s="1388" t="s">
        <v>8788</v>
      </c>
      <c r="CT1106" s="1388" t="s">
        <v>8789</v>
      </c>
      <c r="CU1106" s="1388" t="s">
        <v>9276</v>
      </c>
      <c r="CV1106" s="1389" t="s">
        <v>9277</v>
      </c>
      <c r="CX1106" s="1379">
        <v>1</v>
      </c>
    </row>
    <row r="1107" spans="91:102" ht="21" customHeight="1" x14ac:dyDescent="0.25">
      <c r="CM1107" s="1377"/>
      <c r="CN1107" s="1388" t="s">
        <v>10626</v>
      </c>
      <c r="CO1107" s="1388" t="s">
        <v>8125</v>
      </c>
      <c r="CP1107" s="1388" t="s">
        <v>8106</v>
      </c>
      <c r="CQ1107" s="1388" t="s">
        <v>10627</v>
      </c>
      <c r="CR1107" s="1388" t="s">
        <v>10627</v>
      </c>
      <c r="CS1107" s="1388" t="s">
        <v>8788</v>
      </c>
      <c r="CT1107" s="1388" t="s">
        <v>8789</v>
      </c>
      <c r="CU1107" s="1388" t="s">
        <v>9276</v>
      </c>
      <c r="CV1107" s="1389" t="s">
        <v>9277</v>
      </c>
      <c r="CX1107" s="1379">
        <v>1</v>
      </c>
    </row>
    <row r="1108" spans="91:102" ht="21" customHeight="1" x14ac:dyDescent="0.25">
      <c r="CM1108" s="1377"/>
      <c r="CN1108" s="1388" t="s">
        <v>10628</v>
      </c>
      <c r="CO1108" s="1388" t="s">
        <v>8125</v>
      </c>
      <c r="CP1108" s="1388" t="s">
        <v>8106</v>
      </c>
      <c r="CQ1108" s="1388" t="s">
        <v>10629</v>
      </c>
      <c r="CR1108" s="1388" t="s">
        <v>10629</v>
      </c>
      <c r="CS1108" s="1388" t="s">
        <v>8788</v>
      </c>
      <c r="CT1108" s="1388" t="s">
        <v>8789</v>
      </c>
      <c r="CU1108" s="1388" t="s">
        <v>9276</v>
      </c>
      <c r="CV1108" s="1389" t="s">
        <v>9277</v>
      </c>
      <c r="CX1108" s="1379">
        <v>1</v>
      </c>
    </row>
    <row r="1109" spans="91:102" ht="21" customHeight="1" x14ac:dyDescent="0.25">
      <c r="CM1109" s="1377"/>
      <c r="CN1109" s="1388" t="s">
        <v>10630</v>
      </c>
      <c r="CO1109" s="1388" t="s">
        <v>8125</v>
      </c>
      <c r="CP1109" s="1388" t="s">
        <v>8106</v>
      </c>
      <c r="CQ1109" s="1388" t="s">
        <v>10631</v>
      </c>
      <c r="CR1109" s="1388" t="s">
        <v>10631</v>
      </c>
      <c r="CS1109" s="1388" t="s">
        <v>8788</v>
      </c>
      <c r="CT1109" s="1388" t="s">
        <v>8789</v>
      </c>
      <c r="CU1109" s="1388" t="s">
        <v>9276</v>
      </c>
      <c r="CV1109" s="1389" t="s">
        <v>9277</v>
      </c>
      <c r="CX1109" s="1379">
        <v>1</v>
      </c>
    </row>
    <row r="1110" spans="91:102" ht="21" customHeight="1" x14ac:dyDescent="0.25">
      <c r="CM1110" s="1377"/>
      <c r="CN1110" s="1388" t="s">
        <v>10632</v>
      </c>
      <c r="CO1110" s="1388" t="s">
        <v>8125</v>
      </c>
      <c r="CP1110" s="1388" t="s">
        <v>8106</v>
      </c>
      <c r="CQ1110" s="1388" t="s">
        <v>10633</v>
      </c>
      <c r="CR1110" s="1388" t="s">
        <v>10633</v>
      </c>
      <c r="CS1110" s="1388" t="s">
        <v>8788</v>
      </c>
      <c r="CT1110" s="1388" t="s">
        <v>8789</v>
      </c>
      <c r="CU1110" s="1388" t="s">
        <v>9276</v>
      </c>
      <c r="CV1110" s="1389" t="s">
        <v>9277</v>
      </c>
      <c r="CX1110" s="1379">
        <v>1</v>
      </c>
    </row>
    <row r="1111" spans="91:102" ht="21" customHeight="1" x14ac:dyDescent="0.25">
      <c r="CM1111" s="1377"/>
      <c r="CN1111" s="1388" t="s">
        <v>10634</v>
      </c>
      <c r="CO1111" s="1388" t="s">
        <v>8125</v>
      </c>
      <c r="CP1111" s="1388" t="s">
        <v>8106</v>
      </c>
      <c r="CQ1111" s="1388" t="s">
        <v>10635</v>
      </c>
      <c r="CR1111" s="1388" t="s">
        <v>10635</v>
      </c>
      <c r="CS1111" s="1388" t="s">
        <v>8788</v>
      </c>
      <c r="CT1111" s="1388" t="s">
        <v>8789</v>
      </c>
      <c r="CU1111" s="1388" t="s">
        <v>9276</v>
      </c>
      <c r="CV1111" s="1389" t="s">
        <v>9277</v>
      </c>
      <c r="CX1111" s="1379">
        <v>1</v>
      </c>
    </row>
    <row r="1112" spans="91:102" ht="21" customHeight="1" x14ac:dyDescent="0.25">
      <c r="CM1112" s="1377"/>
      <c r="CN1112" s="1388" t="s">
        <v>10636</v>
      </c>
      <c r="CO1112" s="1388" t="s">
        <v>8125</v>
      </c>
      <c r="CP1112" s="1388" t="s">
        <v>8106</v>
      </c>
      <c r="CQ1112" s="1388" t="s">
        <v>10637</v>
      </c>
      <c r="CR1112" s="1388" t="s">
        <v>10637</v>
      </c>
      <c r="CS1112" s="1388" t="s">
        <v>8788</v>
      </c>
      <c r="CT1112" s="1388" t="s">
        <v>8789</v>
      </c>
      <c r="CU1112" s="1388" t="s">
        <v>9276</v>
      </c>
      <c r="CV1112" s="1389" t="s">
        <v>9277</v>
      </c>
      <c r="CX1112" s="1379">
        <v>1</v>
      </c>
    </row>
    <row r="1113" spans="91:102" ht="21" customHeight="1" x14ac:dyDescent="0.25">
      <c r="CM1113" s="1377"/>
      <c r="CN1113" s="1388" t="s">
        <v>10638</v>
      </c>
      <c r="CO1113" s="1388" t="s">
        <v>8125</v>
      </c>
      <c r="CP1113" s="1388" t="s">
        <v>8106</v>
      </c>
      <c r="CQ1113" s="1388" t="s">
        <v>10639</v>
      </c>
      <c r="CR1113" s="1388" t="s">
        <v>10639</v>
      </c>
      <c r="CS1113" s="1388" t="s">
        <v>8788</v>
      </c>
      <c r="CT1113" s="1388" t="s">
        <v>8789</v>
      </c>
      <c r="CU1113" s="1388" t="s">
        <v>9276</v>
      </c>
      <c r="CV1113" s="1389" t="s">
        <v>9277</v>
      </c>
      <c r="CX1113" s="1379">
        <v>1</v>
      </c>
    </row>
    <row r="1114" spans="91:102" ht="21" customHeight="1" x14ac:dyDescent="0.25">
      <c r="CM1114" s="1377"/>
      <c r="CN1114" s="1388" t="s">
        <v>10640</v>
      </c>
      <c r="CO1114" s="1388" t="s">
        <v>8125</v>
      </c>
      <c r="CP1114" s="1388" t="s">
        <v>8106</v>
      </c>
      <c r="CQ1114" s="1388" t="s">
        <v>10641</v>
      </c>
      <c r="CR1114" s="1388" t="s">
        <v>10641</v>
      </c>
      <c r="CS1114" s="1388" t="s">
        <v>8788</v>
      </c>
      <c r="CT1114" s="1388" t="s">
        <v>8789</v>
      </c>
      <c r="CU1114" s="1388" t="s">
        <v>9276</v>
      </c>
      <c r="CV1114" s="1389" t="s">
        <v>9277</v>
      </c>
      <c r="CX1114" s="1379">
        <v>1</v>
      </c>
    </row>
    <row r="1115" spans="91:102" ht="21" customHeight="1" x14ac:dyDescent="0.25">
      <c r="CM1115" s="1377"/>
      <c r="CN1115" s="1388" t="s">
        <v>10642</v>
      </c>
      <c r="CO1115" s="1388" t="s">
        <v>8125</v>
      </c>
      <c r="CP1115" s="1388" t="s">
        <v>8106</v>
      </c>
      <c r="CQ1115" s="1388" t="s">
        <v>10643</v>
      </c>
      <c r="CR1115" s="1388" t="s">
        <v>10643</v>
      </c>
      <c r="CS1115" s="1388" t="s">
        <v>8788</v>
      </c>
      <c r="CT1115" s="1388" t="s">
        <v>8789</v>
      </c>
      <c r="CU1115" s="1388" t="s">
        <v>9276</v>
      </c>
      <c r="CV1115" s="1389" t="s">
        <v>9277</v>
      </c>
      <c r="CX1115" s="1379">
        <v>1</v>
      </c>
    </row>
    <row r="1116" spans="91:102" ht="21" customHeight="1" x14ac:dyDescent="0.25">
      <c r="CM1116" s="1377"/>
      <c r="CN1116" s="1388" t="s">
        <v>10644</v>
      </c>
      <c r="CO1116" s="1388" t="s">
        <v>8125</v>
      </c>
      <c r="CP1116" s="1388" t="s">
        <v>8106</v>
      </c>
      <c r="CQ1116" s="1388" t="s">
        <v>10645</v>
      </c>
      <c r="CR1116" s="1388" t="s">
        <v>10645</v>
      </c>
      <c r="CS1116" s="1388" t="s">
        <v>8788</v>
      </c>
      <c r="CT1116" s="1388" t="s">
        <v>8789</v>
      </c>
      <c r="CU1116" s="1388" t="s">
        <v>9276</v>
      </c>
      <c r="CV1116" s="1389" t="s">
        <v>9277</v>
      </c>
      <c r="CX1116" s="1379">
        <v>1</v>
      </c>
    </row>
    <row r="1117" spans="91:102" ht="21" customHeight="1" x14ac:dyDescent="0.25">
      <c r="CM1117" s="1377"/>
      <c r="CN1117" s="1388" t="s">
        <v>10646</v>
      </c>
      <c r="CO1117" s="1388" t="s">
        <v>8125</v>
      </c>
      <c r="CP1117" s="1388" t="s">
        <v>8106</v>
      </c>
      <c r="CQ1117" s="1388" t="s">
        <v>10647</v>
      </c>
      <c r="CR1117" s="1388" t="s">
        <v>10647</v>
      </c>
      <c r="CS1117" s="1388" t="s">
        <v>8788</v>
      </c>
      <c r="CT1117" s="1388" t="s">
        <v>8789</v>
      </c>
      <c r="CU1117" s="1388" t="s">
        <v>9276</v>
      </c>
      <c r="CV1117" s="1389" t="s">
        <v>9277</v>
      </c>
      <c r="CX1117" s="1379">
        <v>1</v>
      </c>
    </row>
    <row r="1118" spans="91:102" ht="21" customHeight="1" x14ac:dyDescent="0.25">
      <c r="CM1118" s="1377"/>
      <c r="CN1118" s="1388" t="s">
        <v>10648</v>
      </c>
      <c r="CO1118" s="1388" t="s">
        <v>8125</v>
      </c>
      <c r="CP1118" s="1388" t="s">
        <v>8106</v>
      </c>
      <c r="CQ1118" s="1388" t="s">
        <v>10649</v>
      </c>
      <c r="CR1118" s="1388" t="s">
        <v>10649</v>
      </c>
      <c r="CS1118" s="1388" t="s">
        <v>8788</v>
      </c>
      <c r="CT1118" s="1388" t="s">
        <v>8789</v>
      </c>
      <c r="CU1118" s="1388" t="s">
        <v>9276</v>
      </c>
      <c r="CV1118" s="1389" t="s">
        <v>9277</v>
      </c>
      <c r="CX1118" s="1379">
        <v>1</v>
      </c>
    </row>
    <row r="1119" spans="91:102" ht="21" customHeight="1" x14ac:dyDescent="0.25">
      <c r="CM1119" s="1377"/>
      <c r="CN1119" s="1388" t="s">
        <v>10650</v>
      </c>
      <c r="CO1119" s="1388" t="s">
        <v>8125</v>
      </c>
      <c r="CP1119" s="1388" t="s">
        <v>8106</v>
      </c>
      <c r="CQ1119" s="1388" t="s">
        <v>10651</v>
      </c>
      <c r="CR1119" s="1388" t="s">
        <v>10651</v>
      </c>
      <c r="CS1119" s="1388" t="s">
        <v>8788</v>
      </c>
      <c r="CT1119" s="1388" t="s">
        <v>8789</v>
      </c>
      <c r="CU1119" s="1388" t="s">
        <v>9276</v>
      </c>
      <c r="CV1119" s="1389" t="s">
        <v>9277</v>
      </c>
      <c r="CX1119" s="1379">
        <v>1</v>
      </c>
    </row>
    <row r="1120" spans="91:102" ht="21" customHeight="1" x14ac:dyDescent="0.25">
      <c r="CM1120" s="1377"/>
      <c r="CN1120" s="1388" t="s">
        <v>10652</v>
      </c>
      <c r="CO1120" s="1388" t="s">
        <v>8125</v>
      </c>
      <c r="CP1120" s="1388" t="s">
        <v>8106</v>
      </c>
      <c r="CQ1120" s="1388" t="s">
        <v>10653</v>
      </c>
      <c r="CR1120" s="1388" t="s">
        <v>10653</v>
      </c>
      <c r="CS1120" s="1388" t="s">
        <v>8788</v>
      </c>
      <c r="CT1120" s="1388" t="s">
        <v>8789</v>
      </c>
      <c r="CU1120" s="1388" t="s">
        <v>9276</v>
      </c>
      <c r="CV1120" s="1389" t="s">
        <v>9277</v>
      </c>
      <c r="CX1120" s="1379">
        <v>1</v>
      </c>
    </row>
    <row r="1121" spans="91:102" ht="21" customHeight="1" x14ac:dyDescent="0.25">
      <c r="CM1121" s="1377"/>
      <c r="CN1121" s="1388" t="s">
        <v>10654</v>
      </c>
      <c r="CO1121" s="1388" t="s">
        <v>8125</v>
      </c>
      <c r="CP1121" s="1388" t="s">
        <v>8106</v>
      </c>
      <c r="CQ1121" s="1388" t="s">
        <v>10655</v>
      </c>
      <c r="CR1121" s="1388" t="s">
        <v>10655</v>
      </c>
      <c r="CS1121" s="1388" t="s">
        <v>8788</v>
      </c>
      <c r="CT1121" s="1388" t="s">
        <v>8789</v>
      </c>
      <c r="CU1121" s="1388" t="s">
        <v>9276</v>
      </c>
      <c r="CV1121" s="1389" t="s">
        <v>9277</v>
      </c>
      <c r="CX1121" s="1379">
        <v>1</v>
      </c>
    </row>
    <row r="1122" spans="91:102" ht="21" customHeight="1" x14ac:dyDescent="0.25">
      <c r="CM1122" s="1377"/>
      <c r="CN1122" s="1388" t="s">
        <v>10656</v>
      </c>
      <c r="CO1122" s="1388" t="s">
        <v>8125</v>
      </c>
      <c r="CP1122" s="1388" t="s">
        <v>8106</v>
      </c>
      <c r="CQ1122" s="1388" t="s">
        <v>10657</v>
      </c>
      <c r="CR1122" s="1388" t="s">
        <v>10657</v>
      </c>
      <c r="CS1122" s="1388" t="s">
        <v>8788</v>
      </c>
      <c r="CT1122" s="1388" t="s">
        <v>8789</v>
      </c>
      <c r="CU1122" s="1388" t="s">
        <v>9276</v>
      </c>
      <c r="CV1122" s="1389" t="s">
        <v>9277</v>
      </c>
      <c r="CX1122" s="1379">
        <v>1</v>
      </c>
    </row>
    <row r="1123" spans="91:102" ht="21" customHeight="1" x14ac:dyDescent="0.25">
      <c r="CM1123" s="1377"/>
      <c r="CN1123" s="1388" t="s">
        <v>10658</v>
      </c>
      <c r="CO1123" s="1388" t="s">
        <v>8125</v>
      </c>
      <c r="CP1123" s="1388" t="s">
        <v>8106</v>
      </c>
      <c r="CQ1123" s="1388" t="s">
        <v>10659</v>
      </c>
      <c r="CR1123" s="1388" t="s">
        <v>10659</v>
      </c>
      <c r="CS1123" s="1388" t="s">
        <v>8788</v>
      </c>
      <c r="CT1123" s="1388" t="s">
        <v>8789</v>
      </c>
      <c r="CU1123" s="1388" t="s">
        <v>9276</v>
      </c>
      <c r="CV1123" s="1389" t="s">
        <v>9277</v>
      </c>
      <c r="CX1123" s="1379">
        <v>1</v>
      </c>
    </row>
    <row r="1124" spans="91:102" ht="21" customHeight="1" x14ac:dyDescent="0.25">
      <c r="CM1124" s="1377"/>
      <c r="CN1124" s="1388" t="s">
        <v>10660</v>
      </c>
      <c r="CO1124" s="1388" t="s">
        <v>8125</v>
      </c>
      <c r="CP1124" s="1388" t="s">
        <v>8106</v>
      </c>
      <c r="CQ1124" s="1388" t="s">
        <v>10661</v>
      </c>
      <c r="CR1124" s="1388" t="s">
        <v>10661</v>
      </c>
      <c r="CS1124" s="1388" t="s">
        <v>8788</v>
      </c>
      <c r="CT1124" s="1388" t="s">
        <v>8789</v>
      </c>
      <c r="CU1124" s="1388" t="s">
        <v>9276</v>
      </c>
      <c r="CV1124" s="1389" t="s">
        <v>9277</v>
      </c>
      <c r="CX1124" s="1379">
        <v>1</v>
      </c>
    </row>
    <row r="1125" spans="91:102" ht="21" customHeight="1" x14ac:dyDescent="0.25">
      <c r="CM1125" s="1377"/>
      <c r="CN1125" s="1388" t="s">
        <v>10662</v>
      </c>
      <c r="CO1125" s="1388" t="s">
        <v>8125</v>
      </c>
      <c r="CP1125" s="1388" t="s">
        <v>8106</v>
      </c>
      <c r="CQ1125" s="1388" t="s">
        <v>10663</v>
      </c>
      <c r="CR1125" s="1388" t="s">
        <v>10663</v>
      </c>
      <c r="CS1125" s="1388" t="s">
        <v>8788</v>
      </c>
      <c r="CT1125" s="1388" t="s">
        <v>8789</v>
      </c>
      <c r="CU1125" s="1388" t="s">
        <v>9276</v>
      </c>
      <c r="CV1125" s="1389" t="s">
        <v>9277</v>
      </c>
      <c r="CX1125" s="1379">
        <v>1</v>
      </c>
    </row>
    <row r="1126" spans="91:102" ht="21" customHeight="1" x14ac:dyDescent="0.25">
      <c r="CM1126" s="1377"/>
      <c r="CN1126" s="1388" t="s">
        <v>10664</v>
      </c>
      <c r="CO1126" s="1388" t="s">
        <v>8125</v>
      </c>
      <c r="CP1126" s="1388" t="s">
        <v>8106</v>
      </c>
      <c r="CQ1126" s="1388" t="s">
        <v>10665</v>
      </c>
      <c r="CR1126" s="1388" t="s">
        <v>10665</v>
      </c>
      <c r="CS1126" s="1388" t="s">
        <v>8788</v>
      </c>
      <c r="CT1126" s="1388" t="s">
        <v>8789</v>
      </c>
      <c r="CU1126" s="1388" t="s">
        <v>9276</v>
      </c>
      <c r="CV1126" s="1389" t="s">
        <v>9277</v>
      </c>
      <c r="CX1126" s="1379">
        <v>1</v>
      </c>
    </row>
    <row r="1127" spans="91:102" ht="21" customHeight="1" x14ac:dyDescent="0.25">
      <c r="CM1127" s="1377"/>
      <c r="CN1127" s="1388" t="s">
        <v>10666</v>
      </c>
      <c r="CO1127" s="1388" t="s">
        <v>8125</v>
      </c>
      <c r="CP1127" s="1388" t="s">
        <v>8106</v>
      </c>
      <c r="CQ1127" s="1388" t="s">
        <v>10667</v>
      </c>
      <c r="CR1127" s="1388" t="s">
        <v>10667</v>
      </c>
      <c r="CS1127" s="1388" t="s">
        <v>8788</v>
      </c>
      <c r="CT1127" s="1388" t="s">
        <v>8789</v>
      </c>
      <c r="CU1127" s="1388" t="s">
        <v>9276</v>
      </c>
      <c r="CV1127" s="1389" t="s">
        <v>9277</v>
      </c>
      <c r="CX1127" s="1379">
        <v>1</v>
      </c>
    </row>
    <row r="1128" spans="91:102" ht="21" customHeight="1" x14ac:dyDescent="0.25">
      <c r="CM1128" s="1377"/>
      <c r="CN1128" s="1388" t="s">
        <v>10668</v>
      </c>
      <c r="CO1128" s="1388" t="s">
        <v>8125</v>
      </c>
      <c r="CP1128" s="1388" t="s">
        <v>8106</v>
      </c>
      <c r="CQ1128" s="1388" t="s">
        <v>10669</v>
      </c>
      <c r="CR1128" s="1388" t="s">
        <v>10669</v>
      </c>
      <c r="CS1128" s="1388" t="s">
        <v>8788</v>
      </c>
      <c r="CT1128" s="1388" t="s">
        <v>8789</v>
      </c>
      <c r="CU1128" s="1388" t="s">
        <v>9276</v>
      </c>
      <c r="CV1128" s="1389" t="s">
        <v>9277</v>
      </c>
      <c r="CX1128" s="1379">
        <v>1</v>
      </c>
    </row>
    <row r="1129" spans="91:102" ht="21" customHeight="1" x14ac:dyDescent="0.25">
      <c r="CM1129" s="1377"/>
      <c r="CN1129" s="1388" t="s">
        <v>10670</v>
      </c>
      <c r="CO1129" s="1388" t="s">
        <v>8125</v>
      </c>
      <c r="CP1129" s="1388" t="s">
        <v>8106</v>
      </c>
      <c r="CQ1129" s="1388" t="s">
        <v>10671</v>
      </c>
      <c r="CR1129" s="1388" t="s">
        <v>10671</v>
      </c>
      <c r="CS1129" s="1388" t="s">
        <v>8788</v>
      </c>
      <c r="CT1129" s="1388" t="s">
        <v>8789</v>
      </c>
      <c r="CU1129" s="1388" t="s">
        <v>9276</v>
      </c>
      <c r="CV1129" s="1389" t="s">
        <v>9277</v>
      </c>
      <c r="CX1129" s="1379">
        <v>1</v>
      </c>
    </row>
    <row r="1130" spans="91:102" ht="21" customHeight="1" x14ac:dyDescent="0.25">
      <c r="CM1130" s="1377"/>
      <c r="CN1130" s="1388" t="s">
        <v>10672</v>
      </c>
      <c r="CO1130" s="1388" t="s">
        <v>8125</v>
      </c>
      <c r="CP1130" s="1388" t="s">
        <v>8106</v>
      </c>
      <c r="CQ1130" s="1388" t="s">
        <v>10673</v>
      </c>
      <c r="CR1130" s="1388" t="s">
        <v>10673</v>
      </c>
      <c r="CS1130" s="1388" t="s">
        <v>8788</v>
      </c>
      <c r="CT1130" s="1388" t="s">
        <v>8789</v>
      </c>
      <c r="CU1130" s="1388" t="s">
        <v>9276</v>
      </c>
      <c r="CV1130" s="1389" t="s">
        <v>9277</v>
      </c>
      <c r="CX1130" s="1379">
        <v>1</v>
      </c>
    </row>
    <row r="1131" spans="91:102" ht="21" customHeight="1" x14ac:dyDescent="0.25">
      <c r="CM1131" s="1377"/>
      <c r="CN1131" s="1388" t="s">
        <v>10674</v>
      </c>
      <c r="CO1131" s="1388" t="s">
        <v>8125</v>
      </c>
      <c r="CP1131" s="1388" t="s">
        <v>8106</v>
      </c>
      <c r="CQ1131" s="1388" t="s">
        <v>10675</v>
      </c>
      <c r="CR1131" s="1388" t="s">
        <v>10675</v>
      </c>
      <c r="CS1131" s="1388" t="s">
        <v>8788</v>
      </c>
      <c r="CT1131" s="1388" t="s">
        <v>8789</v>
      </c>
      <c r="CU1131" s="1388" t="s">
        <v>9276</v>
      </c>
      <c r="CV1131" s="1389" t="s">
        <v>9277</v>
      </c>
      <c r="CX1131" s="1379">
        <v>1</v>
      </c>
    </row>
    <row r="1132" spans="91:102" ht="21" customHeight="1" x14ac:dyDescent="0.25">
      <c r="CM1132" s="1377"/>
      <c r="CN1132" s="1388" t="s">
        <v>10676</v>
      </c>
      <c r="CO1132" s="1388" t="s">
        <v>8125</v>
      </c>
      <c r="CP1132" s="1388" t="s">
        <v>8106</v>
      </c>
      <c r="CQ1132" s="1388" t="s">
        <v>10677</v>
      </c>
      <c r="CR1132" s="1388" t="s">
        <v>10677</v>
      </c>
      <c r="CS1132" s="1388" t="s">
        <v>8788</v>
      </c>
      <c r="CT1132" s="1388" t="s">
        <v>8789</v>
      </c>
      <c r="CU1132" s="1388" t="s">
        <v>9276</v>
      </c>
      <c r="CV1132" s="1389" t="s">
        <v>9277</v>
      </c>
      <c r="CX1132" s="1379">
        <v>1</v>
      </c>
    </row>
    <row r="1133" spans="91:102" ht="21" customHeight="1" x14ac:dyDescent="0.25">
      <c r="CM1133" s="1377"/>
      <c r="CN1133" s="1388" t="s">
        <v>10678</v>
      </c>
      <c r="CO1133" s="1388" t="s">
        <v>8125</v>
      </c>
      <c r="CP1133" s="1388" t="s">
        <v>8106</v>
      </c>
      <c r="CQ1133" s="1388" t="s">
        <v>10679</v>
      </c>
      <c r="CR1133" s="1388" t="s">
        <v>10679</v>
      </c>
      <c r="CS1133" s="1388" t="s">
        <v>8788</v>
      </c>
      <c r="CT1133" s="1388" t="s">
        <v>8789</v>
      </c>
      <c r="CU1133" s="1388" t="s">
        <v>9276</v>
      </c>
      <c r="CV1133" s="1389" t="s">
        <v>9277</v>
      </c>
      <c r="CX1133" s="1379">
        <v>1</v>
      </c>
    </row>
    <row r="1134" spans="91:102" ht="21" customHeight="1" x14ac:dyDescent="0.25">
      <c r="CM1134" s="1377"/>
      <c r="CN1134" s="1388" t="s">
        <v>10680</v>
      </c>
      <c r="CO1134" s="1388" t="s">
        <v>8125</v>
      </c>
      <c r="CP1134" s="1388" t="s">
        <v>8106</v>
      </c>
      <c r="CQ1134" s="1388" t="s">
        <v>10681</v>
      </c>
      <c r="CR1134" s="1388" t="s">
        <v>10681</v>
      </c>
      <c r="CS1134" s="1388" t="s">
        <v>8788</v>
      </c>
      <c r="CT1134" s="1388" t="s">
        <v>8789</v>
      </c>
      <c r="CU1134" s="1388" t="s">
        <v>9276</v>
      </c>
      <c r="CV1134" s="1389" t="s">
        <v>9277</v>
      </c>
      <c r="CX1134" s="1379">
        <v>1</v>
      </c>
    </row>
    <row r="1135" spans="91:102" ht="21" customHeight="1" x14ac:dyDescent="0.25">
      <c r="CM1135" s="1377"/>
      <c r="CN1135" s="1388" t="s">
        <v>10682</v>
      </c>
      <c r="CO1135" s="1388" t="s">
        <v>8125</v>
      </c>
      <c r="CP1135" s="1388" t="s">
        <v>8106</v>
      </c>
      <c r="CQ1135" s="1388" t="s">
        <v>10683</v>
      </c>
      <c r="CR1135" s="1388" t="s">
        <v>10683</v>
      </c>
      <c r="CS1135" s="1388" t="s">
        <v>8788</v>
      </c>
      <c r="CT1135" s="1388" t="s">
        <v>8789</v>
      </c>
      <c r="CU1135" s="1388" t="s">
        <v>9276</v>
      </c>
      <c r="CV1135" s="1389" t="s">
        <v>9277</v>
      </c>
      <c r="CX1135" s="1379">
        <v>1</v>
      </c>
    </row>
    <row r="1136" spans="91:102" ht="21" customHeight="1" x14ac:dyDescent="0.25">
      <c r="CM1136" s="1377"/>
      <c r="CN1136" s="1388" t="s">
        <v>10684</v>
      </c>
      <c r="CO1136" s="1388" t="s">
        <v>8125</v>
      </c>
      <c r="CP1136" s="1388" t="s">
        <v>8106</v>
      </c>
      <c r="CQ1136" s="1388" t="s">
        <v>10685</v>
      </c>
      <c r="CR1136" s="1388" t="s">
        <v>10685</v>
      </c>
      <c r="CS1136" s="1388" t="s">
        <v>8788</v>
      </c>
      <c r="CT1136" s="1388" t="s">
        <v>8789</v>
      </c>
      <c r="CU1136" s="1388" t="s">
        <v>9276</v>
      </c>
      <c r="CV1136" s="1389" t="s">
        <v>9277</v>
      </c>
      <c r="CX1136" s="1379">
        <v>1</v>
      </c>
    </row>
    <row r="1137" spans="91:102" ht="21" customHeight="1" x14ac:dyDescent="0.25">
      <c r="CM1137" s="1377"/>
      <c r="CN1137" s="1388" t="s">
        <v>10686</v>
      </c>
      <c r="CO1137" s="1388" t="s">
        <v>8125</v>
      </c>
      <c r="CP1137" s="1388" t="s">
        <v>8106</v>
      </c>
      <c r="CQ1137" s="1388" t="s">
        <v>10687</v>
      </c>
      <c r="CR1137" s="1388" t="s">
        <v>10687</v>
      </c>
      <c r="CS1137" s="1388" t="s">
        <v>8788</v>
      </c>
      <c r="CT1137" s="1388" t="s">
        <v>8789</v>
      </c>
      <c r="CU1137" s="1388" t="s">
        <v>9276</v>
      </c>
      <c r="CV1137" s="1389" t="s">
        <v>9277</v>
      </c>
      <c r="CX1137" s="1379">
        <v>1</v>
      </c>
    </row>
    <row r="1138" spans="91:102" ht="21" customHeight="1" x14ac:dyDescent="0.25">
      <c r="CM1138" s="1377"/>
      <c r="CN1138" s="1388" t="s">
        <v>10688</v>
      </c>
      <c r="CO1138" s="1388" t="s">
        <v>8125</v>
      </c>
      <c r="CP1138" s="1388" t="s">
        <v>8106</v>
      </c>
      <c r="CQ1138" s="1388" t="s">
        <v>10689</v>
      </c>
      <c r="CR1138" s="1388" t="s">
        <v>10689</v>
      </c>
      <c r="CS1138" s="1388" t="s">
        <v>8788</v>
      </c>
      <c r="CT1138" s="1388" t="s">
        <v>8789</v>
      </c>
      <c r="CU1138" s="1388" t="s">
        <v>9276</v>
      </c>
      <c r="CV1138" s="1389" t="s">
        <v>9277</v>
      </c>
      <c r="CX1138" s="1379">
        <v>1</v>
      </c>
    </row>
    <row r="1139" spans="91:102" ht="21" customHeight="1" x14ac:dyDescent="0.25">
      <c r="CM1139" s="1377"/>
      <c r="CN1139" s="1388" t="s">
        <v>10690</v>
      </c>
      <c r="CO1139" s="1388" t="s">
        <v>8125</v>
      </c>
      <c r="CP1139" s="1388" t="s">
        <v>8106</v>
      </c>
      <c r="CQ1139" s="1388" t="s">
        <v>10691</v>
      </c>
      <c r="CR1139" s="1388" t="s">
        <v>10691</v>
      </c>
      <c r="CS1139" s="1388" t="s">
        <v>8788</v>
      </c>
      <c r="CT1139" s="1388" t="s">
        <v>8789</v>
      </c>
      <c r="CU1139" s="1388" t="s">
        <v>9276</v>
      </c>
      <c r="CV1139" s="1389" t="s">
        <v>9277</v>
      </c>
      <c r="CX1139" s="1379">
        <v>1</v>
      </c>
    </row>
    <row r="1140" spans="91:102" ht="21" customHeight="1" x14ac:dyDescent="0.25">
      <c r="CM1140" s="1377"/>
      <c r="CN1140" s="1388" t="s">
        <v>10692</v>
      </c>
      <c r="CO1140" s="1388" t="s">
        <v>8125</v>
      </c>
      <c r="CP1140" s="1388" t="s">
        <v>8106</v>
      </c>
      <c r="CQ1140" s="1388" t="s">
        <v>10693</v>
      </c>
      <c r="CR1140" s="1388" t="s">
        <v>10693</v>
      </c>
      <c r="CS1140" s="1388" t="s">
        <v>8788</v>
      </c>
      <c r="CT1140" s="1388" t="s">
        <v>8789</v>
      </c>
      <c r="CU1140" s="1388" t="s">
        <v>9276</v>
      </c>
      <c r="CV1140" s="1389" t="s">
        <v>9277</v>
      </c>
      <c r="CX1140" s="1379">
        <v>1</v>
      </c>
    </row>
    <row r="1141" spans="91:102" ht="21" customHeight="1" x14ac:dyDescent="0.25">
      <c r="CM1141" s="1377"/>
      <c r="CN1141" s="1388" t="s">
        <v>10694</v>
      </c>
      <c r="CO1141" s="1388" t="s">
        <v>8125</v>
      </c>
      <c r="CP1141" s="1388" t="s">
        <v>8106</v>
      </c>
      <c r="CQ1141" s="1388" t="s">
        <v>10695</v>
      </c>
      <c r="CR1141" s="1388" t="s">
        <v>10695</v>
      </c>
      <c r="CS1141" s="1388" t="s">
        <v>8788</v>
      </c>
      <c r="CT1141" s="1388" t="s">
        <v>8789</v>
      </c>
      <c r="CU1141" s="1388" t="s">
        <v>9276</v>
      </c>
      <c r="CV1141" s="1389" t="s">
        <v>9277</v>
      </c>
      <c r="CX1141" s="1379">
        <v>1</v>
      </c>
    </row>
    <row r="1142" spans="91:102" ht="21" customHeight="1" x14ac:dyDescent="0.25">
      <c r="CM1142" s="1377"/>
      <c r="CN1142" s="1388" t="s">
        <v>10696</v>
      </c>
      <c r="CO1142" s="1388" t="s">
        <v>8125</v>
      </c>
      <c r="CP1142" s="1388" t="s">
        <v>8106</v>
      </c>
      <c r="CQ1142" s="1388" t="s">
        <v>10697</v>
      </c>
      <c r="CR1142" s="1388" t="s">
        <v>10697</v>
      </c>
      <c r="CS1142" s="1388" t="s">
        <v>8788</v>
      </c>
      <c r="CT1142" s="1388" t="s">
        <v>8789</v>
      </c>
      <c r="CU1142" s="1388" t="s">
        <v>9276</v>
      </c>
      <c r="CV1142" s="1389" t="s">
        <v>9277</v>
      </c>
      <c r="CX1142" s="1379">
        <v>1</v>
      </c>
    </row>
    <row r="1143" spans="91:102" ht="21" customHeight="1" x14ac:dyDescent="0.25">
      <c r="CM1143" s="1377"/>
      <c r="CN1143" s="1388" t="s">
        <v>10698</v>
      </c>
      <c r="CO1143" s="1388" t="s">
        <v>8125</v>
      </c>
      <c r="CP1143" s="1388" t="s">
        <v>8106</v>
      </c>
      <c r="CQ1143" s="1388" t="s">
        <v>10699</v>
      </c>
      <c r="CR1143" s="1388" t="s">
        <v>10699</v>
      </c>
      <c r="CS1143" s="1388" t="s">
        <v>8788</v>
      </c>
      <c r="CT1143" s="1388" t="s">
        <v>8789</v>
      </c>
      <c r="CU1143" s="1388" t="s">
        <v>9276</v>
      </c>
      <c r="CV1143" s="1389" t="s">
        <v>9277</v>
      </c>
      <c r="CX1143" s="1379">
        <v>1</v>
      </c>
    </row>
    <row r="1144" spans="91:102" ht="21" customHeight="1" x14ac:dyDescent="0.25">
      <c r="CM1144" s="1377"/>
      <c r="CN1144" s="1388" t="s">
        <v>10700</v>
      </c>
      <c r="CO1144" s="1388" t="s">
        <v>8125</v>
      </c>
      <c r="CP1144" s="1388" t="s">
        <v>8106</v>
      </c>
      <c r="CQ1144" s="1388" t="s">
        <v>10701</v>
      </c>
      <c r="CR1144" s="1388" t="s">
        <v>10701</v>
      </c>
      <c r="CS1144" s="1388" t="s">
        <v>8788</v>
      </c>
      <c r="CT1144" s="1388" t="s">
        <v>8789</v>
      </c>
      <c r="CU1144" s="1388" t="s">
        <v>9276</v>
      </c>
      <c r="CV1144" s="1389" t="s">
        <v>9277</v>
      </c>
      <c r="CX1144" s="1379">
        <v>1</v>
      </c>
    </row>
    <row r="1145" spans="91:102" ht="21" customHeight="1" x14ac:dyDescent="0.25">
      <c r="CM1145" s="1377"/>
      <c r="CN1145" s="1388" t="s">
        <v>10702</v>
      </c>
      <c r="CO1145" s="1388" t="s">
        <v>8125</v>
      </c>
      <c r="CP1145" s="1388" t="s">
        <v>8106</v>
      </c>
      <c r="CQ1145" s="1388" t="s">
        <v>10703</v>
      </c>
      <c r="CR1145" s="1388" t="s">
        <v>10703</v>
      </c>
      <c r="CS1145" s="1388" t="s">
        <v>8788</v>
      </c>
      <c r="CT1145" s="1388" t="s">
        <v>8789</v>
      </c>
      <c r="CU1145" s="1388" t="s">
        <v>9276</v>
      </c>
      <c r="CV1145" s="1389" t="s">
        <v>9277</v>
      </c>
      <c r="CX1145" s="1379">
        <v>1</v>
      </c>
    </row>
    <row r="1146" spans="91:102" ht="21" customHeight="1" x14ac:dyDescent="0.25">
      <c r="CM1146" s="1377"/>
      <c r="CN1146" s="1388" t="s">
        <v>10704</v>
      </c>
      <c r="CO1146" s="1388" t="s">
        <v>8125</v>
      </c>
      <c r="CP1146" s="1388" t="s">
        <v>8106</v>
      </c>
      <c r="CQ1146" s="1388" t="s">
        <v>10705</v>
      </c>
      <c r="CR1146" s="1388" t="s">
        <v>10705</v>
      </c>
      <c r="CS1146" s="1388" t="s">
        <v>8788</v>
      </c>
      <c r="CT1146" s="1388" t="s">
        <v>8789</v>
      </c>
      <c r="CU1146" s="1388" t="s">
        <v>9276</v>
      </c>
      <c r="CV1146" s="1389" t="s">
        <v>9277</v>
      </c>
      <c r="CX1146" s="1379">
        <v>1</v>
      </c>
    </row>
    <row r="1147" spans="91:102" ht="21" customHeight="1" x14ac:dyDescent="0.25">
      <c r="CM1147" s="1377"/>
      <c r="CN1147" s="1388" t="s">
        <v>10706</v>
      </c>
      <c r="CO1147" s="1388" t="s">
        <v>8125</v>
      </c>
      <c r="CP1147" s="1388" t="s">
        <v>8106</v>
      </c>
      <c r="CQ1147" s="1388" t="s">
        <v>10707</v>
      </c>
      <c r="CR1147" s="1388" t="s">
        <v>10707</v>
      </c>
      <c r="CS1147" s="1388" t="s">
        <v>8788</v>
      </c>
      <c r="CT1147" s="1388" t="s">
        <v>8789</v>
      </c>
      <c r="CU1147" s="1388" t="s">
        <v>9276</v>
      </c>
      <c r="CV1147" s="1389" t="s">
        <v>9277</v>
      </c>
      <c r="CX1147" s="1379">
        <v>1</v>
      </c>
    </row>
    <row r="1148" spans="91:102" ht="21" customHeight="1" x14ac:dyDescent="0.25">
      <c r="CM1148" s="1377"/>
      <c r="CN1148" s="1388" t="s">
        <v>10708</v>
      </c>
      <c r="CO1148" s="1388" t="s">
        <v>8125</v>
      </c>
      <c r="CP1148" s="1388" t="s">
        <v>8106</v>
      </c>
      <c r="CQ1148" s="1388" t="s">
        <v>10709</v>
      </c>
      <c r="CR1148" s="1388" t="s">
        <v>10709</v>
      </c>
      <c r="CS1148" s="1388" t="s">
        <v>8788</v>
      </c>
      <c r="CT1148" s="1388" t="s">
        <v>8789</v>
      </c>
      <c r="CU1148" s="1388" t="s">
        <v>9276</v>
      </c>
      <c r="CV1148" s="1389" t="s">
        <v>9277</v>
      </c>
      <c r="CX1148" s="1379">
        <v>1</v>
      </c>
    </row>
    <row r="1149" spans="91:102" ht="21" customHeight="1" x14ac:dyDescent="0.25">
      <c r="CM1149" s="1377"/>
      <c r="CN1149" s="1388" t="s">
        <v>10710</v>
      </c>
      <c r="CO1149" s="1388" t="s">
        <v>8125</v>
      </c>
      <c r="CP1149" s="1388" t="s">
        <v>8106</v>
      </c>
      <c r="CQ1149" s="1388" t="s">
        <v>10711</v>
      </c>
      <c r="CR1149" s="1388" t="s">
        <v>10711</v>
      </c>
      <c r="CS1149" s="1388" t="s">
        <v>8788</v>
      </c>
      <c r="CT1149" s="1388" t="s">
        <v>8789</v>
      </c>
      <c r="CU1149" s="1388" t="s">
        <v>9276</v>
      </c>
      <c r="CV1149" s="1389" t="s">
        <v>9277</v>
      </c>
      <c r="CX1149" s="1379">
        <v>1</v>
      </c>
    </row>
    <row r="1150" spans="91:102" ht="21" customHeight="1" x14ac:dyDescent="0.25">
      <c r="CM1150" s="1377"/>
      <c r="CN1150" s="1388" t="s">
        <v>10712</v>
      </c>
      <c r="CO1150" s="1388" t="s">
        <v>8125</v>
      </c>
      <c r="CP1150" s="1388" t="s">
        <v>8106</v>
      </c>
      <c r="CQ1150" s="1388" t="s">
        <v>10713</v>
      </c>
      <c r="CR1150" s="1388" t="s">
        <v>10713</v>
      </c>
      <c r="CS1150" s="1388" t="s">
        <v>8108</v>
      </c>
      <c r="CT1150" s="1388" t="s">
        <v>9359</v>
      </c>
      <c r="CU1150" s="1388" t="s">
        <v>8110</v>
      </c>
      <c r="CV1150" s="1389" t="s">
        <v>8111</v>
      </c>
      <c r="CX1150" s="1379">
        <v>1</v>
      </c>
    </row>
    <row r="1151" spans="91:102" ht="21" customHeight="1" x14ac:dyDescent="0.25">
      <c r="CM1151" s="1377"/>
      <c r="CN1151" s="1388" t="s">
        <v>10714</v>
      </c>
      <c r="CO1151" s="1388" t="s">
        <v>8125</v>
      </c>
      <c r="CP1151" s="1388" t="s">
        <v>8106</v>
      </c>
      <c r="CQ1151" s="1388" t="s">
        <v>10715</v>
      </c>
      <c r="CR1151" s="1388" t="s">
        <v>10715</v>
      </c>
      <c r="CS1151" s="1388" t="s">
        <v>8788</v>
      </c>
      <c r="CT1151" s="1388" t="s">
        <v>8789</v>
      </c>
      <c r="CU1151" s="1388" t="s">
        <v>9276</v>
      </c>
      <c r="CV1151" s="1389" t="s">
        <v>9277</v>
      </c>
      <c r="CX1151" s="1379">
        <v>1</v>
      </c>
    </row>
    <row r="1152" spans="91:102" ht="21" customHeight="1" x14ac:dyDescent="0.25">
      <c r="CM1152" s="1377"/>
      <c r="CN1152" s="1388" t="s">
        <v>10716</v>
      </c>
      <c r="CO1152" s="1388" t="s">
        <v>8125</v>
      </c>
      <c r="CP1152" s="1388" t="s">
        <v>8106</v>
      </c>
      <c r="CQ1152" s="1388" t="s">
        <v>10717</v>
      </c>
      <c r="CR1152" s="1388" t="s">
        <v>10717</v>
      </c>
      <c r="CS1152" s="1388" t="s">
        <v>8788</v>
      </c>
      <c r="CT1152" s="1388" t="s">
        <v>8789</v>
      </c>
      <c r="CU1152" s="1388" t="s">
        <v>9276</v>
      </c>
      <c r="CV1152" s="1389" t="s">
        <v>9277</v>
      </c>
      <c r="CX1152" s="1379">
        <v>1</v>
      </c>
    </row>
    <row r="1153" spans="91:102" ht="21" customHeight="1" x14ac:dyDescent="0.25">
      <c r="CM1153" s="1377"/>
      <c r="CN1153" s="1388" t="s">
        <v>10718</v>
      </c>
      <c r="CO1153" s="1388" t="s">
        <v>8125</v>
      </c>
      <c r="CP1153" s="1388" t="s">
        <v>8106</v>
      </c>
      <c r="CQ1153" s="1388" t="s">
        <v>10719</v>
      </c>
      <c r="CR1153" s="1388" t="s">
        <v>10719</v>
      </c>
      <c r="CS1153" s="1388" t="s">
        <v>8788</v>
      </c>
      <c r="CT1153" s="1388" t="s">
        <v>8789</v>
      </c>
      <c r="CU1153" s="1388" t="s">
        <v>9276</v>
      </c>
      <c r="CV1153" s="1389" t="s">
        <v>9277</v>
      </c>
      <c r="CX1153" s="1379">
        <v>1</v>
      </c>
    </row>
    <row r="1154" spans="91:102" ht="21" customHeight="1" x14ac:dyDescent="0.25">
      <c r="CM1154" s="1377"/>
      <c r="CN1154" s="1388" t="s">
        <v>10720</v>
      </c>
      <c r="CO1154" s="1388" t="s">
        <v>8125</v>
      </c>
      <c r="CP1154" s="1388" t="s">
        <v>8106</v>
      </c>
      <c r="CQ1154" s="1388" t="s">
        <v>10721</v>
      </c>
      <c r="CR1154" s="1388" t="s">
        <v>10721</v>
      </c>
      <c r="CS1154" s="1388" t="s">
        <v>8788</v>
      </c>
      <c r="CT1154" s="1388" t="s">
        <v>8789</v>
      </c>
      <c r="CU1154" s="1388" t="s">
        <v>9276</v>
      </c>
      <c r="CV1154" s="1389" t="s">
        <v>9277</v>
      </c>
      <c r="CX1154" s="1379">
        <v>1</v>
      </c>
    </row>
    <row r="1155" spans="91:102" ht="21" customHeight="1" x14ac:dyDescent="0.25">
      <c r="CM1155" s="1377"/>
      <c r="CN1155" s="1388" t="s">
        <v>10722</v>
      </c>
      <c r="CO1155" s="1388" t="s">
        <v>8125</v>
      </c>
      <c r="CP1155" s="1388" t="s">
        <v>8106</v>
      </c>
      <c r="CQ1155" s="1388" t="s">
        <v>10723</v>
      </c>
      <c r="CR1155" s="1388" t="s">
        <v>10723</v>
      </c>
      <c r="CS1155" s="1388" t="s">
        <v>8788</v>
      </c>
      <c r="CT1155" s="1388" t="s">
        <v>8789</v>
      </c>
      <c r="CU1155" s="1388" t="s">
        <v>9276</v>
      </c>
      <c r="CV1155" s="1389" t="s">
        <v>9277</v>
      </c>
      <c r="CX1155" s="1379">
        <v>1</v>
      </c>
    </row>
    <row r="1156" spans="91:102" ht="21" customHeight="1" x14ac:dyDescent="0.25">
      <c r="CM1156" s="1377"/>
      <c r="CN1156" s="1388" t="s">
        <v>10724</v>
      </c>
      <c r="CO1156" s="1388" t="s">
        <v>8125</v>
      </c>
      <c r="CP1156" s="1388" t="s">
        <v>8106</v>
      </c>
      <c r="CQ1156" s="1388" t="s">
        <v>10725</v>
      </c>
      <c r="CR1156" s="1388" t="s">
        <v>10725</v>
      </c>
      <c r="CS1156" s="1388" t="s">
        <v>8788</v>
      </c>
      <c r="CT1156" s="1388" t="s">
        <v>8789</v>
      </c>
      <c r="CU1156" s="1388" t="s">
        <v>9276</v>
      </c>
      <c r="CV1156" s="1389" t="s">
        <v>9277</v>
      </c>
      <c r="CX1156" s="1379">
        <v>1</v>
      </c>
    </row>
    <row r="1157" spans="91:102" ht="21" customHeight="1" x14ac:dyDescent="0.25">
      <c r="CM1157" s="1377"/>
      <c r="CN1157" s="1388" t="s">
        <v>10726</v>
      </c>
      <c r="CO1157" s="1388" t="s">
        <v>8125</v>
      </c>
      <c r="CP1157" s="1388" t="s">
        <v>8106</v>
      </c>
      <c r="CQ1157" s="1388" t="s">
        <v>10727</v>
      </c>
      <c r="CR1157" s="1388" t="s">
        <v>10727</v>
      </c>
      <c r="CS1157" s="1388" t="s">
        <v>8788</v>
      </c>
      <c r="CT1157" s="1388" t="s">
        <v>8789</v>
      </c>
      <c r="CU1157" s="1388" t="s">
        <v>9276</v>
      </c>
      <c r="CV1157" s="1389" t="s">
        <v>9277</v>
      </c>
      <c r="CX1157" s="1379">
        <v>1</v>
      </c>
    </row>
    <row r="1158" spans="91:102" ht="21" customHeight="1" x14ac:dyDescent="0.25">
      <c r="CM1158" s="1377"/>
      <c r="CN1158" s="1388" t="s">
        <v>10728</v>
      </c>
      <c r="CO1158" s="1388" t="s">
        <v>8125</v>
      </c>
      <c r="CP1158" s="1388" t="s">
        <v>8106</v>
      </c>
      <c r="CQ1158" s="1388" t="s">
        <v>10729</v>
      </c>
      <c r="CR1158" s="1388" t="s">
        <v>10729</v>
      </c>
      <c r="CS1158" s="1388" t="s">
        <v>8788</v>
      </c>
      <c r="CT1158" s="1388" t="s">
        <v>8789</v>
      </c>
      <c r="CU1158" s="1388" t="s">
        <v>9276</v>
      </c>
      <c r="CV1158" s="1389" t="s">
        <v>9277</v>
      </c>
      <c r="CX1158" s="1379">
        <v>1</v>
      </c>
    </row>
    <row r="1159" spans="91:102" ht="21" customHeight="1" x14ac:dyDescent="0.25">
      <c r="CM1159" s="1377"/>
      <c r="CN1159" s="1388" t="s">
        <v>10730</v>
      </c>
      <c r="CO1159" s="1388" t="s">
        <v>8125</v>
      </c>
      <c r="CP1159" s="1388" t="s">
        <v>8106</v>
      </c>
      <c r="CQ1159" s="1388" t="s">
        <v>10731</v>
      </c>
      <c r="CR1159" s="1388" t="s">
        <v>10731</v>
      </c>
      <c r="CS1159" s="1388" t="s">
        <v>8788</v>
      </c>
      <c r="CT1159" s="1388" t="s">
        <v>8789</v>
      </c>
      <c r="CU1159" s="1388" t="s">
        <v>9276</v>
      </c>
      <c r="CV1159" s="1389" t="s">
        <v>9277</v>
      </c>
      <c r="CX1159" s="1379">
        <v>1</v>
      </c>
    </row>
    <row r="1160" spans="91:102" ht="21" customHeight="1" x14ac:dyDescent="0.25">
      <c r="CM1160" s="1377"/>
      <c r="CN1160" s="1388" t="s">
        <v>10732</v>
      </c>
      <c r="CO1160" s="1388" t="s">
        <v>8125</v>
      </c>
      <c r="CP1160" s="1388" t="s">
        <v>8106</v>
      </c>
      <c r="CQ1160" s="1388" t="s">
        <v>10733</v>
      </c>
      <c r="CR1160" s="1388" t="s">
        <v>10733</v>
      </c>
      <c r="CS1160" s="1388" t="s">
        <v>8788</v>
      </c>
      <c r="CT1160" s="1388" t="s">
        <v>8789</v>
      </c>
      <c r="CU1160" s="1388" t="s">
        <v>9276</v>
      </c>
      <c r="CV1160" s="1389" t="s">
        <v>9277</v>
      </c>
      <c r="CX1160" s="1379">
        <v>1</v>
      </c>
    </row>
    <row r="1161" spans="91:102" ht="21" customHeight="1" x14ac:dyDescent="0.25">
      <c r="CM1161" s="1377"/>
      <c r="CN1161" s="1388" t="s">
        <v>10734</v>
      </c>
      <c r="CO1161" s="1388" t="s">
        <v>8125</v>
      </c>
      <c r="CP1161" s="1388" t="s">
        <v>8106</v>
      </c>
      <c r="CQ1161" s="1388" t="s">
        <v>10735</v>
      </c>
      <c r="CR1161" s="1388" t="s">
        <v>10735</v>
      </c>
      <c r="CS1161" s="1388" t="s">
        <v>8788</v>
      </c>
      <c r="CT1161" s="1388" t="s">
        <v>8789</v>
      </c>
      <c r="CU1161" s="1388" t="s">
        <v>9276</v>
      </c>
      <c r="CV1161" s="1389" t="s">
        <v>9277</v>
      </c>
      <c r="CX1161" s="1379">
        <v>1</v>
      </c>
    </row>
    <row r="1162" spans="91:102" ht="21" customHeight="1" x14ac:dyDescent="0.25">
      <c r="CM1162" s="1377"/>
      <c r="CN1162" s="1388" t="s">
        <v>10736</v>
      </c>
      <c r="CO1162" s="1388" t="s">
        <v>8125</v>
      </c>
      <c r="CP1162" s="1388" t="s">
        <v>8106</v>
      </c>
      <c r="CQ1162" s="1388" t="s">
        <v>10737</v>
      </c>
      <c r="CR1162" s="1388" t="s">
        <v>10737</v>
      </c>
      <c r="CS1162" s="1388" t="s">
        <v>8788</v>
      </c>
      <c r="CT1162" s="1388" t="s">
        <v>8789</v>
      </c>
      <c r="CU1162" s="1388" t="s">
        <v>9276</v>
      </c>
      <c r="CV1162" s="1389" t="s">
        <v>9277</v>
      </c>
      <c r="CX1162" s="1379">
        <v>1</v>
      </c>
    </row>
    <row r="1163" spans="91:102" ht="21" customHeight="1" x14ac:dyDescent="0.25">
      <c r="CM1163" s="1377"/>
      <c r="CN1163" s="1388" t="s">
        <v>10738</v>
      </c>
      <c r="CO1163" s="1388" t="s">
        <v>8125</v>
      </c>
      <c r="CP1163" s="1388" t="s">
        <v>8106</v>
      </c>
      <c r="CQ1163" s="1388" t="s">
        <v>10739</v>
      </c>
      <c r="CR1163" s="1388" t="s">
        <v>10739</v>
      </c>
      <c r="CS1163" s="1388" t="s">
        <v>8788</v>
      </c>
      <c r="CT1163" s="1388" t="s">
        <v>8789</v>
      </c>
      <c r="CU1163" s="1388" t="s">
        <v>9276</v>
      </c>
      <c r="CV1163" s="1389" t="s">
        <v>9277</v>
      </c>
      <c r="CX1163" s="1379">
        <v>1</v>
      </c>
    </row>
    <row r="1164" spans="91:102" ht="21" customHeight="1" x14ac:dyDescent="0.25">
      <c r="CM1164" s="1377"/>
      <c r="CN1164" s="1388" t="s">
        <v>10740</v>
      </c>
      <c r="CO1164" s="1388" t="s">
        <v>8125</v>
      </c>
      <c r="CP1164" s="1388" t="s">
        <v>8106</v>
      </c>
      <c r="CQ1164" s="1388" t="s">
        <v>10741</v>
      </c>
      <c r="CR1164" s="1388" t="s">
        <v>10741</v>
      </c>
      <c r="CS1164" s="1388" t="s">
        <v>8788</v>
      </c>
      <c r="CT1164" s="1388" t="s">
        <v>8789</v>
      </c>
      <c r="CU1164" s="1388" t="s">
        <v>9276</v>
      </c>
      <c r="CV1164" s="1389" t="s">
        <v>9277</v>
      </c>
      <c r="CX1164" s="1379">
        <v>1</v>
      </c>
    </row>
    <row r="1165" spans="91:102" ht="21" customHeight="1" x14ac:dyDescent="0.25">
      <c r="CM1165" s="1377"/>
      <c r="CN1165" s="1388" t="s">
        <v>10742</v>
      </c>
      <c r="CO1165" s="1388" t="s">
        <v>8125</v>
      </c>
      <c r="CP1165" s="1388" t="s">
        <v>8106</v>
      </c>
      <c r="CQ1165" s="1388" t="s">
        <v>10743</v>
      </c>
      <c r="CR1165" s="1388" t="s">
        <v>10743</v>
      </c>
      <c r="CS1165" s="1388" t="s">
        <v>8788</v>
      </c>
      <c r="CT1165" s="1388" t="s">
        <v>8789</v>
      </c>
      <c r="CU1165" s="1388" t="s">
        <v>9276</v>
      </c>
      <c r="CV1165" s="1389" t="s">
        <v>9277</v>
      </c>
      <c r="CX1165" s="1379">
        <v>1</v>
      </c>
    </row>
    <row r="1166" spans="91:102" ht="21" customHeight="1" x14ac:dyDescent="0.25">
      <c r="CM1166" s="1377"/>
      <c r="CN1166" s="1388" t="s">
        <v>10744</v>
      </c>
      <c r="CO1166" s="1388" t="s">
        <v>8125</v>
      </c>
      <c r="CP1166" s="1388" t="s">
        <v>8106</v>
      </c>
      <c r="CQ1166" s="1388" t="s">
        <v>10745</v>
      </c>
      <c r="CR1166" s="1388" t="s">
        <v>10745</v>
      </c>
      <c r="CS1166" s="1388" t="s">
        <v>8788</v>
      </c>
      <c r="CT1166" s="1388" t="s">
        <v>8789</v>
      </c>
      <c r="CU1166" s="1388" t="s">
        <v>9276</v>
      </c>
      <c r="CV1166" s="1389" t="s">
        <v>9277</v>
      </c>
      <c r="CX1166" s="1379">
        <v>1</v>
      </c>
    </row>
    <row r="1167" spans="91:102" ht="21" customHeight="1" x14ac:dyDescent="0.25">
      <c r="CM1167" s="1377"/>
      <c r="CN1167" s="1388" t="s">
        <v>10746</v>
      </c>
      <c r="CO1167" s="1388" t="s">
        <v>8125</v>
      </c>
      <c r="CP1167" s="1388" t="s">
        <v>8106</v>
      </c>
      <c r="CQ1167" s="1388" t="s">
        <v>10747</v>
      </c>
      <c r="CR1167" s="1388" t="s">
        <v>10747</v>
      </c>
      <c r="CS1167" s="1388" t="s">
        <v>8788</v>
      </c>
      <c r="CT1167" s="1388" t="s">
        <v>8789</v>
      </c>
      <c r="CU1167" s="1388" t="s">
        <v>9276</v>
      </c>
      <c r="CV1167" s="1389" t="s">
        <v>9277</v>
      </c>
      <c r="CX1167" s="1379">
        <v>1</v>
      </c>
    </row>
    <row r="1168" spans="91:102" ht="21" customHeight="1" x14ac:dyDescent="0.25">
      <c r="CM1168" s="1377"/>
      <c r="CN1168" s="1388" t="s">
        <v>10748</v>
      </c>
      <c r="CO1168" s="1388" t="s">
        <v>8125</v>
      </c>
      <c r="CP1168" s="1388" t="s">
        <v>8106</v>
      </c>
      <c r="CQ1168" s="1388" t="s">
        <v>10749</v>
      </c>
      <c r="CR1168" s="1388" t="s">
        <v>10749</v>
      </c>
      <c r="CS1168" s="1388" t="s">
        <v>8788</v>
      </c>
      <c r="CT1168" s="1388" t="s">
        <v>8789</v>
      </c>
      <c r="CU1168" s="1388" t="s">
        <v>9276</v>
      </c>
      <c r="CV1168" s="1389" t="s">
        <v>9277</v>
      </c>
      <c r="CX1168" s="1379">
        <v>1</v>
      </c>
    </row>
    <row r="1169" spans="91:102" ht="21" customHeight="1" x14ac:dyDescent="0.25">
      <c r="CM1169" s="1377"/>
      <c r="CN1169" s="1388" t="s">
        <v>10750</v>
      </c>
      <c r="CO1169" s="1388" t="s">
        <v>8125</v>
      </c>
      <c r="CP1169" s="1388" t="s">
        <v>8106</v>
      </c>
      <c r="CQ1169" s="1388" t="s">
        <v>10751</v>
      </c>
      <c r="CR1169" s="1388" t="s">
        <v>10751</v>
      </c>
      <c r="CS1169" s="1388" t="s">
        <v>8788</v>
      </c>
      <c r="CT1169" s="1388" t="s">
        <v>8789</v>
      </c>
      <c r="CU1169" s="1388" t="s">
        <v>9276</v>
      </c>
      <c r="CV1169" s="1389" t="s">
        <v>9277</v>
      </c>
      <c r="CX1169" s="1379">
        <v>1</v>
      </c>
    </row>
    <row r="1170" spans="91:102" ht="21" customHeight="1" x14ac:dyDescent="0.25">
      <c r="CM1170" s="1377"/>
      <c r="CN1170" s="1388" t="s">
        <v>10752</v>
      </c>
      <c r="CO1170" s="1388" t="s">
        <v>8125</v>
      </c>
      <c r="CP1170" s="1388" t="s">
        <v>8106</v>
      </c>
      <c r="CQ1170" s="1388" t="s">
        <v>10753</v>
      </c>
      <c r="CR1170" s="1388" t="s">
        <v>10753</v>
      </c>
      <c r="CS1170" s="1388" t="s">
        <v>8788</v>
      </c>
      <c r="CT1170" s="1388" t="s">
        <v>8789</v>
      </c>
      <c r="CU1170" s="1388" t="s">
        <v>9276</v>
      </c>
      <c r="CV1170" s="1389" t="s">
        <v>9277</v>
      </c>
      <c r="CX1170" s="1379">
        <v>1</v>
      </c>
    </row>
    <row r="1171" spans="91:102" ht="21" customHeight="1" x14ac:dyDescent="0.25">
      <c r="CM1171" s="1377"/>
      <c r="CN1171" s="1388" t="s">
        <v>10754</v>
      </c>
      <c r="CO1171" s="1388" t="s">
        <v>8125</v>
      </c>
      <c r="CP1171" s="1388" t="s">
        <v>8106</v>
      </c>
      <c r="CQ1171" s="1388" t="s">
        <v>10755</v>
      </c>
      <c r="CR1171" s="1388" t="s">
        <v>10755</v>
      </c>
      <c r="CS1171" s="1388" t="s">
        <v>8788</v>
      </c>
      <c r="CT1171" s="1388" t="s">
        <v>8789</v>
      </c>
      <c r="CU1171" s="1388" t="s">
        <v>9276</v>
      </c>
      <c r="CV1171" s="1389" t="s">
        <v>9277</v>
      </c>
      <c r="CX1171" s="1379">
        <v>1</v>
      </c>
    </row>
    <row r="1172" spans="91:102" ht="21" customHeight="1" x14ac:dyDescent="0.25">
      <c r="CM1172" s="1377"/>
      <c r="CN1172" s="1388" t="s">
        <v>10756</v>
      </c>
      <c r="CO1172" s="1388" t="s">
        <v>8125</v>
      </c>
      <c r="CP1172" s="1388" t="s">
        <v>8106</v>
      </c>
      <c r="CQ1172" s="1388" t="s">
        <v>10757</v>
      </c>
      <c r="CR1172" s="1388" t="s">
        <v>10757</v>
      </c>
      <c r="CS1172" s="1388" t="s">
        <v>8788</v>
      </c>
      <c r="CT1172" s="1388" t="s">
        <v>8789</v>
      </c>
      <c r="CU1172" s="1388" t="s">
        <v>9276</v>
      </c>
      <c r="CV1172" s="1389" t="s">
        <v>9277</v>
      </c>
      <c r="CX1172" s="1379">
        <v>1</v>
      </c>
    </row>
    <row r="1173" spans="91:102" ht="21" customHeight="1" x14ac:dyDescent="0.25">
      <c r="CM1173" s="1377"/>
      <c r="CN1173" s="1388" t="s">
        <v>10758</v>
      </c>
      <c r="CO1173" s="1388" t="s">
        <v>8125</v>
      </c>
      <c r="CP1173" s="1388" t="s">
        <v>8106</v>
      </c>
      <c r="CQ1173" s="1388" t="s">
        <v>10759</v>
      </c>
      <c r="CR1173" s="1388" t="s">
        <v>10759</v>
      </c>
      <c r="CS1173" s="1388" t="s">
        <v>8788</v>
      </c>
      <c r="CT1173" s="1388" t="s">
        <v>8789</v>
      </c>
      <c r="CU1173" s="1388" t="s">
        <v>9276</v>
      </c>
      <c r="CV1173" s="1389" t="s">
        <v>9277</v>
      </c>
      <c r="CX1173" s="1379">
        <v>1</v>
      </c>
    </row>
    <row r="1174" spans="91:102" ht="21" customHeight="1" x14ac:dyDescent="0.25">
      <c r="CM1174" s="1377"/>
      <c r="CN1174" s="1388" t="s">
        <v>10760</v>
      </c>
      <c r="CO1174" s="1388" t="s">
        <v>8125</v>
      </c>
      <c r="CP1174" s="1388" t="s">
        <v>8106</v>
      </c>
      <c r="CQ1174" s="1388" t="s">
        <v>10761</v>
      </c>
      <c r="CR1174" s="1388" t="s">
        <v>10761</v>
      </c>
      <c r="CS1174" s="1388" t="s">
        <v>8194</v>
      </c>
      <c r="CT1174" s="1388" t="s">
        <v>8195</v>
      </c>
      <c r="CU1174" s="1388" t="s">
        <v>8110</v>
      </c>
      <c r="CV1174" s="1389" t="s">
        <v>8196</v>
      </c>
      <c r="CX1174" s="1379">
        <v>1</v>
      </c>
    </row>
    <row r="1175" spans="91:102" ht="21" customHeight="1" x14ac:dyDescent="0.25">
      <c r="CM1175" s="1377"/>
      <c r="CN1175" s="1388" t="s">
        <v>10762</v>
      </c>
      <c r="CO1175" s="1388" t="s">
        <v>8125</v>
      </c>
      <c r="CP1175" s="1388" t="s">
        <v>8106</v>
      </c>
      <c r="CQ1175" s="1388" t="s">
        <v>10763</v>
      </c>
      <c r="CR1175" s="1388" t="s">
        <v>10763</v>
      </c>
      <c r="CS1175" s="1388" t="s">
        <v>8788</v>
      </c>
      <c r="CT1175" s="1388" t="s">
        <v>8789</v>
      </c>
      <c r="CU1175" s="1388" t="s">
        <v>9276</v>
      </c>
      <c r="CV1175" s="1389" t="s">
        <v>9277</v>
      </c>
      <c r="CX1175" s="1379">
        <v>1</v>
      </c>
    </row>
    <row r="1176" spans="91:102" ht="21" customHeight="1" x14ac:dyDescent="0.25">
      <c r="CM1176" s="1377"/>
      <c r="CN1176" s="1388" t="s">
        <v>10764</v>
      </c>
      <c r="CO1176" s="1388" t="s">
        <v>8125</v>
      </c>
      <c r="CP1176" s="1388" t="s">
        <v>8106</v>
      </c>
      <c r="CQ1176" s="1388" t="s">
        <v>10765</v>
      </c>
      <c r="CR1176" s="1388" t="s">
        <v>10765</v>
      </c>
      <c r="CS1176" s="1388" t="s">
        <v>8788</v>
      </c>
      <c r="CT1176" s="1388" t="s">
        <v>8789</v>
      </c>
      <c r="CU1176" s="1388" t="s">
        <v>9276</v>
      </c>
      <c r="CV1176" s="1389" t="s">
        <v>9277</v>
      </c>
      <c r="CX1176" s="1379">
        <v>1</v>
      </c>
    </row>
    <row r="1177" spans="91:102" ht="21" customHeight="1" x14ac:dyDescent="0.25">
      <c r="CM1177" s="1377"/>
      <c r="CN1177" s="1388" t="s">
        <v>10766</v>
      </c>
      <c r="CO1177" s="1388" t="s">
        <v>8125</v>
      </c>
      <c r="CP1177" s="1388" t="s">
        <v>8106</v>
      </c>
      <c r="CQ1177" s="1388" t="s">
        <v>10767</v>
      </c>
      <c r="CR1177" s="1388" t="s">
        <v>10767</v>
      </c>
      <c r="CS1177" s="1388" t="s">
        <v>8788</v>
      </c>
      <c r="CT1177" s="1388" t="s">
        <v>8789</v>
      </c>
      <c r="CU1177" s="1388" t="s">
        <v>9276</v>
      </c>
      <c r="CV1177" s="1389" t="s">
        <v>9277</v>
      </c>
      <c r="CX1177" s="1379">
        <v>1</v>
      </c>
    </row>
    <row r="1178" spans="91:102" ht="21" customHeight="1" x14ac:dyDescent="0.25">
      <c r="CM1178" s="1377"/>
      <c r="CN1178" s="1388" t="s">
        <v>10768</v>
      </c>
      <c r="CO1178" s="1388" t="s">
        <v>8125</v>
      </c>
      <c r="CP1178" s="1388" t="s">
        <v>8106</v>
      </c>
      <c r="CQ1178" s="1388" t="s">
        <v>10769</v>
      </c>
      <c r="CR1178" s="1388" t="s">
        <v>10769</v>
      </c>
      <c r="CS1178" s="1388" t="s">
        <v>8788</v>
      </c>
      <c r="CT1178" s="1388" t="s">
        <v>8789</v>
      </c>
      <c r="CU1178" s="1388" t="s">
        <v>9276</v>
      </c>
      <c r="CV1178" s="1389" t="s">
        <v>9277</v>
      </c>
      <c r="CX1178" s="1379">
        <v>1</v>
      </c>
    </row>
    <row r="1179" spans="91:102" ht="21" customHeight="1" x14ac:dyDescent="0.25">
      <c r="CM1179" s="1377"/>
      <c r="CN1179" s="1388" t="s">
        <v>10770</v>
      </c>
      <c r="CO1179" s="1388" t="s">
        <v>8125</v>
      </c>
      <c r="CP1179" s="1388" t="s">
        <v>8106</v>
      </c>
      <c r="CQ1179" s="1388" t="s">
        <v>10771</v>
      </c>
      <c r="CR1179" s="1388" t="s">
        <v>10771</v>
      </c>
      <c r="CS1179" s="1388" t="s">
        <v>8788</v>
      </c>
      <c r="CT1179" s="1388" t="s">
        <v>8789</v>
      </c>
      <c r="CU1179" s="1388" t="s">
        <v>9276</v>
      </c>
      <c r="CV1179" s="1389" t="s">
        <v>9277</v>
      </c>
      <c r="CX1179" s="1379">
        <v>1</v>
      </c>
    </row>
    <row r="1180" spans="91:102" ht="21" customHeight="1" x14ac:dyDescent="0.25">
      <c r="CM1180" s="1377"/>
      <c r="CN1180" s="1388" t="s">
        <v>10772</v>
      </c>
      <c r="CO1180" s="1388" t="s">
        <v>8125</v>
      </c>
      <c r="CP1180" s="1388" t="s">
        <v>8106</v>
      </c>
      <c r="CQ1180" s="1388" t="s">
        <v>10773</v>
      </c>
      <c r="CR1180" s="1388" t="s">
        <v>10773</v>
      </c>
      <c r="CS1180" s="1388" t="s">
        <v>8788</v>
      </c>
      <c r="CT1180" s="1388" t="s">
        <v>8789</v>
      </c>
      <c r="CU1180" s="1388" t="s">
        <v>9276</v>
      </c>
      <c r="CV1180" s="1389" t="s">
        <v>9277</v>
      </c>
      <c r="CX1180" s="1379">
        <v>1</v>
      </c>
    </row>
    <row r="1181" spans="91:102" ht="21" customHeight="1" x14ac:dyDescent="0.25">
      <c r="CM1181" s="1377"/>
      <c r="CN1181" s="1388" t="s">
        <v>10774</v>
      </c>
      <c r="CO1181" s="1388" t="s">
        <v>8125</v>
      </c>
      <c r="CP1181" s="1388" t="s">
        <v>8106</v>
      </c>
      <c r="CQ1181" s="1388" t="s">
        <v>10775</v>
      </c>
      <c r="CR1181" s="1388" t="s">
        <v>10775</v>
      </c>
      <c r="CS1181" s="1388" t="s">
        <v>8788</v>
      </c>
      <c r="CT1181" s="1388" t="s">
        <v>8789</v>
      </c>
      <c r="CU1181" s="1388" t="s">
        <v>9276</v>
      </c>
      <c r="CV1181" s="1389" t="s">
        <v>9277</v>
      </c>
      <c r="CX1181" s="1379">
        <v>1</v>
      </c>
    </row>
    <row r="1182" spans="91:102" ht="21" customHeight="1" x14ac:dyDescent="0.25">
      <c r="CM1182" s="1377"/>
      <c r="CN1182" s="1388" t="s">
        <v>10776</v>
      </c>
      <c r="CO1182" s="1388" t="s">
        <v>8125</v>
      </c>
      <c r="CP1182" s="1388" t="s">
        <v>8106</v>
      </c>
      <c r="CQ1182" s="1388" t="s">
        <v>10777</v>
      </c>
      <c r="CR1182" s="1388" t="s">
        <v>10777</v>
      </c>
      <c r="CS1182" s="1388" t="s">
        <v>8788</v>
      </c>
      <c r="CT1182" s="1388" t="s">
        <v>8789</v>
      </c>
      <c r="CU1182" s="1388" t="s">
        <v>9276</v>
      </c>
      <c r="CV1182" s="1389" t="s">
        <v>9277</v>
      </c>
      <c r="CX1182" s="1379">
        <v>1</v>
      </c>
    </row>
    <row r="1183" spans="91:102" ht="21" customHeight="1" x14ac:dyDescent="0.25">
      <c r="CM1183" s="1377"/>
      <c r="CN1183" s="1388" t="s">
        <v>10778</v>
      </c>
      <c r="CO1183" s="1388" t="s">
        <v>8125</v>
      </c>
      <c r="CP1183" s="1388" t="s">
        <v>8106</v>
      </c>
      <c r="CQ1183" s="1388" t="s">
        <v>10779</v>
      </c>
      <c r="CR1183" s="1388" t="s">
        <v>10779</v>
      </c>
      <c r="CS1183" s="1388" t="s">
        <v>8788</v>
      </c>
      <c r="CT1183" s="1388" t="s">
        <v>8789</v>
      </c>
      <c r="CU1183" s="1388" t="s">
        <v>9276</v>
      </c>
      <c r="CV1183" s="1389" t="s">
        <v>9277</v>
      </c>
      <c r="CX1183" s="1379">
        <v>1</v>
      </c>
    </row>
    <row r="1184" spans="91:102" ht="21" customHeight="1" x14ac:dyDescent="0.25">
      <c r="CM1184" s="1377"/>
      <c r="CN1184" s="1388" t="s">
        <v>10780</v>
      </c>
      <c r="CO1184" s="1388" t="s">
        <v>8125</v>
      </c>
      <c r="CP1184" s="1388" t="s">
        <v>8106</v>
      </c>
      <c r="CQ1184" s="1388" t="s">
        <v>10781</v>
      </c>
      <c r="CR1184" s="1388" t="s">
        <v>10781</v>
      </c>
      <c r="CS1184" s="1388" t="s">
        <v>8788</v>
      </c>
      <c r="CT1184" s="1388" t="s">
        <v>8789</v>
      </c>
      <c r="CU1184" s="1388" t="s">
        <v>9276</v>
      </c>
      <c r="CV1184" s="1389" t="s">
        <v>9277</v>
      </c>
      <c r="CX1184" s="1379">
        <v>1</v>
      </c>
    </row>
    <row r="1185" spans="91:102" ht="21" customHeight="1" x14ac:dyDescent="0.25">
      <c r="CM1185" s="1377"/>
      <c r="CN1185" s="1388" t="s">
        <v>10782</v>
      </c>
      <c r="CO1185" s="1388" t="s">
        <v>8125</v>
      </c>
      <c r="CP1185" s="1388" t="s">
        <v>8106</v>
      </c>
      <c r="CQ1185" s="1388" t="s">
        <v>10783</v>
      </c>
      <c r="CR1185" s="1388" t="s">
        <v>10783</v>
      </c>
      <c r="CS1185" s="1388" t="s">
        <v>8194</v>
      </c>
      <c r="CT1185" s="1388" t="s">
        <v>8195</v>
      </c>
      <c r="CU1185" s="1388" t="s">
        <v>8110</v>
      </c>
      <c r="CV1185" s="1389" t="s">
        <v>8196</v>
      </c>
      <c r="CX1185" s="1379">
        <v>1</v>
      </c>
    </row>
    <row r="1186" spans="91:102" ht="21" customHeight="1" x14ac:dyDescent="0.25">
      <c r="CM1186" s="1377"/>
      <c r="CN1186" s="1388" t="s">
        <v>10784</v>
      </c>
      <c r="CO1186" s="1388" t="s">
        <v>8125</v>
      </c>
      <c r="CP1186" s="1388" t="s">
        <v>8106</v>
      </c>
      <c r="CQ1186" s="1388" t="s">
        <v>10785</v>
      </c>
      <c r="CR1186" s="1388" t="s">
        <v>10785</v>
      </c>
      <c r="CS1186" s="1388" t="s">
        <v>8788</v>
      </c>
      <c r="CT1186" s="1388" t="s">
        <v>8789</v>
      </c>
      <c r="CU1186" s="1388" t="s">
        <v>9276</v>
      </c>
      <c r="CV1186" s="1389" t="s">
        <v>9277</v>
      </c>
      <c r="CX1186" s="1379">
        <v>1</v>
      </c>
    </row>
    <row r="1187" spans="91:102" ht="21" customHeight="1" x14ac:dyDescent="0.25">
      <c r="CM1187" s="1377"/>
      <c r="CN1187" s="1388" t="s">
        <v>10786</v>
      </c>
      <c r="CO1187" s="1388" t="s">
        <v>8125</v>
      </c>
      <c r="CP1187" s="1388" t="s">
        <v>8106</v>
      </c>
      <c r="CQ1187" s="1388" t="s">
        <v>10787</v>
      </c>
      <c r="CR1187" s="1388" t="s">
        <v>10787</v>
      </c>
      <c r="CS1187" s="1388" t="s">
        <v>8788</v>
      </c>
      <c r="CT1187" s="1388" t="s">
        <v>8789</v>
      </c>
      <c r="CU1187" s="1388" t="s">
        <v>9276</v>
      </c>
      <c r="CV1187" s="1389" t="s">
        <v>9277</v>
      </c>
      <c r="CX1187" s="1379">
        <v>1</v>
      </c>
    </row>
    <row r="1188" spans="91:102" ht="21" customHeight="1" x14ac:dyDescent="0.25">
      <c r="CM1188" s="1377"/>
      <c r="CN1188" s="1388" t="s">
        <v>10788</v>
      </c>
      <c r="CO1188" s="1388" t="s">
        <v>8125</v>
      </c>
      <c r="CP1188" s="1388" t="s">
        <v>8106</v>
      </c>
      <c r="CQ1188" s="1388" t="s">
        <v>10789</v>
      </c>
      <c r="CR1188" s="1388" t="s">
        <v>10789</v>
      </c>
      <c r="CS1188" s="1388" t="s">
        <v>8788</v>
      </c>
      <c r="CT1188" s="1388" t="s">
        <v>8789</v>
      </c>
      <c r="CU1188" s="1388" t="s">
        <v>9276</v>
      </c>
      <c r="CV1188" s="1389" t="s">
        <v>9277</v>
      </c>
      <c r="CX1188" s="1379">
        <v>1</v>
      </c>
    </row>
    <row r="1189" spans="91:102" ht="21" customHeight="1" x14ac:dyDescent="0.25">
      <c r="CM1189" s="1377"/>
      <c r="CN1189" s="1388" t="s">
        <v>10790</v>
      </c>
      <c r="CO1189" s="1388" t="s">
        <v>8125</v>
      </c>
      <c r="CP1189" s="1388" t="s">
        <v>8106</v>
      </c>
      <c r="CQ1189" s="1388" t="s">
        <v>10791</v>
      </c>
      <c r="CR1189" s="1388" t="s">
        <v>10791</v>
      </c>
      <c r="CS1189" s="1388" t="s">
        <v>8788</v>
      </c>
      <c r="CT1189" s="1388" t="s">
        <v>8789</v>
      </c>
      <c r="CU1189" s="1388" t="s">
        <v>9276</v>
      </c>
      <c r="CV1189" s="1389" t="s">
        <v>9277</v>
      </c>
      <c r="CX1189" s="1379">
        <v>1</v>
      </c>
    </row>
    <row r="1190" spans="91:102" ht="21" customHeight="1" x14ac:dyDescent="0.25">
      <c r="CM1190" s="1377"/>
      <c r="CN1190" s="1388" t="s">
        <v>10792</v>
      </c>
      <c r="CO1190" s="1388" t="s">
        <v>8125</v>
      </c>
      <c r="CP1190" s="1388" t="s">
        <v>8106</v>
      </c>
      <c r="CQ1190" s="1388" t="s">
        <v>10793</v>
      </c>
      <c r="CR1190" s="1388" t="s">
        <v>10793</v>
      </c>
      <c r="CS1190" s="1388" t="s">
        <v>8788</v>
      </c>
      <c r="CT1190" s="1388" t="s">
        <v>8789</v>
      </c>
      <c r="CU1190" s="1388" t="s">
        <v>9276</v>
      </c>
      <c r="CV1190" s="1389" t="s">
        <v>9277</v>
      </c>
      <c r="CX1190" s="1379">
        <v>1</v>
      </c>
    </row>
    <row r="1191" spans="91:102" ht="21" customHeight="1" x14ac:dyDescent="0.25">
      <c r="CM1191" s="1377"/>
      <c r="CN1191" s="1388" t="s">
        <v>10794</v>
      </c>
      <c r="CO1191" s="1388" t="s">
        <v>8125</v>
      </c>
      <c r="CP1191" s="1388" t="s">
        <v>8106</v>
      </c>
      <c r="CQ1191" s="1388" t="s">
        <v>10795</v>
      </c>
      <c r="CR1191" s="1388" t="s">
        <v>10795</v>
      </c>
      <c r="CS1191" s="1388" t="s">
        <v>8788</v>
      </c>
      <c r="CT1191" s="1388" t="s">
        <v>8789</v>
      </c>
      <c r="CU1191" s="1388" t="s">
        <v>9276</v>
      </c>
      <c r="CV1191" s="1389" t="s">
        <v>9277</v>
      </c>
      <c r="CX1191" s="1379">
        <v>1</v>
      </c>
    </row>
    <row r="1192" spans="91:102" ht="21" customHeight="1" x14ac:dyDescent="0.25">
      <c r="CM1192" s="1377"/>
      <c r="CN1192" s="1388" t="s">
        <v>10796</v>
      </c>
      <c r="CO1192" s="1388" t="s">
        <v>8125</v>
      </c>
      <c r="CP1192" s="1388" t="s">
        <v>8106</v>
      </c>
      <c r="CQ1192" s="1388" t="s">
        <v>10797</v>
      </c>
      <c r="CR1192" s="1388" t="s">
        <v>10797</v>
      </c>
      <c r="CS1192" s="1388" t="s">
        <v>8108</v>
      </c>
      <c r="CT1192" s="1388" t="s">
        <v>9359</v>
      </c>
      <c r="CU1192" s="1388" t="s">
        <v>8110</v>
      </c>
      <c r="CV1192" s="1389" t="s">
        <v>8111</v>
      </c>
      <c r="CX1192" s="1379">
        <v>1</v>
      </c>
    </row>
    <row r="1193" spans="91:102" ht="21" customHeight="1" x14ac:dyDescent="0.25">
      <c r="CM1193" s="1377"/>
      <c r="CN1193" s="1388" t="s">
        <v>10798</v>
      </c>
      <c r="CO1193" s="1388" t="s">
        <v>8125</v>
      </c>
      <c r="CP1193" s="1388" t="s">
        <v>8106</v>
      </c>
      <c r="CQ1193" s="1388" t="s">
        <v>10799</v>
      </c>
      <c r="CR1193" s="1388" t="s">
        <v>10799</v>
      </c>
      <c r="CS1193" s="1388" t="s">
        <v>8108</v>
      </c>
      <c r="CT1193" s="1388" t="s">
        <v>9359</v>
      </c>
      <c r="CU1193" s="1388" t="s">
        <v>8110</v>
      </c>
      <c r="CV1193" s="1389" t="s">
        <v>8111</v>
      </c>
      <c r="CX1193" s="1379">
        <v>1</v>
      </c>
    </row>
    <row r="1194" spans="91:102" ht="21" customHeight="1" x14ac:dyDescent="0.25">
      <c r="CM1194" s="1377"/>
      <c r="CN1194" s="1388" t="s">
        <v>10800</v>
      </c>
      <c r="CO1194" s="1388" t="s">
        <v>8125</v>
      </c>
      <c r="CP1194" s="1388" t="s">
        <v>8106</v>
      </c>
      <c r="CQ1194" s="1388" t="s">
        <v>1985</v>
      </c>
      <c r="CR1194" s="1388" t="s">
        <v>1985</v>
      </c>
      <c r="CS1194" s="1388" t="s">
        <v>8788</v>
      </c>
      <c r="CT1194" s="1388" t="s">
        <v>8789</v>
      </c>
      <c r="CU1194" s="1388" t="s">
        <v>9276</v>
      </c>
      <c r="CV1194" s="1389" t="s">
        <v>9277</v>
      </c>
      <c r="CX1194" s="1379">
        <v>1</v>
      </c>
    </row>
    <row r="1195" spans="91:102" ht="21" customHeight="1" x14ac:dyDescent="0.25">
      <c r="CM1195" s="1377"/>
      <c r="CN1195" s="1388" t="s">
        <v>10801</v>
      </c>
      <c r="CO1195" s="1388" t="s">
        <v>8125</v>
      </c>
      <c r="CP1195" s="1388" t="s">
        <v>8106</v>
      </c>
      <c r="CQ1195" s="1388" t="s">
        <v>10802</v>
      </c>
      <c r="CR1195" s="1388" t="s">
        <v>10802</v>
      </c>
      <c r="CS1195" s="1388" t="s">
        <v>8788</v>
      </c>
      <c r="CT1195" s="1388" t="s">
        <v>8789</v>
      </c>
      <c r="CU1195" s="1388" t="s">
        <v>9276</v>
      </c>
      <c r="CV1195" s="1389" t="s">
        <v>9277</v>
      </c>
      <c r="CX1195" s="1379">
        <v>1</v>
      </c>
    </row>
    <row r="1196" spans="91:102" ht="21" customHeight="1" x14ac:dyDescent="0.25">
      <c r="CM1196" s="1377"/>
      <c r="CN1196" s="1388" t="s">
        <v>10803</v>
      </c>
      <c r="CO1196" s="1388" t="s">
        <v>8125</v>
      </c>
      <c r="CP1196" s="1388" t="s">
        <v>8106</v>
      </c>
      <c r="CQ1196" s="1388" t="s">
        <v>10804</v>
      </c>
      <c r="CR1196" s="1388" t="s">
        <v>10804</v>
      </c>
      <c r="CS1196" s="1388" t="s">
        <v>8788</v>
      </c>
      <c r="CT1196" s="1388" t="s">
        <v>8789</v>
      </c>
      <c r="CU1196" s="1388" t="s">
        <v>9276</v>
      </c>
      <c r="CV1196" s="1389" t="s">
        <v>9277</v>
      </c>
      <c r="CX1196" s="1379">
        <v>1</v>
      </c>
    </row>
    <row r="1197" spans="91:102" ht="21" customHeight="1" x14ac:dyDescent="0.25">
      <c r="CM1197" s="1377"/>
      <c r="CN1197" s="1388" t="s">
        <v>10805</v>
      </c>
      <c r="CO1197" s="1388" t="s">
        <v>8125</v>
      </c>
      <c r="CP1197" s="1388" t="s">
        <v>8106</v>
      </c>
      <c r="CQ1197" s="1388" t="s">
        <v>10806</v>
      </c>
      <c r="CR1197" s="1388" t="s">
        <v>10806</v>
      </c>
      <c r="CS1197" s="1388" t="s">
        <v>8788</v>
      </c>
      <c r="CT1197" s="1388" t="s">
        <v>8789</v>
      </c>
      <c r="CU1197" s="1388" t="s">
        <v>9276</v>
      </c>
      <c r="CV1197" s="1389" t="s">
        <v>9277</v>
      </c>
      <c r="CX1197" s="1379">
        <v>1</v>
      </c>
    </row>
    <row r="1198" spans="91:102" ht="21" customHeight="1" x14ac:dyDescent="0.25">
      <c r="CM1198" s="1377"/>
      <c r="CN1198" s="1388" t="s">
        <v>10807</v>
      </c>
      <c r="CO1198" s="1388" t="s">
        <v>8125</v>
      </c>
      <c r="CP1198" s="1388" t="s">
        <v>8106</v>
      </c>
      <c r="CQ1198" s="1388" t="s">
        <v>10808</v>
      </c>
      <c r="CR1198" s="1388" t="s">
        <v>10808</v>
      </c>
      <c r="CS1198" s="1388" t="s">
        <v>8788</v>
      </c>
      <c r="CT1198" s="1388" t="s">
        <v>8789</v>
      </c>
      <c r="CU1198" s="1388" t="s">
        <v>9276</v>
      </c>
      <c r="CV1198" s="1389" t="s">
        <v>9277</v>
      </c>
      <c r="CX1198" s="1379">
        <v>1</v>
      </c>
    </row>
    <row r="1199" spans="91:102" ht="21" customHeight="1" x14ac:dyDescent="0.25">
      <c r="CM1199" s="1377"/>
      <c r="CN1199" s="1388" t="s">
        <v>10809</v>
      </c>
      <c r="CO1199" s="1388" t="s">
        <v>8125</v>
      </c>
      <c r="CP1199" s="1388" t="s">
        <v>8106</v>
      </c>
      <c r="CQ1199" s="1388" t="s">
        <v>10810</v>
      </c>
      <c r="CR1199" s="1388" t="s">
        <v>10810</v>
      </c>
      <c r="CS1199" s="1388" t="s">
        <v>8788</v>
      </c>
      <c r="CT1199" s="1388" t="s">
        <v>8789</v>
      </c>
      <c r="CU1199" s="1388" t="s">
        <v>9276</v>
      </c>
      <c r="CV1199" s="1389" t="s">
        <v>9277</v>
      </c>
      <c r="CX1199" s="1379">
        <v>1</v>
      </c>
    </row>
    <row r="1200" spans="91:102" ht="21" customHeight="1" x14ac:dyDescent="0.25">
      <c r="CM1200" s="1377"/>
      <c r="CN1200" s="1388" t="s">
        <v>10811</v>
      </c>
      <c r="CO1200" s="1388" t="s">
        <v>8125</v>
      </c>
      <c r="CP1200" s="1388" t="s">
        <v>8106</v>
      </c>
      <c r="CQ1200" s="1388" t="s">
        <v>10812</v>
      </c>
      <c r="CR1200" s="1388" t="s">
        <v>10812</v>
      </c>
      <c r="CS1200" s="1388" t="s">
        <v>8788</v>
      </c>
      <c r="CT1200" s="1388" t="s">
        <v>8789</v>
      </c>
      <c r="CU1200" s="1388" t="s">
        <v>9276</v>
      </c>
      <c r="CV1200" s="1389" t="s">
        <v>9277</v>
      </c>
      <c r="CX1200" s="1379">
        <v>1</v>
      </c>
    </row>
    <row r="1201" spans="91:102" ht="21" customHeight="1" x14ac:dyDescent="0.25">
      <c r="CM1201" s="1377"/>
      <c r="CN1201" s="1388" t="s">
        <v>10813</v>
      </c>
      <c r="CO1201" s="1388" t="s">
        <v>8125</v>
      </c>
      <c r="CP1201" s="1388" t="s">
        <v>8106</v>
      </c>
      <c r="CQ1201" s="1388" t="s">
        <v>10814</v>
      </c>
      <c r="CR1201" s="1388" t="s">
        <v>10814</v>
      </c>
      <c r="CS1201" s="1388" t="s">
        <v>8788</v>
      </c>
      <c r="CT1201" s="1388" t="s">
        <v>8789</v>
      </c>
      <c r="CU1201" s="1388" t="s">
        <v>9276</v>
      </c>
      <c r="CV1201" s="1389" t="s">
        <v>9277</v>
      </c>
      <c r="CX1201" s="1379">
        <v>1</v>
      </c>
    </row>
    <row r="1202" spans="91:102" ht="21" customHeight="1" x14ac:dyDescent="0.25">
      <c r="CM1202" s="1377"/>
      <c r="CN1202" s="1388" t="s">
        <v>10815</v>
      </c>
      <c r="CO1202" s="1388" t="s">
        <v>8125</v>
      </c>
      <c r="CP1202" s="1388" t="s">
        <v>8106</v>
      </c>
      <c r="CQ1202" s="1388" t="s">
        <v>10816</v>
      </c>
      <c r="CR1202" s="1388" t="s">
        <v>10816</v>
      </c>
      <c r="CS1202" s="1388" t="s">
        <v>8788</v>
      </c>
      <c r="CT1202" s="1388" t="s">
        <v>8789</v>
      </c>
      <c r="CU1202" s="1388" t="s">
        <v>9276</v>
      </c>
      <c r="CV1202" s="1389" t="s">
        <v>9277</v>
      </c>
      <c r="CX1202" s="1379">
        <v>1</v>
      </c>
    </row>
    <row r="1203" spans="91:102" ht="21" customHeight="1" x14ac:dyDescent="0.25">
      <c r="CM1203" s="1377"/>
      <c r="CN1203" s="1388" t="s">
        <v>10817</v>
      </c>
      <c r="CO1203" s="1388" t="s">
        <v>8125</v>
      </c>
      <c r="CP1203" s="1388" t="s">
        <v>8106</v>
      </c>
      <c r="CQ1203" s="1388" t="s">
        <v>10818</v>
      </c>
      <c r="CR1203" s="1388" t="s">
        <v>10818</v>
      </c>
      <c r="CS1203" s="1388" t="s">
        <v>8788</v>
      </c>
      <c r="CT1203" s="1388" t="s">
        <v>8789</v>
      </c>
      <c r="CU1203" s="1388" t="s">
        <v>9276</v>
      </c>
      <c r="CV1203" s="1389" t="s">
        <v>9277</v>
      </c>
      <c r="CX1203" s="1379">
        <v>1</v>
      </c>
    </row>
    <row r="1204" spans="91:102" ht="21" customHeight="1" x14ac:dyDescent="0.25">
      <c r="CM1204" s="1377"/>
      <c r="CN1204" s="1388" t="s">
        <v>10819</v>
      </c>
      <c r="CO1204" s="1388" t="s">
        <v>8125</v>
      </c>
      <c r="CP1204" s="1388" t="s">
        <v>8106</v>
      </c>
      <c r="CQ1204" s="1388" t="s">
        <v>10820</v>
      </c>
      <c r="CR1204" s="1388" t="s">
        <v>10820</v>
      </c>
      <c r="CS1204" s="1388" t="s">
        <v>8788</v>
      </c>
      <c r="CT1204" s="1388" t="s">
        <v>8789</v>
      </c>
      <c r="CU1204" s="1388" t="s">
        <v>9276</v>
      </c>
      <c r="CV1204" s="1389" t="s">
        <v>9277</v>
      </c>
      <c r="CX1204" s="1379">
        <v>1</v>
      </c>
    </row>
    <row r="1205" spans="91:102" ht="21" customHeight="1" x14ac:dyDescent="0.25">
      <c r="CM1205" s="1377"/>
      <c r="CN1205" s="1388" t="s">
        <v>10821</v>
      </c>
      <c r="CO1205" s="1388" t="s">
        <v>8125</v>
      </c>
      <c r="CP1205" s="1388" t="s">
        <v>8106</v>
      </c>
      <c r="CQ1205" s="1388" t="s">
        <v>10822</v>
      </c>
      <c r="CR1205" s="1388" t="s">
        <v>10822</v>
      </c>
      <c r="CS1205" s="1388" t="s">
        <v>8194</v>
      </c>
      <c r="CT1205" s="1388" t="s">
        <v>8195</v>
      </c>
      <c r="CU1205" s="1388" t="s">
        <v>8110</v>
      </c>
      <c r="CV1205" s="1389" t="s">
        <v>8196</v>
      </c>
      <c r="CX1205" s="1379">
        <v>1</v>
      </c>
    </row>
    <row r="1206" spans="91:102" ht="21" customHeight="1" x14ac:dyDescent="0.25">
      <c r="CM1206" s="1377"/>
      <c r="CN1206" s="1388" t="s">
        <v>10823</v>
      </c>
      <c r="CO1206" s="1388" t="s">
        <v>8125</v>
      </c>
      <c r="CP1206" s="1388" t="s">
        <v>8106</v>
      </c>
      <c r="CQ1206" s="1388" t="s">
        <v>10824</v>
      </c>
      <c r="CR1206" s="1388" t="s">
        <v>10824</v>
      </c>
      <c r="CS1206" s="1388" t="s">
        <v>8194</v>
      </c>
      <c r="CT1206" s="1388" t="s">
        <v>8195</v>
      </c>
      <c r="CU1206" s="1388" t="s">
        <v>8110</v>
      </c>
      <c r="CV1206" s="1389" t="s">
        <v>8196</v>
      </c>
      <c r="CX1206" s="1379">
        <v>1</v>
      </c>
    </row>
    <row r="1207" spans="91:102" ht="21" customHeight="1" x14ac:dyDescent="0.25">
      <c r="CM1207" s="1377"/>
      <c r="CN1207" s="1388" t="s">
        <v>10825</v>
      </c>
      <c r="CO1207" s="1388" t="s">
        <v>8125</v>
      </c>
      <c r="CP1207" s="1388" t="s">
        <v>8106</v>
      </c>
      <c r="CQ1207" s="1388" t="s">
        <v>10826</v>
      </c>
      <c r="CR1207" s="1388" t="s">
        <v>10826</v>
      </c>
      <c r="CS1207" s="1388" t="s">
        <v>8194</v>
      </c>
      <c r="CT1207" s="1388" t="s">
        <v>8195</v>
      </c>
      <c r="CU1207" s="1388" t="s">
        <v>8110</v>
      </c>
      <c r="CV1207" s="1389" t="s">
        <v>8196</v>
      </c>
      <c r="CX1207" s="1379">
        <v>1</v>
      </c>
    </row>
    <row r="1208" spans="91:102" ht="21" customHeight="1" x14ac:dyDescent="0.25">
      <c r="CM1208" s="1377"/>
      <c r="CN1208" s="1388" t="s">
        <v>10827</v>
      </c>
      <c r="CO1208" s="1388" t="s">
        <v>8125</v>
      </c>
      <c r="CP1208" s="1388" t="s">
        <v>8106</v>
      </c>
      <c r="CQ1208" s="1388" t="s">
        <v>10828</v>
      </c>
      <c r="CR1208" s="1388" t="s">
        <v>10828</v>
      </c>
      <c r="CS1208" s="1388" t="s">
        <v>8194</v>
      </c>
      <c r="CT1208" s="1388" t="s">
        <v>8195</v>
      </c>
      <c r="CU1208" s="1388" t="s">
        <v>8110</v>
      </c>
      <c r="CV1208" s="1389" t="s">
        <v>8196</v>
      </c>
      <c r="CX1208" s="1379">
        <v>1</v>
      </c>
    </row>
    <row r="1209" spans="91:102" ht="21" customHeight="1" x14ac:dyDescent="0.25">
      <c r="CM1209" s="1377"/>
      <c r="CN1209" s="1388" t="s">
        <v>10829</v>
      </c>
      <c r="CO1209" s="1388" t="s">
        <v>8125</v>
      </c>
      <c r="CP1209" s="1388" t="s">
        <v>8106</v>
      </c>
      <c r="CQ1209" s="1388" t="s">
        <v>10830</v>
      </c>
      <c r="CR1209" s="1388" t="s">
        <v>10830</v>
      </c>
      <c r="CS1209" s="1388" t="s">
        <v>8788</v>
      </c>
      <c r="CT1209" s="1388" t="s">
        <v>8789</v>
      </c>
      <c r="CU1209" s="1388" t="s">
        <v>9276</v>
      </c>
      <c r="CV1209" s="1389" t="s">
        <v>9277</v>
      </c>
      <c r="CX1209" s="1379">
        <v>1</v>
      </c>
    </row>
    <row r="1210" spans="91:102" ht="21" customHeight="1" x14ac:dyDescent="0.25">
      <c r="CM1210" s="1377"/>
      <c r="CN1210" s="1388" t="s">
        <v>10831</v>
      </c>
      <c r="CO1210" s="1388" t="s">
        <v>8125</v>
      </c>
      <c r="CP1210" s="1388" t="s">
        <v>8106</v>
      </c>
      <c r="CQ1210" s="1388" t="s">
        <v>10832</v>
      </c>
      <c r="CR1210" s="1388" t="s">
        <v>10832</v>
      </c>
      <c r="CS1210" s="1388" t="s">
        <v>8788</v>
      </c>
      <c r="CT1210" s="1388" t="s">
        <v>8789</v>
      </c>
      <c r="CU1210" s="1388" t="s">
        <v>9276</v>
      </c>
      <c r="CV1210" s="1389" t="s">
        <v>9277</v>
      </c>
      <c r="CX1210" s="1379">
        <v>1</v>
      </c>
    </row>
    <row r="1211" spans="91:102" ht="21" customHeight="1" x14ac:dyDescent="0.25">
      <c r="CM1211" s="1377"/>
      <c r="CN1211" s="1388" t="s">
        <v>10833</v>
      </c>
      <c r="CO1211" s="1388" t="s">
        <v>8125</v>
      </c>
      <c r="CP1211" s="1388" t="s">
        <v>8106</v>
      </c>
      <c r="CQ1211" s="1388" t="s">
        <v>10834</v>
      </c>
      <c r="CR1211" s="1388" t="s">
        <v>10834</v>
      </c>
      <c r="CS1211" s="1388" t="s">
        <v>8788</v>
      </c>
      <c r="CT1211" s="1388" t="s">
        <v>8789</v>
      </c>
      <c r="CU1211" s="1388" t="s">
        <v>9276</v>
      </c>
      <c r="CV1211" s="1389" t="s">
        <v>9277</v>
      </c>
      <c r="CX1211" s="1379">
        <v>1</v>
      </c>
    </row>
    <row r="1212" spans="91:102" ht="21" customHeight="1" x14ac:dyDescent="0.25">
      <c r="CM1212" s="1377"/>
      <c r="CN1212" s="1388" t="s">
        <v>10835</v>
      </c>
      <c r="CO1212" s="1388" t="s">
        <v>8125</v>
      </c>
      <c r="CP1212" s="1388" t="s">
        <v>8106</v>
      </c>
      <c r="CQ1212" s="1388" t="s">
        <v>10836</v>
      </c>
      <c r="CR1212" s="1388" t="s">
        <v>10836</v>
      </c>
      <c r="CS1212" s="1388" t="s">
        <v>8788</v>
      </c>
      <c r="CT1212" s="1388" t="s">
        <v>8789</v>
      </c>
      <c r="CU1212" s="1388" t="s">
        <v>9276</v>
      </c>
      <c r="CV1212" s="1389" t="s">
        <v>9277</v>
      </c>
      <c r="CX1212" s="1379">
        <v>1</v>
      </c>
    </row>
    <row r="1213" spans="91:102" ht="21" customHeight="1" x14ac:dyDescent="0.25">
      <c r="CM1213" s="1377"/>
      <c r="CN1213" s="1388" t="s">
        <v>10837</v>
      </c>
      <c r="CO1213" s="1388" t="s">
        <v>8125</v>
      </c>
      <c r="CP1213" s="1388" t="s">
        <v>8106</v>
      </c>
      <c r="CQ1213" s="1388" t="s">
        <v>10838</v>
      </c>
      <c r="CR1213" s="1388" t="s">
        <v>10838</v>
      </c>
      <c r="CS1213" s="1388" t="s">
        <v>8788</v>
      </c>
      <c r="CT1213" s="1388" t="s">
        <v>8789</v>
      </c>
      <c r="CU1213" s="1388" t="s">
        <v>9276</v>
      </c>
      <c r="CV1213" s="1389" t="s">
        <v>9277</v>
      </c>
      <c r="CX1213" s="1379">
        <v>1</v>
      </c>
    </row>
    <row r="1214" spans="91:102" ht="21" customHeight="1" x14ac:dyDescent="0.25">
      <c r="CM1214" s="1377"/>
      <c r="CN1214" s="1388" t="s">
        <v>10839</v>
      </c>
      <c r="CO1214" s="1388" t="s">
        <v>8125</v>
      </c>
      <c r="CP1214" s="1388" t="s">
        <v>8106</v>
      </c>
      <c r="CQ1214" s="1388" t="s">
        <v>10840</v>
      </c>
      <c r="CR1214" s="1388" t="s">
        <v>10840</v>
      </c>
      <c r="CS1214" s="1388" t="s">
        <v>8788</v>
      </c>
      <c r="CT1214" s="1388" t="s">
        <v>8789</v>
      </c>
      <c r="CU1214" s="1388" t="s">
        <v>9276</v>
      </c>
      <c r="CV1214" s="1389" t="s">
        <v>9277</v>
      </c>
      <c r="CX1214" s="1379">
        <v>1</v>
      </c>
    </row>
    <row r="1215" spans="91:102" ht="21" customHeight="1" x14ac:dyDescent="0.25">
      <c r="CM1215" s="1377"/>
      <c r="CN1215" s="1388" t="s">
        <v>10841</v>
      </c>
      <c r="CO1215" s="1388" t="s">
        <v>8125</v>
      </c>
      <c r="CP1215" s="1388" t="s">
        <v>8106</v>
      </c>
      <c r="CQ1215" s="1388" t="s">
        <v>10842</v>
      </c>
      <c r="CR1215" s="1388" t="s">
        <v>10842</v>
      </c>
      <c r="CS1215" s="1388" t="s">
        <v>8788</v>
      </c>
      <c r="CT1215" s="1388" t="s">
        <v>8789</v>
      </c>
      <c r="CU1215" s="1388" t="s">
        <v>9276</v>
      </c>
      <c r="CV1215" s="1389" t="s">
        <v>9277</v>
      </c>
      <c r="CX1215" s="1379">
        <v>1</v>
      </c>
    </row>
    <row r="1216" spans="91:102" ht="21" customHeight="1" x14ac:dyDescent="0.25">
      <c r="CM1216" s="1377"/>
      <c r="CN1216" s="1388" t="s">
        <v>10843</v>
      </c>
      <c r="CO1216" s="1388" t="s">
        <v>8125</v>
      </c>
      <c r="CP1216" s="1388" t="s">
        <v>8106</v>
      </c>
      <c r="CQ1216" s="1388" t="s">
        <v>10844</v>
      </c>
      <c r="CR1216" s="1388" t="s">
        <v>10844</v>
      </c>
      <c r="CS1216" s="1388" t="s">
        <v>8788</v>
      </c>
      <c r="CT1216" s="1388" t="s">
        <v>8789</v>
      </c>
      <c r="CU1216" s="1388" t="s">
        <v>9276</v>
      </c>
      <c r="CV1216" s="1389" t="s">
        <v>9277</v>
      </c>
      <c r="CX1216" s="1379">
        <v>1</v>
      </c>
    </row>
    <row r="1217" spans="91:102" ht="21" customHeight="1" x14ac:dyDescent="0.25">
      <c r="CM1217" s="1377"/>
      <c r="CN1217" s="1388" t="s">
        <v>10845</v>
      </c>
      <c r="CO1217" s="1388" t="s">
        <v>8125</v>
      </c>
      <c r="CP1217" s="1388" t="s">
        <v>8106</v>
      </c>
      <c r="CQ1217" s="1388" t="s">
        <v>10846</v>
      </c>
      <c r="CR1217" s="1388" t="s">
        <v>10846</v>
      </c>
      <c r="CS1217" s="1388" t="s">
        <v>8788</v>
      </c>
      <c r="CT1217" s="1388" t="s">
        <v>8789</v>
      </c>
      <c r="CU1217" s="1388" t="s">
        <v>9276</v>
      </c>
      <c r="CV1217" s="1389" t="s">
        <v>9277</v>
      </c>
      <c r="CX1217" s="1379">
        <v>1</v>
      </c>
    </row>
    <row r="1218" spans="91:102" ht="21" customHeight="1" x14ac:dyDescent="0.25">
      <c r="CM1218" s="1377"/>
      <c r="CN1218" s="1388" t="s">
        <v>10847</v>
      </c>
      <c r="CO1218" s="1388" t="s">
        <v>8125</v>
      </c>
      <c r="CP1218" s="1388" t="s">
        <v>8106</v>
      </c>
      <c r="CQ1218" s="1388" t="s">
        <v>10848</v>
      </c>
      <c r="CR1218" s="1388" t="s">
        <v>10848</v>
      </c>
      <c r="CS1218" s="1388" t="s">
        <v>8788</v>
      </c>
      <c r="CT1218" s="1388" t="s">
        <v>8789</v>
      </c>
      <c r="CU1218" s="1388" t="s">
        <v>9276</v>
      </c>
      <c r="CV1218" s="1389" t="s">
        <v>9277</v>
      </c>
      <c r="CX1218" s="1379">
        <v>1</v>
      </c>
    </row>
    <row r="1219" spans="91:102" ht="21" customHeight="1" x14ac:dyDescent="0.25">
      <c r="CM1219" s="1377"/>
      <c r="CN1219" s="1388" t="s">
        <v>10849</v>
      </c>
      <c r="CO1219" s="1388" t="s">
        <v>8125</v>
      </c>
      <c r="CP1219" s="1388" t="s">
        <v>8106</v>
      </c>
      <c r="CQ1219" s="1388" t="s">
        <v>10850</v>
      </c>
      <c r="CR1219" s="1388" t="s">
        <v>10850</v>
      </c>
      <c r="CS1219" s="1388" t="s">
        <v>8788</v>
      </c>
      <c r="CT1219" s="1388" t="s">
        <v>8789</v>
      </c>
      <c r="CU1219" s="1388" t="s">
        <v>9276</v>
      </c>
      <c r="CV1219" s="1389" t="s">
        <v>9277</v>
      </c>
      <c r="CX1219" s="1379">
        <v>1</v>
      </c>
    </row>
    <row r="1220" spans="91:102" ht="21" customHeight="1" x14ac:dyDescent="0.25">
      <c r="CM1220" s="1377"/>
      <c r="CN1220" s="1388" t="s">
        <v>10851</v>
      </c>
      <c r="CO1220" s="1388" t="s">
        <v>8125</v>
      </c>
      <c r="CP1220" s="1388" t="s">
        <v>8106</v>
      </c>
      <c r="CQ1220" s="1388" t="s">
        <v>10852</v>
      </c>
      <c r="CR1220" s="1388" t="s">
        <v>10852</v>
      </c>
      <c r="CS1220" s="1388" t="s">
        <v>8788</v>
      </c>
      <c r="CT1220" s="1388" t="s">
        <v>8789</v>
      </c>
      <c r="CU1220" s="1388" t="s">
        <v>9276</v>
      </c>
      <c r="CV1220" s="1389" t="s">
        <v>9277</v>
      </c>
      <c r="CX1220" s="1379">
        <v>1</v>
      </c>
    </row>
    <row r="1221" spans="91:102" ht="21" customHeight="1" x14ac:dyDescent="0.25">
      <c r="CM1221" s="1377"/>
      <c r="CN1221" s="1388" t="s">
        <v>10853</v>
      </c>
      <c r="CO1221" s="1388" t="s">
        <v>8125</v>
      </c>
      <c r="CP1221" s="1388" t="s">
        <v>8106</v>
      </c>
      <c r="CQ1221" s="1388" t="s">
        <v>10854</v>
      </c>
      <c r="CR1221" s="1388" t="s">
        <v>10854</v>
      </c>
      <c r="CS1221" s="1388" t="s">
        <v>8788</v>
      </c>
      <c r="CT1221" s="1388" t="s">
        <v>8789</v>
      </c>
      <c r="CU1221" s="1388" t="s">
        <v>9276</v>
      </c>
      <c r="CV1221" s="1389" t="s">
        <v>9277</v>
      </c>
      <c r="CX1221" s="1379">
        <v>1</v>
      </c>
    </row>
    <row r="1222" spans="91:102" ht="21" customHeight="1" x14ac:dyDescent="0.25">
      <c r="CM1222" s="1377"/>
      <c r="CN1222" s="1388" t="s">
        <v>10855</v>
      </c>
      <c r="CO1222" s="1388" t="s">
        <v>8125</v>
      </c>
      <c r="CP1222" s="1388" t="s">
        <v>8106</v>
      </c>
      <c r="CQ1222" s="1388" t="s">
        <v>10856</v>
      </c>
      <c r="CR1222" s="1388" t="s">
        <v>10856</v>
      </c>
      <c r="CS1222" s="1388" t="s">
        <v>8788</v>
      </c>
      <c r="CT1222" s="1388" t="s">
        <v>8789</v>
      </c>
      <c r="CU1222" s="1388" t="s">
        <v>9276</v>
      </c>
      <c r="CV1222" s="1389" t="s">
        <v>9277</v>
      </c>
      <c r="CX1222" s="1379">
        <v>1</v>
      </c>
    </row>
    <row r="1223" spans="91:102" ht="21" customHeight="1" x14ac:dyDescent="0.25">
      <c r="CM1223" s="1377"/>
      <c r="CN1223" s="1388" t="s">
        <v>10857</v>
      </c>
      <c r="CO1223" s="1388" t="s">
        <v>8125</v>
      </c>
      <c r="CP1223" s="1388" t="s">
        <v>8106</v>
      </c>
      <c r="CQ1223" s="1388" t="s">
        <v>10858</v>
      </c>
      <c r="CR1223" s="1388" t="s">
        <v>10858</v>
      </c>
      <c r="CS1223" s="1388" t="s">
        <v>8788</v>
      </c>
      <c r="CT1223" s="1388" t="s">
        <v>8789</v>
      </c>
      <c r="CU1223" s="1388" t="s">
        <v>9276</v>
      </c>
      <c r="CV1223" s="1389" t="s">
        <v>9277</v>
      </c>
      <c r="CX1223" s="1379">
        <v>1</v>
      </c>
    </row>
    <row r="1224" spans="91:102" ht="21" customHeight="1" x14ac:dyDescent="0.25">
      <c r="CM1224" s="1377"/>
      <c r="CN1224" s="1388" t="s">
        <v>10859</v>
      </c>
      <c r="CO1224" s="1388" t="s">
        <v>8125</v>
      </c>
      <c r="CP1224" s="1388" t="s">
        <v>8106</v>
      </c>
      <c r="CQ1224" s="1388" t="s">
        <v>10860</v>
      </c>
      <c r="CR1224" s="1388" t="s">
        <v>10860</v>
      </c>
      <c r="CS1224" s="1388" t="s">
        <v>8788</v>
      </c>
      <c r="CT1224" s="1388" t="s">
        <v>8789</v>
      </c>
      <c r="CU1224" s="1388" t="s">
        <v>9276</v>
      </c>
      <c r="CV1224" s="1389" t="s">
        <v>9277</v>
      </c>
      <c r="CX1224" s="1379">
        <v>1</v>
      </c>
    </row>
    <row r="1225" spans="91:102" ht="21" customHeight="1" x14ac:dyDescent="0.25">
      <c r="CM1225" s="1377"/>
      <c r="CN1225" s="1388" t="s">
        <v>10861</v>
      </c>
      <c r="CO1225" s="1388" t="s">
        <v>8125</v>
      </c>
      <c r="CP1225" s="1388" t="s">
        <v>8106</v>
      </c>
      <c r="CQ1225" s="1388" t="s">
        <v>10862</v>
      </c>
      <c r="CR1225" s="1388" t="s">
        <v>10862</v>
      </c>
      <c r="CS1225" s="1388" t="s">
        <v>8788</v>
      </c>
      <c r="CT1225" s="1388" t="s">
        <v>8789</v>
      </c>
      <c r="CU1225" s="1388" t="s">
        <v>9276</v>
      </c>
      <c r="CV1225" s="1389" t="s">
        <v>9277</v>
      </c>
      <c r="CX1225" s="1379">
        <v>1</v>
      </c>
    </row>
    <row r="1226" spans="91:102" ht="21" customHeight="1" x14ac:dyDescent="0.25">
      <c r="CM1226" s="1377"/>
      <c r="CN1226" s="1388" t="s">
        <v>10863</v>
      </c>
      <c r="CO1226" s="1388" t="s">
        <v>8125</v>
      </c>
      <c r="CP1226" s="1388" t="s">
        <v>8106</v>
      </c>
      <c r="CQ1226" s="1388" t="s">
        <v>10864</v>
      </c>
      <c r="CR1226" s="1388" t="s">
        <v>10864</v>
      </c>
      <c r="CS1226" s="1388" t="s">
        <v>8788</v>
      </c>
      <c r="CT1226" s="1388" t="s">
        <v>8789</v>
      </c>
      <c r="CU1226" s="1388" t="s">
        <v>9276</v>
      </c>
      <c r="CV1226" s="1389" t="s">
        <v>9277</v>
      </c>
      <c r="CX1226" s="1379">
        <v>1</v>
      </c>
    </row>
    <row r="1227" spans="91:102" ht="21" customHeight="1" x14ac:dyDescent="0.25">
      <c r="CM1227" s="1377"/>
      <c r="CN1227" s="1388" t="s">
        <v>10865</v>
      </c>
      <c r="CO1227" s="1388" t="s">
        <v>8125</v>
      </c>
      <c r="CP1227" s="1388" t="s">
        <v>8106</v>
      </c>
      <c r="CQ1227" s="1388" t="s">
        <v>10866</v>
      </c>
      <c r="CR1227" s="1388" t="s">
        <v>10866</v>
      </c>
      <c r="CS1227" s="1388" t="s">
        <v>8788</v>
      </c>
      <c r="CT1227" s="1388" t="s">
        <v>8789</v>
      </c>
      <c r="CU1227" s="1388" t="s">
        <v>9276</v>
      </c>
      <c r="CV1227" s="1389" t="s">
        <v>9277</v>
      </c>
      <c r="CX1227" s="1379">
        <v>1</v>
      </c>
    </row>
    <row r="1228" spans="91:102" ht="21" customHeight="1" x14ac:dyDescent="0.25">
      <c r="CM1228" s="1377"/>
      <c r="CN1228" s="1388" t="s">
        <v>10867</v>
      </c>
      <c r="CO1228" s="1388" t="s">
        <v>8125</v>
      </c>
      <c r="CP1228" s="1388" t="s">
        <v>8106</v>
      </c>
      <c r="CQ1228" s="1388" t="s">
        <v>10868</v>
      </c>
      <c r="CR1228" s="1388" t="s">
        <v>10868</v>
      </c>
      <c r="CS1228" s="1388" t="s">
        <v>8788</v>
      </c>
      <c r="CT1228" s="1388" t="s">
        <v>8789</v>
      </c>
      <c r="CU1228" s="1388" t="s">
        <v>9276</v>
      </c>
      <c r="CV1228" s="1389" t="s">
        <v>9277</v>
      </c>
      <c r="CX1228" s="1379">
        <v>1</v>
      </c>
    </row>
    <row r="1229" spans="91:102" ht="21" customHeight="1" x14ac:dyDescent="0.25">
      <c r="CM1229" s="1377"/>
      <c r="CN1229" s="1388" t="s">
        <v>10869</v>
      </c>
      <c r="CO1229" s="1388" t="s">
        <v>8125</v>
      </c>
      <c r="CP1229" s="1388" t="s">
        <v>8106</v>
      </c>
      <c r="CQ1229" s="1388" t="s">
        <v>10870</v>
      </c>
      <c r="CR1229" s="1388" t="s">
        <v>10870</v>
      </c>
      <c r="CS1229" s="1388" t="s">
        <v>8788</v>
      </c>
      <c r="CT1229" s="1388" t="s">
        <v>8789</v>
      </c>
      <c r="CU1229" s="1388" t="s">
        <v>9276</v>
      </c>
      <c r="CV1229" s="1389" t="s">
        <v>9277</v>
      </c>
      <c r="CX1229" s="1379">
        <v>1</v>
      </c>
    </row>
    <row r="1230" spans="91:102" ht="21" customHeight="1" x14ac:dyDescent="0.25">
      <c r="CM1230" s="1377"/>
      <c r="CN1230" s="1388" t="s">
        <v>10871</v>
      </c>
      <c r="CO1230" s="1388" t="s">
        <v>8125</v>
      </c>
      <c r="CP1230" s="1388" t="s">
        <v>8106</v>
      </c>
      <c r="CQ1230" s="1388" t="s">
        <v>10872</v>
      </c>
      <c r="CR1230" s="1388" t="s">
        <v>10872</v>
      </c>
      <c r="CS1230" s="1388" t="s">
        <v>8788</v>
      </c>
      <c r="CT1230" s="1388" t="s">
        <v>8789</v>
      </c>
      <c r="CU1230" s="1388" t="s">
        <v>9276</v>
      </c>
      <c r="CV1230" s="1389" t="s">
        <v>9277</v>
      </c>
      <c r="CX1230" s="1379">
        <v>1</v>
      </c>
    </row>
    <row r="1231" spans="91:102" ht="21" customHeight="1" x14ac:dyDescent="0.25">
      <c r="CM1231" s="1377"/>
      <c r="CN1231" s="1388" t="s">
        <v>10873</v>
      </c>
      <c r="CO1231" s="1388" t="s">
        <v>8125</v>
      </c>
      <c r="CP1231" s="1388" t="s">
        <v>8106</v>
      </c>
      <c r="CQ1231" s="1388" t="s">
        <v>10874</v>
      </c>
      <c r="CR1231" s="1388" t="s">
        <v>10874</v>
      </c>
      <c r="CS1231" s="1388" t="s">
        <v>8788</v>
      </c>
      <c r="CT1231" s="1388" t="s">
        <v>8789</v>
      </c>
      <c r="CU1231" s="1388" t="s">
        <v>9276</v>
      </c>
      <c r="CV1231" s="1389" t="s">
        <v>9277</v>
      </c>
      <c r="CX1231" s="1379">
        <v>1</v>
      </c>
    </row>
    <row r="1232" spans="91:102" ht="21" customHeight="1" x14ac:dyDescent="0.25">
      <c r="CM1232" s="1377"/>
      <c r="CN1232" s="1388" t="s">
        <v>10875</v>
      </c>
      <c r="CO1232" s="1388" t="s">
        <v>8125</v>
      </c>
      <c r="CP1232" s="1388" t="s">
        <v>8106</v>
      </c>
      <c r="CQ1232" s="1388" t="s">
        <v>10876</v>
      </c>
      <c r="CR1232" s="1388" t="s">
        <v>10876</v>
      </c>
      <c r="CS1232" s="1388" t="s">
        <v>8788</v>
      </c>
      <c r="CT1232" s="1388" t="s">
        <v>8789</v>
      </c>
      <c r="CU1232" s="1388" t="s">
        <v>9276</v>
      </c>
      <c r="CV1232" s="1389" t="s">
        <v>9277</v>
      </c>
      <c r="CX1232" s="1379">
        <v>1</v>
      </c>
    </row>
    <row r="1233" spans="91:102" ht="21" customHeight="1" x14ac:dyDescent="0.25">
      <c r="CM1233" s="1377"/>
      <c r="CN1233" s="1388" t="s">
        <v>10877</v>
      </c>
      <c r="CO1233" s="1388" t="s">
        <v>8125</v>
      </c>
      <c r="CP1233" s="1388" t="s">
        <v>8106</v>
      </c>
      <c r="CQ1233" s="1388" t="s">
        <v>10878</v>
      </c>
      <c r="CR1233" s="1388" t="s">
        <v>10878</v>
      </c>
      <c r="CS1233" s="1388" t="s">
        <v>8788</v>
      </c>
      <c r="CT1233" s="1388" t="s">
        <v>8789</v>
      </c>
      <c r="CU1233" s="1388" t="s">
        <v>9276</v>
      </c>
      <c r="CV1233" s="1389" t="s">
        <v>9277</v>
      </c>
      <c r="CX1233" s="1379">
        <v>1</v>
      </c>
    </row>
    <row r="1234" spans="91:102" ht="21" customHeight="1" x14ac:dyDescent="0.25">
      <c r="CM1234" s="1377"/>
      <c r="CN1234" s="1388" t="s">
        <v>10879</v>
      </c>
      <c r="CO1234" s="1388" t="s">
        <v>8125</v>
      </c>
      <c r="CP1234" s="1388" t="s">
        <v>8106</v>
      </c>
      <c r="CQ1234" s="1388" t="s">
        <v>10880</v>
      </c>
      <c r="CR1234" s="1388" t="s">
        <v>10880</v>
      </c>
      <c r="CS1234" s="1388" t="s">
        <v>8788</v>
      </c>
      <c r="CT1234" s="1388" t="s">
        <v>8789</v>
      </c>
      <c r="CU1234" s="1388" t="s">
        <v>9276</v>
      </c>
      <c r="CV1234" s="1389" t="s">
        <v>9277</v>
      </c>
      <c r="CX1234" s="1379">
        <v>1</v>
      </c>
    </row>
    <row r="1235" spans="91:102" ht="21" customHeight="1" x14ac:dyDescent="0.25">
      <c r="CM1235" s="1377"/>
      <c r="CN1235" s="1388" t="s">
        <v>10881</v>
      </c>
      <c r="CO1235" s="1388" t="s">
        <v>8125</v>
      </c>
      <c r="CP1235" s="1388" t="s">
        <v>8106</v>
      </c>
      <c r="CQ1235" s="1388" t="s">
        <v>10882</v>
      </c>
      <c r="CR1235" s="1388" t="s">
        <v>10882</v>
      </c>
      <c r="CS1235" s="1388" t="s">
        <v>8788</v>
      </c>
      <c r="CT1235" s="1388" t="s">
        <v>8789</v>
      </c>
      <c r="CU1235" s="1388" t="s">
        <v>9276</v>
      </c>
      <c r="CV1235" s="1389" t="s">
        <v>9277</v>
      </c>
      <c r="CX1235" s="1379">
        <v>1</v>
      </c>
    </row>
    <row r="1236" spans="91:102" ht="21" customHeight="1" x14ac:dyDescent="0.25">
      <c r="CM1236" s="1377"/>
      <c r="CN1236" s="1388" t="s">
        <v>10883</v>
      </c>
      <c r="CO1236" s="1388" t="s">
        <v>8125</v>
      </c>
      <c r="CP1236" s="1388" t="s">
        <v>8106</v>
      </c>
      <c r="CQ1236" s="1388" t="s">
        <v>10884</v>
      </c>
      <c r="CR1236" s="1388" t="s">
        <v>10884</v>
      </c>
      <c r="CS1236" s="1388" t="s">
        <v>8788</v>
      </c>
      <c r="CT1236" s="1388" t="s">
        <v>8789</v>
      </c>
      <c r="CU1236" s="1388" t="s">
        <v>9276</v>
      </c>
      <c r="CV1236" s="1389" t="s">
        <v>9277</v>
      </c>
      <c r="CX1236" s="1379">
        <v>1</v>
      </c>
    </row>
    <row r="1237" spans="91:102" ht="21" customHeight="1" x14ac:dyDescent="0.25">
      <c r="CM1237" s="1377"/>
      <c r="CN1237" s="1388" t="s">
        <v>10885</v>
      </c>
      <c r="CO1237" s="1388" t="s">
        <v>8125</v>
      </c>
      <c r="CP1237" s="1388" t="s">
        <v>8106</v>
      </c>
      <c r="CQ1237" s="1388" t="s">
        <v>10886</v>
      </c>
      <c r="CR1237" s="1388" t="s">
        <v>10886</v>
      </c>
      <c r="CS1237" s="1388" t="s">
        <v>8788</v>
      </c>
      <c r="CT1237" s="1388" t="s">
        <v>8789</v>
      </c>
      <c r="CU1237" s="1388" t="s">
        <v>9276</v>
      </c>
      <c r="CV1237" s="1389" t="s">
        <v>9277</v>
      </c>
      <c r="CX1237" s="1379">
        <v>1</v>
      </c>
    </row>
    <row r="1238" spans="91:102" ht="21" customHeight="1" x14ac:dyDescent="0.25">
      <c r="CM1238" s="1377"/>
      <c r="CN1238" s="1388" t="s">
        <v>10887</v>
      </c>
      <c r="CO1238" s="1388" t="s">
        <v>8125</v>
      </c>
      <c r="CP1238" s="1388" t="s">
        <v>8106</v>
      </c>
      <c r="CQ1238" s="1388" t="s">
        <v>10888</v>
      </c>
      <c r="CR1238" s="1388" t="s">
        <v>10888</v>
      </c>
      <c r="CS1238" s="1388" t="s">
        <v>8788</v>
      </c>
      <c r="CT1238" s="1388" t="s">
        <v>8789</v>
      </c>
      <c r="CU1238" s="1388" t="s">
        <v>9276</v>
      </c>
      <c r="CV1238" s="1389" t="s">
        <v>9277</v>
      </c>
      <c r="CX1238" s="1379">
        <v>1</v>
      </c>
    </row>
    <row r="1239" spans="91:102" ht="21" customHeight="1" x14ac:dyDescent="0.25">
      <c r="CM1239" s="1377"/>
      <c r="CN1239" s="1388" t="s">
        <v>10889</v>
      </c>
      <c r="CO1239" s="1388" t="s">
        <v>8125</v>
      </c>
      <c r="CP1239" s="1388" t="s">
        <v>8106</v>
      </c>
      <c r="CQ1239" s="1388" t="s">
        <v>10890</v>
      </c>
      <c r="CR1239" s="1388" t="s">
        <v>10890</v>
      </c>
      <c r="CS1239" s="1388" t="s">
        <v>8788</v>
      </c>
      <c r="CT1239" s="1388" t="s">
        <v>8789</v>
      </c>
      <c r="CU1239" s="1388" t="s">
        <v>9276</v>
      </c>
      <c r="CV1239" s="1389" t="s">
        <v>9277</v>
      </c>
      <c r="CX1239" s="1379">
        <v>1</v>
      </c>
    </row>
    <row r="1240" spans="91:102" ht="21" customHeight="1" x14ac:dyDescent="0.25">
      <c r="CM1240" s="1377"/>
      <c r="CN1240" s="1388" t="s">
        <v>10891</v>
      </c>
      <c r="CO1240" s="1388" t="s">
        <v>8125</v>
      </c>
      <c r="CP1240" s="1388" t="s">
        <v>8106</v>
      </c>
      <c r="CQ1240" s="1388" t="s">
        <v>10892</v>
      </c>
      <c r="CR1240" s="1388" t="s">
        <v>10892</v>
      </c>
      <c r="CS1240" s="1388" t="s">
        <v>8788</v>
      </c>
      <c r="CT1240" s="1388" t="s">
        <v>8789</v>
      </c>
      <c r="CU1240" s="1388" t="s">
        <v>9276</v>
      </c>
      <c r="CV1240" s="1389" t="s">
        <v>9277</v>
      </c>
      <c r="CX1240" s="1379">
        <v>1</v>
      </c>
    </row>
    <row r="1241" spans="91:102" ht="21" customHeight="1" x14ac:dyDescent="0.25">
      <c r="CM1241" s="1377"/>
      <c r="CN1241" s="1388" t="s">
        <v>10893</v>
      </c>
      <c r="CO1241" s="1388" t="s">
        <v>8125</v>
      </c>
      <c r="CP1241" s="1388" t="s">
        <v>8106</v>
      </c>
      <c r="CQ1241" s="1388" t="s">
        <v>10894</v>
      </c>
      <c r="CR1241" s="1388" t="s">
        <v>10894</v>
      </c>
      <c r="CS1241" s="1388" t="s">
        <v>8788</v>
      </c>
      <c r="CT1241" s="1388" t="s">
        <v>8789</v>
      </c>
      <c r="CU1241" s="1388" t="s">
        <v>9276</v>
      </c>
      <c r="CV1241" s="1389" t="s">
        <v>9277</v>
      </c>
      <c r="CX1241" s="1379">
        <v>1</v>
      </c>
    </row>
    <row r="1242" spans="91:102" ht="21" customHeight="1" x14ac:dyDescent="0.25">
      <c r="CM1242" s="1377"/>
      <c r="CN1242" s="1388" t="s">
        <v>10895</v>
      </c>
      <c r="CO1242" s="1388" t="s">
        <v>8125</v>
      </c>
      <c r="CP1242" s="1388" t="s">
        <v>8106</v>
      </c>
      <c r="CQ1242" s="1388" t="s">
        <v>10896</v>
      </c>
      <c r="CR1242" s="1388" t="s">
        <v>10896</v>
      </c>
      <c r="CS1242" s="1388" t="s">
        <v>8788</v>
      </c>
      <c r="CT1242" s="1388" t="s">
        <v>8789</v>
      </c>
      <c r="CU1242" s="1388" t="s">
        <v>9276</v>
      </c>
      <c r="CV1242" s="1389" t="s">
        <v>9277</v>
      </c>
      <c r="CX1242" s="1379">
        <v>1</v>
      </c>
    </row>
    <row r="1243" spans="91:102" ht="21" customHeight="1" x14ac:dyDescent="0.25">
      <c r="CM1243" s="1377"/>
      <c r="CN1243" s="1388" t="s">
        <v>10897</v>
      </c>
      <c r="CO1243" s="1388" t="s">
        <v>8125</v>
      </c>
      <c r="CP1243" s="1388" t="s">
        <v>8106</v>
      </c>
      <c r="CQ1243" s="1388" t="s">
        <v>10898</v>
      </c>
      <c r="CR1243" s="1388" t="s">
        <v>10898</v>
      </c>
      <c r="CS1243" s="1388" t="s">
        <v>8788</v>
      </c>
      <c r="CT1243" s="1388" t="s">
        <v>8789</v>
      </c>
      <c r="CU1243" s="1388" t="s">
        <v>9276</v>
      </c>
      <c r="CV1243" s="1389" t="s">
        <v>9277</v>
      </c>
      <c r="CX1243" s="1379">
        <v>1</v>
      </c>
    </row>
    <row r="1244" spans="91:102" ht="21" customHeight="1" x14ac:dyDescent="0.25">
      <c r="CM1244" s="1377"/>
      <c r="CN1244" s="1388" t="s">
        <v>10899</v>
      </c>
      <c r="CO1244" s="1388" t="s">
        <v>8125</v>
      </c>
      <c r="CP1244" s="1388" t="s">
        <v>8106</v>
      </c>
      <c r="CQ1244" s="1388" t="s">
        <v>10900</v>
      </c>
      <c r="CR1244" s="1388" t="s">
        <v>10900</v>
      </c>
      <c r="CS1244" s="1388" t="s">
        <v>8788</v>
      </c>
      <c r="CT1244" s="1388" t="s">
        <v>8789</v>
      </c>
      <c r="CU1244" s="1388" t="s">
        <v>9276</v>
      </c>
      <c r="CV1244" s="1389" t="s">
        <v>9277</v>
      </c>
      <c r="CX1244" s="1379">
        <v>1</v>
      </c>
    </row>
    <row r="1245" spans="91:102" ht="21" customHeight="1" x14ac:dyDescent="0.25">
      <c r="CM1245" s="1377"/>
      <c r="CN1245" s="1388" t="s">
        <v>10901</v>
      </c>
      <c r="CO1245" s="1388" t="s">
        <v>8125</v>
      </c>
      <c r="CP1245" s="1388" t="s">
        <v>8106</v>
      </c>
      <c r="CQ1245" s="1388" t="s">
        <v>10902</v>
      </c>
      <c r="CR1245" s="1388" t="s">
        <v>10902</v>
      </c>
      <c r="CS1245" s="1388" t="s">
        <v>8788</v>
      </c>
      <c r="CT1245" s="1388" t="s">
        <v>8789</v>
      </c>
      <c r="CU1245" s="1388" t="s">
        <v>9276</v>
      </c>
      <c r="CV1245" s="1389" t="s">
        <v>9277</v>
      </c>
      <c r="CX1245" s="1379">
        <v>1</v>
      </c>
    </row>
    <row r="1246" spans="91:102" ht="21" customHeight="1" x14ac:dyDescent="0.25">
      <c r="CM1246" s="1377"/>
      <c r="CN1246" s="1388" t="s">
        <v>10903</v>
      </c>
      <c r="CO1246" s="1388" t="s">
        <v>8125</v>
      </c>
      <c r="CP1246" s="1388" t="s">
        <v>8106</v>
      </c>
      <c r="CQ1246" s="1388" t="s">
        <v>10904</v>
      </c>
      <c r="CR1246" s="1388" t="s">
        <v>10904</v>
      </c>
      <c r="CS1246" s="1388" t="s">
        <v>8788</v>
      </c>
      <c r="CT1246" s="1388" t="s">
        <v>8789</v>
      </c>
      <c r="CU1246" s="1388" t="s">
        <v>9276</v>
      </c>
      <c r="CV1246" s="1389" t="s">
        <v>9277</v>
      </c>
      <c r="CX1246" s="1379">
        <v>1</v>
      </c>
    </row>
    <row r="1247" spans="91:102" ht="21" customHeight="1" x14ac:dyDescent="0.25">
      <c r="CM1247" s="1377"/>
      <c r="CN1247" s="1388" t="s">
        <v>10905</v>
      </c>
      <c r="CO1247" s="1388" t="s">
        <v>8125</v>
      </c>
      <c r="CP1247" s="1388" t="s">
        <v>8106</v>
      </c>
      <c r="CQ1247" s="1388" t="s">
        <v>10906</v>
      </c>
      <c r="CR1247" s="1388" t="s">
        <v>10906</v>
      </c>
      <c r="CS1247" s="1388" t="s">
        <v>8788</v>
      </c>
      <c r="CT1247" s="1388" t="s">
        <v>8789</v>
      </c>
      <c r="CU1247" s="1388" t="s">
        <v>9276</v>
      </c>
      <c r="CV1247" s="1389" t="s">
        <v>9277</v>
      </c>
      <c r="CX1247" s="1379">
        <v>1</v>
      </c>
    </row>
    <row r="1248" spans="91:102" ht="21" customHeight="1" x14ac:dyDescent="0.25">
      <c r="CM1248" s="1377"/>
      <c r="CN1248" s="1388" t="s">
        <v>10907</v>
      </c>
      <c r="CO1248" s="1388" t="s">
        <v>8125</v>
      </c>
      <c r="CP1248" s="1388" t="s">
        <v>8106</v>
      </c>
      <c r="CQ1248" s="1388" t="s">
        <v>10908</v>
      </c>
      <c r="CR1248" s="1388" t="s">
        <v>10908</v>
      </c>
      <c r="CS1248" s="1388" t="s">
        <v>8788</v>
      </c>
      <c r="CT1248" s="1388" t="s">
        <v>8789</v>
      </c>
      <c r="CU1248" s="1388" t="s">
        <v>9276</v>
      </c>
      <c r="CV1248" s="1389" t="s">
        <v>9277</v>
      </c>
      <c r="CX1248" s="1379">
        <v>1</v>
      </c>
    </row>
    <row r="1249" spans="91:102" ht="21" customHeight="1" x14ac:dyDescent="0.25">
      <c r="CM1249" s="1377"/>
      <c r="CN1249" s="1388" t="s">
        <v>10909</v>
      </c>
      <c r="CO1249" s="1388" t="s">
        <v>8125</v>
      </c>
      <c r="CP1249" s="1388" t="s">
        <v>8106</v>
      </c>
      <c r="CQ1249" s="1388" t="s">
        <v>10910</v>
      </c>
      <c r="CR1249" s="1388" t="s">
        <v>10910</v>
      </c>
      <c r="CS1249" s="1388" t="s">
        <v>8788</v>
      </c>
      <c r="CT1249" s="1388" t="s">
        <v>8789</v>
      </c>
      <c r="CU1249" s="1388" t="s">
        <v>9276</v>
      </c>
      <c r="CV1249" s="1389" t="s">
        <v>9277</v>
      </c>
      <c r="CX1249" s="1379">
        <v>1</v>
      </c>
    </row>
    <row r="1250" spans="91:102" ht="21" customHeight="1" x14ac:dyDescent="0.25">
      <c r="CM1250" s="1377"/>
      <c r="CN1250" s="1388" t="s">
        <v>10911</v>
      </c>
      <c r="CO1250" s="1388" t="s">
        <v>8125</v>
      </c>
      <c r="CP1250" s="1388" t="s">
        <v>8106</v>
      </c>
      <c r="CQ1250" s="1388" t="s">
        <v>10912</v>
      </c>
      <c r="CR1250" s="1388" t="s">
        <v>10912</v>
      </c>
      <c r="CS1250" s="1388" t="s">
        <v>8788</v>
      </c>
      <c r="CT1250" s="1388" t="s">
        <v>8789</v>
      </c>
      <c r="CU1250" s="1388" t="s">
        <v>9276</v>
      </c>
      <c r="CV1250" s="1389" t="s">
        <v>9277</v>
      </c>
      <c r="CX1250" s="1379">
        <v>1</v>
      </c>
    </row>
    <row r="1251" spans="91:102" ht="21" customHeight="1" x14ac:dyDescent="0.25">
      <c r="CM1251" s="1377"/>
      <c r="CN1251" s="1388" t="s">
        <v>10913</v>
      </c>
      <c r="CO1251" s="1388" t="s">
        <v>8125</v>
      </c>
      <c r="CP1251" s="1388" t="s">
        <v>8106</v>
      </c>
      <c r="CQ1251" s="1388" t="s">
        <v>10914</v>
      </c>
      <c r="CR1251" s="1388" t="s">
        <v>10914</v>
      </c>
      <c r="CS1251" s="1388" t="s">
        <v>8788</v>
      </c>
      <c r="CT1251" s="1388" t="s">
        <v>8789</v>
      </c>
      <c r="CU1251" s="1388" t="s">
        <v>9276</v>
      </c>
      <c r="CV1251" s="1389" t="s">
        <v>9277</v>
      </c>
      <c r="CX1251" s="1379">
        <v>1</v>
      </c>
    </row>
    <row r="1252" spans="91:102" ht="21" customHeight="1" x14ac:dyDescent="0.25">
      <c r="CM1252" s="1377"/>
      <c r="CN1252" s="1388" t="s">
        <v>10915</v>
      </c>
      <c r="CO1252" s="1388" t="s">
        <v>8125</v>
      </c>
      <c r="CP1252" s="1388" t="s">
        <v>8106</v>
      </c>
      <c r="CQ1252" s="1388" t="s">
        <v>10916</v>
      </c>
      <c r="CR1252" s="1388" t="s">
        <v>10916</v>
      </c>
      <c r="CS1252" s="1388" t="s">
        <v>8788</v>
      </c>
      <c r="CT1252" s="1388" t="s">
        <v>8789</v>
      </c>
      <c r="CU1252" s="1388" t="s">
        <v>9276</v>
      </c>
      <c r="CV1252" s="1389" t="s">
        <v>9277</v>
      </c>
      <c r="CX1252" s="1379">
        <v>1</v>
      </c>
    </row>
    <row r="1253" spans="91:102" ht="21" customHeight="1" x14ac:dyDescent="0.25">
      <c r="CM1253" s="1377"/>
      <c r="CN1253" s="1388" t="s">
        <v>10917</v>
      </c>
      <c r="CO1253" s="1388" t="s">
        <v>8125</v>
      </c>
      <c r="CP1253" s="1388" t="s">
        <v>8106</v>
      </c>
      <c r="CQ1253" s="1388" t="s">
        <v>10918</v>
      </c>
      <c r="CR1253" s="1388" t="s">
        <v>10918</v>
      </c>
      <c r="CS1253" s="1388" t="s">
        <v>8788</v>
      </c>
      <c r="CT1253" s="1388" t="s">
        <v>8789</v>
      </c>
      <c r="CU1253" s="1388" t="s">
        <v>9276</v>
      </c>
      <c r="CV1253" s="1389" t="s">
        <v>9277</v>
      </c>
      <c r="CX1253" s="1379">
        <v>1</v>
      </c>
    </row>
    <row r="1254" spans="91:102" ht="21" customHeight="1" x14ac:dyDescent="0.25">
      <c r="CM1254" s="1377"/>
      <c r="CN1254" s="1388" t="s">
        <v>10919</v>
      </c>
      <c r="CO1254" s="1388" t="s">
        <v>8125</v>
      </c>
      <c r="CP1254" s="1388" t="s">
        <v>8106</v>
      </c>
      <c r="CQ1254" s="1388" t="s">
        <v>10920</v>
      </c>
      <c r="CR1254" s="1388" t="s">
        <v>10920</v>
      </c>
      <c r="CS1254" s="1388" t="s">
        <v>8788</v>
      </c>
      <c r="CT1254" s="1388" t="s">
        <v>8789</v>
      </c>
      <c r="CU1254" s="1388" t="s">
        <v>9276</v>
      </c>
      <c r="CV1254" s="1389" t="s">
        <v>9277</v>
      </c>
      <c r="CX1254" s="1379">
        <v>1</v>
      </c>
    </row>
    <row r="1255" spans="91:102" ht="21" customHeight="1" x14ac:dyDescent="0.25">
      <c r="CM1255" s="1377"/>
      <c r="CN1255" s="1388" t="s">
        <v>10921</v>
      </c>
      <c r="CO1255" s="1388" t="s">
        <v>8125</v>
      </c>
      <c r="CP1255" s="1388" t="s">
        <v>8106</v>
      </c>
      <c r="CQ1255" s="1388" t="s">
        <v>10922</v>
      </c>
      <c r="CR1255" s="1388" t="s">
        <v>10922</v>
      </c>
      <c r="CS1255" s="1388" t="s">
        <v>8788</v>
      </c>
      <c r="CT1255" s="1388" t="s">
        <v>8789</v>
      </c>
      <c r="CU1255" s="1388" t="s">
        <v>9276</v>
      </c>
      <c r="CV1255" s="1389" t="s">
        <v>9277</v>
      </c>
      <c r="CX1255" s="1379">
        <v>1</v>
      </c>
    </row>
    <row r="1256" spans="91:102" ht="21" customHeight="1" x14ac:dyDescent="0.25">
      <c r="CM1256" s="1377"/>
      <c r="CN1256" s="1388" t="s">
        <v>10923</v>
      </c>
      <c r="CO1256" s="1388" t="s">
        <v>8125</v>
      </c>
      <c r="CP1256" s="1388" t="s">
        <v>8106</v>
      </c>
      <c r="CQ1256" s="1388" t="s">
        <v>10924</v>
      </c>
      <c r="CR1256" s="1388" t="s">
        <v>10924</v>
      </c>
      <c r="CS1256" s="1388" t="s">
        <v>8788</v>
      </c>
      <c r="CT1256" s="1388" t="s">
        <v>8789</v>
      </c>
      <c r="CU1256" s="1388" t="s">
        <v>9276</v>
      </c>
      <c r="CV1256" s="1389" t="s">
        <v>9277</v>
      </c>
      <c r="CX1256" s="1379">
        <v>1</v>
      </c>
    </row>
    <row r="1257" spans="91:102" ht="21" customHeight="1" x14ac:dyDescent="0.25">
      <c r="CM1257" s="1377"/>
      <c r="CN1257" s="1388" t="s">
        <v>10925</v>
      </c>
      <c r="CO1257" s="1388" t="s">
        <v>8125</v>
      </c>
      <c r="CP1257" s="1388" t="s">
        <v>8106</v>
      </c>
      <c r="CQ1257" s="1388" t="s">
        <v>10926</v>
      </c>
      <c r="CR1257" s="1388" t="s">
        <v>10926</v>
      </c>
      <c r="CS1257" s="1388" t="s">
        <v>8788</v>
      </c>
      <c r="CT1257" s="1388" t="s">
        <v>8789</v>
      </c>
      <c r="CU1257" s="1388" t="s">
        <v>9276</v>
      </c>
      <c r="CV1257" s="1389" t="s">
        <v>9277</v>
      </c>
      <c r="CX1257" s="1379">
        <v>1</v>
      </c>
    </row>
    <row r="1258" spans="91:102" ht="21" customHeight="1" x14ac:dyDescent="0.25">
      <c r="CM1258" s="1377"/>
      <c r="CN1258" s="1388" t="s">
        <v>10927</v>
      </c>
      <c r="CO1258" s="1388" t="s">
        <v>8125</v>
      </c>
      <c r="CP1258" s="1388" t="s">
        <v>8106</v>
      </c>
      <c r="CQ1258" s="1388" t="s">
        <v>10928</v>
      </c>
      <c r="CR1258" s="1388" t="s">
        <v>10928</v>
      </c>
      <c r="CS1258" s="1388" t="s">
        <v>8108</v>
      </c>
      <c r="CT1258" s="1388" t="s">
        <v>9359</v>
      </c>
      <c r="CU1258" s="1388" t="s">
        <v>8110</v>
      </c>
      <c r="CV1258" s="1389" t="s">
        <v>8111</v>
      </c>
      <c r="CX1258" s="1379">
        <v>1</v>
      </c>
    </row>
    <row r="1259" spans="91:102" ht="21" customHeight="1" x14ac:dyDescent="0.25">
      <c r="CM1259" s="1377"/>
      <c r="CN1259" s="1388" t="s">
        <v>10929</v>
      </c>
      <c r="CO1259" s="1388" t="s">
        <v>8125</v>
      </c>
      <c r="CP1259" s="1388" t="s">
        <v>8106</v>
      </c>
      <c r="CQ1259" s="1388" t="s">
        <v>10930</v>
      </c>
      <c r="CR1259" s="1388" t="s">
        <v>10930</v>
      </c>
      <c r="CS1259" s="1388" t="s">
        <v>8788</v>
      </c>
      <c r="CT1259" s="1388" t="s">
        <v>8789</v>
      </c>
      <c r="CU1259" s="1388" t="s">
        <v>9276</v>
      </c>
      <c r="CV1259" s="1389" t="s">
        <v>9277</v>
      </c>
      <c r="CX1259" s="1379">
        <v>1</v>
      </c>
    </row>
    <row r="1260" spans="91:102" ht="21" customHeight="1" x14ac:dyDescent="0.25">
      <c r="CM1260" s="1377"/>
      <c r="CN1260" s="1388" t="s">
        <v>10931</v>
      </c>
      <c r="CO1260" s="1388" t="s">
        <v>8125</v>
      </c>
      <c r="CP1260" s="1388" t="s">
        <v>8106</v>
      </c>
      <c r="CQ1260" s="1388" t="s">
        <v>10932</v>
      </c>
      <c r="CR1260" s="1388" t="s">
        <v>10932</v>
      </c>
      <c r="CS1260" s="1388" t="s">
        <v>8788</v>
      </c>
      <c r="CT1260" s="1388" t="s">
        <v>8789</v>
      </c>
      <c r="CU1260" s="1388" t="s">
        <v>9276</v>
      </c>
      <c r="CV1260" s="1389" t="s">
        <v>9277</v>
      </c>
      <c r="CX1260" s="1379">
        <v>1</v>
      </c>
    </row>
    <row r="1261" spans="91:102" ht="21" customHeight="1" x14ac:dyDescent="0.25">
      <c r="CM1261" s="1377"/>
      <c r="CN1261" s="1388" t="s">
        <v>10933</v>
      </c>
      <c r="CO1261" s="1388" t="s">
        <v>8125</v>
      </c>
      <c r="CP1261" s="1388" t="s">
        <v>8106</v>
      </c>
      <c r="CQ1261" s="1388" t="s">
        <v>10934</v>
      </c>
      <c r="CR1261" s="1388" t="s">
        <v>10934</v>
      </c>
      <c r="CS1261" s="1388" t="s">
        <v>8788</v>
      </c>
      <c r="CT1261" s="1388" t="s">
        <v>8789</v>
      </c>
      <c r="CU1261" s="1388" t="s">
        <v>9276</v>
      </c>
      <c r="CV1261" s="1389" t="s">
        <v>9277</v>
      </c>
      <c r="CX1261" s="1379">
        <v>1</v>
      </c>
    </row>
    <row r="1262" spans="91:102" ht="21" customHeight="1" x14ac:dyDescent="0.25">
      <c r="CM1262" s="1377"/>
      <c r="CN1262" s="1388" t="s">
        <v>10935</v>
      </c>
      <c r="CO1262" s="1388" t="s">
        <v>8125</v>
      </c>
      <c r="CP1262" s="1388" t="s">
        <v>8106</v>
      </c>
      <c r="CQ1262" s="1388" t="s">
        <v>10936</v>
      </c>
      <c r="CR1262" s="1388" t="s">
        <v>10936</v>
      </c>
      <c r="CS1262" s="1388" t="s">
        <v>8788</v>
      </c>
      <c r="CT1262" s="1388" t="s">
        <v>8789</v>
      </c>
      <c r="CU1262" s="1388" t="s">
        <v>9276</v>
      </c>
      <c r="CV1262" s="1389" t="s">
        <v>9277</v>
      </c>
      <c r="CX1262" s="1379">
        <v>1</v>
      </c>
    </row>
    <row r="1263" spans="91:102" ht="21" customHeight="1" x14ac:dyDescent="0.25">
      <c r="CM1263" s="1377"/>
      <c r="CN1263" s="1388" t="s">
        <v>10937</v>
      </c>
      <c r="CO1263" s="1388" t="s">
        <v>8125</v>
      </c>
      <c r="CP1263" s="1388" t="s">
        <v>8106</v>
      </c>
      <c r="CQ1263" s="1388" t="s">
        <v>10938</v>
      </c>
      <c r="CR1263" s="1388" t="s">
        <v>10938</v>
      </c>
      <c r="CS1263" s="1388" t="s">
        <v>8788</v>
      </c>
      <c r="CT1263" s="1388" t="s">
        <v>8789</v>
      </c>
      <c r="CU1263" s="1388" t="s">
        <v>9276</v>
      </c>
      <c r="CV1263" s="1389" t="s">
        <v>9277</v>
      </c>
      <c r="CX1263" s="1379">
        <v>1</v>
      </c>
    </row>
    <row r="1264" spans="91:102" ht="21" customHeight="1" x14ac:dyDescent="0.25">
      <c r="CM1264" s="1377"/>
      <c r="CN1264" s="1388" t="s">
        <v>10939</v>
      </c>
      <c r="CO1264" s="1388" t="s">
        <v>8125</v>
      </c>
      <c r="CP1264" s="1388" t="s">
        <v>8106</v>
      </c>
      <c r="CQ1264" s="1388" t="s">
        <v>10940</v>
      </c>
      <c r="CR1264" s="1388" t="s">
        <v>10940</v>
      </c>
      <c r="CS1264" s="1388" t="s">
        <v>8788</v>
      </c>
      <c r="CT1264" s="1388" t="s">
        <v>8789</v>
      </c>
      <c r="CU1264" s="1388" t="s">
        <v>9276</v>
      </c>
      <c r="CV1264" s="1389" t="s">
        <v>9277</v>
      </c>
      <c r="CX1264" s="1379">
        <v>1</v>
      </c>
    </row>
    <row r="1265" spans="91:102" ht="21" customHeight="1" x14ac:dyDescent="0.25">
      <c r="CM1265" s="1377"/>
      <c r="CN1265" s="1388" t="s">
        <v>10941</v>
      </c>
      <c r="CO1265" s="1388" t="s">
        <v>8125</v>
      </c>
      <c r="CP1265" s="1388" t="s">
        <v>8106</v>
      </c>
      <c r="CQ1265" s="1388" t="s">
        <v>10942</v>
      </c>
      <c r="CR1265" s="1388" t="s">
        <v>10942</v>
      </c>
      <c r="CS1265" s="1388" t="s">
        <v>8788</v>
      </c>
      <c r="CT1265" s="1388" t="s">
        <v>8789</v>
      </c>
      <c r="CU1265" s="1388" t="s">
        <v>9276</v>
      </c>
      <c r="CV1265" s="1389" t="s">
        <v>9277</v>
      </c>
      <c r="CX1265" s="1379">
        <v>1</v>
      </c>
    </row>
    <row r="1266" spans="91:102" ht="21" customHeight="1" x14ac:dyDescent="0.25">
      <c r="CM1266" s="1377"/>
      <c r="CN1266" s="1388" t="s">
        <v>10943</v>
      </c>
      <c r="CO1266" s="1388" t="s">
        <v>8125</v>
      </c>
      <c r="CP1266" s="1388" t="s">
        <v>8106</v>
      </c>
      <c r="CQ1266" s="1388" t="s">
        <v>10944</v>
      </c>
      <c r="CR1266" s="1388" t="s">
        <v>10944</v>
      </c>
      <c r="CS1266" s="1388" t="s">
        <v>8788</v>
      </c>
      <c r="CT1266" s="1388" t="s">
        <v>8789</v>
      </c>
      <c r="CU1266" s="1388" t="s">
        <v>9276</v>
      </c>
      <c r="CV1266" s="1389" t="s">
        <v>9277</v>
      </c>
      <c r="CX1266" s="1379">
        <v>1</v>
      </c>
    </row>
    <row r="1267" spans="91:102" ht="21" customHeight="1" x14ac:dyDescent="0.25">
      <c r="CM1267" s="1377"/>
      <c r="CN1267" s="1388" t="s">
        <v>10945</v>
      </c>
      <c r="CO1267" s="1388" t="s">
        <v>8125</v>
      </c>
      <c r="CP1267" s="1388" t="s">
        <v>8106</v>
      </c>
      <c r="CQ1267" s="1388" t="s">
        <v>10946</v>
      </c>
      <c r="CR1267" s="1388" t="s">
        <v>10946</v>
      </c>
      <c r="CS1267" s="1388" t="s">
        <v>8788</v>
      </c>
      <c r="CT1267" s="1388" t="s">
        <v>8789</v>
      </c>
      <c r="CU1267" s="1388" t="s">
        <v>9276</v>
      </c>
      <c r="CV1267" s="1389" t="s">
        <v>9277</v>
      </c>
      <c r="CX1267" s="1379">
        <v>1</v>
      </c>
    </row>
    <row r="1268" spans="91:102" ht="21" customHeight="1" x14ac:dyDescent="0.25">
      <c r="CM1268" s="1377"/>
      <c r="CN1268" s="1388" t="s">
        <v>10947</v>
      </c>
      <c r="CO1268" s="1388" t="s">
        <v>8125</v>
      </c>
      <c r="CP1268" s="1388" t="s">
        <v>8106</v>
      </c>
      <c r="CQ1268" s="1388" t="s">
        <v>10948</v>
      </c>
      <c r="CR1268" s="1388" t="s">
        <v>10948</v>
      </c>
      <c r="CS1268" s="1388" t="s">
        <v>8788</v>
      </c>
      <c r="CT1268" s="1388" t="s">
        <v>8789</v>
      </c>
      <c r="CU1268" s="1388" t="s">
        <v>9276</v>
      </c>
      <c r="CV1268" s="1389" t="s">
        <v>9277</v>
      </c>
      <c r="CX1268" s="1379">
        <v>1</v>
      </c>
    </row>
    <row r="1269" spans="91:102" ht="21" customHeight="1" x14ac:dyDescent="0.25">
      <c r="CM1269" s="1377"/>
      <c r="CN1269" s="1388" t="s">
        <v>10949</v>
      </c>
      <c r="CO1269" s="1388" t="s">
        <v>8125</v>
      </c>
      <c r="CP1269" s="1388" t="s">
        <v>8106</v>
      </c>
      <c r="CQ1269" s="1388" t="s">
        <v>10950</v>
      </c>
      <c r="CR1269" s="1388" t="s">
        <v>10950</v>
      </c>
      <c r="CS1269" s="1388" t="s">
        <v>8788</v>
      </c>
      <c r="CT1269" s="1388" t="s">
        <v>8789</v>
      </c>
      <c r="CU1269" s="1388" t="s">
        <v>9276</v>
      </c>
      <c r="CV1269" s="1389" t="s">
        <v>9277</v>
      </c>
      <c r="CX1269" s="1379">
        <v>1</v>
      </c>
    </row>
    <row r="1270" spans="91:102" ht="21" customHeight="1" x14ac:dyDescent="0.25">
      <c r="CM1270" s="1377"/>
      <c r="CN1270" s="1388" t="s">
        <v>10951</v>
      </c>
      <c r="CO1270" s="1388" t="s">
        <v>8125</v>
      </c>
      <c r="CP1270" s="1388" t="s">
        <v>8106</v>
      </c>
      <c r="CQ1270" s="1388" t="s">
        <v>8783</v>
      </c>
      <c r="CR1270" s="1388" t="s">
        <v>8783</v>
      </c>
      <c r="CS1270" s="1388" t="s">
        <v>8108</v>
      </c>
      <c r="CT1270" s="1388" t="s">
        <v>9359</v>
      </c>
      <c r="CU1270" s="1388" t="s">
        <v>8110</v>
      </c>
      <c r="CV1270" s="1389" t="s">
        <v>8111</v>
      </c>
      <c r="CX1270" s="1379">
        <v>1</v>
      </c>
    </row>
    <row r="1271" spans="91:102" ht="21" customHeight="1" x14ac:dyDescent="0.25">
      <c r="CM1271" s="1377"/>
      <c r="CN1271" s="1388" t="s">
        <v>10952</v>
      </c>
      <c r="CO1271" s="1388" t="s">
        <v>8125</v>
      </c>
      <c r="CP1271" s="1388" t="s">
        <v>8106</v>
      </c>
      <c r="CQ1271" s="1388" t="s">
        <v>10953</v>
      </c>
      <c r="CR1271" s="1388" t="s">
        <v>10953</v>
      </c>
      <c r="CS1271" s="1388" t="s">
        <v>8194</v>
      </c>
      <c r="CT1271" s="1388" t="s">
        <v>8195</v>
      </c>
      <c r="CU1271" s="1388" t="s">
        <v>8110</v>
      </c>
      <c r="CV1271" s="1389" t="s">
        <v>8196</v>
      </c>
      <c r="CX1271" s="1379">
        <v>1</v>
      </c>
    </row>
    <row r="1272" spans="91:102" ht="21" customHeight="1" x14ac:dyDescent="0.25">
      <c r="CM1272" s="1377"/>
      <c r="CN1272" s="1388" t="s">
        <v>10954</v>
      </c>
      <c r="CO1272" s="1388" t="s">
        <v>8125</v>
      </c>
      <c r="CP1272" s="1388" t="s">
        <v>8106</v>
      </c>
      <c r="CQ1272" s="1388" t="s">
        <v>10955</v>
      </c>
      <c r="CR1272" s="1388" t="s">
        <v>10955</v>
      </c>
      <c r="CS1272" s="1388" t="s">
        <v>8788</v>
      </c>
      <c r="CT1272" s="1388" t="s">
        <v>8789</v>
      </c>
      <c r="CU1272" s="1388" t="s">
        <v>9276</v>
      </c>
      <c r="CV1272" s="1389" t="s">
        <v>9277</v>
      </c>
      <c r="CX1272" s="1379">
        <v>1</v>
      </c>
    </row>
    <row r="1273" spans="91:102" ht="21" customHeight="1" x14ac:dyDescent="0.25">
      <c r="CM1273" s="1377"/>
      <c r="CN1273" s="1388" t="s">
        <v>10956</v>
      </c>
      <c r="CO1273" s="1388" t="s">
        <v>8125</v>
      </c>
      <c r="CP1273" s="1388" t="s">
        <v>8106</v>
      </c>
      <c r="CQ1273" s="1388" t="s">
        <v>10957</v>
      </c>
      <c r="CR1273" s="1388" t="s">
        <v>10957</v>
      </c>
      <c r="CS1273" s="1388" t="s">
        <v>8788</v>
      </c>
      <c r="CT1273" s="1388" t="s">
        <v>8789</v>
      </c>
      <c r="CU1273" s="1388" t="s">
        <v>9276</v>
      </c>
      <c r="CV1273" s="1389" t="s">
        <v>9277</v>
      </c>
      <c r="CX1273" s="1379">
        <v>1</v>
      </c>
    </row>
    <row r="1274" spans="91:102" ht="21" customHeight="1" x14ac:dyDescent="0.25">
      <c r="CM1274" s="1377"/>
      <c r="CN1274" s="1388" t="s">
        <v>10958</v>
      </c>
      <c r="CO1274" s="1388" t="s">
        <v>8125</v>
      </c>
      <c r="CP1274" s="1388" t="s">
        <v>8106</v>
      </c>
      <c r="CQ1274" s="1388" t="s">
        <v>10959</v>
      </c>
      <c r="CR1274" s="1388" t="s">
        <v>10959</v>
      </c>
      <c r="CS1274" s="1388" t="s">
        <v>8788</v>
      </c>
      <c r="CT1274" s="1388" t="s">
        <v>8789</v>
      </c>
      <c r="CU1274" s="1388" t="s">
        <v>9276</v>
      </c>
      <c r="CV1274" s="1389" t="s">
        <v>9277</v>
      </c>
      <c r="CX1274" s="1379">
        <v>1</v>
      </c>
    </row>
    <row r="1275" spans="91:102" ht="21" customHeight="1" x14ac:dyDescent="0.25">
      <c r="CM1275" s="1377"/>
      <c r="CN1275" s="1388" t="s">
        <v>10960</v>
      </c>
      <c r="CO1275" s="1388" t="s">
        <v>8125</v>
      </c>
      <c r="CP1275" s="1388" t="s">
        <v>8106</v>
      </c>
      <c r="CQ1275" s="1388" t="s">
        <v>10961</v>
      </c>
      <c r="CR1275" s="1388" t="s">
        <v>10961</v>
      </c>
      <c r="CS1275" s="1388" t="s">
        <v>8788</v>
      </c>
      <c r="CT1275" s="1388" t="s">
        <v>8789</v>
      </c>
      <c r="CU1275" s="1388" t="s">
        <v>9276</v>
      </c>
      <c r="CV1275" s="1389" t="s">
        <v>9277</v>
      </c>
      <c r="CX1275" s="1379">
        <v>1</v>
      </c>
    </row>
    <row r="1276" spans="91:102" ht="21" customHeight="1" x14ac:dyDescent="0.25">
      <c r="CM1276" s="1377"/>
      <c r="CN1276" s="1388" t="s">
        <v>10962</v>
      </c>
      <c r="CO1276" s="1388" t="s">
        <v>8125</v>
      </c>
      <c r="CP1276" s="1388" t="s">
        <v>8106</v>
      </c>
      <c r="CQ1276" s="1388" t="s">
        <v>10963</v>
      </c>
      <c r="CR1276" s="1388" t="s">
        <v>10963</v>
      </c>
      <c r="CS1276" s="1388" t="s">
        <v>8788</v>
      </c>
      <c r="CT1276" s="1388" t="s">
        <v>8789</v>
      </c>
      <c r="CU1276" s="1388" t="s">
        <v>9276</v>
      </c>
      <c r="CV1276" s="1389" t="s">
        <v>9277</v>
      </c>
      <c r="CX1276" s="1379">
        <v>1</v>
      </c>
    </row>
    <row r="1277" spans="91:102" ht="21" customHeight="1" x14ac:dyDescent="0.25">
      <c r="CM1277" s="1377"/>
      <c r="CN1277" s="1388" t="s">
        <v>10964</v>
      </c>
      <c r="CO1277" s="1388" t="s">
        <v>8125</v>
      </c>
      <c r="CP1277" s="1388" t="s">
        <v>8106</v>
      </c>
      <c r="CQ1277" s="1388" t="s">
        <v>10965</v>
      </c>
      <c r="CR1277" s="1388" t="s">
        <v>10965</v>
      </c>
      <c r="CS1277" s="1388" t="s">
        <v>8788</v>
      </c>
      <c r="CT1277" s="1388" t="s">
        <v>8789</v>
      </c>
      <c r="CU1277" s="1388" t="s">
        <v>9276</v>
      </c>
      <c r="CV1277" s="1389" t="s">
        <v>9277</v>
      </c>
      <c r="CX1277" s="1379">
        <v>1</v>
      </c>
    </row>
    <row r="1278" spans="91:102" ht="21" customHeight="1" x14ac:dyDescent="0.25">
      <c r="CM1278" s="1377"/>
      <c r="CN1278" s="1388" t="s">
        <v>10966</v>
      </c>
      <c r="CO1278" s="1388" t="s">
        <v>8125</v>
      </c>
      <c r="CP1278" s="1388" t="s">
        <v>8106</v>
      </c>
      <c r="CQ1278" s="1388" t="s">
        <v>10967</v>
      </c>
      <c r="CR1278" s="1388" t="s">
        <v>10967</v>
      </c>
      <c r="CS1278" s="1388" t="s">
        <v>8788</v>
      </c>
      <c r="CT1278" s="1388" t="s">
        <v>8789</v>
      </c>
      <c r="CU1278" s="1388" t="s">
        <v>9276</v>
      </c>
      <c r="CV1278" s="1389" t="s">
        <v>9277</v>
      </c>
      <c r="CX1278" s="1379">
        <v>1</v>
      </c>
    </row>
    <row r="1279" spans="91:102" ht="21" customHeight="1" x14ac:dyDescent="0.25">
      <c r="CM1279" s="1377"/>
      <c r="CN1279" s="1388" t="s">
        <v>10968</v>
      </c>
      <c r="CO1279" s="1388" t="s">
        <v>8125</v>
      </c>
      <c r="CP1279" s="1388" t="s">
        <v>8106</v>
      </c>
      <c r="CQ1279" s="1388" t="s">
        <v>10969</v>
      </c>
      <c r="CR1279" s="1388" t="s">
        <v>10969</v>
      </c>
      <c r="CS1279" s="1388" t="s">
        <v>8788</v>
      </c>
      <c r="CT1279" s="1388" t="s">
        <v>8789</v>
      </c>
      <c r="CU1279" s="1388" t="s">
        <v>9276</v>
      </c>
      <c r="CV1279" s="1389" t="s">
        <v>9277</v>
      </c>
      <c r="CX1279" s="1379">
        <v>1</v>
      </c>
    </row>
    <row r="1280" spans="91:102" ht="21" customHeight="1" x14ac:dyDescent="0.25">
      <c r="CM1280" s="1377"/>
      <c r="CN1280" s="1388" t="s">
        <v>10970</v>
      </c>
      <c r="CO1280" s="1388" t="s">
        <v>8125</v>
      </c>
      <c r="CP1280" s="1388" t="s">
        <v>8106</v>
      </c>
      <c r="CQ1280" s="1388" t="s">
        <v>10971</v>
      </c>
      <c r="CR1280" s="1388" t="s">
        <v>10971</v>
      </c>
      <c r="CS1280" s="1388" t="s">
        <v>8108</v>
      </c>
      <c r="CT1280" s="1388" t="s">
        <v>9359</v>
      </c>
      <c r="CU1280" s="1388" t="s">
        <v>8110</v>
      </c>
      <c r="CV1280" s="1389" t="s">
        <v>8111</v>
      </c>
      <c r="CX1280" s="1379">
        <v>1</v>
      </c>
    </row>
    <row r="1281" spans="91:102" ht="21" customHeight="1" x14ac:dyDescent="0.25">
      <c r="CM1281" s="1377"/>
      <c r="CN1281" s="1388" t="s">
        <v>10972</v>
      </c>
      <c r="CO1281" s="1388" t="s">
        <v>8125</v>
      </c>
      <c r="CP1281" s="1388" t="s">
        <v>8106</v>
      </c>
      <c r="CQ1281" s="1388" t="s">
        <v>10973</v>
      </c>
      <c r="CR1281" s="1388" t="s">
        <v>10973</v>
      </c>
      <c r="CS1281" s="1388" t="s">
        <v>8108</v>
      </c>
      <c r="CT1281" s="1388" t="s">
        <v>9359</v>
      </c>
      <c r="CU1281" s="1388" t="s">
        <v>8110</v>
      </c>
      <c r="CV1281" s="1389" t="s">
        <v>8111</v>
      </c>
      <c r="CX1281" s="1379">
        <v>1</v>
      </c>
    </row>
    <row r="1282" spans="91:102" ht="21" customHeight="1" x14ac:dyDescent="0.25">
      <c r="CM1282" s="1377"/>
      <c r="CN1282" s="1388" t="s">
        <v>10974</v>
      </c>
      <c r="CO1282" s="1388" t="s">
        <v>8125</v>
      </c>
      <c r="CP1282" s="1388" t="s">
        <v>8106</v>
      </c>
      <c r="CQ1282" s="1388" t="s">
        <v>10975</v>
      </c>
      <c r="CR1282" s="1388" t="s">
        <v>10975</v>
      </c>
      <c r="CS1282" s="1388" t="s">
        <v>8788</v>
      </c>
      <c r="CT1282" s="1388" t="s">
        <v>8789</v>
      </c>
      <c r="CU1282" s="1388" t="s">
        <v>9276</v>
      </c>
      <c r="CV1282" s="1389" t="s">
        <v>9277</v>
      </c>
      <c r="CX1282" s="1379">
        <v>1</v>
      </c>
    </row>
    <row r="1283" spans="91:102" ht="21" customHeight="1" x14ac:dyDescent="0.25">
      <c r="CM1283" s="1377"/>
      <c r="CN1283" s="1388" t="s">
        <v>10976</v>
      </c>
      <c r="CO1283" s="1388" t="s">
        <v>8125</v>
      </c>
      <c r="CP1283" s="1388" t="s">
        <v>8106</v>
      </c>
      <c r="CQ1283" s="1388" t="s">
        <v>10977</v>
      </c>
      <c r="CR1283" s="1388" t="s">
        <v>10977</v>
      </c>
      <c r="CS1283" s="1388" t="s">
        <v>8108</v>
      </c>
      <c r="CT1283" s="1388" t="s">
        <v>9359</v>
      </c>
      <c r="CU1283" s="1388" t="s">
        <v>8110</v>
      </c>
      <c r="CV1283" s="1389" t="s">
        <v>8111</v>
      </c>
      <c r="CX1283" s="1379">
        <v>1</v>
      </c>
    </row>
    <row r="1284" spans="91:102" ht="21" customHeight="1" x14ac:dyDescent="0.25">
      <c r="CM1284" s="1377"/>
      <c r="CN1284" s="1388" t="s">
        <v>10978</v>
      </c>
      <c r="CO1284" s="1388" t="s">
        <v>8125</v>
      </c>
      <c r="CP1284" s="1388" t="s">
        <v>8106</v>
      </c>
      <c r="CQ1284" s="1388" t="s">
        <v>10979</v>
      </c>
      <c r="CR1284" s="1388" t="s">
        <v>10979</v>
      </c>
      <c r="CS1284" s="1388" t="s">
        <v>8788</v>
      </c>
      <c r="CT1284" s="1388" t="s">
        <v>8789</v>
      </c>
      <c r="CU1284" s="1388" t="s">
        <v>9276</v>
      </c>
      <c r="CV1284" s="1389" t="s">
        <v>9277</v>
      </c>
      <c r="CX1284" s="1379">
        <v>1</v>
      </c>
    </row>
    <row r="1285" spans="91:102" ht="21" customHeight="1" x14ac:dyDescent="0.25">
      <c r="CM1285" s="1377"/>
      <c r="CN1285" s="1388" t="s">
        <v>10980</v>
      </c>
      <c r="CO1285" s="1388" t="s">
        <v>8125</v>
      </c>
      <c r="CP1285" s="1388" t="s">
        <v>8106</v>
      </c>
      <c r="CQ1285" s="1388" t="s">
        <v>10981</v>
      </c>
      <c r="CR1285" s="1388" t="s">
        <v>10981</v>
      </c>
      <c r="CS1285" s="1388" t="s">
        <v>8788</v>
      </c>
      <c r="CT1285" s="1388" t="s">
        <v>8789</v>
      </c>
      <c r="CU1285" s="1388" t="s">
        <v>9276</v>
      </c>
      <c r="CV1285" s="1389" t="s">
        <v>9277</v>
      </c>
      <c r="CX1285" s="1379">
        <v>1</v>
      </c>
    </row>
    <row r="1286" spans="91:102" ht="21" customHeight="1" x14ac:dyDescent="0.25">
      <c r="CM1286" s="1377"/>
      <c r="CN1286" s="1388" t="s">
        <v>10982</v>
      </c>
      <c r="CO1286" s="1388" t="s">
        <v>8125</v>
      </c>
      <c r="CP1286" s="1388" t="s">
        <v>8106</v>
      </c>
      <c r="CQ1286" s="1388" t="s">
        <v>10983</v>
      </c>
      <c r="CR1286" s="1388" t="s">
        <v>10983</v>
      </c>
      <c r="CS1286" s="1388" t="s">
        <v>8788</v>
      </c>
      <c r="CT1286" s="1388" t="s">
        <v>8789</v>
      </c>
      <c r="CU1286" s="1388" t="s">
        <v>9276</v>
      </c>
      <c r="CV1286" s="1389" t="s">
        <v>9277</v>
      </c>
      <c r="CX1286" s="1379">
        <v>1</v>
      </c>
    </row>
    <row r="1287" spans="91:102" ht="21" customHeight="1" x14ac:dyDescent="0.25">
      <c r="CM1287" s="1377"/>
      <c r="CN1287" s="1388" t="s">
        <v>10984</v>
      </c>
      <c r="CO1287" s="1388" t="s">
        <v>8125</v>
      </c>
      <c r="CP1287" s="1388" t="s">
        <v>8106</v>
      </c>
      <c r="CQ1287" s="1388" t="s">
        <v>10985</v>
      </c>
      <c r="CR1287" s="1388" t="s">
        <v>10985</v>
      </c>
      <c r="CS1287" s="1388" t="s">
        <v>8788</v>
      </c>
      <c r="CT1287" s="1388" t="s">
        <v>8789</v>
      </c>
      <c r="CU1287" s="1388" t="s">
        <v>9276</v>
      </c>
      <c r="CV1287" s="1389" t="s">
        <v>9277</v>
      </c>
      <c r="CX1287" s="1379">
        <v>1</v>
      </c>
    </row>
    <row r="1288" spans="91:102" ht="21" customHeight="1" x14ac:dyDescent="0.25">
      <c r="CM1288" s="1377"/>
      <c r="CN1288" s="1388" t="s">
        <v>10986</v>
      </c>
      <c r="CO1288" s="1388" t="s">
        <v>8125</v>
      </c>
      <c r="CP1288" s="1388" t="s">
        <v>8106</v>
      </c>
      <c r="CQ1288" s="1388" t="s">
        <v>10987</v>
      </c>
      <c r="CR1288" s="1388" t="s">
        <v>10987</v>
      </c>
      <c r="CS1288" s="1388" t="s">
        <v>8788</v>
      </c>
      <c r="CT1288" s="1388" t="s">
        <v>8789</v>
      </c>
      <c r="CU1288" s="1388" t="s">
        <v>9276</v>
      </c>
      <c r="CV1288" s="1389" t="s">
        <v>9277</v>
      </c>
      <c r="CX1288" s="1379">
        <v>1</v>
      </c>
    </row>
    <row r="1289" spans="91:102" ht="21" customHeight="1" x14ac:dyDescent="0.25">
      <c r="CM1289" s="1377"/>
      <c r="CN1289" s="1388" t="s">
        <v>10988</v>
      </c>
      <c r="CO1289" s="1388" t="s">
        <v>8125</v>
      </c>
      <c r="CP1289" s="1388" t="s">
        <v>8106</v>
      </c>
      <c r="CQ1289" s="1388" t="s">
        <v>10989</v>
      </c>
      <c r="CR1289" s="1388" t="s">
        <v>10989</v>
      </c>
      <c r="CS1289" s="1388" t="s">
        <v>8788</v>
      </c>
      <c r="CT1289" s="1388" t="s">
        <v>8789</v>
      </c>
      <c r="CU1289" s="1388" t="s">
        <v>9276</v>
      </c>
      <c r="CV1289" s="1389" t="s">
        <v>9277</v>
      </c>
      <c r="CX1289" s="1379">
        <v>1</v>
      </c>
    </row>
    <row r="1290" spans="91:102" ht="21" customHeight="1" x14ac:dyDescent="0.25">
      <c r="CM1290" s="1377"/>
      <c r="CN1290" s="1388" t="s">
        <v>10990</v>
      </c>
      <c r="CO1290" s="1388" t="s">
        <v>8125</v>
      </c>
      <c r="CP1290" s="1388" t="s">
        <v>8106</v>
      </c>
      <c r="CQ1290" s="1388" t="s">
        <v>10991</v>
      </c>
      <c r="CR1290" s="1388" t="s">
        <v>10991</v>
      </c>
      <c r="CS1290" s="1388" t="s">
        <v>8788</v>
      </c>
      <c r="CT1290" s="1388" t="s">
        <v>8789</v>
      </c>
      <c r="CU1290" s="1388" t="s">
        <v>9276</v>
      </c>
      <c r="CV1290" s="1389" t="s">
        <v>9277</v>
      </c>
      <c r="CX1290" s="1379">
        <v>1</v>
      </c>
    </row>
    <row r="1291" spans="91:102" ht="21" customHeight="1" x14ac:dyDescent="0.25">
      <c r="CM1291" s="1377"/>
      <c r="CN1291" s="1388" t="s">
        <v>10992</v>
      </c>
      <c r="CO1291" s="1388" t="s">
        <v>8125</v>
      </c>
      <c r="CP1291" s="1388" t="s">
        <v>8106</v>
      </c>
      <c r="CQ1291" s="1388" t="s">
        <v>10993</v>
      </c>
      <c r="CR1291" s="1388" t="s">
        <v>10993</v>
      </c>
      <c r="CS1291" s="1388" t="s">
        <v>8788</v>
      </c>
      <c r="CT1291" s="1388" t="s">
        <v>8789</v>
      </c>
      <c r="CU1291" s="1388" t="s">
        <v>9276</v>
      </c>
      <c r="CV1291" s="1389" t="s">
        <v>9277</v>
      </c>
      <c r="CX1291" s="1379">
        <v>1</v>
      </c>
    </row>
    <row r="1292" spans="91:102" ht="21" customHeight="1" x14ac:dyDescent="0.25">
      <c r="CM1292" s="1377"/>
      <c r="CN1292" s="1388" t="s">
        <v>10994</v>
      </c>
      <c r="CO1292" s="1388" t="s">
        <v>8125</v>
      </c>
      <c r="CP1292" s="1388" t="s">
        <v>8106</v>
      </c>
      <c r="CQ1292" s="1388" t="s">
        <v>10995</v>
      </c>
      <c r="CR1292" s="1388" t="s">
        <v>10995</v>
      </c>
      <c r="CS1292" s="1388" t="s">
        <v>8788</v>
      </c>
      <c r="CT1292" s="1388" t="s">
        <v>8789</v>
      </c>
      <c r="CU1292" s="1388" t="s">
        <v>9276</v>
      </c>
      <c r="CV1292" s="1389" t="s">
        <v>9277</v>
      </c>
      <c r="CX1292" s="1379">
        <v>1</v>
      </c>
    </row>
    <row r="1293" spans="91:102" ht="21" customHeight="1" x14ac:dyDescent="0.25">
      <c r="CM1293" s="1377"/>
      <c r="CN1293" s="1388" t="s">
        <v>10996</v>
      </c>
      <c r="CO1293" s="1388" t="s">
        <v>8125</v>
      </c>
      <c r="CP1293" s="1388" t="s">
        <v>8106</v>
      </c>
      <c r="CQ1293" s="1388" t="s">
        <v>10997</v>
      </c>
      <c r="CR1293" s="1388" t="s">
        <v>10997</v>
      </c>
      <c r="CS1293" s="1388" t="s">
        <v>8788</v>
      </c>
      <c r="CT1293" s="1388" t="s">
        <v>8789</v>
      </c>
      <c r="CU1293" s="1388" t="s">
        <v>9276</v>
      </c>
      <c r="CV1293" s="1389" t="s">
        <v>9277</v>
      </c>
      <c r="CX1293" s="1379">
        <v>1</v>
      </c>
    </row>
    <row r="1294" spans="91:102" ht="21" customHeight="1" x14ac:dyDescent="0.25">
      <c r="CM1294" s="1377"/>
      <c r="CN1294" s="1388" t="s">
        <v>10998</v>
      </c>
      <c r="CO1294" s="1388" t="s">
        <v>8125</v>
      </c>
      <c r="CP1294" s="1388" t="s">
        <v>8106</v>
      </c>
      <c r="CQ1294" s="1388" t="s">
        <v>10999</v>
      </c>
      <c r="CR1294" s="1388" t="s">
        <v>10999</v>
      </c>
      <c r="CS1294" s="1388" t="s">
        <v>8788</v>
      </c>
      <c r="CT1294" s="1388" t="s">
        <v>8789</v>
      </c>
      <c r="CU1294" s="1388" t="s">
        <v>9276</v>
      </c>
      <c r="CV1294" s="1389" t="s">
        <v>9277</v>
      </c>
      <c r="CX1294" s="1379">
        <v>1</v>
      </c>
    </row>
    <row r="1295" spans="91:102" ht="21" customHeight="1" x14ac:dyDescent="0.25">
      <c r="CM1295" s="1377"/>
      <c r="CN1295" s="1388" t="s">
        <v>11000</v>
      </c>
      <c r="CO1295" s="1388" t="s">
        <v>8125</v>
      </c>
      <c r="CP1295" s="1388" t="s">
        <v>8106</v>
      </c>
      <c r="CQ1295" s="1388" t="s">
        <v>11001</v>
      </c>
      <c r="CR1295" s="1388" t="s">
        <v>11001</v>
      </c>
      <c r="CS1295" s="1388" t="s">
        <v>8788</v>
      </c>
      <c r="CT1295" s="1388" t="s">
        <v>8789</v>
      </c>
      <c r="CU1295" s="1388" t="s">
        <v>9276</v>
      </c>
      <c r="CV1295" s="1389" t="s">
        <v>9277</v>
      </c>
      <c r="CX1295" s="1379">
        <v>1</v>
      </c>
    </row>
    <row r="1296" spans="91:102" ht="21" customHeight="1" x14ac:dyDescent="0.25">
      <c r="CM1296" s="1377"/>
      <c r="CN1296" s="1388" t="s">
        <v>11002</v>
      </c>
      <c r="CO1296" s="1388" t="s">
        <v>8125</v>
      </c>
      <c r="CP1296" s="1388" t="s">
        <v>8106</v>
      </c>
      <c r="CQ1296" s="1388" t="s">
        <v>11003</v>
      </c>
      <c r="CR1296" s="1388" t="s">
        <v>11003</v>
      </c>
      <c r="CS1296" s="1388" t="s">
        <v>8788</v>
      </c>
      <c r="CT1296" s="1388" t="s">
        <v>8789</v>
      </c>
      <c r="CU1296" s="1388" t="s">
        <v>9276</v>
      </c>
      <c r="CV1296" s="1389" t="s">
        <v>9277</v>
      </c>
      <c r="CX1296" s="1379">
        <v>1</v>
      </c>
    </row>
    <row r="1297" spans="91:102" ht="21" customHeight="1" x14ac:dyDescent="0.25">
      <c r="CM1297" s="1377"/>
      <c r="CN1297" s="1388" t="s">
        <v>11004</v>
      </c>
      <c r="CO1297" s="1388" t="s">
        <v>8125</v>
      </c>
      <c r="CP1297" s="1388" t="s">
        <v>8106</v>
      </c>
      <c r="CQ1297" s="1388" t="s">
        <v>11005</v>
      </c>
      <c r="CR1297" s="1388" t="s">
        <v>11005</v>
      </c>
      <c r="CS1297" s="1388" t="s">
        <v>8788</v>
      </c>
      <c r="CT1297" s="1388" t="s">
        <v>8789</v>
      </c>
      <c r="CU1297" s="1388" t="s">
        <v>9276</v>
      </c>
      <c r="CV1297" s="1389" t="s">
        <v>9277</v>
      </c>
      <c r="CX1297" s="1379">
        <v>1</v>
      </c>
    </row>
    <row r="1298" spans="91:102" ht="21" customHeight="1" x14ac:dyDescent="0.25">
      <c r="CM1298" s="1377"/>
      <c r="CN1298" s="1388" t="s">
        <v>11006</v>
      </c>
      <c r="CO1298" s="1388" t="s">
        <v>8125</v>
      </c>
      <c r="CP1298" s="1388" t="s">
        <v>8106</v>
      </c>
      <c r="CQ1298" s="1388" t="s">
        <v>11007</v>
      </c>
      <c r="CR1298" s="1388" t="s">
        <v>11007</v>
      </c>
      <c r="CS1298" s="1388" t="s">
        <v>8788</v>
      </c>
      <c r="CT1298" s="1388" t="s">
        <v>8789</v>
      </c>
      <c r="CU1298" s="1388" t="s">
        <v>9276</v>
      </c>
      <c r="CV1298" s="1389" t="s">
        <v>9277</v>
      </c>
      <c r="CX1298" s="1379">
        <v>1</v>
      </c>
    </row>
    <row r="1299" spans="91:102" ht="21" customHeight="1" x14ac:dyDescent="0.25">
      <c r="CM1299" s="1377"/>
      <c r="CN1299" s="1388" t="s">
        <v>11008</v>
      </c>
      <c r="CO1299" s="1388" t="s">
        <v>8125</v>
      </c>
      <c r="CP1299" s="1388" t="s">
        <v>8106</v>
      </c>
      <c r="CQ1299" s="1388" t="s">
        <v>11009</v>
      </c>
      <c r="CR1299" s="1388" t="s">
        <v>11009</v>
      </c>
      <c r="CS1299" s="1388" t="s">
        <v>8788</v>
      </c>
      <c r="CT1299" s="1388" t="s">
        <v>8789</v>
      </c>
      <c r="CU1299" s="1388" t="s">
        <v>9276</v>
      </c>
      <c r="CV1299" s="1389" t="s">
        <v>9277</v>
      </c>
      <c r="CX1299" s="1379">
        <v>1</v>
      </c>
    </row>
    <row r="1300" spans="91:102" ht="21" customHeight="1" x14ac:dyDescent="0.25">
      <c r="CM1300" s="1377"/>
      <c r="CN1300" s="1388" t="s">
        <v>11010</v>
      </c>
      <c r="CO1300" s="1388" t="s">
        <v>8125</v>
      </c>
      <c r="CP1300" s="1388" t="s">
        <v>8106</v>
      </c>
      <c r="CQ1300" s="1388" t="s">
        <v>11011</v>
      </c>
      <c r="CR1300" s="1388" t="s">
        <v>11011</v>
      </c>
      <c r="CS1300" s="1388" t="s">
        <v>8788</v>
      </c>
      <c r="CT1300" s="1388" t="s">
        <v>8789</v>
      </c>
      <c r="CU1300" s="1388" t="s">
        <v>9276</v>
      </c>
      <c r="CV1300" s="1389" t="s">
        <v>9277</v>
      </c>
      <c r="CX1300" s="1379">
        <v>1</v>
      </c>
    </row>
    <row r="1301" spans="91:102" ht="21" customHeight="1" x14ac:dyDescent="0.25">
      <c r="CM1301" s="1377"/>
      <c r="CN1301" s="1388" t="s">
        <v>11012</v>
      </c>
      <c r="CO1301" s="1388" t="s">
        <v>8125</v>
      </c>
      <c r="CP1301" s="1388" t="s">
        <v>8106</v>
      </c>
      <c r="CQ1301" s="1388" t="s">
        <v>11013</v>
      </c>
      <c r="CR1301" s="1388" t="s">
        <v>11013</v>
      </c>
      <c r="CS1301" s="1388" t="s">
        <v>8788</v>
      </c>
      <c r="CT1301" s="1388" t="s">
        <v>8789</v>
      </c>
      <c r="CU1301" s="1388" t="s">
        <v>9276</v>
      </c>
      <c r="CV1301" s="1389" t="s">
        <v>9277</v>
      </c>
      <c r="CX1301" s="1379">
        <v>1</v>
      </c>
    </row>
    <row r="1302" spans="91:102" ht="21" customHeight="1" x14ac:dyDescent="0.25">
      <c r="CM1302" s="1377"/>
      <c r="CN1302" s="1388" t="s">
        <v>11014</v>
      </c>
      <c r="CO1302" s="1388" t="s">
        <v>8125</v>
      </c>
      <c r="CP1302" s="1388" t="s">
        <v>8106</v>
      </c>
      <c r="CQ1302" s="1388" t="s">
        <v>11015</v>
      </c>
      <c r="CR1302" s="1388" t="s">
        <v>11015</v>
      </c>
      <c r="CS1302" s="1388" t="s">
        <v>8788</v>
      </c>
      <c r="CT1302" s="1388" t="s">
        <v>8789</v>
      </c>
      <c r="CU1302" s="1388" t="s">
        <v>9276</v>
      </c>
      <c r="CV1302" s="1389" t="s">
        <v>9277</v>
      </c>
      <c r="CX1302" s="1379">
        <v>1</v>
      </c>
    </row>
    <row r="1303" spans="91:102" ht="21" customHeight="1" x14ac:dyDescent="0.25">
      <c r="CM1303" s="1377"/>
      <c r="CN1303" s="1388" t="s">
        <v>11016</v>
      </c>
      <c r="CO1303" s="1388" t="s">
        <v>8125</v>
      </c>
      <c r="CP1303" s="1388" t="s">
        <v>8106</v>
      </c>
      <c r="CQ1303" s="1388" t="s">
        <v>11017</v>
      </c>
      <c r="CR1303" s="1388" t="s">
        <v>11017</v>
      </c>
      <c r="CS1303" s="1388" t="s">
        <v>8788</v>
      </c>
      <c r="CT1303" s="1388" t="s">
        <v>8789</v>
      </c>
      <c r="CU1303" s="1388" t="s">
        <v>9276</v>
      </c>
      <c r="CV1303" s="1389" t="s">
        <v>9277</v>
      </c>
      <c r="CX1303" s="1379">
        <v>1</v>
      </c>
    </row>
    <row r="1304" spans="91:102" ht="21" customHeight="1" x14ac:dyDescent="0.25">
      <c r="CM1304" s="1377"/>
      <c r="CN1304" s="1388" t="s">
        <v>11018</v>
      </c>
      <c r="CO1304" s="1388" t="s">
        <v>8125</v>
      </c>
      <c r="CP1304" s="1388" t="s">
        <v>8106</v>
      </c>
      <c r="CQ1304" s="1388" t="s">
        <v>11019</v>
      </c>
      <c r="CR1304" s="1388" t="s">
        <v>11019</v>
      </c>
      <c r="CS1304" s="1388" t="s">
        <v>8788</v>
      </c>
      <c r="CT1304" s="1388" t="s">
        <v>8789</v>
      </c>
      <c r="CU1304" s="1388" t="s">
        <v>9276</v>
      </c>
      <c r="CV1304" s="1389" t="s">
        <v>9277</v>
      </c>
      <c r="CX1304" s="1379">
        <v>1</v>
      </c>
    </row>
    <row r="1305" spans="91:102" ht="21" customHeight="1" x14ac:dyDescent="0.25">
      <c r="CM1305" s="1377"/>
      <c r="CN1305" s="1388" t="s">
        <v>11020</v>
      </c>
      <c r="CO1305" s="1388" t="s">
        <v>8125</v>
      </c>
      <c r="CP1305" s="1388" t="s">
        <v>8106</v>
      </c>
      <c r="CQ1305" s="1388" t="s">
        <v>11021</v>
      </c>
      <c r="CR1305" s="1388" t="s">
        <v>11021</v>
      </c>
      <c r="CS1305" s="1388" t="s">
        <v>8788</v>
      </c>
      <c r="CT1305" s="1388" t="s">
        <v>8789</v>
      </c>
      <c r="CU1305" s="1388" t="s">
        <v>9276</v>
      </c>
      <c r="CV1305" s="1389" t="s">
        <v>9277</v>
      </c>
      <c r="CX1305" s="1379">
        <v>1</v>
      </c>
    </row>
    <row r="1306" spans="91:102" ht="21" customHeight="1" x14ac:dyDescent="0.25">
      <c r="CM1306" s="1377"/>
      <c r="CN1306" s="1388" t="s">
        <v>11022</v>
      </c>
      <c r="CO1306" s="1388" t="s">
        <v>8125</v>
      </c>
      <c r="CP1306" s="1388" t="s">
        <v>8106</v>
      </c>
      <c r="CQ1306" s="1388" t="s">
        <v>11023</v>
      </c>
      <c r="CR1306" s="1388" t="s">
        <v>11023</v>
      </c>
      <c r="CS1306" s="1388" t="s">
        <v>8788</v>
      </c>
      <c r="CT1306" s="1388" t="s">
        <v>8789</v>
      </c>
      <c r="CU1306" s="1388" t="s">
        <v>9276</v>
      </c>
      <c r="CV1306" s="1389" t="s">
        <v>9277</v>
      </c>
      <c r="CX1306" s="1379">
        <v>1</v>
      </c>
    </row>
    <row r="1307" spans="91:102" ht="21" customHeight="1" x14ac:dyDescent="0.25">
      <c r="CM1307" s="1377"/>
      <c r="CN1307" s="1388" t="s">
        <v>11024</v>
      </c>
      <c r="CO1307" s="1388" t="s">
        <v>8125</v>
      </c>
      <c r="CP1307" s="1388" t="s">
        <v>8106</v>
      </c>
      <c r="CQ1307" s="1388" t="s">
        <v>11025</v>
      </c>
      <c r="CR1307" s="1388" t="s">
        <v>11025</v>
      </c>
      <c r="CS1307" s="1388" t="s">
        <v>8788</v>
      </c>
      <c r="CT1307" s="1388" t="s">
        <v>8789</v>
      </c>
      <c r="CU1307" s="1388" t="s">
        <v>9276</v>
      </c>
      <c r="CV1307" s="1389" t="s">
        <v>9277</v>
      </c>
      <c r="CX1307" s="1379">
        <v>1</v>
      </c>
    </row>
    <row r="1308" spans="91:102" ht="21" customHeight="1" x14ac:dyDescent="0.25">
      <c r="CM1308" s="1377"/>
      <c r="CN1308" s="1388" t="s">
        <v>11026</v>
      </c>
      <c r="CO1308" s="1388" t="s">
        <v>8125</v>
      </c>
      <c r="CP1308" s="1388" t="s">
        <v>8106</v>
      </c>
      <c r="CQ1308" s="1388" t="s">
        <v>11027</v>
      </c>
      <c r="CR1308" s="1388" t="s">
        <v>11027</v>
      </c>
      <c r="CS1308" s="1388" t="s">
        <v>8788</v>
      </c>
      <c r="CT1308" s="1388" t="s">
        <v>8789</v>
      </c>
      <c r="CU1308" s="1388" t="s">
        <v>9276</v>
      </c>
      <c r="CV1308" s="1389" t="s">
        <v>9277</v>
      </c>
      <c r="CX1308" s="1379">
        <v>1</v>
      </c>
    </row>
    <row r="1309" spans="91:102" ht="21" customHeight="1" x14ac:dyDescent="0.25">
      <c r="CM1309" s="1377"/>
      <c r="CN1309" s="1388" t="s">
        <v>11028</v>
      </c>
      <c r="CO1309" s="1388" t="s">
        <v>8125</v>
      </c>
      <c r="CP1309" s="1388" t="s">
        <v>8106</v>
      </c>
      <c r="CQ1309" s="1388" t="s">
        <v>11029</v>
      </c>
      <c r="CR1309" s="1388" t="s">
        <v>11029</v>
      </c>
      <c r="CS1309" s="1388" t="s">
        <v>8788</v>
      </c>
      <c r="CT1309" s="1388" t="s">
        <v>8789</v>
      </c>
      <c r="CU1309" s="1388" t="s">
        <v>9276</v>
      </c>
      <c r="CV1309" s="1389" t="s">
        <v>9277</v>
      </c>
      <c r="CX1309" s="1379">
        <v>1</v>
      </c>
    </row>
    <row r="1310" spans="91:102" ht="21" customHeight="1" x14ac:dyDescent="0.25">
      <c r="CM1310" s="1377"/>
      <c r="CN1310" s="1388" t="s">
        <v>11030</v>
      </c>
      <c r="CO1310" s="1388" t="s">
        <v>8125</v>
      </c>
      <c r="CP1310" s="1388" t="s">
        <v>8106</v>
      </c>
      <c r="CQ1310" s="1388" t="s">
        <v>11031</v>
      </c>
      <c r="CR1310" s="1388" t="s">
        <v>11031</v>
      </c>
      <c r="CS1310" s="1388" t="s">
        <v>8788</v>
      </c>
      <c r="CT1310" s="1388" t="s">
        <v>8789</v>
      </c>
      <c r="CU1310" s="1388" t="s">
        <v>9276</v>
      </c>
      <c r="CV1310" s="1389" t="s">
        <v>9277</v>
      </c>
      <c r="CX1310" s="1379">
        <v>1</v>
      </c>
    </row>
    <row r="1311" spans="91:102" ht="21" customHeight="1" x14ac:dyDescent="0.25">
      <c r="CM1311" s="1377"/>
      <c r="CN1311" s="1388" t="s">
        <v>11032</v>
      </c>
      <c r="CO1311" s="1388" t="s">
        <v>8125</v>
      </c>
      <c r="CP1311" s="1388" t="s">
        <v>8106</v>
      </c>
      <c r="CQ1311" s="1388" t="s">
        <v>11033</v>
      </c>
      <c r="CR1311" s="1388" t="s">
        <v>11033</v>
      </c>
      <c r="CS1311" s="1388" t="s">
        <v>8788</v>
      </c>
      <c r="CT1311" s="1388" t="s">
        <v>8789</v>
      </c>
      <c r="CU1311" s="1388" t="s">
        <v>9276</v>
      </c>
      <c r="CV1311" s="1389" t="s">
        <v>9277</v>
      </c>
      <c r="CX1311" s="1379">
        <v>1</v>
      </c>
    </row>
    <row r="1312" spans="91:102" ht="21" customHeight="1" x14ac:dyDescent="0.25">
      <c r="CM1312" s="1377"/>
      <c r="CN1312" s="1388" t="s">
        <v>11034</v>
      </c>
      <c r="CO1312" s="1388" t="s">
        <v>8125</v>
      </c>
      <c r="CP1312" s="1388" t="s">
        <v>8106</v>
      </c>
      <c r="CQ1312" s="1388" t="s">
        <v>11035</v>
      </c>
      <c r="CR1312" s="1388" t="s">
        <v>11035</v>
      </c>
      <c r="CS1312" s="1388" t="s">
        <v>8194</v>
      </c>
      <c r="CT1312" s="1388" t="s">
        <v>8195</v>
      </c>
      <c r="CU1312" s="1388" t="s">
        <v>8110</v>
      </c>
      <c r="CV1312" s="1389" t="s">
        <v>8196</v>
      </c>
      <c r="CX1312" s="1379">
        <v>1</v>
      </c>
    </row>
    <row r="1313" spans="91:102" ht="21" customHeight="1" x14ac:dyDescent="0.25">
      <c r="CM1313" s="1377"/>
      <c r="CN1313" s="1388" t="s">
        <v>11036</v>
      </c>
      <c r="CO1313" s="1388" t="s">
        <v>8125</v>
      </c>
      <c r="CP1313" s="1388" t="s">
        <v>8106</v>
      </c>
      <c r="CQ1313" s="1388" t="s">
        <v>11037</v>
      </c>
      <c r="CR1313" s="1388" t="s">
        <v>11037</v>
      </c>
      <c r="CS1313" s="1388" t="s">
        <v>8788</v>
      </c>
      <c r="CT1313" s="1388" t="s">
        <v>8789</v>
      </c>
      <c r="CU1313" s="1388" t="s">
        <v>9276</v>
      </c>
      <c r="CV1313" s="1389" t="s">
        <v>9277</v>
      </c>
      <c r="CX1313" s="1379">
        <v>1</v>
      </c>
    </row>
    <row r="1314" spans="91:102" ht="21" customHeight="1" x14ac:dyDescent="0.25">
      <c r="CM1314" s="1377"/>
      <c r="CN1314" s="1388" t="s">
        <v>11038</v>
      </c>
      <c r="CO1314" s="1388" t="s">
        <v>8125</v>
      </c>
      <c r="CP1314" s="1388" t="s">
        <v>8106</v>
      </c>
      <c r="CQ1314" s="1388" t="s">
        <v>11039</v>
      </c>
      <c r="CR1314" s="1388" t="s">
        <v>11039</v>
      </c>
      <c r="CS1314" s="1388" t="s">
        <v>8788</v>
      </c>
      <c r="CT1314" s="1388" t="s">
        <v>8789</v>
      </c>
      <c r="CU1314" s="1388" t="s">
        <v>9276</v>
      </c>
      <c r="CV1314" s="1389" t="s">
        <v>9277</v>
      </c>
      <c r="CX1314" s="1379">
        <v>1</v>
      </c>
    </row>
    <row r="1315" spans="91:102" ht="21" customHeight="1" x14ac:dyDescent="0.25">
      <c r="CM1315" s="1377"/>
      <c r="CN1315" s="1388" t="s">
        <v>11040</v>
      </c>
      <c r="CO1315" s="1388" t="s">
        <v>8125</v>
      </c>
      <c r="CP1315" s="1388" t="s">
        <v>8106</v>
      </c>
      <c r="CQ1315" s="1388" t="s">
        <v>11041</v>
      </c>
      <c r="CR1315" s="1388" t="s">
        <v>11041</v>
      </c>
      <c r="CS1315" s="1388" t="s">
        <v>8194</v>
      </c>
      <c r="CT1315" s="1388" t="s">
        <v>8195</v>
      </c>
      <c r="CU1315" s="1388" t="s">
        <v>8110</v>
      </c>
      <c r="CV1315" s="1389" t="s">
        <v>8196</v>
      </c>
      <c r="CX1315" s="1379">
        <v>1</v>
      </c>
    </row>
    <row r="1316" spans="91:102" ht="21" customHeight="1" x14ac:dyDescent="0.25">
      <c r="CM1316" s="1377"/>
      <c r="CN1316" s="1388" t="s">
        <v>11042</v>
      </c>
      <c r="CO1316" s="1388" t="s">
        <v>8125</v>
      </c>
      <c r="CP1316" s="1388" t="s">
        <v>8106</v>
      </c>
      <c r="CQ1316" s="1388" t="s">
        <v>11043</v>
      </c>
      <c r="CR1316" s="1388" t="s">
        <v>11043</v>
      </c>
      <c r="CS1316" s="1388" t="s">
        <v>8788</v>
      </c>
      <c r="CT1316" s="1388" t="s">
        <v>8789</v>
      </c>
      <c r="CU1316" s="1388" t="s">
        <v>9276</v>
      </c>
      <c r="CV1316" s="1389" t="s">
        <v>9277</v>
      </c>
      <c r="CX1316" s="1379">
        <v>1</v>
      </c>
    </row>
    <row r="1317" spans="91:102" ht="21" customHeight="1" x14ac:dyDescent="0.25">
      <c r="CM1317" s="1377"/>
      <c r="CN1317" s="1388" t="s">
        <v>11044</v>
      </c>
      <c r="CO1317" s="1388" t="s">
        <v>8125</v>
      </c>
      <c r="CP1317" s="1388" t="s">
        <v>8106</v>
      </c>
      <c r="CQ1317" s="1388" t="s">
        <v>11045</v>
      </c>
      <c r="CR1317" s="1388" t="s">
        <v>11045</v>
      </c>
      <c r="CS1317" s="1388" t="s">
        <v>8788</v>
      </c>
      <c r="CT1317" s="1388" t="s">
        <v>8789</v>
      </c>
      <c r="CU1317" s="1388" t="s">
        <v>9276</v>
      </c>
      <c r="CV1317" s="1389" t="s">
        <v>9277</v>
      </c>
      <c r="CX1317" s="1379">
        <v>1</v>
      </c>
    </row>
    <row r="1318" spans="91:102" ht="21" customHeight="1" x14ac:dyDescent="0.25">
      <c r="CM1318" s="1377"/>
      <c r="CN1318" s="1388" t="s">
        <v>11046</v>
      </c>
      <c r="CO1318" s="1388" t="s">
        <v>8125</v>
      </c>
      <c r="CP1318" s="1388" t="s">
        <v>8106</v>
      </c>
      <c r="CQ1318" s="1388" t="s">
        <v>11047</v>
      </c>
      <c r="CR1318" s="1388" t="s">
        <v>11047</v>
      </c>
      <c r="CS1318" s="1388" t="s">
        <v>8788</v>
      </c>
      <c r="CT1318" s="1388" t="s">
        <v>8789</v>
      </c>
      <c r="CU1318" s="1388" t="s">
        <v>9276</v>
      </c>
      <c r="CV1318" s="1389" t="s">
        <v>9277</v>
      </c>
      <c r="CX1318" s="1379">
        <v>1</v>
      </c>
    </row>
    <row r="1319" spans="91:102" ht="21" customHeight="1" x14ac:dyDescent="0.25">
      <c r="CM1319" s="1377"/>
      <c r="CN1319" s="1388" t="s">
        <v>11048</v>
      </c>
      <c r="CO1319" s="1388" t="s">
        <v>8125</v>
      </c>
      <c r="CP1319" s="1388" t="s">
        <v>8106</v>
      </c>
      <c r="CQ1319" s="1388" t="s">
        <v>11049</v>
      </c>
      <c r="CR1319" s="1388" t="s">
        <v>11049</v>
      </c>
      <c r="CS1319" s="1388" t="s">
        <v>8788</v>
      </c>
      <c r="CT1319" s="1388" t="s">
        <v>8789</v>
      </c>
      <c r="CU1319" s="1388" t="s">
        <v>9276</v>
      </c>
      <c r="CV1319" s="1389" t="s">
        <v>9277</v>
      </c>
      <c r="CX1319" s="1379">
        <v>1</v>
      </c>
    </row>
    <row r="1320" spans="91:102" ht="21" customHeight="1" x14ac:dyDescent="0.25">
      <c r="CM1320" s="1377"/>
      <c r="CN1320" s="1388" t="s">
        <v>11050</v>
      </c>
      <c r="CO1320" s="1388" t="s">
        <v>8125</v>
      </c>
      <c r="CP1320" s="1388" t="s">
        <v>8106</v>
      </c>
      <c r="CQ1320" s="1388" t="s">
        <v>11051</v>
      </c>
      <c r="CR1320" s="1388" t="s">
        <v>11051</v>
      </c>
      <c r="CS1320" s="1388" t="s">
        <v>8788</v>
      </c>
      <c r="CT1320" s="1388" t="s">
        <v>8789</v>
      </c>
      <c r="CU1320" s="1388" t="s">
        <v>9276</v>
      </c>
      <c r="CV1320" s="1389" t="s">
        <v>9277</v>
      </c>
      <c r="CX1320" s="1379">
        <v>1</v>
      </c>
    </row>
    <row r="1321" spans="91:102" ht="21" customHeight="1" x14ac:dyDescent="0.25">
      <c r="CM1321" s="1377"/>
      <c r="CN1321" s="1388" t="s">
        <v>11052</v>
      </c>
      <c r="CO1321" s="1388" t="s">
        <v>8125</v>
      </c>
      <c r="CP1321" s="1388" t="s">
        <v>8106</v>
      </c>
      <c r="CQ1321" s="1388" t="s">
        <v>11053</v>
      </c>
      <c r="CR1321" s="1388" t="s">
        <v>11053</v>
      </c>
      <c r="CS1321" s="1388" t="s">
        <v>8788</v>
      </c>
      <c r="CT1321" s="1388" t="s">
        <v>8789</v>
      </c>
      <c r="CU1321" s="1388" t="s">
        <v>9276</v>
      </c>
      <c r="CV1321" s="1389" t="s">
        <v>9277</v>
      </c>
      <c r="CX1321" s="1379">
        <v>1</v>
      </c>
    </row>
    <row r="1322" spans="91:102" ht="21" customHeight="1" x14ac:dyDescent="0.25">
      <c r="CM1322" s="1377"/>
      <c r="CN1322" s="1388" t="s">
        <v>11054</v>
      </c>
      <c r="CO1322" s="1388" t="s">
        <v>8125</v>
      </c>
      <c r="CP1322" s="1388" t="s">
        <v>8106</v>
      </c>
      <c r="CQ1322" s="1388" t="s">
        <v>11055</v>
      </c>
      <c r="CR1322" s="1388" t="s">
        <v>11055</v>
      </c>
      <c r="CS1322" s="1388" t="s">
        <v>8788</v>
      </c>
      <c r="CT1322" s="1388" t="s">
        <v>8789</v>
      </c>
      <c r="CU1322" s="1388" t="s">
        <v>9276</v>
      </c>
      <c r="CV1322" s="1389" t="s">
        <v>9277</v>
      </c>
      <c r="CX1322" s="1379">
        <v>1</v>
      </c>
    </row>
    <row r="1323" spans="91:102" ht="21" customHeight="1" x14ac:dyDescent="0.25">
      <c r="CM1323" s="1377"/>
      <c r="CN1323" s="1388" t="s">
        <v>11056</v>
      </c>
      <c r="CO1323" s="1388" t="s">
        <v>8125</v>
      </c>
      <c r="CP1323" s="1388" t="s">
        <v>8106</v>
      </c>
      <c r="CQ1323" s="1388" t="s">
        <v>11057</v>
      </c>
      <c r="CR1323" s="1388" t="s">
        <v>11057</v>
      </c>
      <c r="CS1323" s="1388" t="s">
        <v>8788</v>
      </c>
      <c r="CT1323" s="1388" t="s">
        <v>8789</v>
      </c>
      <c r="CU1323" s="1388" t="s">
        <v>9276</v>
      </c>
      <c r="CV1323" s="1389" t="s">
        <v>9277</v>
      </c>
      <c r="CX1323" s="1379">
        <v>1</v>
      </c>
    </row>
    <row r="1324" spans="91:102" ht="21" customHeight="1" x14ac:dyDescent="0.25">
      <c r="CM1324" s="1377"/>
      <c r="CN1324" s="1388" t="s">
        <v>11058</v>
      </c>
      <c r="CO1324" s="1388" t="s">
        <v>8125</v>
      </c>
      <c r="CP1324" s="1388" t="s">
        <v>8106</v>
      </c>
      <c r="CQ1324" s="1388" t="s">
        <v>11059</v>
      </c>
      <c r="CR1324" s="1388" t="s">
        <v>11059</v>
      </c>
      <c r="CS1324" s="1388" t="s">
        <v>8788</v>
      </c>
      <c r="CT1324" s="1388" t="s">
        <v>8789</v>
      </c>
      <c r="CU1324" s="1388" t="s">
        <v>9276</v>
      </c>
      <c r="CV1324" s="1389" t="s">
        <v>9277</v>
      </c>
      <c r="CX1324" s="1379">
        <v>1</v>
      </c>
    </row>
    <row r="1325" spans="91:102" ht="21" customHeight="1" x14ac:dyDescent="0.25">
      <c r="CM1325" s="1377"/>
      <c r="CN1325" s="1388" t="s">
        <v>11060</v>
      </c>
      <c r="CO1325" s="1388" t="s">
        <v>8125</v>
      </c>
      <c r="CP1325" s="1388" t="s">
        <v>8106</v>
      </c>
      <c r="CQ1325" s="1388" t="s">
        <v>11061</v>
      </c>
      <c r="CR1325" s="1388" t="s">
        <v>11061</v>
      </c>
      <c r="CS1325" s="1388" t="s">
        <v>8788</v>
      </c>
      <c r="CT1325" s="1388" t="s">
        <v>8789</v>
      </c>
      <c r="CU1325" s="1388" t="s">
        <v>9276</v>
      </c>
      <c r="CV1325" s="1389" t="s">
        <v>9277</v>
      </c>
      <c r="CX1325" s="1379">
        <v>1</v>
      </c>
    </row>
    <row r="1326" spans="91:102" ht="21" customHeight="1" x14ac:dyDescent="0.25">
      <c r="CM1326" s="1377"/>
      <c r="CN1326" s="1388" t="s">
        <v>11062</v>
      </c>
      <c r="CO1326" s="1388" t="s">
        <v>8125</v>
      </c>
      <c r="CP1326" s="1388" t="s">
        <v>8106</v>
      </c>
      <c r="CQ1326" s="1388" t="s">
        <v>11063</v>
      </c>
      <c r="CR1326" s="1388" t="s">
        <v>11063</v>
      </c>
      <c r="CS1326" s="1388" t="s">
        <v>8788</v>
      </c>
      <c r="CT1326" s="1388" t="s">
        <v>8789</v>
      </c>
      <c r="CU1326" s="1388" t="s">
        <v>9276</v>
      </c>
      <c r="CV1326" s="1389" t="s">
        <v>9277</v>
      </c>
      <c r="CX1326" s="1379">
        <v>1</v>
      </c>
    </row>
    <row r="1327" spans="91:102" ht="21" customHeight="1" x14ac:dyDescent="0.25">
      <c r="CM1327" s="1377"/>
      <c r="CN1327" s="1388" t="s">
        <v>11064</v>
      </c>
      <c r="CO1327" s="1388" t="s">
        <v>8125</v>
      </c>
      <c r="CP1327" s="1388" t="s">
        <v>8106</v>
      </c>
      <c r="CQ1327" s="1388" t="s">
        <v>11065</v>
      </c>
      <c r="CR1327" s="1388" t="s">
        <v>11065</v>
      </c>
      <c r="CS1327" s="1388" t="s">
        <v>8788</v>
      </c>
      <c r="CT1327" s="1388" t="s">
        <v>8789</v>
      </c>
      <c r="CU1327" s="1388" t="s">
        <v>9276</v>
      </c>
      <c r="CV1327" s="1389" t="s">
        <v>9277</v>
      </c>
      <c r="CX1327" s="1379">
        <v>1</v>
      </c>
    </row>
    <row r="1328" spans="91:102" ht="21" customHeight="1" x14ac:dyDescent="0.25">
      <c r="CM1328" s="1377"/>
      <c r="CN1328" s="1388" t="s">
        <v>11066</v>
      </c>
      <c r="CO1328" s="1388" t="s">
        <v>8125</v>
      </c>
      <c r="CP1328" s="1388" t="s">
        <v>8106</v>
      </c>
      <c r="CQ1328" s="1388" t="s">
        <v>11067</v>
      </c>
      <c r="CR1328" s="1388" t="s">
        <v>11067</v>
      </c>
      <c r="CS1328" s="1388" t="s">
        <v>8788</v>
      </c>
      <c r="CT1328" s="1388" t="s">
        <v>8789</v>
      </c>
      <c r="CU1328" s="1388" t="s">
        <v>9276</v>
      </c>
      <c r="CV1328" s="1389" t="s">
        <v>9277</v>
      </c>
      <c r="CX1328" s="1379">
        <v>1</v>
      </c>
    </row>
    <row r="1329" spans="91:102" ht="21" customHeight="1" x14ac:dyDescent="0.25">
      <c r="CM1329" s="1377"/>
      <c r="CN1329" s="1388" t="s">
        <v>11068</v>
      </c>
      <c r="CO1329" s="1388" t="s">
        <v>8125</v>
      </c>
      <c r="CP1329" s="1388" t="s">
        <v>8106</v>
      </c>
      <c r="CQ1329" s="1388" t="s">
        <v>11069</v>
      </c>
      <c r="CR1329" s="1388" t="s">
        <v>11069</v>
      </c>
      <c r="CS1329" s="1388" t="s">
        <v>8788</v>
      </c>
      <c r="CT1329" s="1388" t="s">
        <v>8789</v>
      </c>
      <c r="CU1329" s="1388" t="s">
        <v>9276</v>
      </c>
      <c r="CV1329" s="1389" t="s">
        <v>9277</v>
      </c>
      <c r="CX1329" s="1379">
        <v>1</v>
      </c>
    </row>
    <row r="1330" spans="91:102" ht="21" customHeight="1" x14ac:dyDescent="0.25">
      <c r="CM1330" s="1377"/>
      <c r="CN1330" s="1388" t="s">
        <v>11070</v>
      </c>
      <c r="CO1330" s="1388" t="s">
        <v>8125</v>
      </c>
      <c r="CP1330" s="1388" t="s">
        <v>8106</v>
      </c>
      <c r="CQ1330" s="1388" t="s">
        <v>11071</v>
      </c>
      <c r="CR1330" s="1388" t="s">
        <v>11071</v>
      </c>
      <c r="CS1330" s="1388" t="s">
        <v>8788</v>
      </c>
      <c r="CT1330" s="1388" t="s">
        <v>8789</v>
      </c>
      <c r="CU1330" s="1388" t="s">
        <v>9276</v>
      </c>
      <c r="CV1330" s="1389" t="s">
        <v>9277</v>
      </c>
      <c r="CX1330" s="1379">
        <v>1</v>
      </c>
    </row>
    <row r="1331" spans="91:102" ht="21" customHeight="1" x14ac:dyDescent="0.25">
      <c r="CM1331" s="1377"/>
      <c r="CN1331" s="1388" t="s">
        <v>11072</v>
      </c>
      <c r="CO1331" s="1388" t="s">
        <v>8125</v>
      </c>
      <c r="CP1331" s="1388" t="s">
        <v>8106</v>
      </c>
      <c r="CQ1331" s="1388" t="s">
        <v>11073</v>
      </c>
      <c r="CR1331" s="1388" t="s">
        <v>11073</v>
      </c>
      <c r="CS1331" s="1388" t="s">
        <v>8788</v>
      </c>
      <c r="CT1331" s="1388" t="s">
        <v>8789</v>
      </c>
      <c r="CU1331" s="1388" t="s">
        <v>9276</v>
      </c>
      <c r="CV1331" s="1389" t="s">
        <v>9277</v>
      </c>
      <c r="CX1331" s="1379">
        <v>1</v>
      </c>
    </row>
    <row r="1332" spans="91:102" ht="21" customHeight="1" x14ac:dyDescent="0.25">
      <c r="CM1332" s="1377"/>
      <c r="CN1332" s="1388" t="s">
        <v>11074</v>
      </c>
      <c r="CO1332" s="1388" t="s">
        <v>8125</v>
      </c>
      <c r="CP1332" s="1388" t="s">
        <v>8106</v>
      </c>
      <c r="CQ1332" s="1388" t="s">
        <v>11075</v>
      </c>
      <c r="CR1332" s="1388" t="s">
        <v>11075</v>
      </c>
      <c r="CS1332" s="1388" t="s">
        <v>8788</v>
      </c>
      <c r="CT1332" s="1388" t="s">
        <v>8789</v>
      </c>
      <c r="CU1332" s="1388" t="s">
        <v>9276</v>
      </c>
      <c r="CV1332" s="1389" t="s">
        <v>9277</v>
      </c>
      <c r="CX1332" s="1379">
        <v>1</v>
      </c>
    </row>
    <row r="1333" spans="91:102" ht="21" customHeight="1" x14ac:dyDescent="0.25">
      <c r="CM1333" s="1377"/>
      <c r="CN1333" s="1388" t="s">
        <v>11076</v>
      </c>
      <c r="CO1333" s="1388" t="s">
        <v>8125</v>
      </c>
      <c r="CP1333" s="1388" t="s">
        <v>8106</v>
      </c>
      <c r="CQ1333" s="1388" t="s">
        <v>11077</v>
      </c>
      <c r="CR1333" s="1388" t="s">
        <v>11077</v>
      </c>
      <c r="CS1333" s="1388" t="s">
        <v>8788</v>
      </c>
      <c r="CT1333" s="1388" t="s">
        <v>8789</v>
      </c>
      <c r="CU1333" s="1388" t="s">
        <v>9276</v>
      </c>
      <c r="CV1333" s="1389" t="s">
        <v>9277</v>
      </c>
      <c r="CX1333" s="1379">
        <v>1</v>
      </c>
    </row>
    <row r="1334" spans="91:102" ht="21" customHeight="1" x14ac:dyDescent="0.25">
      <c r="CM1334" s="1377"/>
      <c r="CN1334" s="1388" t="s">
        <v>11078</v>
      </c>
      <c r="CO1334" s="1388" t="s">
        <v>8125</v>
      </c>
      <c r="CP1334" s="1388" t="s">
        <v>8106</v>
      </c>
      <c r="CQ1334" s="1388" t="s">
        <v>11079</v>
      </c>
      <c r="CR1334" s="1388" t="s">
        <v>11079</v>
      </c>
      <c r="CS1334" s="1388" t="s">
        <v>8788</v>
      </c>
      <c r="CT1334" s="1388" t="s">
        <v>8789</v>
      </c>
      <c r="CU1334" s="1388" t="s">
        <v>9276</v>
      </c>
      <c r="CV1334" s="1389" t="s">
        <v>9277</v>
      </c>
      <c r="CX1334" s="1379">
        <v>1</v>
      </c>
    </row>
    <row r="1335" spans="91:102" ht="21" customHeight="1" x14ac:dyDescent="0.25">
      <c r="CM1335" s="1377"/>
      <c r="CN1335" s="1388" t="s">
        <v>11080</v>
      </c>
      <c r="CO1335" s="1388" t="s">
        <v>8125</v>
      </c>
      <c r="CP1335" s="1388" t="s">
        <v>8106</v>
      </c>
      <c r="CQ1335" s="1388" t="s">
        <v>11081</v>
      </c>
      <c r="CR1335" s="1388" t="s">
        <v>11081</v>
      </c>
      <c r="CS1335" s="1388" t="s">
        <v>8788</v>
      </c>
      <c r="CT1335" s="1388" t="s">
        <v>8789</v>
      </c>
      <c r="CU1335" s="1388" t="s">
        <v>9276</v>
      </c>
      <c r="CV1335" s="1389" t="s">
        <v>9277</v>
      </c>
      <c r="CX1335" s="1379">
        <v>1</v>
      </c>
    </row>
    <row r="1336" spans="91:102" ht="21" customHeight="1" x14ac:dyDescent="0.25">
      <c r="CM1336" s="1377"/>
      <c r="CN1336" s="1388" t="s">
        <v>11082</v>
      </c>
      <c r="CO1336" s="1388" t="s">
        <v>8125</v>
      </c>
      <c r="CP1336" s="1388" t="s">
        <v>8106</v>
      </c>
      <c r="CQ1336" s="1388" t="s">
        <v>11083</v>
      </c>
      <c r="CR1336" s="1388" t="s">
        <v>11083</v>
      </c>
      <c r="CS1336" s="1388" t="s">
        <v>8788</v>
      </c>
      <c r="CT1336" s="1388" t="s">
        <v>8789</v>
      </c>
      <c r="CU1336" s="1388" t="s">
        <v>9276</v>
      </c>
      <c r="CV1336" s="1389" t="s">
        <v>9277</v>
      </c>
      <c r="CX1336" s="1379">
        <v>1</v>
      </c>
    </row>
    <row r="1337" spans="91:102" ht="21" customHeight="1" x14ac:dyDescent="0.25">
      <c r="CM1337" s="1377"/>
      <c r="CN1337" s="1388" t="s">
        <v>11084</v>
      </c>
      <c r="CO1337" s="1388" t="s">
        <v>8125</v>
      </c>
      <c r="CP1337" s="1388" t="s">
        <v>8106</v>
      </c>
      <c r="CQ1337" s="1388" t="s">
        <v>11085</v>
      </c>
      <c r="CR1337" s="1388" t="s">
        <v>11085</v>
      </c>
      <c r="CS1337" s="1388" t="s">
        <v>8788</v>
      </c>
      <c r="CT1337" s="1388" t="s">
        <v>8789</v>
      </c>
      <c r="CU1337" s="1388" t="s">
        <v>9276</v>
      </c>
      <c r="CV1337" s="1389" t="s">
        <v>9277</v>
      </c>
      <c r="CX1337" s="1379">
        <v>1</v>
      </c>
    </row>
    <row r="1338" spans="91:102" ht="21" customHeight="1" x14ac:dyDescent="0.25">
      <c r="CM1338" s="1377"/>
      <c r="CN1338" s="1388" t="s">
        <v>11086</v>
      </c>
      <c r="CO1338" s="1388" t="s">
        <v>8125</v>
      </c>
      <c r="CP1338" s="1388" t="s">
        <v>8106</v>
      </c>
      <c r="CQ1338" s="1388" t="s">
        <v>11087</v>
      </c>
      <c r="CR1338" s="1388" t="s">
        <v>11087</v>
      </c>
      <c r="CS1338" s="1388" t="s">
        <v>8788</v>
      </c>
      <c r="CT1338" s="1388" t="s">
        <v>8789</v>
      </c>
      <c r="CU1338" s="1388" t="s">
        <v>9276</v>
      </c>
      <c r="CV1338" s="1389" t="s">
        <v>9277</v>
      </c>
      <c r="CX1338" s="1379">
        <v>1</v>
      </c>
    </row>
    <row r="1339" spans="91:102" ht="21" customHeight="1" x14ac:dyDescent="0.25">
      <c r="CM1339" s="1377"/>
      <c r="CN1339" s="1388" t="s">
        <v>11088</v>
      </c>
      <c r="CO1339" s="1388" t="s">
        <v>8125</v>
      </c>
      <c r="CP1339" s="1388" t="s">
        <v>8106</v>
      </c>
      <c r="CQ1339" s="1388" t="s">
        <v>11089</v>
      </c>
      <c r="CR1339" s="1388" t="s">
        <v>11089</v>
      </c>
      <c r="CS1339" s="1388" t="s">
        <v>8788</v>
      </c>
      <c r="CT1339" s="1388" t="s">
        <v>8789</v>
      </c>
      <c r="CU1339" s="1388" t="s">
        <v>9276</v>
      </c>
      <c r="CV1339" s="1389" t="s">
        <v>9277</v>
      </c>
      <c r="CX1339" s="1379">
        <v>1</v>
      </c>
    </row>
    <row r="1340" spans="91:102" ht="21" customHeight="1" x14ac:dyDescent="0.25">
      <c r="CM1340" s="1377"/>
      <c r="CN1340" s="1388" t="s">
        <v>11090</v>
      </c>
      <c r="CO1340" s="1388" t="s">
        <v>8125</v>
      </c>
      <c r="CP1340" s="1388" t="s">
        <v>8106</v>
      </c>
      <c r="CQ1340" s="1388" t="s">
        <v>11091</v>
      </c>
      <c r="CR1340" s="1388" t="s">
        <v>11091</v>
      </c>
      <c r="CS1340" s="1388" t="s">
        <v>8788</v>
      </c>
      <c r="CT1340" s="1388" t="s">
        <v>8789</v>
      </c>
      <c r="CU1340" s="1388" t="s">
        <v>9276</v>
      </c>
      <c r="CV1340" s="1389" t="s">
        <v>9277</v>
      </c>
      <c r="CX1340" s="1379">
        <v>1</v>
      </c>
    </row>
    <row r="1341" spans="91:102" ht="21" customHeight="1" x14ac:dyDescent="0.25">
      <c r="CM1341" s="1377"/>
      <c r="CN1341" s="1388" t="s">
        <v>11092</v>
      </c>
      <c r="CO1341" s="1388" t="s">
        <v>8125</v>
      </c>
      <c r="CP1341" s="1388" t="s">
        <v>8106</v>
      </c>
      <c r="CQ1341" s="1388" t="s">
        <v>11093</v>
      </c>
      <c r="CR1341" s="1388" t="s">
        <v>11093</v>
      </c>
      <c r="CS1341" s="1388" t="s">
        <v>8788</v>
      </c>
      <c r="CT1341" s="1388" t="s">
        <v>8789</v>
      </c>
      <c r="CU1341" s="1388" t="s">
        <v>9276</v>
      </c>
      <c r="CV1341" s="1389" t="s">
        <v>9277</v>
      </c>
      <c r="CX1341" s="1379">
        <v>1</v>
      </c>
    </row>
    <row r="1342" spans="91:102" ht="21" customHeight="1" x14ac:dyDescent="0.25">
      <c r="CM1342" s="1377"/>
      <c r="CN1342" s="1388" t="s">
        <v>11094</v>
      </c>
      <c r="CO1342" s="1388" t="s">
        <v>8125</v>
      </c>
      <c r="CP1342" s="1388" t="s">
        <v>8106</v>
      </c>
      <c r="CQ1342" s="1388" t="s">
        <v>11095</v>
      </c>
      <c r="CR1342" s="1388" t="s">
        <v>11095</v>
      </c>
      <c r="CS1342" s="1388" t="s">
        <v>8788</v>
      </c>
      <c r="CT1342" s="1388" t="s">
        <v>8789</v>
      </c>
      <c r="CU1342" s="1388" t="s">
        <v>9276</v>
      </c>
      <c r="CV1342" s="1389" t="s">
        <v>9277</v>
      </c>
      <c r="CX1342" s="1379">
        <v>1</v>
      </c>
    </row>
    <row r="1343" spans="91:102" ht="21" customHeight="1" x14ac:dyDescent="0.25">
      <c r="CM1343" s="1377"/>
      <c r="CN1343" s="1388" t="s">
        <v>11096</v>
      </c>
      <c r="CO1343" s="1388" t="s">
        <v>8125</v>
      </c>
      <c r="CP1343" s="1388" t="s">
        <v>8106</v>
      </c>
      <c r="CQ1343" s="1388" t="s">
        <v>11097</v>
      </c>
      <c r="CR1343" s="1388" t="s">
        <v>11097</v>
      </c>
      <c r="CS1343" s="1388" t="s">
        <v>8788</v>
      </c>
      <c r="CT1343" s="1388" t="s">
        <v>8789</v>
      </c>
      <c r="CU1343" s="1388" t="s">
        <v>9276</v>
      </c>
      <c r="CV1343" s="1389" t="s">
        <v>9277</v>
      </c>
      <c r="CX1343" s="1379">
        <v>1</v>
      </c>
    </row>
    <row r="1344" spans="91:102" ht="21" customHeight="1" x14ac:dyDescent="0.25">
      <c r="CM1344" s="1377"/>
      <c r="CN1344" s="1388" t="s">
        <v>11098</v>
      </c>
      <c r="CO1344" s="1388" t="s">
        <v>8125</v>
      </c>
      <c r="CP1344" s="1388" t="s">
        <v>8106</v>
      </c>
      <c r="CQ1344" s="1388" t="s">
        <v>11099</v>
      </c>
      <c r="CR1344" s="1388" t="s">
        <v>11099</v>
      </c>
      <c r="CS1344" s="1388" t="s">
        <v>8788</v>
      </c>
      <c r="CT1344" s="1388" t="s">
        <v>8789</v>
      </c>
      <c r="CU1344" s="1388" t="s">
        <v>9276</v>
      </c>
      <c r="CV1344" s="1389" t="s">
        <v>9277</v>
      </c>
      <c r="CX1344" s="1379">
        <v>1</v>
      </c>
    </row>
    <row r="1345" spans="91:102" ht="21" customHeight="1" x14ac:dyDescent="0.25">
      <c r="CM1345" s="1377"/>
      <c r="CN1345" s="1388" t="s">
        <v>11100</v>
      </c>
      <c r="CO1345" s="1388" t="s">
        <v>8125</v>
      </c>
      <c r="CP1345" s="1388" t="s">
        <v>8106</v>
      </c>
      <c r="CQ1345" s="1388" t="s">
        <v>11101</v>
      </c>
      <c r="CR1345" s="1388" t="s">
        <v>11101</v>
      </c>
      <c r="CS1345" s="1388" t="s">
        <v>8788</v>
      </c>
      <c r="CT1345" s="1388" t="s">
        <v>8789</v>
      </c>
      <c r="CU1345" s="1388" t="s">
        <v>9276</v>
      </c>
      <c r="CV1345" s="1389" t="s">
        <v>9277</v>
      </c>
      <c r="CX1345" s="1379">
        <v>1</v>
      </c>
    </row>
    <row r="1346" spans="91:102" ht="21" customHeight="1" x14ac:dyDescent="0.25">
      <c r="CM1346" s="1377"/>
      <c r="CN1346" s="1388" t="s">
        <v>11102</v>
      </c>
      <c r="CO1346" s="1388" t="s">
        <v>8125</v>
      </c>
      <c r="CP1346" s="1388" t="s">
        <v>8106</v>
      </c>
      <c r="CQ1346" s="1388" t="s">
        <v>11103</v>
      </c>
      <c r="CR1346" s="1388" t="s">
        <v>11103</v>
      </c>
      <c r="CS1346" s="1388" t="s">
        <v>8788</v>
      </c>
      <c r="CT1346" s="1388" t="s">
        <v>8789</v>
      </c>
      <c r="CU1346" s="1388" t="s">
        <v>9276</v>
      </c>
      <c r="CV1346" s="1389" t="s">
        <v>9277</v>
      </c>
      <c r="CX1346" s="1379">
        <v>1</v>
      </c>
    </row>
    <row r="1347" spans="91:102" ht="21" customHeight="1" x14ac:dyDescent="0.25">
      <c r="CM1347" s="1377"/>
      <c r="CN1347" s="1388" t="s">
        <v>11104</v>
      </c>
      <c r="CO1347" s="1388" t="s">
        <v>8125</v>
      </c>
      <c r="CP1347" s="1388" t="s">
        <v>8106</v>
      </c>
      <c r="CQ1347" s="1388" t="s">
        <v>11105</v>
      </c>
      <c r="CR1347" s="1388" t="s">
        <v>11105</v>
      </c>
      <c r="CS1347" s="1388" t="s">
        <v>8788</v>
      </c>
      <c r="CT1347" s="1388" t="s">
        <v>8789</v>
      </c>
      <c r="CU1347" s="1388" t="s">
        <v>9276</v>
      </c>
      <c r="CV1347" s="1389" t="s">
        <v>9277</v>
      </c>
      <c r="CX1347" s="1379">
        <v>1</v>
      </c>
    </row>
    <row r="1348" spans="91:102" ht="21" customHeight="1" x14ac:dyDescent="0.25">
      <c r="CM1348" s="1377"/>
      <c r="CN1348" s="1388" t="s">
        <v>11106</v>
      </c>
      <c r="CO1348" s="1388" t="s">
        <v>8125</v>
      </c>
      <c r="CP1348" s="1388" t="s">
        <v>8106</v>
      </c>
      <c r="CQ1348" s="1388" t="s">
        <v>11107</v>
      </c>
      <c r="CR1348" s="1388" t="s">
        <v>11107</v>
      </c>
      <c r="CS1348" s="1388" t="s">
        <v>8788</v>
      </c>
      <c r="CT1348" s="1388" t="s">
        <v>8789</v>
      </c>
      <c r="CU1348" s="1388" t="s">
        <v>9276</v>
      </c>
      <c r="CV1348" s="1389" t="s">
        <v>9277</v>
      </c>
      <c r="CX1348" s="1379">
        <v>1</v>
      </c>
    </row>
    <row r="1349" spans="91:102" ht="21" customHeight="1" x14ac:dyDescent="0.25">
      <c r="CM1349" s="1377"/>
      <c r="CN1349" s="1388" t="s">
        <v>11108</v>
      </c>
      <c r="CO1349" s="1388" t="s">
        <v>8125</v>
      </c>
      <c r="CP1349" s="1388" t="s">
        <v>8106</v>
      </c>
      <c r="CQ1349" s="1388" t="s">
        <v>11109</v>
      </c>
      <c r="CR1349" s="1388" t="s">
        <v>11109</v>
      </c>
      <c r="CS1349" s="1388" t="s">
        <v>8788</v>
      </c>
      <c r="CT1349" s="1388" t="s">
        <v>8789</v>
      </c>
      <c r="CU1349" s="1388" t="s">
        <v>9276</v>
      </c>
      <c r="CV1349" s="1389" t="s">
        <v>9277</v>
      </c>
      <c r="CX1349" s="1379">
        <v>1</v>
      </c>
    </row>
    <row r="1350" spans="91:102" ht="21" customHeight="1" x14ac:dyDescent="0.25">
      <c r="CM1350" s="1377"/>
      <c r="CN1350" s="1388" t="s">
        <v>11110</v>
      </c>
      <c r="CO1350" s="1388" t="s">
        <v>8125</v>
      </c>
      <c r="CP1350" s="1388" t="s">
        <v>8106</v>
      </c>
      <c r="CQ1350" s="1388" t="s">
        <v>11111</v>
      </c>
      <c r="CR1350" s="1388" t="s">
        <v>11111</v>
      </c>
      <c r="CS1350" s="1388" t="s">
        <v>8788</v>
      </c>
      <c r="CT1350" s="1388" t="s">
        <v>8789</v>
      </c>
      <c r="CU1350" s="1388" t="s">
        <v>9276</v>
      </c>
      <c r="CV1350" s="1389" t="s">
        <v>9277</v>
      </c>
      <c r="CX1350" s="1379">
        <v>1</v>
      </c>
    </row>
    <row r="1351" spans="91:102" ht="21" customHeight="1" x14ac:dyDescent="0.25">
      <c r="CM1351" s="1377"/>
      <c r="CN1351" s="1388" t="s">
        <v>11112</v>
      </c>
      <c r="CO1351" s="1388" t="s">
        <v>8125</v>
      </c>
      <c r="CP1351" s="1388" t="s">
        <v>8106</v>
      </c>
      <c r="CQ1351" s="1388" t="s">
        <v>11113</v>
      </c>
      <c r="CR1351" s="1388" t="s">
        <v>11113</v>
      </c>
      <c r="CS1351" s="1388" t="s">
        <v>8788</v>
      </c>
      <c r="CT1351" s="1388" t="s">
        <v>8789</v>
      </c>
      <c r="CU1351" s="1388" t="s">
        <v>9276</v>
      </c>
      <c r="CV1351" s="1389" t="s">
        <v>9277</v>
      </c>
      <c r="CX1351" s="1379">
        <v>1</v>
      </c>
    </row>
    <row r="1352" spans="91:102" ht="21" customHeight="1" x14ac:dyDescent="0.25">
      <c r="CM1352" s="1377"/>
      <c r="CN1352" s="1388" t="s">
        <v>11114</v>
      </c>
      <c r="CO1352" s="1388" t="s">
        <v>8125</v>
      </c>
      <c r="CP1352" s="1388" t="s">
        <v>8106</v>
      </c>
      <c r="CQ1352" s="1388" t="s">
        <v>11115</v>
      </c>
      <c r="CR1352" s="1388" t="s">
        <v>11115</v>
      </c>
      <c r="CS1352" s="1388" t="s">
        <v>8788</v>
      </c>
      <c r="CT1352" s="1388" t="s">
        <v>8789</v>
      </c>
      <c r="CU1352" s="1388" t="s">
        <v>9276</v>
      </c>
      <c r="CV1352" s="1389" t="s">
        <v>9277</v>
      </c>
      <c r="CX1352" s="1379">
        <v>1</v>
      </c>
    </row>
    <row r="1353" spans="91:102" ht="21" customHeight="1" x14ac:dyDescent="0.25">
      <c r="CM1353" s="1377"/>
      <c r="CN1353" s="1388" t="s">
        <v>11116</v>
      </c>
      <c r="CO1353" s="1388" t="s">
        <v>8125</v>
      </c>
      <c r="CP1353" s="1388" t="s">
        <v>8106</v>
      </c>
      <c r="CQ1353" s="1388" t="s">
        <v>11117</v>
      </c>
      <c r="CR1353" s="1388" t="s">
        <v>11117</v>
      </c>
      <c r="CS1353" s="1388" t="s">
        <v>8788</v>
      </c>
      <c r="CT1353" s="1388" t="s">
        <v>8789</v>
      </c>
      <c r="CU1353" s="1388" t="s">
        <v>9276</v>
      </c>
      <c r="CV1353" s="1389" t="s">
        <v>9277</v>
      </c>
      <c r="CX1353" s="1379">
        <v>1</v>
      </c>
    </row>
    <row r="1354" spans="91:102" ht="21" customHeight="1" x14ac:dyDescent="0.25">
      <c r="CM1354" s="1377"/>
      <c r="CN1354" s="1388" t="s">
        <v>11118</v>
      </c>
      <c r="CO1354" s="1388" t="s">
        <v>8125</v>
      </c>
      <c r="CP1354" s="1388" t="s">
        <v>8106</v>
      </c>
      <c r="CQ1354" s="1388" t="s">
        <v>11119</v>
      </c>
      <c r="CR1354" s="1388" t="s">
        <v>11119</v>
      </c>
      <c r="CS1354" s="1388" t="s">
        <v>8788</v>
      </c>
      <c r="CT1354" s="1388" t="s">
        <v>8789</v>
      </c>
      <c r="CU1354" s="1388" t="s">
        <v>9276</v>
      </c>
      <c r="CV1354" s="1389" t="s">
        <v>9277</v>
      </c>
      <c r="CX1354" s="1379">
        <v>1</v>
      </c>
    </row>
    <row r="1355" spans="91:102" ht="21" customHeight="1" x14ac:dyDescent="0.25">
      <c r="CM1355" s="1377"/>
      <c r="CN1355" s="1388" t="s">
        <v>11120</v>
      </c>
      <c r="CO1355" s="1388" t="s">
        <v>8125</v>
      </c>
      <c r="CP1355" s="1388" t="s">
        <v>8106</v>
      </c>
      <c r="CQ1355" s="1388" t="s">
        <v>11121</v>
      </c>
      <c r="CR1355" s="1388" t="s">
        <v>11121</v>
      </c>
      <c r="CS1355" s="1388" t="s">
        <v>8788</v>
      </c>
      <c r="CT1355" s="1388" t="s">
        <v>8789</v>
      </c>
      <c r="CU1355" s="1388" t="s">
        <v>9276</v>
      </c>
      <c r="CV1355" s="1389" t="s">
        <v>9277</v>
      </c>
      <c r="CX1355" s="1379">
        <v>1</v>
      </c>
    </row>
    <row r="1356" spans="91:102" ht="21" customHeight="1" x14ac:dyDescent="0.25">
      <c r="CM1356" s="1377"/>
      <c r="CN1356" s="1388" t="s">
        <v>11122</v>
      </c>
      <c r="CO1356" s="1388" t="s">
        <v>8125</v>
      </c>
      <c r="CP1356" s="1388" t="s">
        <v>8106</v>
      </c>
      <c r="CQ1356" s="1388" t="s">
        <v>11123</v>
      </c>
      <c r="CR1356" s="1388" t="s">
        <v>11123</v>
      </c>
      <c r="CS1356" s="1388" t="s">
        <v>8788</v>
      </c>
      <c r="CT1356" s="1388" t="s">
        <v>8789</v>
      </c>
      <c r="CU1356" s="1388" t="s">
        <v>9276</v>
      </c>
      <c r="CV1356" s="1389" t="s">
        <v>9277</v>
      </c>
      <c r="CX1356" s="1379">
        <v>1</v>
      </c>
    </row>
    <row r="1357" spans="91:102" ht="21" customHeight="1" x14ac:dyDescent="0.25">
      <c r="CM1357" s="1377"/>
      <c r="CN1357" s="1388" t="s">
        <v>11124</v>
      </c>
      <c r="CO1357" s="1388" t="s">
        <v>8125</v>
      </c>
      <c r="CP1357" s="1388" t="s">
        <v>8106</v>
      </c>
      <c r="CQ1357" s="1388" t="s">
        <v>11125</v>
      </c>
      <c r="CR1357" s="1388" t="s">
        <v>11125</v>
      </c>
      <c r="CS1357" s="1388" t="s">
        <v>8788</v>
      </c>
      <c r="CT1357" s="1388" t="s">
        <v>8789</v>
      </c>
      <c r="CU1357" s="1388" t="s">
        <v>9276</v>
      </c>
      <c r="CV1357" s="1389" t="s">
        <v>9277</v>
      </c>
      <c r="CX1357" s="1379">
        <v>1</v>
      </c>
    </row>
    <row r="1358" spans="91:102" ht="21" customHeight="1" x14ac:dyDescent="0.25">
      <c r="CM1358" s="1377"/>
      <c r="CN1358" s="1388" t="s">
        <v>11126</v>
      </c>
      <c r="CO1358" s="1388" t="s">
        <v>8125</v>
      </c>
      <c r="CP1358" s="1388" t="s">
        <v>8106</v>
      </c>
      <c r="CQ1358" s="1388" t="s">
        <v>11127</v>
      </c>
      <c r="CR1358" s="1388" t="s">
        <v>11127</v>
      </c>
      <c r="CS1358" s="1388" t="s">
        <v>8788</v>
      </c>
      <c r="CT1358" s="1388" t="s">
        <v>8789</v>
      </c>
      <c r="CU1358" s="1388" t="s">
        <v>9276</v>
      </c>
      <c r="CV1358" s="1389" t="s">
        <v>9277</v>
      </c>
      <c r="CX1358" s="1379">
        <v>1</v>
      </c>
    </row>
    <row r="1359" spans="91:102" ht="21" customHeight="1" x14ac:dyDescent="0.25">
      <c r="CM1359" s="1377"/>
      <c r="CN1359" s="1388" t="s">
        <v>11128</v>
      </c>
      <c r="CO1359" s="1388" t="s">
        <v>8125</v>
      </c>
      <c r="CP1359" s="1388" t="s">
        <v>8106</v>
      </c>
      <c r="CQ1359" s="1388" t="s">
        <v>11129</v>
      </c>
      <c r="CR1359" s="1388" t="s">
        <v>11129</v>
      </c>
      <c r="CS1359" s="1388" t="s">
        <v>8788</v>
      </c>
      <c r="CT1359" s="1388" t="s">
        <v>8789</v>
      </c>
      <c r="CU1359" s="1388" t="s">
        <v>9276</v>
      </c>
      <c r="CV1359" s="1389" t="s">
        <v>9277</v>
      </c>
      <c r="CX1359" s="1379">
        <v>1</v>
      </c>
    </row>
    <row r="1360" spans="91:102" ht="21" customHeight="1" x14ac:dyDescent="0.25">
      <c r="CM1360" s="1377"/>
      <c r="CN1360" s="1388" t="s">
        <v>11130</v>
      </c>
      <c r="CO1360" s="1388" t="s">
        <v>8125</v>
      </c>
      <c r="CP1360" s="1388" t="s">
        <v>8106</v>
      </c>
      <c r="CQ1360" s="1388" t="s">
        <v>11131</v>
      </c>
      <c r="CR1360" s="1388" t="s">
        <v>11131</v>
      </c>
      <c r="CS1360" s="1388" t="s">
        <v>8788</v>
      </c>
      <c r="CT1360" s="1388" t="s">
        <v>8789</v>
      </c>
      <c r="CU1360" s="1388" t="s">
        <v>9276</v>
      </c>
      <c r="CV1360" s="1389" t="s">
        <v>9277</v>
      </c>
      <c r="CX1360" s="1379">
        <v>1</v>
      </c>
    </row>
    <row r="1361" spans="91:102" ht="21" customHeight="1" x14ac:dyDescent="0.25">
      <c r="CM1361" s="1377"/>
      <c r="CN1361" s="1388" t="s">
        <v>11132</v>
      </c>
      <c r="CO1361" s="1388" t="s">
        <v>8125</v>
      </c>
      <c r="CP1361" s="1388" t="s">
        <v>8106</v>
      </c>
      <c r="CQ1361" s="1388" t="s">
        <v>11133</v>
      </c>
      <c r="CR1361" s="1388" t="s">
        <v>11133</v>
      </c>
      <c r="CS1361" s="1388" t="s">
        <v>8788</v>
      </c>
      <c r="CT1361" s="1388" t="s">
        <v>8789</v>
      </c>
      <c r="CU1361" s="1388" t="s">
        <v>9276</v>
      </c>
      <c r="CV1361" s="1389" t="s">
        <v>9277</v>
      </c>
      <c r="CX1361" s="1379">
        <v>1</v>
      </c>
    </row>
    <row r="1362" spans="91:102" ht="21" customHeight="1" x14ac:dyDescent="0.25">
      <c r="CM1362" s="1377"/>
      <c r="CN1362" s="1388" t="s">
        <v>11134</v>
      </c>
      <c r="CO1362" s="1388" t="s">
        <v>8125</v>
      </c>
      <c r="CP1362" s="1388" t="s">
        <v>8106</v>
      </c>
      <c r="CQ1362" s="1388" t="s">
        <v>11135</v>
      </c>
      <c r="CR1362" s="1388" t="s">
        <v>11135</v>
      </c>
      <c r="CS1362" s="1388" t="s">
        <v>8788</v>
      </c>
      <c r="CT1362" s="1388" t="s">
        <v>8789</v>
      </c>
      <c r="CU1362" s="1388" t="s">
        <v>9276</v>
      </c>
      <c r="CV1362" s="1389" t="s">
        <v>9277</v>
      </c>
      <c r="CX1362" s="1379">
        <v>1</v>
      </c>
    </row>
    <row r="1363" spans="91:102" ht="21" customHeight="1" x14ac:dyDescent="0.25">
      <c r="CM1363" s="1377"/>
      <c r="CN1363" s="1388" t="s">
        <v>11136</v>
      </c>
      <c r="CO1363" s="1388" t="s">
        <v>8125</v>
      </c>
      <c r="CP1363" s="1388" t="s">
        <v>8106</v>
      </c>
      <c r="CQ1363" s="1388" t="s">
        <v>11137</v>
      </c>
      <c r="CR1363" s="1388" t="s">
        <v>11137</v>
      </c>
      <c r="CS1363" s="1388" t="s">
        <v>8788</v>
      </c>
      <c r="CT1363" s="1388" t="s">
        <v>8789</v>
      </c>
      <c r="CU1363" s="1388" t="s">
        <v>9276</v>
      </c>
      <c r="CV1363" s="1389" t="s">
        <v>9277</v>
      </c>
      <c r="CX1363" s="1379">
        <v>1</v>
      </c>
    </row>
    <row r="1364" spans="91:102" ht="21" customHeight="1" x14ac:dyDescent="0.25">
      <c r="CM1364" s="1377"/>
      <c r="CN1364" s="1388" t="s">
        <v>11138</v>
      </c>
      <c r="CO1364" s="1388" t="s">
        <v>8125</v>
      </c>
      <c r="CP1364" s="1388" t="s">
        <v>8555</v>
      </c>
      <c r="CQ1364" s="1388" t="s">
        <v>11139</v>
      </c>
      <c r="CR1364" s="1388" t="s">
        <v>11140</v>
      </c>
      <c r="CS1364" s="1388" t="s">
        <v>8194</v>
      </c>
      <c r="CT1364" s="1388" t="s">
        <v>8557</v>
      </c>
      <c r="CU1364" s="1388" t="s">
        <v>8110</v>
      </c>
      <c r="CV1364" s="1389" t="s">
        <v>8196</v>
      </c>
      <c r="CX1364" s="1379">
        <v>1</v>
      </c>
    </row>
    <row r="1365" spans="91:102" ht="21" customHeight="1" x14ac:dyDescent="0.25">
      <c r="CM1365" s="1377"/>
      <c r="CN1365" s="1388" t="s">
        <v>11141</v>
      </c>
      <c r="CO1365" s="1388" t="s">
        <v>8125</v>
      </c>
      <c r="CP1365" s="1388" t="s">
        <v>8555</v>
      </c>
      <c r="CQ1365" s="1388" t="s">
        <v>11142</v>
      </c>
      <c r="CR1365" s="1388" t="s">
        <v>11143</v>
      </c>
      <c r="CS1365" s="1388" t="s">
        <v>8194</v>
      </c>
      <c r="CT1365" s="1388" t="s">
        <v>8557</v>
      </c>
      <c r="CU1365" s="1388" t="s">
        <v>8110</v>
      </c>
      <c r="CV1365" s="1389" t="s">
        <v>8196</v>
      </c>
      <c r="CX1365" s="1379">
        <v>1</v>
      </c>
    </row>
    <row r="1366" spans="91:102" ht="21" customHeight="1" x14ac:dyDescent="0.25">
      <c r="CM1366" s="1377"/>
      <c r="CN1366" s="1388" t="s">
        <v>11144</v>
      </c>
      <c r="CO1366" s="1388" t="s">
        <v>8125</v>
      </c>
      <c r="CP1366" s="1388" t="s">
        <v>8555</v>
      </c>
      <c r="CQ1366" s="1388" t="s">
        <v>11145</v>
      </c>
      <c r="CR1366" s="1388" t="s">
        <v>11146</v>
      </c>
      <c r="CS1366" s="1388" t="s">
        <v>8194</v>
      </c>
      <c r="CT1366" s="1388" t="s">
        <v>8557</v>
      </c>
      <c r="CU1366" s="1388" t="s">
        <v>8110</v>
      </c>
      <c r="CV1366" s="1389" t="s">
        <v>8196</v>
      </c>
      <c r="CX1366" s="1379">
        <v>1</v>
      </c>
    </row>
    <row r="1367" spans="91:102" ht="21" customHeight="1" x14ac:dyDescent="0.25">
      <c r="CM1367" s="1377"/>
      <c r="CN1367" s="1388" t="s">
        <v>11147</v>
      </c>
      <c r="CO1367" s="1388" t="s">
        <v>8125</v>
      </c>
      <c r="CP1367" s="1388" t="s">
        <v>8555</v>
      </c>
      <c r="CQ1367" s="1388" t="s">
        <v>11148</v>
      </c>
      <c r="CR1367" s="1388" t="s">
        <v>11149</v>
      </c>
      <c r="CS1367" s="1388" t="s">
        <v>8194</v>
      </c>
      <c r="CT1367" s="1388" t="s">
        <v>8557</v>
      </c>
      <c r="CU1367" s="1388" t="s">
        <v>8110</v>
      </c>
      <c r="CV1367" s="1389" t="s">
        <v>8196</v>
      </c>
      <c r="CX1367" s="1379">
        <v>1</v>
      </c>
    </row>
    <row r="1368" spans="91:102" ht="21" customHeight="1" x14ac:dyDescent="0.25">
      <c r="CM1368" s="1377"/>
      <c r="CN1368" s="1388" t="s">
        <v>11150</v>
      </c>
      <c r="CO1368" s="1388" t="s">
        <v>8125</v>
      </c>
      <c r="CP1368" s="1388" t="s">
        <v>8555</v>
      </c>
      <c r="CQ1368" s="1388" t="s">
        <v>11151</v>
      </c>
      <c r="CR1368" s="1388" t="s">
        <v>11152</v>
      </c>
      <c r="CS1368" s="1388" t="s">
        <v>8194</v>
      </c>
      <c r="CT1368" s="1388" t="s">
        <v>8557</v>
      </c>
      <c r="CU1368" s="1388" t="s">
        <v>8110</v>
      </c>
      <c r="CV1368" s="1389" t="s">
        <v>8196</v>
      </c>
      <c r="CX1368" s="1379">
        <v>1</v>
      </c>
    </row>
    <row r="1369" spans="91:102" ht="21" customHeight="1" x14ac:dyDescent="0.25">
      <c r="CM1369" s="1377"/>
      <c r="CN1369" s="1388" t="s">
        <v>11153</v>
      </c>
      <c r="CO1369" s="1388" t="s">
        <v>8125</v>
      </c>
      <c r="CP1369" s="1388" t="s">
        <v>8555</v>
      </c>
      <c r="CQ1369" s="1388" t="s">
        <v>11154</v>
      </c>
      <c r="CR1369" s="1388" t="s">
        <v>11154</v>
      </c>
      <c r="CS1369" s="1388" t="s">
        <v>8194</v>
      </c>
      <c r="CT1369" s="1388" t="s">
        <v>8557</v>
      </c>
      <c r="CU1369" s="1388" t="s">
        <v>8110</v>
      </c>
      <c r="CV1369" s="1389" t="s">
        <v>8196</v>
      </c>
      <c r="CX1369" s="1379">
        <v>1</v>
      </c>
    </row>
    <row r="1370" spans="91:102" ht="21" customHeight="1" x14ac:dyDescent="0.25">
      <c r="CM1370" s="1377"/>
      <c r="CN1370" s="1388" t="s">
        <v>11155</v>
      </c>
      <c r="CO1370" s="1388" t="s">
        <v>8125</v>
      </c>
      <c r="CP1370" s="1388" t="s">
        <v>8555</v>
      </c>
      <c r="CQ1370" s="1388" t="s">
        <v>11156</v>
      </c>
      <c r="CR1370" s="1388" t="s">
        <v>11156</v>
      </c>
      <c r="CS1370" s="1388" t="s">
        <v>8194</v>
      </c>
      <c r="CT1370" s="1388" t="s">
        <v>8557</v>
      </c>
      <c r="CU1370" s="1388" t="s">
        <v>8110</v>
      </c>
      <c r="CV1370" s="1389" t="s">
        <v>8196</v>
      </c>
      <c r="CX1370" s="1379">
        <v>1</v>
      </c>
    </row>
    <row r="1371" spans="91:102" ht="21" customHeight="1" x14ac:dyDescent="0.25">
      <c r="CM1371" s="1377"/>
      <c r="CN1371" s="1388" t="s">
        <v>11157</v>
      </c>
      <c r="CO1371" s="1388" t="s">
        <v>8125</v>
      </c>
      <c r="CP1371" s="1388" t="s">
        <v>8555</v>
      </c>
      <c r="CQ1371" s="1388" t="s">
        <v>11158</v>
      </c>
      <c r="CR1371" s="1388" t="s">
        <v>11158</v>
      </c>
      <c r="CS1371" s="1388" t="s">
        <v>8194</v>
      </c>
      <c r="CT1371" s="1388" t="s">
        <v>8557</v>
      </c>
      <c r="CU1371" s="1388" t="s">
        <v>8110</v>
      </c>
      <c r="CV1371" s="1389" t="s">
        <v>8196</v>
      </c>
      <c r="CX1371" s="1379">
        <v>1</v>
      </c>
    </row>
    <row r="1372" spans="91:102" ht="21" customHeight="1" x14ac:dyDescent="0.25">
      <c r="CM1372" s="1377"/>
      <c r="CN1372" s="1388" t="s">
        <v>11159</v>
      </c>
      <c r="CO1372" s="1388" t="s">
        <v>8125</v>
      </c>
      <c r="CP1372" s="1388" t="s">
        <v>8555</v>
      </c>
      <c r="CQ1372" s="1388" t="s">
        <v>11160</v>
      </c>
      <c r="CR1372" s="1388" t="s">
        <v>11160</v>
      </c>
      <c r="CS1372" s="1388" t="s">
        <v>8194</v>
      </c>
      <c r="CT1372" s="1388" t="s">
        <v>8557</v>
      </c>
      <c r="CU1372" s="1388" t="s">
        <v>8110</v>
      </c>
      <c r="CV1372" s="1389" t="s">
        <v>8196</v>
      </c>
      <c r="CX1372" s="1379">
        <v>1</v>
      </c>
    </row>
    <row r="1373" spans="91:102" ht="21" customHeight="1" x14ac:dyDescent="0.25">
      <c r="CM1373" s="1377"/>
      <c r="CN1373" s="1388" t="s">
        <v>11161</v>
      </c>
      <c r="CO1373" s="1388" t="s">
        <v>8125</v>
      </c>
      <c r="CP1373" s="1388" t="s">
        <v>8741</v>
      </c>
      <c r="CQ1373" s="1388" t="s">
        <v>11162</v>
      </c>
      <c r="CR1373" s="1388" t="s">
        <v>11163</v>
      </c>
      <c r="CS1373" s="1388" t="s">
        <v>8108</v>
      </c>
      <c r="CT1373" s="1388" t="s">
        <v>11164</v>
      </c>
      <c r="CU1373" s="1388" t="s">
        <v>8110</v>
      </c>
      <c r="CV1373" s="1389" t="s">
        <v>8111</v>
      </c>
      <c r="CX1373" s="1379">
        <v>1</v>
      </c>
    </row>
    <row r="1374" spans="91:102" ht="21" customHeight="1" x14ac:dyDescent="0.25">
      <c r="CM1374" s="1377"/>
      <c r="CN1374" s="1388" t="s">
        <v>11165</v>
      </c>
      <c r="CO1374" s="1388" t="s">
        <v>8125</v>
      </c>
      <c r="CP1374" s="1388" t="s">
        <v>8741</v>
      </c>
      <c r="CQ1374" s="1388" t="s">
        <v>11166</v>
      </c>
      <c r="CR1374" s="1388" t="s">
        <v>11166</v>
      </c>
      <c r="CS1374" s="1388" t="s">
        <v>8108</v>
      </c>
      <c r="CT1374" s="1388" t="s">
        <v>11164</v>
      </c>
      <c r="CU1374" s="1388" t="s">
        <v>8110</v>
      </c>
      <c r="CV1374" s="1389" t="s">
        <v>8111</v>
      </c>
      <c r="CX1374" s="1379">
        <v>1</v>
      </c>
    </row>
    <row r="1375" spans="91:102" ht="21" customHeight="1" x14ac:dyDescent="0.25">
      <c r="CM1375" s="1377"/>
      <c r="CN1375" s="1388" t="s">
        <v>11167</v>
      </c>
      <c r="CO1375" s="1388" t="s">
        <v>8125</v>
      </c>
      <c r="CP1375" s="1388" t="s">
        <v>8741</v>
      </c>
      <c r="CQ1375" s="1388" t="s">
        <v>11168</v>
      </c>
      <c r="CR1375" s="1388" t="s">
        <v>11168</v>
      </c>
      <c r="CS1375" s="1388" t="s">
        <v>8108</v>
      </c>
      <c r="CT1375" s="1388" t="s">
        <v>11164</v>
      </c>
      <c r="CU1375" s="1388" t="s">
        <v>8110</v>
      </c>
      <c r="CV1375" s="1389" t="s">
        <v>8111</v>
      </c>
      <c r="CX1375" s="1379">
        <v>1</v>
      </c>
    </row>
    <row r="1376" spans="91:102" ht="21" customHeight="1" x14ac:dyDescent="0.25">
      <c r="CM1376" s="1377"/>
      <c r="CN1376" s="1388" t="s">
        <v>11169</v>
      </c>
      <c r="CO1376" s="1388" t="s">
        <v>8125</v>
      </c>
      <c r="CP1376" s="1388" t="s">
        <v>8741</v>
      </c>
      <c r="CQ1376" s="1388" t="s">
        <v>11170</v>
      </c>
      <c r="CR1376" s="1388" t="s">
        <v>11171</v>
      </c>
      <c r="CS1376" s="1388" t="s">
        <v>8108</v>
      </c>
      <c r="CT1376" s="1388" t="s">
        <v>11164</v>
      </c>
      <c r="CU1376" s="1388" t="s">
        <v>8110</v>
      </c>
      <c r="CV1376" s="1389" t="s">
        <v>8111</v>
      </c>
      <c r="CX1376" s="1379">
        <v>1</v>
      </c>
    </row>
    <row r="1377" spans="91:102" ht="21" customHeight="1" x14ac:dyDescent="0.25">
      <c r="CM1377" s="1377"/>
      <c r="CN1377" s="1388" t="s">
        <v>11172</v>
      </c>
      <c r="CO1377" s="1388" t="s">
        <v>8125</v>
      </c>
      <c r="CP1377" s="1388" t="s">
        <v>8741</v>
      </c>
      <c r="CQ1377" s="1388" t="s">
        <v>11173</v>
      </c>
      <c r="CR1377" s="1388" t="s">
        <v>11173</v>
      </c>
      <c r="CS1377" s="1388" t="s">
        <v>8108</v>
      </c>
      <c r="CT1377" s="1388" t="s">
        <v>11164</v>
      </c>
      <c r="CU1377" s="1388" t="s">
        <v>8110</v>
      </c>
      <c r="CV1377" s="1389" t="s">
        <v>8111</v>
      </c>
      <c r="CX1377" s="1379">
        <v>1</v>
      </c>
    </row>
    <row r="1378" spans="91:102" ht="21" customHeight="1" x14ac:dyDescent="0.25">
      <c r="CM1378" s="1377"/>
      <c r="CN1378" s="1388" t="s">
        <v>11174</v>
      </c>
      <c r="CO1378" s="1388" t="s">
        <v>8125</v>
      </c>
      <c r="CP1378" s="1388" t="s">
        <v>8741</v>
      </c>
      <c r="CQ1378" s="1388" t="s">
        <v>11175</v>
      </c>
      <c r="CR1378" s="1388" t="s">
        <v>11175</v>
      </c>
      <c r="CS1378" s="1388" t="s">
        <v>8108</v>
      </c>
      <c r="CT1378" s="1388" t="s">
        <v>11164</v>
      </c>
      <c r="CU1378" s="1388" t="s">
        <v>8110</v>
      </c>
      <c r="CV1378" s="1389" t="s">
        <v>8111</v>
      </c>
      <c r="CX1378" s="1379">
        <v>1</v>
      </c>
    </row>
    <row r="1379" spans="91:102" ht="21" customHeight="1" x14ac:dyDescent="0.25">
      <c r="CM1379" s="1377"/>
      <c r="CN1379" s="1388" t="s">
        <v>11176</v>
      </c>
      <c r="CO1379" s="1388" t="s">
        <v>8125</v>
      </c>
      <c r="CP1379" s="1388" t="s">
        <v>8741</v>
      </c>
      <c r="CQ1379" s="1388" t="s">
        <v>11177</v>
      </c>
      <c r="CR1379" s="1388" t="s">
        <v>11177</v>
      </c>
      <c r="CS1379" s="1388" t="s">
        <v>8108</v>
      </c>
      <c r="CT1379" s="1388" t="s">
        <v>11164</v>
      </c>
      <c r="CU1379" s="1388" t="s">
        <v>8110</v>
      </c>
      <c r="CV1379" s="1389" t="s">
        <v>8111</v>
      </c>
      <c r="CX1379" s="1379">
        <v>1</v>
      </c>
    </row>
    <row r="1380" spans="91:102" ht="21" customHeight="1" x14ac:dyDescent="0.25">
      <c r="CM1380" s="1377"/>
      <c r="CN1380" s="1388" t="s">
        <v>11178</v>
      </c>
      <c r="CO1380" s="1388" t="s">
        <v>8125</v>
      </c>
      <c r="CP1380" s="1388" t="s">
        <v>8741</v>
      </c>
      <c r="CQ1380" s="1388" t="s">
        <v>8768</v>
      </c>
      <c r="CR1380" s="1388" t="s">
        <v>8768</v>
      </c>
      <c r="CS1380" s="1388" t="s">
        <v>8108</v>
      </c>
      <c r="CT1380" s="1388" t="s">
        <v>11164</v>
      </c>
      <c r="CU1380" s="1388" t="s">
        <v>8110</v>
      </c>
      <c r="CV1380" s="1389" t="s">
        <v>8111</v>
      </c>
      <c r="CX1380" s="1379">
        <v>1</v>
      </c>
    </row>
    <row r="1381" spans="91:102" ht="21" customHeight="1" x14ac:dyDescent="0.25">
      <c r="CM1381" s="1377"/>
      <c r="CN1381" s="1388" t="s">
        <v>11179</v>
      </c>
      <c r="CO1381" s="1388" t="s">
        <v>8125</v>
      </c>
      <c r="CP1381" s="1388" t="s">
        <v>8741</v>
      </c>
      <c r="CQ1381" s="1388" t="s">
        <v>11180</v>
      </c>
      <c r="CR1381" s="1388" t="s">
        <v>11181</v>
      </c>
      <c r="CS1381" s="1388" t="s">
        <v>8108</v>
      </c>
      <c r="CT1381" s="1388" t="s">
        <v>11164</v>
      </c>
      <c r="CU1381" s="1388" t="s">
        <v>8110</v>
      </c>
      <c r="CV1381" s="1389" t="s">
        <v>8111</v>
      </c>
      <c r="CX1381" s="1379">
        <v>1</v>
      </c>
    </row>
    <row r="1382" spans="91:102" ht="21" customHeight="1" x14ac:dyDescent="0.25">
      <c r="CM1382" s="1377"/>
      <c r="CN1382" s="1388" t="s">
        <v>11182</v>
      </c>
      <c r="CO1382" s="1388" t="s">
        <v>8125</v>
      </c>
      <c r="CP1382" s="1388" t="s">
        <v>8741</v>
      </c>
      <c r="CQ1382" s="1388" t="s">
        <v>8774</v>
      </c>
      <c r="CR1382" s="1388" t="s">
        <v>8774</v>
      </c>
      <c r="CS1382" s="1388" t="s">
        <v>8108</v>
      </c>
      <c r="CT1382" s="1388" t="s">
        <v>11164</v>
      </c>
      <c r="CU1382" s="1388" t="s">
        <v>8110</v>
      </c>
      <c r="CV1382" s="1389" t="s">
        <v>8111</v>
      </c>
      <c r="CX1382" s="1379">
        <v>1</v>
      </c>
    </row>
    <row r="1383" spans="91:102" ht="21" customHeight="1" x14ac:dyDescent="0.25">
      <c r="CM1383" s="1377"/>
      <c r="CN1383" s="1388" t="s">
        <v>11183</v>
      </c>
      <c r="CO1383" s="1388" t="s">
        <v>8125</v>
      </c>
      <c r="CP1383" s="1388" t="s">
        <v>8741</v>
      </c>
      <c r="CQ1383" s="1388" t="s">
        <v>11184</v>
      </c>
      <c r="CR1383" s="1388" t="s">
        <v>11184</v>
      </c>
      <c r="CS1383" s="1388" t="s">
        <v>8108</v>
      </c>
      <c r="CT1383" s="1388" t="s">
        <v>11164</v>
      </c>
      <c r="CU1383" s="1388" t="s">
        <v>8110</v>
      </c>
      <c r="CV1383" s="1389" t="s">
        <v>8111</v>
      </c>
      <c r="CX1383" s="1379">
        <v>1</v>
      </c>
    </row>
    <row r="1384" spans="91:102" ht="21" customHeight="1" x14ac:dyDescent="0.25">
      <c r="CM1384" s="1377"/>
      <c r="CN1384" s="1388" t="s">
        <v>11185</v>
      </c>
      <c r="CO1384" s="1388" t="s">
        <v>8126</v>
      </c>
      <c r="CP1384" s="1388" t="s">
        <v>8106</v>
      </c>
      <c r="CQ1384" s="1388" t="s">
        <v>11186</v>
      </c>
      <c r="CR1384" s="1388" t="s">
        <v>11186</v>
      </c>
      <c r="CS1384" s="1388" t="s">
        <v>8108</v>
      </c>
      <c r="CT1384" s="1388" t="s">
        <v>11187</v>
      </c>
      <c r="CU1384" s="1388" t="s">
        <v>8110</v>
      </c>
      <c r="CV1384" s="1389" t="s">
        <v>8111</v>
      </c>
      <c r="CX1384" s="1379">
        <v>1</v>
      </c>
    </row>
    <row r="1385" spans="91:102" ht="21" customHeight="1" x14ac:dyDescent="0.25">
      <c r="CM1385" s="1377"/>
      <c r="CN1385" s="1388" t="s">
        <v>11188</v>
      </c>
      <c r="CO1385" s="1388" t="s">
        <v>8126</v>
      </c>
      <c r="CP1385" s="1388" t="s">
        <v>8106</v>
      </c>
      <c r="CQ1385" s="1388" t="s">
        <v>11189</v>
      </c>
      <c r="CR1385" s="1388" t="s">
        <v>11189</v>
      </c>
      <c r="CS1385" s="1388" t="s">
        <v>8108</v>
      </c>
      <c r="CT1385" s="1388" t="s">
        <v>11187</v>
      </c>
      <c r="CU1385" s="1388" t="s">
        <v>8110</v>
      </c>
      <c r="CV1385" s="1389" t="s">
        <v>8111</v>
      </c>
      <c r="CX1385" s="1379">
        <v>1</v>
      </c>
    </row>
    <row r="1386" spans="91:102" ht="21" customHeight="1" x14ac:dyDescent="0.25">
      <c r="CM1386" s="1377"/>
      <c r="CN1386" s="1388" t="s">
        <v>11190</v>
      </c>
      <c r="CO1386" s="1388" t="s">
        <v>8126</v>
      </c>
      <c r="CP1386" s="1388" t="s">
        <v>8106</v>
      </c>
      <c r="CQ1386" s="1388" t="s">
        <v>11191</v>
      </c>
      <c r="CR1386" s="1388" t="s">
        <v>11191</v>
      </c>
      <c r="CS1386" s="1388" t="s">
        <v>8108</v>
      </c>
      <c r="CT1386" s="1388" t="s">
        <v>11187</v>
      </c>
      <c r="CU1386" s="1388" t="s">
        <v>8110</v>
      </c>
      <c r="CV1386" s="1389" t="s">
        <v>8111</v>
      </c>
      <c r="CX1386" s="1379">
        <v>1</v>
      </c>
    </row>
    <row r="1387" spans="91:102" ht="21" customHeight="1" x14ac:dyDescent="0.25">
      <c r="CM1387" s="1377"/>
      <c r="CN1387" s="1388" t="s">
        <v>11192</v>
      </c>
      <c r="CO1387" s="1388" t="s">
        <v>8126</v>
      </c>
      <c r="CP1387" s="1388" t="s">
        <v>8106</v>
      </c>
      <c r="CQ1387" s="1388" t="s">
        <v>11193</v>
      </c>
      <c r="CR1387" s="1388" t="s">
        <v>11194</v>
      </c>
      <c r="CS1387" s="1388" t="s">
        <v>8108</v>
      </c>
      <c r="CT1387" s="1388" t="s">
        <v>11187</v>
      </c>
      <c r="CU1387" s="1388" t="s">
        <v>8110</v>
      </c>
      <c r="CV1387" s="1389" t="s">
        <v>8111</v>
      </c>
      <c r="CX1387" s="1379">
        <v>1</v>
      </c>
    </row>
    <row r="1388" spans="91:102" ht="21" customHeight="1" x14ac:dyDescent="0.25">
      <c r="CM1388" s="1377"/>
      <c r="CN1388" s="1388" t="s">
        <v>11195</v>
      </c>
      <c r="CO1388" s="1388" t="s">
        <v>8126</v>
      </c>
      <c r="CP1388" s="1388" t="s">
        <v>8106</v>
      </c>
      <c r="CQ1388" s="1388" t="s">
        <v>11196</v>
      </c>
      <c r="CR1388" s="1388" t="s">
        <v>11197</v>
      </c>
      <c r="CS1388" s="1388" t="s">
        <v>8108</v>
      </c>
      <c r="CT1388" s="1388" t="s">
        <v>11187</v>
      </c>
      <c r="CU1388" s="1388" t="s">
        <v>8110</v>
      </c>
      <c r="CV1388" s="1389" t="s">
        <v>8111</v>
      </c>
      <c r="CX1388" s="1379">
        <v>1</v>
      </c>
    </row>
    <row r="1389" spans="91:102" ht="21" customHeight="1" x14ac:dyDescent="0.25">
      <c r="CM1389" s="1377"/>
      <c r="CN1389" s="1388" t="s">
        <v>11198</v>
      </c>
      <c r="CO1389" s="1388" t="s">
        <v>8126</v>
      </c>
      <c r="CP1389" s="1388" t="s">
        <v>8106</v>
      </c>
      <c r="CQ1389" s="1388" t="s">
        <v>11199</v>
      </c>
      <c r="CR1389" s="1388" t="s">
        <v>11200</v>
      </c>
      <c r="CS1389" s="1388" t="s">
        <v>8108</v>
      </c>
      <c r="CT1389" s="1388" t="s">
        <v>11187</v>
      </c>
      <c r="CU1389" s="1388" t="s">
        <v>8110</v>
      </c>
      <c r="CV1389" s="1389" t="s">
        <v>8111</v>
      </c>
      <c r="CX1389" s="1379">
        <v>1</v>
      </c>
    </row>
    <row r="1390" spans="91:102" ht="21" customHeight="1" x14ac:dyDescent="0.25">
      <c r="CM1390" s="1377"/>
      <c r="CN1390" s="1388" t="s">
        <v>11201</v>
      </c>
      <c r="CO1390" s="1388" t="s">
        <v>8126</v>
      </c>
      <c r="CP1390" s="1388" t="s">
        <v>8106</v>
      </c>
      <c r="CQ1390" s="1388" t="s">
        <v>11202</v>
      </c>
      <c r="CR1390" s="1388" t="s">
        <v>11202</v>
      </c>
      <c r="CS1390" s="1388" t="s">
        <v>8108</v>
      </c>
      <c r="CT1390" s="1388" t="s">
        <v>11187</v>
      </c>
      <c r="CU1390" s="1388" t="s">
        <v>8110</v>
      </c>
      <c r="CV1390" s="1389" t="s">
        <v>8111</v>
      </c>
      <c r="CX1390" s="1379">
        <v>1</v>
      </c>
    </row>
    <row r="1391" spans="91:102" ht="21" customHeight="1" x14ac:dyDescent="0.25">
      <c r="CM1391" s="1377"/>
      <c r="CN1391" s="1388" t="s">
        <v>11203</v>
      </c>
      <c r="CO1391" s="1388" t="s">
        <v>8126</v>
      </c>
      <c r="CP1391" s="1388" t="s">
        <v>8106</v>
      </c>
      <c r="CQ1391" s="1388" t="s">
        <v>11204</v>
      </c>
      <c r="CR1391" s="1388" t="s">
        <v>11204</v>
      </c>
      <c r="CS1391" s="1388" t="s">
        <v>8194</v>
      </c>
      <c r="CT1391" s="1388" t="s">
        <v>8195</v>
      </c>
      <c r="CU1391" s="1388" t="s">
        <v>8110</v>
      </c>
      <c r="CV1391" s="1389" t="s">
        <v>8196</v>
      </c>
      <c r="CX1391" s="1379">
        <v>1</v>
      </c>
    </row>
    <row r="1392" spans="91:102" ht="21" customHeight="1" x14ac:dyDescent="0.25">
      <c r="CM1392" s="1377"/>
      <c r="CN1392" s="1388" t="s">
        <v>11205</v>
      </c>
      <c r="CO1392" s="1388" t="s">
        <v>8126</v>
      </c>
      <c r="CP1392" s="1388" t="s">
        <v>8106</v>
      </c>
      <c r="CQ1392" s="1388" t="s">
        <v>11206</v>
      </c>
      <c r="CR1392" s="1388" t="s">
        <v>11206</v>
      </c>
      <c r="CS1392" s="1388" t="s">
        <v>8194</v>
      </c>
      <c r="CT1392" s="1388" t="s">
        <v>8195</v>
      </c>
      <c r="CU1392" s="1388" t="s">
        <v>8110</v>
      </c>
      <c r="CV1392" s="1389" t="s">
        <v>8196</v>
      </c>
      <c r="CX1392" s="1379">
        <v>1</v>
      </c>
    </row>
    <row r="1393" spans="91:102" ht="21" customHeight="1" x14ac:dyDescent="0.25">
      <c r="CM1393" s="1377"/>
      <c r="CN1393" s="1388" t="s">
        <v>11207</v>
      </c>
      <c r="CO1393" s="1388" t="s">
        <v>8126</v>
      </c>
      <c r="CP1393" s="1388" t="s">
        <v>8106</v>
      </c>
      <c r="CQ1393" s="1388" t="s">
        <v>11208</v>
      </c>
      <c r="CR1393" s="1388" t="s">
        <v>11208</v>
      </c>
      <c r="CS1393" s="1388" t="s">
        <v>8194</v>
      </c>
      <c r="CT1393" s="1388" t="s">
        <v>8195</v>
      </c>
      <c r="CU1393" s="1388" t="s">
        <v>8110</v>
      </c>
      <c r="CV1393" s="1389" t="s">
        <v>8196</v>
      </c>
      <c r="CX1393" s="1379">
        <v>1</v>
      </c>
    </row>
    <row r="1394" spans="91:102" ht="21" customHeight="1" x14ac:dyDescent="0.25">
      <c r="CM1394" s="1377"/>
      <c r="CN1394" s="1388" t="s">
        <v>11209</v>
      </c>
      <c r="CO1394" s="1388" t="s">
        <v>8126</v>
      </c>
      <c r="CP1394" s="1388" t="s">
        <v>8106</v>
      </c>
      <c r="CQ1394" s="1388" t="s">
        <v>11210</v>
      </c>
      <c r="CR1394" s="1388" t="s">
        <v>11210</v>
      </c>
      <c r="CS1394" s="1388" t="s">
        <v>8108</v>
      </c>
      <c r="CT1394" s="1388" t="s">
        <v>11187</v>
      </c>
      <c r="CU1394" s="1388" t="s">
        <v>8110</v>
      </c>
      <c r="CV1394" s="1389" t="s">
        <v>8111</v>
      </c>
      <c r="CX1394" s="1379">
        <v>1</v>
      </c>
    </row>
    <row r="1395" spans="91:102" ht="21" customHeight="1" x14ac:dyDescent="0.25">
      <c r="CM1395" s="1377"/>
      <c r="CN1395" s="1388" t="s">
        <v>11211</v>
      </c>
      <c r="CO1395" s="1388" t="s">
        <v>8126</v>
      </c>
      <c r="CP1395" s="1388" t="s">
        <v>8106</v>
      </c>
      <c r="CQ1395" s="1388" t="s">
        <v>11212</v>
      </c>
      <c r="CR1395" s="1388" t="s">
        <v>11213</v>
      </c>
      <c r="CS1395" s="1388" t="s">
        <v>8108</v>
      </c>
      <c r="CT1395" s="1388" t="s">
        <v>11187</v>
      </c>
      <c r="CU1395" s="1388" t="s">
        <v>8110</v>
      </c>
      <c r="CV1395" s="1389" t="s">
        <v>8111</v>
      </c>
      <c r="CX1395" s="1379">
        <v>1</v>
      </c>
    </row>
    <row r="1396" spans="91:102" ht="21" customHeight="1" x14ac:dyDescent="0.25">
      <c r="CM1396" s="1377"/>
      <c r="CN1396" s="1388" t="s">
        <v>11214</v>
      </c>
      <c r="CO1396" s="1388" t="s">
        <v>8126</v>
      </c>
      <c r="CP1396" s="1388" t="s">
        <v>8106</v>
      </c>
      <c r="CQ1396" s="1388" t="s">
        <v>11215</v>
      </c>
      <c r="CR1396" s="1388" t="s">
        <v>11215</v>
      </c>
      <c r="CS1396" s="1388" t="s">
        <v>8108</v>
      </c>
      <c r="CT1396" s="1388" t="s">
        <v>11187</v>
      </c>
      <c r="CU1396" s="1388" t="s">
        <v>8110</v>
      </c>
      <c r="CV1396" s="1389" t="s">
        <v>8111</v>
      </c>
      <c r="CX1396" s="1379">
        <v>1</v>
      </c>
    </row>
    <row r="1397" spans="91:102" ht="21" customHeight="1" x14ac:dyDescent="0.25">
      <c r="CM1397" s="1377"/>
      <c r="CN1397" s="1388" t="s">
        <v>11216</v>
      </c>
      <c r="CO1397" s="1388" t="s">
        <v>8126</v>
      </c>
      <c r="CP1397" s="1388" t="s">
        <v>8106</v>
      </c>
      <c r="CQ1397" s="1388" t="s">
        <v>11217</v>
      </c>
      <c r="CR1397" s="1388" t="s">
        <v>11217</v>
      </c>
      <c r="CS1397" s="1388" t="s">
        <v>8194</v>
      </c>
      <c r="CT1397" s="1388" t="s">
        <v>8195</v>
      </c>
      <c r="CU1397" s="1388" t="s">
        <v>8110</v>
      </c>
      <c r="CV1397" s="1389" t="s">
        <v>8196</v>
      </c>
      <c r="CX1397" s="1379">
        <v>1</v>
      </c>
    </row>
    <row r="1398" spans="91:102" ht="21" customHeight="1" x14ac:dyDescent="0.25">
      <c r="CM1398" s="1377"/>
      <c r="CN1398" s="1388" t="s">
        <v>11218</v>
      </c>
      <c r="CO1398" s="1388" t="s">
        <v>8126</v>
      </c>
      <c r="CP1398" s="1388" t="s">
        <v>8106</v>
      </c>
      <c r="CQ1398" s="1388" t="s">
        <v>11219</v>
      </c>
      <c r="CR1398" s="1388" t="s">
        <v>11219</v>
      </c>
      <c r="CS1398" s="1388" t="s">
        <v>8108</v>
      </c>
      <c r="CT1398" s="1388" t="s">
        <v>11187</v>
      </c>
      <c r="CU1398" s="1388" t="s">
        <v>8110</v>
      </c>
      <c r="CV1398" s="1389" t="s">
        <v>8111</v>
      </c>
      <c r="CX1398" s="1379">
        <v>1</v>
      </c>
    </row>
    <row r="1399" spans="91:102" ht="21" customHeight="1" x14ac:dyDescent="0.25">
      <c r="CM1399" s="1377"/>
      <c r="CN1399" s="1388" t="s">
        <v>11220</v>
      </c>
      <c r="CO1399" s="1388" t="s">
        <v>8126</v>
      </c>
      <c r="CP1399" s="1388" t="s">
        <v>8106</v>
      </c>
      <c r="CQ1399" s="1388" t="s">
        <v>11221</v>
      </c>
      <c r="CR1399" s="1388" t="s">
        <v>11222</v>
      </c>
      <c r="CS1399" s="1388" t="s">
        <v>8108</v>
      </c>
      <c r="CT1399" s="1388" t="s">
        <v>11187</v>
      </c>
      <c r="CU1399" s="1388" t="s">
        <v>8110</v>
      </c>
      <c r="CV1399" s="1389" t="s">
        <v>8111</v>
      </c>
      <c r="CX1399" s="1379">
        <v>1</v>
      </c>
    </row>
    <row r="1400" spans="91:102" ht="21" customHeight="1" x14ac:dyDescent="0.25">
      <c r="CM1400" s="1377"/>
      <c r="CN1400" s="1388" t="s">
        <v>11223</v>
      </c>
      <c r="CO1400" s="1388" t="s">
        <v>8126</v>
      </c>
      <c r="CP1400" s="1388" t="s">
        <v>8106</v>
      </c>
      <c r="CQ1400" s="1388" t="s">
        <v>11224</v>
      </c>
      <c r="CR1400" s="1388" t="s">
        <v>11225</v>
      </c>
      <c r="CS1400" s="1388" t="s">
        <v>8108</v>
      </c>
      <c r="CT1400" s="1388" t="s">
        <v>11187</v>
      </c>
      <c r="CU1400" s="1388" t="s">
        <v>8110</v>
      </c>
      <c r="CV1400" s="1389" t="s">
        <v>8111</v>
      </c>
      <c r="CX1400" s="1379">
        <v>1</v>
      </c>
    </row>
    <row r="1401" spans="91:102" ht="21" customHeight="1" x14ac:dyDescent="0.25">
      <c r="CM1401" s="1377"/>
      <c r="CN1401" s="1388" t="s">
        <v>11226</v>
      </c>
      <c r="CO1401" s="1388" t="s">
        <v>8126</v>
      </c>
      <c r="CP1401" s="1388" t="s">
        <v>8106</v>
      </c>
      <c r="CQ1401" s="1388" t="s">
        <v>11227</v>
      </c>
      <c r="CR1401" s="1388" t="s">
        <v>11227</v>
      </c>
      <c r="CS1401" s="1388" t="s">
        <v>8108</v>
      </c>
      <c r="CT1401" s="1388" t="s">
        <v>11187</v>
      </c>
      <c r="CU1401" s="1388" t="s">
        <v>8110</v>
      </c>
      <c r="CV1401" s="1389" t="s">
        <v>8111</v>
      </c>
      <c r="CX1401" s="1379">
        <v>1</v>
      </c>
    </row>
    <row r="1402" spans="91:102" ht="21" customHeight="1" x14ac:dyDescent="0.25">
      <c r="CM1402" s="1377"/>
      <c r="CN1402" s="1388" t="s">
        <v>11228</v>
      </c>
      <c r="CO1402" s="1388" t="s">
        <v>8126</v>
      </c>
      <c r="CP1402" s="1388" t="s">
        <v>8106</v>
      </c>
      <c r="CQ1402" s="1388" t="s">
        <v>11229</v>
      </c>
      <c r="CR1402" s="1388" t="s">
        <v>11230</v>
      </c>
      <c r="CS1402" s="1388" t="s">
        <v>8108</v>
      </c>
      <c r="CT1402" s="1388" t="s">
        <v>11187</v>
      </c>
      <c r="CU1402" s="1388" t="s">
        <v>8110</v>
      </c>
      <c r="CV1402" s="1389" t="s">
        <v>8111</v>
      </c>
      <c r="CX1402" s="1379">
        <v>1</v>
      </c>
    </row>
    <row r="1403" spans="91:102" ht="21" customHeight="1" x14ac:dyDescent="0.25">
      <c r="CM1403" s="1377"/>
      <c r="CN1403" s="1388" t="s">
        <v>11231</v>
      </c>
      <c r="CO1403" s="1388" t="s">
        <v>8126</v>
      </c>
      <c r="CP1403" s="1388" t="s">
        <v>8106</v>
      </c>
      <c r="CQ1403" s="1388" t="s">
        <v>11232</v>
      </c>
      <c r="CR1403" s="1388" t="s">
        <v>11233</v>
      </c>
      <c r="CS1403" s="1388" t="s">
        <v>8108</v>
      </c>
      <c r="CT1403" s="1388" t="s">
        <v>11187</v>
      </c>
      <c r="CU1403" s="1388" t="s">
        <v>8110</v>
      </c>
      <c r="CV1403" s="1389" t="s">
        <v>8111</v>
      </c>
      <c r="CX1403" s="1379">
        <v>1</v>
      </c>
    </row>
    <row r="1404" spans="91:102" ht="21" customHeight="1" x14ac:dyDescent="0.25">
      <c r="CM1404" s="1377"/>
      <c r="CN1404" s="1388" t="s">
        <v>11234</v>
      </c>
      <c r="CO1404" s="1388" t="s">
        <v>8126</v>
      </c>
      <c r="CP1404" s="1388" t="s">
        <v>8106</v>
      </c>
      <c r="CQ1404" s="1388" t="s">
        <v>11235</v>
      </c>
      <c r="CR1404" s="1388" t="s">
        <v>11235</v>
      </c>
      <c r="CS1404" s="1388" t="s">
        <v>8108</v>
      </c>
      <c r="CT1404" s="1388" t="s">
        <v>11187</v>
      </c>
      <c r="CU1404" s="1388" t="s">
        <v>8110</v>
      </c>
      <c r="CV1404" s="1389" t="s">
        <v>8111</v>
      </c>
      <c r="CX1404" s="1379">
        <v>1</v>
      </c>
    </row>
    <row r="1405" spans="91:102" ht="21" customHeight="1" x14ac:dyDescent="0.25">
      <c r="CM1405" s="1377"/>
      <c r="CN1405" s="1388" t="s">
        <v>11236</v>
      </c>
      <c r="CO1405" s="1388" t="s">
        <v>8127</v>
      </c>
      <c r="CP1405" s="1388" t="s">
        <v>8106</v>
      </c>
      <c r="CQ1405" s="1388" t="s">
        <v>11237</v>
      </c>
      <c r="CR1405" s="1388" t="s">
        <v>11237</v>
      </c>
      <c r="CS1405" s="1388" t="s">
        <v>8108</v>
      </c>
      <c r="CT1405" s="1388" t="s">
        <v>11238</v>
      </c>
      <c r="CU1405" s="1388" t="s">
        <v>8110</v>
      </c>
      <c r="CV1405" s="1389" t="s">
        <v>8111</v>
      </c>
      <c r="CX1405" s="1379">
        <v>1</v>
      </c>
    </row>
    <row r="1406" spans="91:102" ht="21" customHeight="1" x14ac:dyDescent="0.25">
      <c r="CM1406" s="1377"/>
      <c r="CN1406" s="1388" t="s">
        <v>11239</v>
      </c>
      <c r="CO1406" s="1388" t="s">
        <v>8127</v>
      </c>
      <c r="CP1406" s="1388" t="s">
        <v>8106</v>
      </c>
      <c r="CQ1406" s="1388" t="s">
        <v>11240</v>
      </c>
      <c r="CR1406" s="1388" t="s">
        <v>11241</v>
      </c>
      <c r="CS1406" s="1388" t="s">
        <v>8108</v>
      </c>
      <c r="CT1406" s="1388" t="s">
        <v>11238</v>
      </c>
      <c r="CU1406" s="1388" t="s">
        <v>8110</v>
      </c>
      <c r="CV1406" s="1389" t="s">
        <v>8111</v>
      </c>
      <c r="CX1406" s="1379">
        <v>1</v>
      </c>
    </row>
    <row r="1407" spans="91:102" ht="21" customHeight="1" x14ac:dyDescent="0.25">
      <c r="CM1407" s="1377"/>
      <c r="CN1407" s="1388" t="s">
        <v>11242</v>
      </c>
      <c r="CO1407" s="1388" t="s">
        <v>8127</v>
      </c>
      <c r="CP1407" s="1388" t="s">
        <v>8106</v>
      </c>
      <c r="CQ1407" s="1388" t="s">
        <v>11243</v>
      </c>
      <c r="CR1407" s="1388" t="s">
        <v>11244</v>
      </c>
      <c r="CS1407" s="1388" t="s">
        <v>8108</v>
      </c>
      <c r="CT1407" s="1388" t="s">
        <v>11238</v>
      </c>
      <c r="CU1407" s="1388" t="s">
        <v>8110</v>
      </c>
      <c r="CV1407" s="1389" t="s">
        <v>8111</v>
      </c>
      <c r="CX1407" s="1379">
        <v>1</v>
      </c>
    </row>
    <row r="1408" spans="91:102" ht="21" customHeight="1" x14ac:dyDescent="0.25">
      <c r="CM1408" s="1377"/>
      <c r="CN1408" s="1388" t="s">
        <v>11245</v>
      </c>
      <c r="CO1408" s="1388" t="s">
        <v>8127</v>
      </c>
      <c r="CP1408" s="1388" t="s">
        <v>8106</v>
      </c>
      <c r="CQ1408" s="1388" t="s">
        <v>11246</v>
      </c>
      <c r="CR1408" s="1388" t="s">
        <v>11246</v>
      </c>
      <c r="CS1408" s="1388" t="s">
        <v>8108</v>
      </c>
      <c r="CT1408" s="1388" t="s">
        <v>11238</v>
      </c>
      <c r="CU1408" s="1388" t="s">
        <v>8110</v>
      </c>
      <c r="CV1408" s="1389" t="s">
        <v>8111</v>
      </c>
      <c r="CX1408" s="1379">
        <v>1</v>
      </c>
    </row>
    <row r="1409" spans="91:102" ht="21" customHeight="1" x14ac:dyDescent="0.25">
      <c r="CM1409" s="1377"/>
      <c r="CN1409" s="1388" t="s">
        <v>11247</v>
      </c>
      <c r="CO1409" s="1388" t="s">
        <v>8127</v>
      </c>
      <c r="CP1409" s="1388" t="s">
        <v>8106</v>
      </c>
      <c r="CQ1409" s="1388" t="s">
        <v>11248</v>
      </c>
      <c r="CR1409" s="1388" t="s">
        <v>11249</v>
      </c>
      <c r="CS1409" s="1388" t="s">
        <v>8108</v>
      </c>
      <c r="CT1409" s="1388" t="s">
        <v>11238</v>
      </c>
      <c r="CU1409" s="1388" t="s">
        <v>8110</v>
      </c>
      <c r="CV1409" s="1389" t="s">
        <v>8111</v>
      </c>
      <c r="CX1409" s="1379">
        <v>1</v>
      </c>
    </row>
    <row r="1410" spans="91:102" ht="21" customHeight="1" x14ac:dyDescent="0.25">
      <c r="CM1410" s="1377"/>
      <c r="CN1410" s="1388" t="s">
        <v>11250</v>
      </c>
      <c r="CO1410" s="1388" t="s">
        <v>8127</v>
      </c>
      <c r="CP1410" s="1388" t="s">
        <v>8106</v>
      </c>
      <c r="CQ1410" s="1388" t="s">
        <v>11251</v>
      </c>
      <c r="CR1410" s="1388" t="s">
        <v>11251</v>
      </c>
      <c r="CS1410" s="1388" t="s">
        <v>8108</v>
      </c>
      <c r="CT1410" s="1388" t="s">
        <v>11238</v>
      </c>
      <c r="CU1410" s="1388" t="s">
        <v>8110</v>
      </c>
      <c r="CV1410" s="1389" t="s">
        <v>8111</v>
      </c>
      <c r="CX1410" s="1379">
        <v>1</v>
      </c>
    </row>
    <row r="1411" spans="91:102" ht="21" customHeight="1" x14ac:dyDescent="0.25">
      <c r="CM1411" s="1377"/>
      <c r="CN1411" s="1388" t="s">
        <v>11252</v>
      </c>
      <c r="CO1411" s="1388" t="s">
        <v>8127</v>
      </c>
      <c r="CP1411" s="1388" t="s">
        <v>8106</v>
      </c>
      <c r="CQ1411" s="1388" t="s">
        <v>11253</v>
      </c>
      <c r="CR1411" s="1388" t="s">
        <v>11253</v>
      </c>
      <c r="CS1411" s="1388" t="s">
        <v>8108</v>
      </c>
      <c r="CT1411" s="1388" t="s">
        <v>11238</v>
      </c>
      <c r="CU1411" s="1388" t="s">
        <v>8110</v>
      </c>
      <c r="CV1411" s="1389" t="s">
        <v>8111</v>
      </c>
      <c r="CX1411" s="1379">
        <v>1</v>
      </c>
    </row>
    <row r="1412" spans="91:102" ht="21" customHeight="1" x14ac:dyDescent="0.25">
      <c r="CM1412" s="1377"/>
      <c r="CN1412" s="1388" t="s">
        <v>11254</v>
      </c>
      <c r="CO1412" s="1388" t="s">
        <v>8127</v>
      </c>
      <c r="CP1412" s="1388" t="s">
        <v>8106</v>
      </c>
      <c r="CQ1412" s="1388" t="s">
        <v>11255</v>
      </c>
      <c r="CR1412" s="1388" t="s">
        <v>11256</v>
      </c>
      <c r="CS1412" s="1388" t="s">
        <v>8108</v>
      </c>
      <c r="CT1412" s="1388" t="s">
        <v>11238</v>
      </c>
      <c r="CU1412" s="1388" t="s">
        <v>8110</v>
      </c>
      <c r="CV1412" s="1389" t="s">
        <v>8111</v>
      </c>
      <c r="CX1412" s="1379">
        <v>1</v>
      </c>
    </row>
    <row r="1413" spans="91:102" ht="21" customHeight="1" x14ac:dyDescent="0.25">
      <c r="CM1413" s="1377"/>
      <c r="CN1413" s="1388" t="s">
        <v>11257</v>
      </c>
      <c r="CO1413" s="1388" t="s">
        <v>8127</v>
      </c>
      <c r="CP1413" s="1388" t="s">
        <v>8106</v>
      </c>
      <c r="CQ1413" s="1388" t="s">
        <v>11258</v>
      </c>
      <c r="CR1413" s="1388" t="s">
        <v>11259</v>
      </c>
      <c r="CS1413" s="1388" t="s">
        <v>8108</v>
      </c>
      <c r="CT1413" s="1388" t="s">
        <v>11238</v>
      </c>
      <c r="CU1413" s="1388" t="s">
        <v>8110</v>
      </c>
      <c r="CV1413" s="1389" t="s">
        <v>8111</v>
      </c>
      <c r="CX1413" s="1379">
        <v>1</v>
      </c>
    </row>
    <row r="1414" spans="91:102" ht="21" customHeight="1" x14ac:dyDescent="0.25">
      <c r="CM1414" s="1377"/>
      <c r="CN1414" s="1388" t="s">
        <v>11260</v>
      </c>
      <c r="CO1414" s="1388" t="s">
        <v>8127</v>
      </c>
      <c r="CP1414" s="1388" t="s">
        <v>8106</v>
      </c>
      <c r="CQ1414" s="1388" t="s">
        <v>11261</v>
      </c>
      <c r="CR1414" s="1388" t="s">
        <v>11261</v>
      </c>
      <c r="CS1414" s="1388" t="s">
        <v>8108</v>
      </c>
      <c r="CT1414" s="1388" t="s">
        <v>11238</v>
      </c>
      <c r="CU1414" s="1388" t="s">
        <v>8110</v>
      </c>
      <c r="CV1414" s="1389" t="s">
        <v>8111</v>
      </c>
      <c r="CX1414" s="1379">
        <v>1</v>
      </c>
    </row>
    <row r="1415" spans="91:102" ht="21" customHeight="1" x14ac:dyDescent="0.25">
      <c r="CM1415" s="1377"/>
      <c r="CN1415" s="1388" t="s">
        <v>11262</v>
      </c>
      <c r="CO1415" s="1388" t="s">
        <v>8127</v>
      </c>
      <c r="CP1415" s="1388" t="s">
        <v>8106</v>
      </c>
      <c r="CQ1415" s="1388" t="s">
        <v>11263</v>
      </c>
      <c r="CR1415" s="1388" t="s">
        <v>11263</v>
      </c>
      <c r="CS1415" s="1388" t="s">
        <v>8108</v>
      </c>
      <c r="CT1415" s="1388" t="s">
        <v>11238</v>
      </c>
      <c r="CU1415" s="1388" t="s">
        <v>8110</v>
      </c>
      <c r="CV1415" s="1389" t="s">
        <v>8111</v>
      </c>
      <c r="CX1415" s="1379">
        <v>1</v>
      </c>
    </row>
    <row r="1416" spans="91:102" ht="21" customHeight="1" x14ac:dyDescent="0.25">
      <c r="CM1416" s="1377"/>
      <c r="CN1416" s="1388" t="s">
        <v>11264</v>
      </c>
      <c r="CO1416" s="1388" t="s">
        <v>8127</v>
      </c>
      <c r="CP1416" s="1388" t="s">
        <v>8106</v>
      </c>
      <c r="CQ1416" s="1388" t="s">
        <v>11265</v>
      </c>
      <c r="CR1416" s="1388" t="s">
        <v>11265</v>
      </c>
      <c r="CS1416" s="1388" t="s">
        <v>8108</v>
      </c>
      <c r="CT1416" s="1388" t="s">
        <v>11238</v>
      </c>
      <c r="CU1416" s="1388" t="s">
        <v>8110</v>
      </c>
      <c r="CV1416" s="1389" t="s">
        <v>8111</v>
      </c>
      <c r="CX1416" s="1379">
        <v>1</v>
      </c>
    </row>
    <row r="1417" spans="91:102" ht="21" customHeight="1" x14ac:dyDescent="0.25">
      <c r="CM1417" s="1377"/>
      <c r="CN1417" s="1388" t="s">
        <v>11266</v>
      </c>
      <c r="CO1417" s="1388" t="s">
        <v>8127</v>
      </c>
      <c r="CP1417" s="1388" t="s">
        <v>8106</v>
      </c>
      <c r="CQ1417" s="1388" t="s">
        <v>11267</v>
      </c>
      <c r="CR1417" s="1388" t="s">
        <v>11267</v>
      </c>
      <c r="CS1417" s="1388" t="s">
        <v>8108</v>
      </c>
      <c r="CT1417" s="1388" t="s">
        <v>11238</v>
      </c>
      <c r="CU1417" s="1388" t="s">
        <v>8110</v>
      </c>
      <c r="CV1417" s="1389" t="s">
        <v>8111</v>
      </c>
      <c r="CX1417" s="1379">
        <v>1</v>
      </c>
    </row>
    <row r="1418" spans="91:102" ht="21" customHeight="1" x14ac:dyDescent="0.25">
      <c r="CM1418" s="1377"/>
      <c r="CN1418" s="1388" t="s">
        <v>11268</v>
      </c>
      <c r="CO1418" s="1388" t="s">
        <v>8127</v>
      </c>
      <c r="CP1418" s="1388" t="s">
        <v>8106</v>
      </c>
      <c r="CQ1418" s="1388" t="s">
        <v>11269</v>
      </c>
      <c r="CR1418" s="1388" t="s">
        <v>11270</v>
      </c>
      <c r="CS1418" s="1388" t="s">
        <v>8108</v>
      </c>
      <c r="CT1418" s="1388" t="s">
        <v>11238</v>
      </c>
      <c r="CU1418" s="1388" t="s">
        <v>8110</v>
      </c>
      <c r="CV1418" s="1389" t="s">
        <v>8111</v>
      </c>
      <c r="CX1418" s="1379">
        <v>1</v>
      </c>
    </row>
    <row r="1419" spans="91:102" ht="21" customHeight="1" x14ac:dyDescent="0.25">
      <c r="CM1419" s="1377"/>
      <c r="CN1419" s="1388" t="s">
        <v>11271</v>
      </c>
      <c r="CO1419" s="1388" t="s">
        <v>8127</v>
      </c>
      <c r="CP1419" s="1388" t="s">
        <v>8106</v>
      </c>
      <c r="CQ1419" s="1388" t="s">
        <v>11272</v>
      </c>
      <c r="CR1419" s="1388" t="s">
        <v>11272</v>
      </c>
      <c r="CS1419" s="1388" t="s">
        <v>8108</v>
      </c>
      <c r="CT1419" s="1388" t="s">
        <v>11238</v>
      </c>
      <c r="CU1419" s="1388" t="s">
        <v>8110</v>
      </c>
      <c r="CV1419" s="1389" t="s">
        <v>8111</v>
      </c>
      <c r="CX1419" s="1379">
        <v>1</v>
      </c>
    </row>
    <row r="1420" spans="91:102" ht="21" customHeight="1" x14ac:dyDescent="0.25">
      <c r="CM1420" s="1377"/>
      <c r="CN1420" s="1388" t="s">
        <v>11273</v>
      </c>
      <c r="CO1420" s="1388" t="s">
        <v>8127</v>
      </c>
      <c r="CP1420" s="1388" t="s">
        <v>8106</v>
      </c>
      <c r="CQ1420" s="1388" t="s">
        <v>11274</v>
      </c>
      <c r="CR1420" s="1388" t="s">
        <v>11274</v>
      </c>
      <c r="CS1420" s="1388" t="s">
        <v>8108</v>
      </c>
      <c r="CT1420" s="1388" t="s">
        <v>11238</v>
      </c>
      <c r="CU1420" s="1388" t="s">
        <v>8110</v>
      </c>
      <c r="CV1420" s="1389" t="s">
        <v>8111</v>
      </c>
      <c r="CX1420" s="1379">
        <v>1</v>
      </c>
    </row>
    <row r="1421" spans="91:102" ht="21" customHeight="1" x14ac:dyDescent="0.25">
      <c r="CM1421" s="1377"/>
      <c r="CN1421" s="1388" t="s">
        <v>11275</v>
      </c>
      <c r="CO1421" s="1388" t="s">
        <v>8127</v>
      </c>
      <c r="CP1421" s="1388" t="s">
        <v>8106</v>
      </c>
      <c r="CQ1421" s="1388" t="s">
        <v>11276</v>
      </c>
      <c r="CR1421" s="1388" t="s">
        <v>11276</v>
      </c>
      <c r="CS1421" s="1388" t="s">
        <v>8108</v>
      </c>
      <c r="CT1421" s="1388" t="s">
        <v>11238</v>
      </c>
      <c r="CU1421" s="1388" t="s">
        <v>8110</v>
      </c>
      <c r="CV1421" s="1389" t="s">
        <v>8111</v>
      </c>
      <c r="CX1421" s="1379">
        <v>1</v>
      </c>
    </row>
    <row r="1422" spans="91:102" ht="21" customHeight="1" x14ac:dyDescent="0.25">
      <c r="CM1422" s="1377"/>
      <c r="CN1422" s="1388" t="s">
        <v>11277</v>
      </c>
      <c r="CO1422" s="1388" t="s">
        <v>8127</v>
      </c>
      <c r="CP1422" s="1388" t="s">
        <v>8106</v>
      </c>
      <c r="CQ1422" s="1388" t="s">
        <v>11278</v>
      </c>
      <c r="CR1422" s="1388" t="s">
        <v>11279</v>
      </c>
      <c r="CS1422" s="1388" t="s">
        <v>8108</v>
      </c>
      <c r="CT1422" s="1388" t="s">
        <v>11238</v>
      </c>
      <c r="CU1422" s="1388" t="s">
        <v>8110</v>
      </c>
      <c r="CV1422" s="1389" t="s">
        <v>8111</v>
      </c>
      <c r="CX1422" s="1379">
        <v>1</v>
      </c>
    </row>
    <row r="1423" spans="91:102" ht="21" customHeight="1" x14ac:dyDescent="0.25">
      <c r="CM1423" s="1377"/>
      <c r="CN1423" s="1388" t="s">
        <v>11280</v>
      </c>
      <c r="CO1423" s="1388" t="s">
        <v>8127</v>
      </c>
      <c r="CP1423" s="1388" t="s">
        <v>8106</v>
      </c>
      <c r="CQ1423" s="1388" t="s">
        <v>11281</v>
      </c>
      <c r="CR1423" s="1388" t="s">
        <v>11282</v>
      </c>
      <c r="CS1423" s="1388" t="s">
        <v>8108</v>
      </c>
      <c r="CT1423" s="1388" t="s">
        <v>11238</v>
      </c>
      <c r="CU1423" s="1388" t="s">
        <v>8110</v>
      </c>
      <c r="CV1423" s="1389" t="s">
        <v>8111</v>
      </c>
      <c r="CX1423" s="1379">
        <v>1</v>
      </c>
    </row>
    <row r="1424" spans="91:102" ht="21" customHeight="1" x14ac:dyDescent="0.25">
      <c r="CM1424" s="1377"/>
      <c r="CN1424" s="1388" t="s">
        <v>11283</v>
      </c>
      <c r="CO1424" s="1388" t="s">
        <v>8127</v>
      </c>
      <c r="CP1424" s="1388" t="s">
        <v>8106</v>
      </c>
      <c r="CQ1424" s="1388" t="s">
        <v>11284</v>
      </c>
      <c r="CR1424" s="1388" t="s">
        <v>11285</v>
      </c>
      <c r="CS1424" s="1388" t="s">
        <v>8108</v>
      </c>
      <c r="CT1424" s="1388" t="s">
        <v>11238</v>
      </c>
      <c r="CU1424" s="1388" t="s">
        <v>8110</v>
      </c>
      <c r="CV1424" s="1389" t="s">
        <v>8111</v>
      </c>
      <c r="CX1424" s="1379">
        <v>1</v>
      </c>
    </row>
    <row r="1425" spans="91:102" ht="21" customHeight="1" x14ac:dyDescent="0.25">
      <c r="CM1425" s="1377"/>
      <c r="CN1425" s="1388" t="s">
        <v>11286</v>
      </c>
      <c r="CO1425" s="1388" t="s">
        <v>8127</v>
      </c>
      <c r="CP1425" s="1388" t="s">
        <v>8106</v>
      </c>
      <c r="CQ1425" s="1388" t="s">
        <v>11287</v>
      </c>
      <c r="CR1425" s="1388" t="s">
        <v>11288</v>
      </c>
      <c r="CS1425" s="1388" t="s">
        <v>8108</v>
      </c>
      <c r="CT1425" s="1388" t="s">
        <v>11238</v>
      </c>
      <c r="CU1425" s="1388" t="s">
        <v>8110</v>
      </c>
      <c r="CV1425" s="1389" t="s">
        <v>8111</v>
      </c>
      <c r="CX1425" s="1379">
        <v>1</v>
      </c>
    </row>
    <row r="1426" spans="91:102" ht="21" customHeight="1" x14ac:dyDescent="0.25">
      <c r="CM1426" s="1377"/>
      <c r="CN1426" s="1388" t="s">
        <v>11289</v>
      </c>
      <c r="CO1426" s="1388" t="s">
        <v>8127</v>
      </c>
      <c r="CP1426" s="1388" t="s">
        <v>8106</v>
      </c>
      <c r="CQ1426" s="1388" t="s">
        <v>8772</v>
      </c>
      <c r="CR1426" s="1388" t="s">
        <v>8772</v>
      </c>
      <c r="CS1426" s="1388" t="s">
        <v>8108</v>
      </c>
      <c r="CT1426" s="1388" t="s">
        <v>11238</v>
      </c>
      <c r="CU1426" s="1388" t="s">
        <v>8110</v>
      </c>
      <c r="CV1426" s="1389" t="s">
        <v>8111</v>
      </c>
      <c r="CX1426" s="1379">
        <v>1</v>
      </c>
    </row>
    <row r="1427" spans="91:102" ht="21" customHeight="1" x14ac:dyDescent="0.25">
      <c r="CM1427" s="1377"/>
      <c r="CN1427" s="1388" t="s">
        <v>11290</v>
      </c>
      <c r="CO1427" s="1388" t="s">
        <v>8127</v>
      </c>
      <c r="CP1427" s="1388" t="s">
        <v>8106</v>
      </c>
      <c r="CQ1427" s="1388" t="s">
        <v>8779</v>
      </c>
      <c r="CR1427" s="1388" t="s">
        <v>8779</v>
      </c>
      <c r="CS1427" s="1388" t="s">
        <v>8108</v>
      </c>
      <c r="CT1427" s="1388" t="s">
        <v>11238</v>
      </c>
      <c r="CU1427" s="1388" t="s">
        <v>8110</v>
      </c>
      <c r="CV1427" s="1389" t="s">
        <v>8111</v>
      </c>
      <c r="CX1427" s="1379">
        <v>1</v>
      </c>
    </row>
    <row r="1428" spans="91:102" ht="21" customHeight="1" x14ac:dyDescent="0.25">
      <c r="CM1428" s="1377"/>
      <c r="CN1428" s="1388" t="s">
        <v>11291</v>
      </c>
      <c r="CO1428" s="1388" t="s">
        <v>8127</v>
      </c>
      <c r="CP1428" s="1388" t="s">
        <v>8106</v>
      </c>
      <c r="CQ1428" s="1388" t="s">
        <v>11292</v>
      </c>
      <c r="CR1428" s="1388" t="s">
        <v>11292</v>
      </c>
      <c r="CS1428" s="1388" t="s">
        <v>8108</v>
      </c>
      <c r="CT1428" s="1388" t="s">
        <v>11238</v>
      </c>
      <c r="CU1428" s="1388" t="s">
        <v>8110</v>
      </c>
      <c r="CV1428" s="1389" t="s">
        <v>8111</v>
      </c>
      <c r="CX1428" s="1379">
        <v>1</v>
      </c>
    </row>
    <row r="1429" spans="91:102" ht="21" customHeight="1" x14ac:dyDescent="0.25">
      <c r="CM1429" s="1377"/>
      <c r="CN1429" s="1388" t="s">
        <v>11293</v>
      </c>
      <c r="CO1429" s="1388" t="s">
        <v>8127</v>
      </c>
      <c r="CP1429" s="1388" t="s">
        <v>8106</v>
      </c>
      <c r="CQ1429" s="1388" t="s">
        <v>11294</v>
      </c>
      <c r="CR1429" s="1388" t="s">
        <v>11294</v>
      </c>
      <c r="CS1429" s="1388" t="s">
        <v>8194</v>
      </c>
      <c r="CT1429" s="1388" t="s">
        <v>8195</v>
      </c>
      <c r="CU1429" s="1388" t="s">
        <v>8110</v>
      </c>
      <c r="CV1429" s="1389" t="s">
        <v>8196</v>
      </c>
      <c r="CX1429" s="1379">
        <v>1</v>
      </c>
    </row>
    <row r="1430" spans="91:102" ht="21" customHeight="1" x14ac:dyDescent="0.25">
      <c r="CM1430" s="1377"/>
      <c r="CN1430" s="1388" t="s">
        <v>11295</v>
      </c>
      <c r="CO1430" s="1388" t="s">
        <v>8127</v>
      </c>
      <c r="CP1430" s="1388" t="s">
        <v>8106</v>
      </c>
      <c r="CQ1430" s="1388" t="s">
        <v>11296</v>
      </c>
      <c r="CR1430" s="1388" t="s">
        <v>11296</v>
      </c>
      <c r="CS1430" s="1388" t="s">
        <v>8194</v>
      </c>
      <c r="CT1430" s="1388" t="s">
        <v>8195</v>
      </c>
      <c r="CU1430" s="1388" t="s">
        <v>8110</v>
      </c>
      <c r="CV1430" s="1389" t="s">
        <v>8196</v>
      </c>
      <c r="CX1430" s="1379">
        <v>1</v>
      </c>
    </row>
    <row r="1431" spans="91:102" ht="21" customHeight="1" x14ac:dyDescent="0.25">
      <c r="CM1431" s="1377"/>
      <c r="CN1431" s="1388" t="s">
        <v>11297</v>
      </c>
      <c r="CO1431" s="1388" t="s">
        <v>8127</v>
      </c>
      <c r="CP1431" s="1388" t="s">
        <v>8106</v>
      </c>
      <c r="CQ1431" s="1388" t="s">
        <v>11298</v>
      </c>
      <c r="CR1431" s="1388" t="s">
        <v>11298</v>
      </c>
      <c r="CS1431" s="1388" t="s">
        <v>8194</v>
      </c>
      <c r="CT1431" s="1388" t="s">
        <v>8195</v>
      </c>
      <c r="CU1431" s="1388" t="s">
        <v>8110</v>
      </c>
      <c r="CV1431" s="1389" t="s">
        <v>8196</v>
      </c>
      <c r="CX1431" s="1379">
        <v>1</v>
      </c>
    </row>
    <row r="1432" spans="91:102" ht="21" customHeight="1" x14ac:dyDescent="0.25">
      <c r="CM1432" s="1377"/>
      <c r="CN1432" s="1388" t="s">
        <v>11299</v>
      </c>
      <c r="CO1432" s="1388" t="s">
        <v>8127</v>
      </c>
      <c r="CP1432" s="1388" t="s">
        <v>8106</v>
      </c>
      <c r="CQ1432" s="1388" t="s">
        <v>11300</v>
      </c>
      <c r="CR1432" s="1388" t="s">
        <v>11300</v>
      </c>
      <c r="CS1432" s="1388" t="s">
        <v>8108</v>
      </c>
      <c r="CT1432" s="1388" t="s">
        <v>11238</v>
      </c>
      <c r="CU1432" s="1388" t="s">
        <v>8110</v>
      </c>
      <c r="CV1432" s="1389" t="s">
        <v>8111</v>
      </c>
      <c r="CX1432" s="1379">
        <v>1</v>
      </c>
    </row>
    <row r="1433" spans="91:102" ht="21" customHeight="1" x14ac:dyDescent="0.25">
      <c r="CM1433" s="1377"/>
      <c r="CN1433" s="1388" t="s">
        <v>11301</v>
      </c>
      <c r="CO1433" s="1388" t="s">
        <v>8127</v>
      </c>
      <c r="CP1433" s="1388" t="s">
        <v>8106</v>
      </c>
      <c r="CQ1433" s="1388" t="s">
        <v>11302</v>
      </c>
      <c r="CR1433" s="1388" t="s">
        <v>11302</v>
      </c>
      <c r="CS1433" s="1388" t="s">
        <v>8194</v>
      </c>
      <c r="CT1433" s="1388" t="s">
        <v>8195</v>
      </c>
      <c r="CU1433" s="1388" t="s">
        <v>8110</v>
      </c>
      <c r="CV1433" s="1389" t="s">
        <v>8196</v>
      </c>
      <c r="CX1433" s="1379">
        <v>1</v>
      </c>
    </row>
    <row r="1434" spans="91:102" ht="21" customHeight="1" x14ac:dyDescent="0.25">
      <c r="CM1434" s="1377"/>
      <c r="CN1434" s="1388" t="s">
        <v>11303</v>
      </c>
      <c r="CO1434" s="1388" t="s">
        <v>8127</v>
      </c>
      <c r="CP1434" s="1388" t="s">
        <v>8106</v>
      </c>
      <c r="CQ1434" s="1388" t="s">
        <v>11304</v>
      </c>
      <c r="CR1434" s="1388" t="s">
        <v>11304</v>
      </c>
      <c r="CS1434" s="1388" t="s">
        <v>8194</v>
      </c>
      <c r="CT1434" s="1388" t="s">
        <v>8195</v>
      </c>
      <c r="CU1434" s="1388" t="s">
        <v>8110</v>
      </c>
      <c r="CV1434" s="1389" t="s">
        <v>8196</v>
      </c>
      <c r="CX1434" s="1379">
        <v>1</v>
      </c>
    </row>
    <row r="1435" spans="91:102" ht="21" customHeight="1" x14ac:dyDescent="0.25">
      <c r="CM1435" s="1377"/>
      <c r="CN1435" s="1388" t="s">
        <v>11305</v>
      </c>
      <c r="CO1435" s="1388" t="s">
        <v>8127</v>
      </c>
      <c r="CP1435" s="1388" t="s">
        <v>8106</v>
      </c>
      <c r="CQ1435" s="1388" t="s">
        <v>11306</v>
      </c>
      <c r="CR1435" s="1388" t="s">
        <v>11306</v>
      </c>
      <c r="CS1435" s="1388" t="s">
        <v>8194</v>
      </c>
      <c r="CT1435" s="1388" t="s">
        <v>8195</v>
      </c>
      <c r="CU1435" s="1388" t="s">
        <v>8110</v>
      </c>
      <c r="CV1435" s="1389" t="s">
        <v>8196</v>
      </c>
      <c r="CX1435" s="1379">
        <v>1</v>
      </c>
    </row>
    <row r="1436" spans="91:102" ht="21" customHeight="1" x14ac:dyDescent="0.25">
      <c r="CM1436" s="1377"/>
      <c r="CN1436" s="1388" t="s">
        <v>11307</v>
      </c>
      <c r="CO1436" s="1388" t="s">
        <v>8127</v>
      </c>
      <c r="CP1436" s="1388" t="s">
        <v>8106</v>
      </c>
      <c r="CQ1436" s="1388" t="s">
        <v>11308</v>
      </c>
      <c r="CR1436" s="1388" t="s">
        <v>11308</v>
      </c>
      <c r="CS1436" s="1388" t="s">
        <v>8108</v>
      </c>
      <c r="CT1436" s="1388" t="s">
        <v>11238</v>
      </c>
      <c r="CU1436" s="1388" t="s">
        <v>8110</v>
      </c>
      <c r="CV1436" s="1389" t="s">
        <v>8111</v>
      </c>
      <c r="CX1436" s="1379">
        <v>1</v>
      </c>
    </row>
    <row r="1437" spans="91:102" ht="21" customHeight="1" x14ac:dyDescent="0.25">
      <c r="CM1437" s="1377"/>
      <c r="CN1437" s="1388" t="s">
        <v>11309</v>
      </c>
      <c r="CO1437" s="1388" t="s">
        <v>8127</v>
      </c>
      <c r="CP1437" s="1388" t="s">
        <v>8106</v>
      </c>
      <c r="CQ1437" s="1388" t="s">
        <v>11310</v>
      </c>
      <c r="CR1437" s="1388" t="s">
        <v>11310</v>
      </c>
      <c r="CS1437" s="1388" t="s">
        <v>8108</v>
      </c>
      <c r="CT1437" s="1388" t="s">
        <v>11238</v>
      </c>
      <c r="CU1437" s="1388" t="s">
        <v>8110</v>
      </c>
      <c r="CV1437" s="1389" t="s">
        <v>8111</v>
      </c>
      <c r="CX1437" s="1379">
        <v>1</v>
      </c>
    </row>
    <row r="1438" spans="91:102" ht="21" customHeight="1" x14ac:dyDescent="0.25">
      <c r="CM1438" s="1377"/>
      <c r="CN1438" s="1388" t="s">
        <v>11311</v>
      </c>
      <c r="CO1438" s="1388" t="s">
        <v>8127</v>
      </c>
      <c r="CP1438" s="1388" t="s">
        <v>8106</v>
      </c>
      <c r="CQ1438" s="1388" t="s">
        <v>11312</v>
      </c>
      <c r="CR1438" s="1388" t="s">
        <v>11312</v>
      </c>
      <c r="CS1438" s="1388" t="s">
        <v>8108</v>
      </c>
      <c r="CT1438" s="1388" t="s">
        <v>11238</v>
      </c>
      <c r="CU1438" s="1388" t="s">
        <v>8110</v>
      </c>
      <c r="CV1438" s="1389" t="s">
        <v>8111</v>
      </c>
      <c r="CX1438" s="1379">
        <v>1</v>
      </c>
    </row>
    <row r="1439" spans="91:102" ht="21" customHeight="1" x14ac:dyDescent="0.25">
      <c r="CM1439" s="1377"/>
      <c r="CN1439" s="1388" t="s">
        <v>11313</v>
      </c>
      <c r="CO1439" s="1388" t="s">
        <v>8127</v>
      </c>
      <c r="CP1439" s="1388" t="s">
        <v>8106</v>
      </c>
      <c r="CQ1439" s="1388" t="s">
        <v>11314</v>
      </c>
      <c r="CR1439" s="1388" t="s">
        <v>11314</v>
      </c>
      <c r="CS1439" s="1388" t="s">
        <v>8108</v>
      </c>
      <c r="CT1439" s="1388" t="s">
        <v>11238</v>
      </c>
      <c r="CU1439" s="1388" t="s">
        <v>8110</v>
      </c>
      <c r="CV1439" s="1389" t="s">
        <v>8111</v>
      </c>
      <c r="CX1439" s="1379">
        <v>1</v>
      </c>
    </row>
    <row r="1440" spans="91:102" ht="21" customHeight="1" x14ac:dyDescent="0.25">
      <c r="CM1440" s="1377"/>
      <c r="CN1440" s="1388" t="s">
        <v>11315</v>
      </c>
      <c r="CO1440" s="1388" t="s">
        <v>8127</v>
      </c>
      <c r="CP1440" s="1388" t="s">
        <v>8106</v>
      </c>
      <c r="CQ1440" s="1388" t="s">
        <v>11316</v>
      </c>
      <c r="CR1440" s="1388" t="s">
        <v>11317</v>
      </c>
      <c r="CS1440" s="1388" t="s">
        <v>8108</v>
      </c>
      <c r="CT1440" s="1388" t="s">
        <v>11238</v>
      </c>
      <c r="CU1440" s="1388" t="s">
        <v>8110</v>
      </c>
      <c r="CV1440" s="1389" t="s">
        <v>8111</v>
      </c>
      <c r="CX1440" s="1379">
        <v>1</v>
      </c>
    </row>
    <row r="1441" spans="91:102" ht="21" customHeight="1" x14ac:dyDescent="0.25">
      <c r="CM1441" s="1377"/>
      <c r="CN1441" s="1388" t="s">
        <v>11318</v>
      </c>
      <c r="CO1441" s="1388" t="s">
        <v>8127</v>
      </c>
      <c r="CP1441" s="1388" t="s">
        <v>8106</v>
      </c>
      <c r="CQ1441" s="1388" t="s">
        <v>11319</v>
      </c>
      <c r="CR1441" s="1388" t="s">
        <v>11319</v>
      </c>
      <c r="CS1441" s="1388" t="s">
        <v>8108</v>
      </c>
      <c r="CT1441" s="1388" t="s">
        <v>11238</v>
      </c>
      <c r="CU1441" s="1388" t="s">
        <v>8110</v>
      </c>
      <c r="CV1441" s="1389" t="s">
        <v>8111</v>
      </c>
      <c r="CX1441" s="1379">
        <v>1</v>
      </c>
    </row>
    <row r="1442" spans="91:102" ht="21" customHeight="1" x14ac:dyDescent="0.25">
      <c r="CM1442" s="1377"/>
      <c r="CN1442" s="1388" t="s">
        <v>11320</v>
      </c>
      <c r="CO1442" s="1388" t="s">
        <v>8127</v>
      </c>
      <c r="CP1442" s="1388" t="s">
        <v>8106</v>
      </c>
      <c r="CQ1442" s="1388" t="s">
        <v>11321</v>
      </c>
      <c r="CR1442" s="1388" t="s">
        <v>11321</v>
      </c>
      <c r="CS1442" s="1388" t="s">
        <v>8108</v>
      </c>
      <c r="CT1442" s="1388" t="s">
        <v>11238</v>
      </c>
      <c r="CU1442" s="1388" t="s">
        <v>8110</v>
      </c>
      <c r="CV1442" s="1389" t="s">
        <v>8111</v>
      </c>
      <c r="CX1442" s="1379">
        <v>1</v>
      </c>
    </row>
    <row r="1443" spans="91:102" ht="21" customHeight="1" x14ac:dyDescent="0.25">
      <c r="CM1443" s="1377"/>
      <c r="CN1443" s="1388" t="s">
        <v>11322</v>
      </c>
      <c r="CO1443" s="1388" t="s">
        <v>8127</v>
      </c>
      <c r="CP1443" s="1388" t="s">
        <v>8555</v>
      </c>
      <c r="CQ1443" s="1388" t="s">
        <v>11323</v>
      </c>
      <c r="CR1443" s="1388" t="s">
        <v>11324</v>
      </c>
      <c r="CS1443" s="1388" t="s">
        <v>8108</v>
      </c>
      <c r="CT1443" s="1388" t="s">
        <v>11325</v>
      </c>
      <c r="CU1443" s="1388" t="s">
        <v>8110</v>
      </c>
      <c r="CV1443" s="1389" t="s">
        <v>8111</v>
      </c>
      <c r="CX1443" s="1379">
        <v>1</v>
      </c>
    </row>
    <row r="1444" spans="91:102" ht="21" customHeight="1" x14ac:dyDescent="0.25">
      <c r="CM1444" s="1377"/>
      <c r="CN1444" s="1388" t="s">
        <v>11326</v>
      </c>
      <c r="CO1444" s="1388" t="s">
        <v>8127</v>
      </c>
      <c r="CP1444" s="1388" t="s">
        <v>8555</v>
      </c>
      <c r="CQ1444" s="1388" t="s">
        <v>11327</v>
      </c>
      <c r="CR1444" s="1388" t="s">
        <v>11328</v>
      </c>
      <c r="CS1444" s="1388" t="s">
        <v>8108</v>
      </c>
      <c r="CT1444" s="1388" t="s">
        <v>11325</v>
      </c>
      <c r="CU1444" s="1388" t="s">
        <v>8110</v>
      </c>
      <c r="CV1444" s="1389" t="s">
        <v>8111</v>
      </c>
      <c r="CX1444" s="1379">
        <v>1</v>
      </c>
    </row>
    <row r="1445" spans="91:102" ht="21" customHeight="1" x14ac:dyDescent="0.25">
      <c r="CM1445" s="1377"/>
      <c r="CN1445" s="1388" t="s">
        <v>11329</v>
      </c>
      <c r="CO1445" s="1388" t="s">
        <v>8127</v>
      </c>
      <c r="CP1445" s="1388" t="s">
        <v>8741</v>
      </c>
      <c r="CQ1445" s="1388" t="s">
        <v>11330</v>
      </c>
      <c r="CR1445" s="1388" t="s">
        <v>11330</v>
      </c>
      <c r="CS1445" s="1388" t="s">
        <v>8108</v>
      </c>
      <c r="CT1445" s="1388" t="s">
        <v>11164</v>
      </c>
      <c r="CU1445" s="1388" t="s">
        <v>8110</v>
      </c>
      <c r="CV1445" s="1389" t="s">
        <v>8111</v>
      </c>
      <c r="CX1445" s="1379">
        <v>1</v>
      </c>
    </row>
    <row r="1446" spans="91:102" ht="21" customHeight="1" x14ac:dyDescent="0.25">
      <c r="CM1446" s="1377"/>
      <c r="CN1446" s="1388" t="s">
        <v>11331</v>
      </c>
      <c r="CO1446" s="1388" t="s">
        <v>8127</v>
      </c>
      <c r="CP1446" s="1388" t="s">
        <v>8741</v>
      </c>
      <c r="CQ1446" s="1388" t="s">
        <v>2792</v>
      </c>
      <c r="CR1446" s="1388" t="s">
        <v>2792</v>
      </c>
      <c r="CS1446" s="1388" t="s">
        <v>8108</v>
      </c>
      <c r="CT1446" s="1388" t="s">
        <v>11164</v>
      </c>
      <c r="CU1446" s="1388" t="s">
        <v>8110</v>
      </c>
      <c r="CV1446" s="1389" t="s">
        <v>8111</v>
      </c>
      <c r="CX1446" s="1379">
        <v>1</v>
      </c>
    </row>
    <row r="1447" spans="91:102" ht="21" customHeight="1" x14ac:dyDescent="0.25">
      <c r="CM1447" s="1377"/>
      <c r="CN1447" s="1388" t="s">
        <v>11332</v>
      </c>
      <c r="CO1447" s="1388" t="s">
        <v>8127</v>
      </c>
      <c r="CP1447" s="1388" t="s">
        <v>8741</v>
      </c>
      <c r="CQ1447" s="1388" t="s">
        <v>11333</v>
      </c>
      <c r="CR1447" s="1388" t="s">
        <v>11333</v>
      </c>
      <c r="CS1447" s="1388" t="s">
        <v>8108</v>
      </c>
      <c r="CT1447" s="1388" t="s">
        <v>11164</v>
      </c>
      <c r="CU1447" s="1388" t="s">
        <v>8110</v>
      </c>
      <c r="CV1447" s="1389" t="s">
        <v>8111</v>
      </c>
      <c r="CX1447" s="1379">
        <v>1</v>
      </c>
    </row>
    <row r="1448" spans="91:102" ht="21" customHeight="1" x14ac:dyDescent="0.25">
      <c r="CM1448" s="1377"/>
      <c r="CN1448" s="1388" t="s">
        <v>11334</v>
      </c>
      <c r="CO1448" s="1388" t="s">
        <v>8127</v>
      </c>
      <c r="CP1448" s="1388" t="s">
        <v>8741</v>
      </c>
      <c r="CQ1448" s="1388" t="s">
        <v>8759</v>
      </c>
      <c r="CR1448" s="1388" t="s">
        <v>8759</v>
      </c>
      <c r="CS1448" s="1388" t="s">
        <v>8108</v>
      </c>
      <c r="CT1448" s="1388" t="s">
        <v>11164</v>
      </c>
      <c r="CU1448" s="1388" t="s">
        <v>8110</v>
      </c>
      <c r="CV1448" s="1389" t="s">
        <v>8111</v>
      </c>
      <c r="CX1448" s="1379">
        <v>1</v>
      </c>
    </row>
    <row r="1449" spans="91:102" ht="21" customHeight="1" x14ac:dyDescent="0.25">
      <c r="CM1449" s="1377"/>
      <c r="CN1449" s="1388" t="s">
        <v>11335</v>
      </c>
      <c r="CO1449" s="1388" t="s">
        <v>8127</v>
      </c>
      <c r="CP1449" s="1388" t="s">
        <v>8741</v>
      </c>
      <c r="CQ1449" s="1388" t="s">
        <v>11336</v>
      </c>
      <c r="CR1449" s="1388" t="s">
        <v>11337</v>
      </c>
      <c r="CS1449" s="1388" t="s">
        <v>8108</v>
      </c>
      <c r="CT1449" s="1388" t="s">
        <v>11164</v>
      </c>
      <c r="CU1449" s="1388" t="s">
        <v>8110</v>
      </c>
      <c r="CV1449" s="1389" t="s">
        <v>8111</v>
      </c>
      <c r="CX1449" s="1379">
        <v>1</v>
      </c>
    </row>
    <row r="1450" spans="91:102" ht="21" customHeight="1" x14ac:dyDescent="0.25">
      <c r="CM1450" s="1377"/>
      <c r="CN1450" s="1388" t="s">
        <v>11338</v>
      </c>
      <c r="CO1450" s="1388" t="s">
        <v>8127</v>
      </c>
      <c r="CP1450" s="1388" t="s">
        <v>8741</v>
      </c>
      <c r="CQ1450" s="1388" t="s">
        <v>11339</v>
      </c>
      <c r="CR1450" s="1388" t="s">
        <v>11339</v>
      </c>
      <c r="CS1450" s="1388" t="s">
        <v>8108</v>
      </c>
      <c r="CT1450" s="1388" t="s">
        <v>11164</v>
      </c>
      <c r="CU1450" s="1388" t="s">
        <v>8110</v>
      </c>
      <c r="CV1450" s="1389" t="s">
        <v>8111</v>
      </c>
      <c r="CX1450" s="1379">
        <v>1</v>
      </c>
    </row>
    <row r="1451" spans="91:102" ht="21" customHeight="1" x14ac:dyDescent="0.25">
      <c r="CM1451" s="1377"/>
      <c r="CN1451" s="1388" t="s">
        <v>11340</v>
      </c>
      <c r="CO1451" s="1388" t="s">
        <v>8127</v>
      </c>
      <c r="CP1451" s="1388" t="s">
        <v>8741</v>
      </c>
      <c r="CQ1451" s="1388" t="s">
        <v>11341</v>
      </c>
      <c r="CR1451" s="1388" t="s">
        <v>11342</v>
      </c>
      <c r="CS1451" s="1388" t="s">
        <v>8108</v>
      </c>
      <c r="CT1451" s="1388" t="s">
        <v>11164</v>
      </c>
      <c r="CU1451" s="1388" t="s">
        <v>8110</v>
      </c>
      <c r="CV1451" s="1389" t="s">
        <v>8111</v>
      </c>
      <c r="CX1451" s="1379">
        <v>1</v>
      </c>
    </row>
    <row r="1452" spans="91:102" ht="21" customHeight="1" x14ac:dyDescent="0.25">
      <c r="CM1452" s="1377"/>
      <c r="CN1452" s="1388" t="s">
        <v>11343</v>
      </c>
      <c r="CO1452" s="1388" t="s">
        <v>8127</v>
      </c>
      <c r="CP1452" s="1388" t="s">
        <v>8741</v>
      </c>
      <c r="CQ1452" s="1388" t="s">
        <v>11344</v>
      </c>
      <c r="CR1452" s="1388" t="s">
        <v>11344</v>
      </c>
      <c r="CS1452" s="1388" t="s">
        <v>8108</v>
      </c>
      <c r="CT1452" s="1388" t="s">
        <v>11164</v>
      </c>
      <c r="CU1452" s="1388" t="s">
        <v>8110</v>
      </c>
      <c r="CV1452" s="1389" t="s">
        <v>8111</v>
      </c>
      <c r="CX1452" s="1379">
        <v>1</v>
      </c>
    </row>
    <row r="1453" spans="91:102" ht="21" customHeight="1" x14ac:dyDescent="0.25">
      <c r="CM1453" s="1377"/>
      <c r="CN1453" s="1388" t="s">
        <v>11345</v>
      </c>
      <c r="CO1453" s="1388" t="s">
        <v>8127</v>
      </c>
      <c r="CP1453" s="1388" t="s">
        <v>8741</v>
      </c>
      <c r="CQ1453" s="1388" t="s">
        <v>11346</v>
      </c>
      <c r="CR1453" s="1388" t="s">
        <v>11346</v>
      </c>
      <c r="CS1453" s="1388" t="s">
        <v>8108</v>
      </c>
      <c r="CT1453" s="1388" t="s">
        <v>11164</v>
      </c>
      <c r="CU1453" s="1388" t="s">
        <v>8110</v>
      </c>
      <c r="CV1453" s="1389" t="s">
        <v>8111</v>
      </c>
      <c r="CX1453" s="1379">
        <v>1</v>
      </c>
    </row>
    <row r="1454" spans="91:102" ht="21" customHeight="1" x14ac:dyDescent="0.25">
      <c r="CM1454" s="1377"/>
      <c r="CN1454" s="1388" t="s">
        <v>11347</v>
      </c>
      <c r="CO1454" s="1388" t="s">
        <v>8127</v>
      </c>
      <c r="CP1454" s="1388" t="s">
        <v>8741</v>
      </c>
      <c r="CQ1454" s="1388" t="s">
        <v>11348</v>
      </c>
      <c r="CR1454" s="1388" t="s">
        <v>11348</v>
      </c>
      <c r="CS1454" s="1388" t="s">
        <v>8108</v>
      </c>
      <c r="CT1454" s="1388" t="s">
        <v>11164</v>
      </c>
      <c r="CU1454" s="1388" t="s">
        <v>8110</v>
      </c>
      <c r="CV1454" s="1389" t="s">
        <v>8111</v>
      </c>
      <c r="CX1454" s="1379">
        <v>1</v>
      </c>
    </row>
    <row r="1455" spans="91:102" ht="21" customHeight="1" x14ac:dyDescent="0.25">
      <c r="CM1455" s="1377"/>
      <c r="CN1455" s="1388" t="s">
        <v>11349</v>
      </c>
      <c r="CO1455" s="1388" t="s">
        <v>8127</v>
      </c>
      <c r="CP1455" s="1388" t="s">
        <v>8741</v>
      </c>
      <c r="CQ1455" s="1388" t="s">
        <v>11350</v>
      </c>
      <c r="CR1455" s="1388" t="s">
        <v>11350</v>
      </c>
      <c r="CS1455" s="1388" t="s">
        <v>8108</v>
      </c>
      <c r="CT1455" s="1388" t="s">
        <v>11164</v>
      </c>
      <c r="CU1455" s="1388" t="s">
        <v>8110</v>
      </c>
      <c r="CV1455" s="1389" t="s">
        <v>8111</v>
      </c>
      <c r="CX1455" s="1379">
        <v>1</v>
      </c>
    </row>
    <row r="1456" spans="91:102" ht="21" customHeight="1" x14ac:dyDescent="0.25">
      <c r="CM1456" s="1377"/>
      <c r="CN1456" s="1388" t="s">
        <v>11351</v>
      </c>
      <c r="CO1456" s="1388" t="s">
        <v>8128</v>
      </c>
      <c r="CP1456" s="1388" t="s">
        <v>8106</v>
      </c>
      <c r="CQ1456" s="1388" t="s">
        <v>11352</v>
      </c>
      <c r="CR1456" s="1388" t="s">
        <v>11352</v>
      </c>
      <c r="CS1456" s="1388" t="s">
        <v>11353</v>
      </c>
      <c r="CT1456" s="1388" t="s">
        <v>11354</v>
      </c>
      <c r="CU1456" s="1388" t="s">
        <v>8419</v>
      </c>
      <c r="CV1456" s="1389" t="s">
        <v>11355</v>
      </c>
      <c r="CX1456" s="1379">
        <v>1</v>
      </c>
    </row>
    <row r="1457" spans="91:102" ht="21" customHeight="1" x14ac:dyDescent="0.25">
      <c r="CM1457" s="1377"/>
      <c r="CN1457" s="1388" t="s">
        <v>11356</v>
      </c>
      <c r="CO1457" s="1388" t="s">
        <v>8128</v>
      </c>
      <c r="CP1457" s="1388" t="s">
        <v>8106</v>
      </c>
      <c r="CQ1457" s="1388" t="s">
        <v>11357</v>
      </c>
      <c r="CR1457" s="1388" t="s">
        <v>11357</v>
      </c>
      <c r="CS1457" s="1388" t="s">
        <v>11353</v>
      </c>
      <c r="CT1457" s="1388" t="s">
        <v>11354</v>
      </c>
      <c r="CU1457" s="1388" t="s">
        <v>8419</v>
      </c>
      <c r="CV1457" s="1389" t="s">
        <v>11355</v>
      </c>
      <c r="CX1457" s="1379">
        <v>1</v>
      </c>
    </row>
    <row r="1458" spans="91:102" ht="21" customHeight="1" x14ac:dyDescent="0.25">
      <c r="CM1458" s="1377"/>
      <c r="CN1458" s="1388" t="s">
        <v>11358</v>
      </c>
      <c r="CO1458" s="1388" t="s">
        <v>8128</v>
      </c>
      <c r="CP1458" s="1388" t="s">
        <v>8106</v>
      </c>
      <c r="CQ1458" s="1388" t="s">
        <v>11359</v>
      </c>
      <c r="CR1458" s="1388" t="s">
        <v>11359</v>
      </c>
      <c r="CS1458" s="1388" t="s">
        <v>11353</v>
      </c>
      <c r="CT1458" s="1388" t="s">
        <v>11354</v>
      </c>
      <c r="CU1458" s="1388" t="s">
        <v>8419</v>
      </c>
      <c r="CV1458" s="1389" t="s">
        <v>11355</v>
      </c>
      <c r="CX1458" s="1379">
        <v>1</v>
      </c>
    </row>
    <row r="1459" spans="91:102" ht="21" customHeight="1" x14ac:dyDescent="0.25">
      <c r="CM1459" s="1377"/>
      <c r="CN1459" s="1388" t="s">
        <v>11360</v>
      </c>
      <c r="CO1459" s="1388" t="s">
        <v>8128</v>
      </c>
      <c r="CP1459" s="1388" t="s">
        <v>8106</v>
      </c>
      <c r="CQ1459" s="1388" t="s">
        <v>11361</v>
      </c>
      <c r="CR1459" s="1388" t="s">
        <v>11361</v>
      </c>
      <c r="CS1459" s="1388" t="s">
        <v>11353</v>
      </c>
      <c r="CT1459" s="1388" t="s">
        <v>11354</v>
      </c>
      <c r="CU1459" s="1388" t="s">
        <v>8419</v>
      </c>
      <c r="CV1459" s="1389" t="s">
        <v>11355</v>
      </c>
      <c r="CX1459" s="1379">
        <v>1</v>
      </c>
    </row>
    <row r="1460" spans="91:102" ht="21" customHeight="1" x14ac:dyDescent="0.25">
      <c r="CM1460" s="1377"/>
      <c r="CN1460" s="1388" t="s">
        <v>11362</v>
      </c>
      <c r="CO1460" s="1388" t="s">
        <v>8128</v>
      </c>
      <c r="CP1460" s="1388" t="s">
        <v>8106</v>
      </c>
      <c r="CQ1460" s="1388" t="s">
        <v>11363</v>
      </c>
      <c r="CR1460" s="1388" t="s">
        <v>11363</v>
      </c>
      <c r="CS1460" s="1388" t="s">
        <v>11353</v>
      </c>
      <c r="CT1460" s="1388" t="s">
        <v>11354</v>
      </c>
      <c r="CU1460" s="1388" t="s">
        <v>8419</v>
      </c>
      <c r="CV1460" s="1389" t="s">
        <v>11355</v>
      </c>
      <c r="CX1460" s="1379">
        <v>1</v>
      </c>
    </row>
    <row r="1461" spans="91:102" ht="21" customHeight="1" x14ac:dyDescent="0.25">
      <c r="CM1461" s="1377"/>
      <c r="CN1461" s="1388" t="s">
        <v>11364</v>
      </c>
      <c r="CO1461" s="1388" t="s">
        <v>8128</v>
      </c>
      <c r="CP1461" s="1388" t="s">
        <v>8106</v>
      </c>
      <c r="CQ1461" s="1388" t="s">
        <v>11365</v>
      </c>
      <c r="CR1461" s="1388" t="s">
        <v>11365</v>
      </c>
      <c r="CS1461" s="1388" t="s">
        <v>11353</v>
      </c>
      <c r="CT1461" s="1388" t="s">
        <v>11354</v>
      </c>
      <c r="CU1461" s="1388" t="s">
        <v>8419</v>
      </c>
      <c r="CV1461" s="1389" t="s">
        <v>11355</v>
      </c>
      <c r="CX1461" s="1379">
        <v>1</v>
      </c>
    </row>
    <row r="1462" spans="91:102" ht="21" customHeight="1" x14ac:dyDescent="0.25">
      <c r="CM1462" s="1377"/>
      <c r="CN1462" s="1388" t="s">
        <v>11366</v>
      </c>
      <c r="CO1462" s="1388" t="s">
        <v>8128</v>
      </c>
      <c r="CP1462" s="1388" t="s">
        <v>8106</v>
      </c>
      <c r="CQ1462" s="1388" t="s">
        <v>11367</v>
      </c>
      <c r="CR1462" s="1388" t="s">
        <v>11367</v>
      </c>
      <c r="CS1462" s="1388" t="s">
        <v>8108</v>
      </c>
      <c r="CT1462" s="1388" t="s">
        <v>11368</v>
      </c>
      <c r="CU1462" s="1388" t="s">
        <v>8110</v>
      </c>
      <c r="CV1462" s="1389" t="s">
        <v>8111</v>
      </c>
      <c r="CX1462" s="1379">
        <v>1</v>
      </c>
    </row>
    <row r="1463" spans="91:102" ht="21" customHeight="1" x14ac:dyDescent="0.25">
      <c r="CM1463" s="1377"/>
      <c r="CN1463" s="1388" t="s">
        <v>11369</v>
      </c>
      <c r="CO1463" s="1388" t="s">
        <v>8128</v>
      </c>
      <c r="CP1463" s="1388" t="s">
        <v>8106</v>
      </c>
      <c r="CQ1463" s="1388" t="s">
        <v>11370</v>
      </c>
      <c r="CR1463" s="1388" t="s">
        <v>11370</v>
      </c>
      <c r="CS1463" s="1388" t="s">
        <v>11353</v>
      </c>
      <c r="CT1463" s="1388" t="s">
        <v>11354</v>
      </c>
      <c r="CU1463" s="1388" t="s">
        <v>8419</v>
      </c>
      <c r="CV1463" s="1389" t="s">
        <v>11355</v>
      </c>
      <c r="CX1463" s="1379">
        <v>1</v>
      </c>
    </row>
    <row r="1464" spans="91:102" ht="21" customHeight="1" x14ac:dyDescent="0.25">
      <c r="CM1464" s="1377"/>
      <c r="CN1464" s="1388" t="s">
        <v>11371</v>
      </c>
      <c r="CO1464" s="1388" t="s">
        <v>8128</v>
      </c>
      <c r="CP1464" s="1388" t="s">
        <v>8106</v>
      </c>
      <c r="CQ1464" s="1388" t="s">
        <v>11372</v>
      </c>
      <c r="CR1464" s="1388" t="s">
        <v>11372</v>
      </c>
      <c r="CS1464" s="1388" t="s">
        <v>8194</v>
      </c>
      <c r="CT1464" s="1388" t="s">
        <v>8195</v>
      </c>
      <c r="CU1464" s="1388" t="s">
        <v>8110</v>
      </c>
      <c r="CV1464" s="1389" t="s">
        <v>8196</v>
      </c>
      <c r="CX1464" s="1379">
        <v>1</v>
      </c>
    </row>
    <row r="1465" spans="91:102" ht="21" customHeight="1" x14ac:dyDescent="0.25">
      <c r="CM1465" s="1377"/>
      <c r="CN1465" s="1388" t="s">
        <v>11373</v>
      </c>
      <c r="CO1465" s="1388" t="s">
        <v>8128</v>
      </c>
      <c r="CP1465" s="1388" t="s">
        <v>8106</v>
      </c>
      <c r="CQ1465" s="1388" t="s">
        <v>11374</v>
      </c>
      <c r="CR1465" s="1388" t="s">
        <v>11374</v>
      </c>
      <c r="CS1465" s="1388" t="s">
        <v>11353</v>
      </c>
      <c r="CT1465" s="1388" t="s">
        <v>11354</v>
      </c>
      <c r="CU1465" s="1388" t="s">
        <v>8419</v>
      </c>
      <c r="CV1465" s="1389" t="s">
        <v>11355</v>
      </c>
      <c r="CX1465" s="1379">
        <v>1</v>
      </c>
    </row>
    <row r="1466" spans="91:102" ht="21" customHeight="1" x14ac:dyDescent="0.25">
      <c r="CM1466" s="1377"/>
      <c r="CN1466" s="1388" t="s">
        <v>11375</v>
      </c>
      <c r="CO1466" s="1388" t="s">
        <v>8128</v>
      </c>
      <c r="CP1466" s="1388" t="s">
        <v>8106</v>
      </c>
      <c r="CQ1466" s="1388" t="s">
        <v>11376</v>
      </c>
      <c r="CR1466" s="1388" t="s">
        <v>11376</v>
      </c>
      <c r="CS1466" s="1388" t="s">
        <v>8108</v>
      </c>
      <c r="CT1466" s="1388" t="s">
        <v>11368</v>
      </c>
      <c r="CU1466" s="1388" t="s">
        <v>8110</v>
      </c>
      <c r="CV1466" s="1389" t="s">
        <v>8111</v>
      </c>
      <c r="CX1466" s="1379">
        <v>1</v>
      </c>
    </row>
    <row r="1467" spans="91:102" ht="21" customHeight="1" x14ac:dyDescent="0.25">
      <c r="CM1467" s="1377"/>
      <c r="CN1467" s="1388" t="s">
        <v>11377</v>
      </c>
      <c r="CO1467" s="1388" t="s">
        <v>8128</v>
      </c>
      <c r="CP1467" s="1388" t="s">
        <v>8106</v>
      </c>
      <c r="CQ1467" s="1388" t="s">
        <v>11378</v>
      </c>
      <c r="CR1467" s="1388" t="s">
        <v>11378</v>
      </c>
      <c r="CS1467" s="1388" t="s">
        <v>11353</v>
      </c>
      <c r="CT1467" s="1388" t="s">
        <v>11354</v>
      </c>
      <c r="CU1467" s="1388" t="s">
        <v>8419</v>
      </c>
      <c r="CV1467" s="1389" t="s">
        <v>11355</v>
      </c>
      <c r="CX1467" s="1379">
        <v>1</v>
      </c>
    </row>
    <row r="1468" spans="91:102" ht="21" customHeight="1" x14ac:dyDescent="0.25">
      <c r="CM1468" s="1377"/>
      <c r="CN1468" s="1388" t="s">
        <v>11379</v>
      </c>
      <c r="CO1468" s="1388" t="s">
        <v>8128</v>
      </c>
      <c r="CP1468" s="1388" t="s">
        <v>8106</v>
      </c>
      <c r="CQ1468" s="1388" t="s">
        <v>11380</v>
      </c>
      <c r="CR1468" s="1388" t="s">
        <v>11380</v>
      </c>
      <c r="CS1468" s="1388" t="s">
        <v>8108</v>
      </c>
      <c r="CT1468" s="1388" t="s">
        <v>11368</v>
      </c>
      <c r="CU1468" s="1388" t="s">
        <v>8110</v>
      </c>
      <c r="CV1468" s="1389" t="s">
        <v>8111</v>
      </c>
      <c r="CX1468" s="1379">
        <v>1</v>
      </c>
    </row>
    <row r="1469" spans="91:102" ht="21" customHeight="1" x14ac:dyDescent="0.25">
      <c r="CM1469" s="1377"/>
      <c r="CN1469" s="1388" t="s">
        <v>11381</v>
      </c>
      <c r="CO1469" s="1388" t="s">
        <v>8128</v>
      </c>
      <c r="CP1469" s="1388" t="s">
        <v>8106</v>
      </c>
      <c r="CQ1469" s="1388" t="s">
        <v>11382</v>
      </c>
      <c r="CR1469" s="1388" t="s">
        <v>11382</v>
      </c>
      <c r="CS1469" s="1388" t="s">
        <v>11353</v>
      </c>
      <c r="CT1469" s="1388" t="s">
        <v>11354</v>
      </c>
      <c r="CU1469" s="1388" t="s">
        <v>8419</v>
      </c>
      <c r="CV1469" s="1389" t="s">
        <v>11355</v>
      </c>
      <c r="CX1469" s="1379">
        <v>1</v>
      </c>
    </row>
    <row r="1470" spans="91:102" ht="21" customHeight="1" x14ac:dyDescent="0.25">
      <c r="CM1470" s="1377"/>
      <c r="CN1470" s="1388" t="s">
        <v>11383</v>
      </c>
      <c r="CO1470" s="1388" t="s">
        <v>8128</v>
      </c>
      <c r="CP1470" s="1388" t="s">
        <v>8106</v>
      </c>
      <c r="CQ1470" s="1388" t="s">
        <v>11384</v>
      </c>
      <c r="CR1470" s="1388" t="s">
        <v>11385</v>
      </c>
      <c r="CS1470" s="1388" t="s">
        <v>11353</v>
      </c>
      <c r="CT1470" s="1388" t="s">
        <v>11354</v>
      </c>
      <c r="CU1470" s="1388" t="s">
        <v>8419</v>
      </c>
      <c r="CV1470" s="1389" t="s">
        <v>11355</v>
      </c>
      <c r="CX1470" s="1379">
        <v>1</v>
      </c>
    </row>
    <row r="1471" spans="91:102" ht="21" customHeight="1" x14ac:dyDescent="0.25">
      <c r="CM1471" s="1377"/>
      <c r="CN1471" s="1388" t="s">
        <v>11386</v>
      </c>
      <c r="CO1471" s="1388" t="s">
        <v>8128</v>
      </c>
      <c r="CP1471" s="1388" t="s">
        <v>8106</v>
      </c>
      <c r="CQ1471" s="1388" t="s">
        <v>11387</v>
      </c>
      <c r="CR1471" s="1388" t="s">
        <v>11387</v>
      </c>
      <c r="CS1471" s="1388" t="s">
        <v>8108</v>
      </c>
      <c r="CT1471" s="1388" t="s">
        <v>11368</v>
      </c>
      <c r="CU1471" s="1388" t="s">
        <v>8110</v>
      </c>
      <c r="CV1471" s="1389" t="s">
        <v>8111</v>
      </c>
      <c r="CX1471" s="1379">
        <v>1</v>
      </c>
    </row>
    <row r="1472" spans="91:102" ht="21" customHeight="1" x14ac:dyDescent="0.25">
      <c r="CM1472" s="1377"/>
      <c r="CN1472" s="1388" t="s">
        <v>11388</v>
      </c>
      <c r="CO1472" s="1388" t="s">
        <v>8128</v>
      </c>
      <c r="CP1472" s="1388" t="s">
        <v>8106</v>
      </c>
      <c r="CQ1472" s="1388" t="s">
        <v>11389</v>
      </c>
      <c r="CR1472" s="1388" t="s">
        <v>11389</v>
      </c>
      <c r="CS1472" s="1388" t="s">
        <v>8108</v>
      </c>
      <c r="CT1472" s="1388" t="s">
        <v>11368</v>
      </c>
      <c r="CU1472" s="1388" t="s">
        <v>8110</v>
      </c>
      <c r="CV1472" s="1389" t="s">
        <v>8111</v>
      </c>
      <c r="CX1472" s="1379">
        <v>1</v>
      </c>
    </row>
    <row r="1473" spans="91:102" ht="21" customHeight="1" x14ac:dyDescent="0.25">
      <c r="CM1473" s="1377"/>
      <c r="CN1473" s="1388" t="s">
        <v>11390</v>
      </c>
      <c r="CO1473" s="1388" t="s">
        <v>8128</v>
      </c>
      <c r="CP1473" s="1388" t="s">
        <v>8106</v>
      </c>
      <c r="CQ1473" s="1388" t="s">
        <v>11391</v>
      </c>
      <c r="CR1473" s="1388" t="s">
        <v>11391</v>
      </c>
      <c r="CS1473" s="1388" t="s">
        <v>8108</v>
      </c>
      <c r="CT1473" s="1388" t="s">
        <v>11368</v>
      </c>
      <c r="CU1473" s="1388" t="s">
        <v>8110</v>
      </c>
      <c r="CV1473" s="1389" t="s">
        <v>8111</v>
      </c>
      <c r="CX1473" s="1379">
        <v>1</v>
      </c>
    </row>
    <row r="1474" spans="91:102" ht="21" customHeight="1" x14ac:dyDescent="0.25">
      <c r="CM1474" s="1377"/>
      <c r="CN1474" s="1388" t="s">
        <v>11392</v>
      </c>
      <c r="CO1474" s="1388" t="s">
        <v>8128</v>
      </c>
      <c r="CP1474" s="1388" t="s">
        <v>8106</v>
      </c>
      <c r="CQ1474" s="1388" t="s">
        <v>11393</v>
      </c>
      <c r="CR1474" s="1388" t="s">
        <v>11394</v>
      </c>
      <c r="CS1474" s="1388" t="s">
        <v>11353</v>
      </c>
      <c r="CT1474" s="1388" t="s">
        <v>11354</v>
      </c>
      <c r="CU1474" s="1388" t="s">
        <v>8419</v>
      </c>
      <c r="CV1474" s="1389" t="s">
        <v>11355</v>
      </c>
      <c r="CX1474" s="1379">
        <v>1</v>
      </c>
    </row>
    <row r="1475" spans="91:102" ht="21" customHeight="1" x14ac:dyDescent="0.25">
      <c r="CM1475" s="1377"/>
      <c r="CN1475" s="1388" t="s">
        <v>11395</v>
      </c>
      <c r="CO1475" s="1388" t="s">
        <v>8128</v>
      </c>
      <c r="CP1475" s="1388" t="s">
        <v>8106</v>
      </c>
      <c r="CQ1475" s="1388" t="s">
        <v>11396</v>
      </c>
      <c r="CR1475" s="1388" t="s">
        <v>11396</v>
      </c>
      <c r="CS1475" s="1388" t="s">
        <v>11353</v>
      </c>
      <c r="CT1475" s="1388" t="s">
        <v>11354</v>
      </c>
      <c r="CU1475" s="1388" t="s">
        <v>8419</v>
      </c>
      <c r="CV1475" s="1389" t="s">
        <v>11355</v>
      </c>
      <c r="CX1475" s="1379">
        <v>1</v>
      </c>
    </row>
    <row r="1476" spans="91:102" ht="21" customHeight="1" x14ac:dyDescent="0.25">
      <c r="CM1476" s="1377"/>
      <c r="CN1476" s="1388" t="s">
        <v>11397</v>
      </c>
      <c r="CO1476" s="1388" t="s">
        <v>8128</v>
      </c>
      <c r="CP1476" s="1388" t="s">
        <v>8106</v>
      </c>
      <c r="CQ1476" s="1388" t="s">
        <v>11398</v>
      </c>
      <c r="CR1476" s="1388" t="s">
        <v>11399</v>
      </c>
      <c r="CS1476" s="1388" t="s">
        <v>8108</v>
      </c>
      <c r="CT1476" s="1388" t="s">
        <v>11368</v>
      </c>
      <c r="CU1476" s="1388" t="s">
        <v>8110</v>
      </c>
      <c r="CV1476" s="1389" t="s">
        <v>8111</v>
      </c>
      <c r="CX1476" s="1379">
        <v>1</v>
      </c>
    </row>
    <row r="1477" spans="91:102" ht="21" customHeight="1" x14ac:dyDescent="0.25">
      <c r="CM1477" s="1377"/>
      <c r="CN1477" s="1388" t="s">
        <v>11400</v>
      </c>
      <c r="CO1477" s="1388" t="s">
        <v>8128</v>
      </c>
      <c r="CP1477" s="1388" t="s">
        <v>8106</v>
      </c>
      <c r="CQ1477" s="1388" t="s">
        <v>11401</v>
      </c>
      <c r="CR1477" s="1388" t="s">
        <v>11401</v>
      </c>
      <c r="CS1477" s="1388" t="s">
        <v>11353</v>
      </c>
      <c r="CT1477" s="1388" t="s">
        <v>11354</v>
      </c>
      <c r="CU1477" s="1388" t="s">
        <v>8419</v>
      </c>
      <c r="CV1477" s="1389" t="s">
        <v>11355</v>
      </c>
      <c r="CX1477" s="1379">
        <v>1</v>
      </c>
    </row>
    <row r="1478" spans="91:102" ht="21" customHeight="1" x14ac:dyDescent="0.25">
      <c r="CM1478" s="1377"/>
      <c r="CN1478" s="1388" t="s">
        <v>11402</v>
      </c>
      <c r="CO1478" s="1388" t="s">
        <v>8128</v>
      </c>
      <c r="CP1478" s="1388" t="s">
        <v>8106</v>
      </c>
      <c r="CQ1478" s="1388" t="s">
        <v>11403</v>
      </c>
      <c r="CR1478" s="1388" t="s">
        <v>11403</v>
      </c>
      <c r="CS1478" s="1388" t="s">
        <v>8108</v>
      </c>
      <c r="CT1478" s="1388" t="s">
        <v>11368</v>
      </c>
      <c r="CU1478" s="1388" t="s">
        <v>8110</v>
      </c>
      <c r="CV1478" s="1389" t="s">
        <v>8111</v>
      </c>
      <c r="CX1478" s="1379">
        <v>1</v>
      </c>
    </row>
    <row r="1479" spans="91:102" ht="21" customHeight="1" x14ac:dyDescent="0.25">
      <c r="CM1479" s="1377"/>
      <c r="CN1479" s="1388" t="s">
        <v>11404</v>
      </c>
      <c r="CO1479" s="1388" t="s">
        <v>8128</v>
      </c>
      <c r="CP1479" s="1388" t="s">
        <v>8106</v>
      </c>
      <c r="CQ1479" s="1388" t="s">
        <v>11405</v>
      </c>
      <c r="CR1479" s="1388" t="s">
        <v>11405</v>
      </c>
      <c r="CS1479" s="1388" t="s">
        <v>11353</v>
      </c>
      <c r="CT1479" s="1388" t="s">
        <v>11354</v>
      </c>
      <c r="CU1479" s="1388" t="s">
        <v>8419</v>
      </c>
      <c r="CV1479" s="1389" t="s">
        <v>11355</v>
      </c>
      <c r="CX1479" s="1379">
        <v>1</v>
      </c>
    </row>
    <row r="1480" spans="91:102" ht="21" customHeight="1" x14ac:dyDescent="0.25">
      <c r="CM1480" s="1377"/>
      <c r="CN1480" s="1388" t="s">
        <v>11406</v>
      </c>
      <c r="CO1480" s="1388" t="s">
        <v>8128</v>
      </c>
      <c r="CP1480" s="1388" t="s">
        <v>8106</v>
      </c>
      <c r="CQ1480" s="1388" t="s">
        <v>11407</v>
      </c>
      <c r="CR1480" s="1388" t="s">
        <v>11407</v>
      </c>
      <c r="CS1480" s="1388" t="s">
        <v>11353</v>
      </c>
      <c r="CT1480" s="1388" t="s">
        <v>11354</v>
      </c>
      <c r="CU1480" s="1388" t="s">
        <v>8419</v>
      </c>
      <c r="CV1480" s="1389" t="s">
        <v>11355</v>
      </c>
      <c r="CX1480" s="1379">
        <v>1</v>
      </c>
    </row>
    <row r="1481" spans="91:102" ht="21" customHeight="1" x14ac:dyDescent="0.25">
      <c r="CM1481" s="1377"/>
      <c r="CN1481" s="1388" t="s">
        <v>11408</v>
      </c>
      <c r="CO1481" s="1388" t="s">
        <v>8128</v>
      </c>
      <c r="CP1481" s="1388" t="s">
        <v>8106</v>
      </c>
      <c r="CQ1481" s="1388" t="s">
        <v>11409</v>
      </c>
      <c r="CR1481" s="1388" t="s">
        <v>11409</v>
      </c>
      <c r="CS1481" s="1388" t="s">
        <v>11353</v>
      </c>
      <c r="CT1481" s="1388" t="s">
        <v>11354</v>
      </c>
      <c r="CU1481" s="1388" t="s">
        <v>8419</v>
      </c>
      <c r="CV1481" s="1389" t="s">
        <v>11355</v>
      </c>
      <c r="CX1481" s="1379">
        <v>1</v>
      </c>
    </row>
    <row r="1482" spans="91:102" ht="21" customHeight="1" x14ac:dyDescent="0.25">
      <c r="CM1482" s="1377"/>
      <c r="CN1482" s="1388" t="s">
        <v>11410</v>
      </c>
      <c r="CO1482" s="1388" t="s">
        <v>8128</v>
      </c>
      <c r="CP1482" s="1388" t="s">
        <v>8106</v>
      </c>
      <c r="CQ1482" s="1388" t="s">
        <v>11411</v>
      </c>
      <c r="CR1482" s="1388" t="s">
        <v>11411</v>
      </c>
      <c r="CS1482" s="1388" t="s">
        <v>11353</v>
      </c>
      <c r="CT1482" s="1388" t="s">
        <v>11354</v>
      </c>
      <c r="CU1482" s="1388" t="s">
        <v>8419</v>
      </c>
      <c r="CV1482" s="1389" t="s">
        <v>11355</v>
      </c>
      <c r="CX1482" s="1379">
        <v>1</v>
      </c>
    </row>
    <row r="1483" spans="91:102" ht="21" customHeight="1" x14ac:dyDescent="0.25">
      <c r="CM1483" s="1377"/>
      <c r="CN1483" s="1388" t="s">
        <v>11412</v>
      </c>
      <c r="CO1483" s="1388" t="s">
        <v>8128</v>
      </c>
      <c r="CP1483" s="1388" t="s">
        <v>8106</v>
      </c>
      <c r="CQ1483" s="1388" t="s">
        <v>11413</v>
      </c>
      <c r="CR1483" s="1388" t="s">
        <v>11413</v>
      </c>
      <c r="CS1483" s="1388" t="s">
        <v>8108</v>
      </c>
      <c r="CT1483" s="1388" t="s">
        <v>11368</v>
      </c>
      <c r="CU1483" s="1388" t="s">
        <v>8110</v>
      </c>
      <c r="CV1483" s="1389" t="s">
        <v>8111</v>
      </c>
      <c r="CX1483" s="1379">
        <v>1</v>
      </c>
    </row>
    <row r="1484" spans="91:102" ht="21" customHeight="1" x14ac:dyDescent="0.25">
      <c r="CM1484" s="1377"/>
      <c r="CN1484" s="1388" t="s">
        <v>11414</v>
      </c>
      <c r="CO1484" s="1388" t="s">
        <v>8128</v>
      </c>
      <c r="CP1484" s="1388" t="s">
        <v>8106</v>
      </c>
      <c r="CQ1484" s="1388" t="s">
        <v>11415</v>
      </c>
      <c r="CR1484" s="1388" t="s">
        <v>11415</v>
      </c>
      <c r="CS1484" s="1388" t="s">
        <v>11353</v>
      </c>
      <c r="CT1484" s="1388" t="s">
        <v>11354</v>
      </c>
      <c r="CU1484" s="1388" t="s">
        <v>8419</v>
      </c>
      <c r="CV1484" s="1389" t="s">
        <v>11355</v>
      </c>
      <c r="CX1484" s="1379">
        <v>1</v>
      </c>
    </row>
    <row r="1485" spans="91:102" ht="21" customHeight="1" x14ac:dyDescent="0.25">
      <c r="CM1485" s="1377"/>
      <c r="CN1485" s="1388" t="s">
        <v>11416</v>
      </c>
      <c r="CO1485" s="1388" t="s">
        <v>8128</v>
      </c>
      <c r="CP1485" s="1388" t="s">
        <v>8106</v>
      </c>
      <c r="CQ1485" s="1388" t="s">
        <v>11417</v>
      </c>
      <c r="CR1485" s="1388" t="s">
        <v>11417</v>
      </c>
      <c r="CS1485" s="1388" t="s">
        <v>11353</v>
      </c>
      <c r="CT1485" s="1388" t="s">
        <v>11354</v>
      </c>
      <c r="CU1485" s="1388" t="s">
        <v>8419</v>
      </c>
      <c r="CV1485" s="1389" t="s">
        <v>11355</v>
      </c>
      <c r="CX1485" s="1379">
        <v>1</v>
      </c>
    </row>
    <row r="1486" spans="91:102" ht="21" customHeight="1" x14ac:dyDescent="0.25">
      <c r="CM1486" s="1377"/>
      <c r="CN1486" s="1388" t="s">
        <v>11418</v>
      </c>
      <c r="CO1486" s="1388" t="s">
        <v>8128</v>
      </c>
      <c r="CP1486" s="1388" t="s">
        <v>8106</v>
      </c>
      <c r="CQ1486" s="1388" t="s">
        <v>11419</v>
      </c>
      <c r="CR1486" s="1388" t="s">
        <v>11420</v>
      </c>
      <c r="CS1486" s="1388" t="s">
        <v>11353</v>
      </c>
      <c r="CT1486" s="1388" t="s">
        <v>11354</v>
      </c>
      <c r="CU1486" s="1388" t="s">
        <v>8419</v>
      </c>
      <c r="CV1486" s="1389" t="s">
        <v>11355</v>
      </c>
      <c r="CX1486" s="1379">
        <v>1</v>
      </c>
    </row>
    <row r="1487" spans="91:102" ht="21" customHeight="1" x14ac:dyDescent="0.25">
      <c r="CM1487" s="1377"/>
      <c r="CN1487" s="1388" t="s">
        <v>11421</v>
      </c>
      <c r="CO1487" s="1388" t="s">
        <v>8128</v>
      </c>
      <c r="CP1487" s="1388" t="s">
        <v>8106</v>
      </c>
      <c r="CQ1487" s="1388" t="s">
        <v>11422</v>
      </c>
      <c r="CR1487" s="1388" t="s">
        <v>11422</v>
      </c>
      <c r="CS1487" s="1388" t="s">
        <v>8108</v>
      </c>
      <c r="CT1487" s="1388" t="s">
        <v>11368</v>
      </c>
      <c r="CU1487" s="1388" t="s">
        <v>8110</v>
      </c>
      <c r="CV1487" s="1389" t="s">
        <v>8111</v>
      </c>
      <c r="CX1487" s="1379">
        <v>1</v>
      </c>
    </row>
    <row r="1488" spans="91:102" ht="21" customHeight="1" x14ac:dyDescent="0.25">
      <c r="CM1488" s="1377"/>
      <c r="CN1488" s="1388" t="s">
        <v>11423</v>
      </c>
      <c r="CO1488" s="1388" t="s">
        <v>8128</v>
      </c>
      <c r="CP1488" s="1388" t="s">
        <v>8106</v>
      </c>
      <c r="CQ1488" s="1388" t="s">
        <v>11424</v>
      </c>
      <c r="CR1488" s="1388" t="s">
        <v>11424</v>
      </c>
      <c r="CS1488" s="1388" t="s">
        <v>8108</v>
      </c>
      <c r="CT1488" s="1388" t="s">
        <v>11368</v>
      </c>
      <c r="CU1488" s="1388" t="s">
        <v>8110</v>
      </c>
      <c r="CV1488" s="1389" t="s">
        <v>8111</v>
      </c>
      <c r="CX1488" s="1379">
        <v>1</v>
      </c>
    </row>
    <row r="1489" spans="91:102" ht="21" customHeight="1" x14ac:dyDescent="0.25">
      <c r="CM1489" s="1377"/>
      <c r="CN1489" s="1388" t="s">
        <v>11425</v>
      </c>
      <c r="CO1489" s="1388" t="s">
        <v>8128</v>
      </c>
      <c r="CP1489" s="1388" t="s">
        <v>8106</v>
      </c>
      <c r="CQ1489" s="1388" t="s">
        <v>11426</v>
      </c>
      <c r="CR1489" s="1388" t="s">
        <v>11426</v>
      </c>
      <c r="CS1489" s="1388" t="s">
        <v>11353</v>
      </c>
      <c r="CT1489" s="1388" t="s">
        <v>11354</v>
      </c>
      <c r="CU1489" s="1388" t="s">
        <v>8419</v>
      </c>
      <c r="CV1489" s="1389" t="s">
        <v>11355</v>
      </c>
      <c r="CX1489" s="1379">
        <v>1</v>
      </c>
    </row>
    <row r="1490" spans="91:102" ht="21" customHeight="1" x14ac:dyDescent="0.25">
      <c r="CM1490" s="1377"/>
      <c r="CN1490" s="1388" t="s">
        <v>11427</v>
      </c>
      <c r="CO1490" s="1388" t="s">
        <v>8128</v>
      </c>
      <c r="CP1490" s="1388" t="s">
        <v>8106</v>
      </c>
      <c r="CQ1490" s="1388" t="s">
        <v>11428</v>
      </c>
      <c r="CR1490" s="1388" t="s">
        <v>11428</v>
      </c>
      <c r="CS1490" s="1388" t="s">
        <v>11353</v>
      </c>
      <c r="CT1490" s="1388" t="s">
        <v>11354</v>
      </c>
      <c r="CU1490" s="1388" t="s">
        <v>8419</v>
      </c>
      <c r="CV1490" s="1389" t="s">
        <v>11355</v>
      </c>
      <c r="CX1490" s="1379">
        <v>1</v>
      </c>
    </row>
    <row r="1491" spans="91:102" ht="21" customHeight="1" x14ac:dyDescent="0.25">
      <c r="CM1491" s="1377"/>
      <c r="CN1491" s="1388" t="s">
        <v>11429</v>
      </c>
      <c r="CO1491" s="1388" t="s">
        <v>8128</v>
      </c>
      <c r="CP1491" s="1388" t="s">
        <v>8106</v>
      </c>
      <c r="CQ1491" s="1388" t="s">
        <v>11430</v>
      </c>
      <c r="CR1491" s="1388" t="s">
        <v>11431</v>
      </c>
      <c r="CS1491" s="1388" t="s">
        <v>11353</v>
      </c>
      <c r="CT1491" s="1388" t="s">
        <v>11354</v>
      </c>
      <c r="CU1491" s="1388" t="s">
        <v>8419</v>
      </c>
      <c r="CV1491" s="1389" t="s">
        <v>11355</v>
      </c>
      <c r="CX1491" s="1379">
        <v>1</v>
      </c>
    </row>
    <row r="1492" spans="91:102" ht="21" customHeight="1" x14ac:dyDescent="0.25">
      <c r="CM1492" s="1377"/>
      <c r="CN1492" s="1388" t="s">
        <v>11432</v>
      </c>
      <c r="CO1492" s="1388" t="s">
        <v>8128</v>
      </c>
      <c r="CP1492" s="1388" t="s">
        <v>8106</v>
      </c>
      <c r="CQ1492" s="1388" t="s">
        <v>11433</v>
      </c>
      <c r="CR1492" s="1388" t="s">
        <v>11433</v>
      </c>
      <c r="CS1492" s="1388" t="s">
        <v>8108</v>
      </c>
      <c r="CT1492" s="1388" t="s">
        <v>11368</v>
      </c>
      <c r="CU1492" s="1388" t="s">
        <v>8110</v>
      </c>
      <c r="CV1492" s="1389" t="s">
        <v>8111</v>
      </c>
      <c r="CX1492" s="1379">
        <v>1</v>
      </c>
    </row>
    <row r="1493" spans="91:102" ht="21" customHeight="1" x14ac:dyDescent="0.25">
      <c r="CM1493" s="1377"/>
      <c r="CN1493" s="1388" t="s">
        <v>11434</v>
      </c>
      <c r="CO1493" s="1388" t="s">
        <v>8128</v>
      </c>
      <c r="CP1493" s="1388" t="s">
        <v>8106</v>
      </c>
      <c r="CQ1493" s="1388" t="s">
        <v>11435</v>
      </c>
      <c r="CR1493" s="1388" t="s">
        <v>11435</v>
      </c>
      <c r="CS1493" s="1388" t="s">
        <v>8194</v>
      </c>
      <c r="CT1493" s="1388" t="s">
        <v>8195</v>
      </c>
      <c r="CU1493" s="1388" t="s">
        <v>8110</v>
      </c>
      <c r="CV1493" s="1389" t="s">
        <v>8196</v>
      </c>
      <c r="CX1493" s="1379">
        <v>1</v>
      </c>
    </row>
    <row r="1494" spans="91:102" ht="21" customHeight="1" x14ac:dyDescent="0.25">
      <c r="CM1494" s="1377"/>
      <c r="CN1494" s="1388" t="s">
        <v>11436</v>
      </c>
      <c r="CO1494" s="1388" t="s">
        <v>8128</v>
      </c>
      <c r="CP1494" s="1388" t="s">
        <v>8106</v>
      </c>
      <c r="CQ1494" s="1388" t="s">
        <v>11437</v>
      </c>
      <c r="CR1494" s="1388" t="s">
        <v>11437</v>
      </c>
      <c r="CS1494" s="1388" t="s">
        <v>11353</v>
      </c>
      <c r="CT1494" s="1388" t="s">
        <v>11354</v>
      </c>
      <c r="CU1494" s="1388" t="s">
        <v>8419</v>
      </c>
      <c r="CV1494" s="1389" t="s">
        <v>11355</v>
      </c>
      <c r="CX1494" s="1379">
        <v>1</v>
      </c>
    </row>
    <row r="1495" spans="91:102" ht="21" customHeight="1" x14ac:dyDescent="0.25">
      <c r="CM1495" s="1377"/>
      <c r="CN1495" s="1388" t="s">
        <v>11438</v>
      </c>
      <c r="CO1495" s="1388" t="s">
        <v>8128</v>
      </c>
      <c r="CP1495" s="1388" t="s">
        <v>8106</v>
      </c>
      <c r="CQ1495" s="1388" t="s">
        <v>11439</v>
      </c>
      <c r="CR1495" s="1388" t="s">
        <v>11440</v>
      </c>
      <c r="CS1495" s="1388" t="s">
        <v>11353</v>
      </c>
      <c r="CT1495" s="1388" t="s">
        <v>11354</v>
      </c>
      <c r="CU1495" s="1388" t="s">
        <v>8419</v>
      </c>
      <c r="CV1495" s="1389" t="s">
        <v>11355</v>
      </c>
      <c r="CX1495" s="1379">
        <v>1</v>
      </c>
    </row>
    <row r="1496" spans="91:102" ht="21" customHeight="1" x14ac:dyDescent="0.25">
      <c r="CM1496" s="1377"/>
      <c r="CN1496" s="1388" t="s">
        <v>11441</v>
      </c>
      <c r="CO1496" s="1388" t="s">
        <v>8128</v>
      </c>
      <c r="CP1496" s="1388" t="s">
        <v>8106</v>
      </c>
      <c r="CQ1496" s="1388" t="s">
        <v>11442</v>
      </c>
      <c r="CR1496" s="1388" t="s">
        <v>11442</v>
      </c>
      <c r="CS1496" s="1388" t="s">
        <v>11353</v>
      </c>
      <c r="CT1496" s="1388" t="s">
        <v>11354</v>
      </c>
      <c r="CU1496" s="1388" t="s">
        <v>8419</v>
      </c>
      <c r="CV1496" s="1389" t="s">
        <v>11355</v>
      </c>
      <c r="CX1496" s="1379">
        <v>1</v>
      </c>
    </row>
    <row r="1497" spans="91:102" ht="21" customHeight="1" x14ac:dyDescent="0.25">
      <c r="CM1497" s="1377"/>
      <c r="CN1497" s="1388" t="s">
        <v>11443</v>
      </c>
      <c r="CO1497" s="1388" t="s">
        <v>8128</v>
      </c>
      <c r="CP1497" s="1388" t="s">
        <v>8106</v>
      </c>
      <c r="CQ1497" s="1388" t="s">
        <v>11444</v>
      </c>
      <c r="CR1497" s="1388" t="s">
        <v>11444</v>
      </c>
      <c r="CS1497" s="1388" t="s">
        <v>11353</v>
      </c>
      <c r="CT1497" s="1388" t="s">
        <v>11354</v>
      </c>
      <c r="CU1497" s="1388" t="s">
        <v>8419</v>
      </c>
      <c r="CV1497" s="1389" t="s">
        <v>11355</v>
      </c>
      <c r="CX1497" s="1379">
        <v>1</v>
      </c>
    </row>
    <row r="1498" spans="91:102" ht="21" customHeight="1" x14ac:dyDescent="0.25">
      <c r="CM1498" s="1377"/>
      <c r="CN1498" s="1388" t="s">
        <v>11445</v>
      </c>
      <c r="CO1498" s="1388" t="s">
        <v>8128</v>
      </c>
      <c r="CP1498" s="1388" t="s">
        <v>8106</v>
      </c>
      <c r="CQ1498" s="1388" t="s">
        <v>11446</v>
      </c>
      <c r="CR1498" s="1388" t="s">
        <v>11446</v>
      </c>
      <c r="CS1498" s="1388" t="s">
        <v>11353</v>
      </c>
      <c r="CT1498" s="1388" t="s">
        <v>11354</v>
      </c>
      <c r="CU1498" s="1388" t="s">
        <v>8419</v>
      </c>
      <c r="CV1498" s="1389" t="s">
        <v>11355</v>
      </c>
      <c r="CX1498" s="1379">
        <v>1</v>
      </c>
    </row>
    <row r="1499" spans="91:102" ht="21" customHeight="1" x14ac:dyDescent="0.25">
      <c r="CM1499" s="1377"/>
      <c r="CN1499" s="1388" t="s">
        <v>11447</v>
      </c>
      <c r="CO1499" s="1388" t="s">
        <v>8128</v>
      </c>
      <c r="CP1499" s="1388" t="s">
        <v>8106</v>
      </c>
      <c r="CQ1499" s="1388" t="s">
        <v>11448</v>
      </c>
      <c r="CR1499" s="1388" t="s">
        <v>11449</v>
      </c>
      <c r="CS1499" s="1388" t="s">
        <v>11353</v>
      </c>
      <c r="CT1499" s="1388" t="s">
        <v>11354</v>
      </c>
      <c r="CU1499" s="1388" t="s">
        <v>8419</v>
      </c>
      <c r="CV1499" s="1389" t="s">
        <v>11355</v>
      </c>
      <c r="CX1499" s="1379">
        <v>1</v>
      </c>
    </row>
    <row r="1500" spans="91:102" ht="21" customHeight="1" x14ac:dyDescent="0.25">
      <c r="CM1500" s="1377"/>
      <c r="CN1500" s="1388" t="s">
        <v>11450</v>
      </c>
      <c r="CO1500" s="1388" t="s">
        <v>8128</v>
      </c>
      <c r="CP1500" s="1388" t="s">
        <v>8106</v>
      </c>
      <c r="CQ1500" s="1388" t="s">
        <v>11451</v>
      </c>
      <c r="CR1500" s="1388" t="s">
        <v>11452</v>
      </c>
      <c r="CS1500" s="1388" t="s">
        <v>11353</v>
      </c>
      <c r="CT1500" s="1388" t="s">
        <v>11354</v>
      </c>
      <c r="CU1500" s="1388" t="s">
        <v>8419</v>
      </c>
      <c r="CV1500" s="1389" t="s">
        <v>11355</v>
      </c>
      <c r="CX1500" s="1379">
        <v>1</v>
      </c>
    </row>
    <row r="1501" spans="91:102" ht="21" customHeight="1" x14ac:dyDescent="0.25">
      <c r="CM1501" s="1377"/>
      <c r="CN1501" s="1388" t="s">
        <v>11453</v>
      </c>
      <c r="CO1501" s="1388" t="s">
        <v>8128</v>
      </c>
      <c r="CP1501" s="1388" t="s">
        <v>8106</v>
      </c>
      <c r="CQ1501" s="1388" t="s">
        <v>11454</v>
      </c>
      <c r="CR1501" s="1388" t="s">
        <v>11454</v>
      </c>
      <c r="CS1501" s="1388" t="s">
        <v>8108</v>
      </c>
      <c r="CT1501" s="1388" t="s">
        <v>11368</v>
      </c>
      <c r="CU1501" s="1388" t="s">
        <v>8110</v>
      </c>
      <c r="CV1501" s="1389" t="s">
        <v>8111</v>
      </c>
      <c r="CX1501" s="1379">
        <v>1</v>
      </c>
    </row>
    <row r="1502" spans="91:102" ht="21" customHeight="1" x14ac:dyDescent="0.25">
      <c r="CM1502" s="1377"/>
      <c r="CN1502" s="1388" t="s">
        <v>11455</v>
      </c>
      <c r="CO1502" s="1388" t="s">
        <v>8128</v>
      </c>
      <c r="CP1502" s="1388" t="s">
        <v>8106</v>
      </c>
      <c r="CQ1502" s="1388" t="s">
        <v>11456</v>
      </c>
      <c r="CR1502" s="1388" t="s">
        <v>11456</v>
      </c>
      <c r="CS1502" s="1388" t="s">
        <v>11353</v>
      </c>
      <c r="CT1502" s="1388" t="s">
        <v>11354</v>
      </c>
      <c r="CU1502" s="1388" t="s">
        <v>8419</v>
      </c>
      <c r="CV1502" s="1389" t="s">
        <v>11355</v>
      </c>
      <c r="CX1502" s="1379">
        <v>1</v>
      </c>
    </row>
    <row r="1503" spans="91:102" ht="21" customHeight="1" x14ac:dyDescent="0.25">
      <c r="CM1503" s="1377"/>
      <c r="CN1503" s="1388" t="s">
        <v>11457</v>
      </c>
      <c r="CO1503" s="1388" t="s">
        <v>8128</v>
      </c>
      <c r="CP1503" s="1388" t="s">
        <v>8106</v>
      </c>
      <c r="CQ1503" s="1388" t="s">
        <v>11458</v>
      </c>
      <c r="CR1503" s="1388" t="s">
        <v>11458</v>
      </c>
      <c r="CS1503" s="1388" t="s">
        <v>8108</v>
      </c>
      <c r="CT1503" s="1388" t="s">
        <v>11368</v>
      </c>
      <c r="CU1503" s="1388" t="s">
        <v>8110</v>
      </c>
      <c r="CV1503" s="1389" t="s">
        <v>8111</v>
      </c>
      <c r="CX1503" s="1379">
        <v>1</v>
      </c>
    </row>
    <row r="1504" spans="91:102" ht="21" customHeight="1" x14ac:dyDescent="0.25">
      <c r="CM1504" s="1377"/>
      <c r="CN1504" s="1388" t="s">
        <v>11459</v>
      </c>
      <c r="CO1504" s="1388" t="s">
        <v>8128</v>
      </c>
      <c r="CP1504" s="1388" t="s">
        <v>8106</v>
      </c>
      <c r="CQ1504" s="1388" t="s">
        <v>11460</v>
      </c>
      <c r="CR1504" s="1388" t="s">
        <v>11460</v>
      </c>
      <c r="CS1504" s="1388" t="s">
        <v>8108</v>
      </c>
      <c r="CT1504" s="1388" t="s">
        <v>11368</v>
      </c>
      <c r="CU1504" s="1388" t="s">
        <v>8110</v>
      </c>
      <c r="CV1504" s="1389" t="s">
        <v>8111</v>
      </c>
      <c r="CX1504" s="1379">
        <v>1</v>
      </c>
    </row>
    <row r="1505" spans="91:102" ht="21" customHeight="1" x14ac:dyDescent="0.25">
      <c r="CM1505" s="1377"/>
      <c r="CN1505" s="1388" t="s">
        <v>11461</v>
      </c>
      <c r="CO1505" s="1388" t="s">
        <v>8128</v>
      </c>
      <c r="CP1505" s="1388" t="s">
        <v>8106</v>
      </c>
      <c r="CQ1505" s="1388" t="s">
        <v>11462</v>
      </c>
      <c r="CR1505" s="1388" t="s">
        <v>11462</v>
      </c>
      <c r="CS1505" s="1388" t="s">
        <v>11353</v>
      </c>
      <c r="CT1505" s="1388" t="s">
        <v>11354</v>
      </c>
      <c r="CU1505" s="1388" t="s">
        <v>8419</v>
      </c>
      <c r="CV1505" s="1389" t="s">
        <v>11355</v>
      </c>
      <c r="CX1505" s="1379">
        <v>1</v>
      </c>
    </row>
    <row r="1506" spans="91:102" ht="21" customHeight="1" x14ac:dyDescent="0.25">
      <c r="CM1506" s="1377"/>
      <c r="CN1506" s="1388" t="s">
        <v>11463</v>
      </c>
      <c r="CO1506" s="1388" t="s">
        <v>8128</v>
      </c>
      <c r="CP1506" s="1388" t="s">
        <v>8106</v>
      </c>
      <c r="CQ1506" s="1388" t="s">
        <v>11464</v>
      </c>
      <c r="CR1506" s="1388" t="s">
        <v>11464</v>
      </c>
      <c r="CS1506" s="1388" t="s">
        <v>11353</v>
      </c>
      <c r="CT1506" s="1388" t="s">
        <v>11354</v>
      </c>
      <c r="CU1506" s="1388" t="s">
        <v>8419</v>
      </c>
      <c r="CV1506" s="1389" t="s">
        <v>11355</v>
      </c>
      <c r="CX1506" s="1379">
        <v>1</v>
      </c>
    </row>
    <row r="1507" spans="91:102" ht="21" customHeight="1" x14ac:dyDescent="0.25">
      <c r="CM1507" s="1377"/>
      <c r="CN1507" s="1388" t="s">
        <v>11465</v>
      </c>
      <c r="CO1507" s="1388" t="s">
        <v>8128</v>
      </c>
      <c r="CP1507" s="1388" t="s">
        <v>8106</v>
      </c>
      <c r="CQ1507" s="1388" t="s">
        <v>11466</v>
      </c>
      <c r="CR1507" s="1388" t="s">
        <v>11466</v>
      </c>
      <c r="CS1507" s="1388" t="s">
        <v>8108</v>
      </c>
      <c r="CT1507" s="1388" t="s">
        <v>11368</v>
      </c>
      <c r="CU1507" s="1388" t="s">
        <v>8110</v>
      </c>
      <c r="CV1507" s="1389" t="s">
        <v>8111</v>
      </c>
      <c r="CX1507" s="1379">
        <v>1</v>
      </c>
    </row>
    <row r="1508" spans="91:102" ht="21" customHeight="1" x14ac:dyDescent="0.25">
      <c r="CM1508" s="1377"/>
      <c r="CN1508" s="1388" t="s">
        <v>11467</v>
      </c>
      <c r="CO1508" s="1388" t="s">
        <v>8128</v>
      </c>
      <c r="CP1508" s="1388" t="s">
        <v>8106</v>
      </c>
      <c r="CQ1508" s="1388" t="s">
        <v>11468</v>
      </c>
      <c r="CR1508" s="1388" t="s">
        <v>11469</v>
      </c>
      <c r="CS1508" s="1388" t="s">
        <v>11353</v>
      </c>
      <c r="CT1508" s="1388" t="s">
        <v>11354</v>
      </c>
      <c r="CU1508" s="1388" t="s">
        <v>8419</v>
      </c>
      <c r="CV1508" s="1389" t="s">
        <v>11355</v>
      </c>
      <c r="CX1508" s="1379">
        <v>1</v>
      </c>
    </row>
    <row r="1509" spans="91:102" ht="21" customHeight="1" x14ac:dyDescent="0.25">
      <c r="CM1509" s="1377"/>
      <c r="CN1509" s="1388" t="s">
        <v>11470</v>
      </c>
      <c r="CO1509" s="1388" t="s">
        <v>8128</v>
      </c>
      <c r="CP1509" s="1388" t="s">
        <v>8106</v>
      </c>
      <c r="CQ1509" s="1388" t="s">
        <v>11471</v>
      </c>
      <c r="CR1509" s="1388" t="s">
        <v>11472</v>
      </c>
      <c r="CS1509" s="1388" t="s">
        <v>8108</v>
      </c>
      <c r="CT1509" s="1388" t="s">
        <v>11368</v>
      </c>
      <c r="CU1509" s="1388" t="s">
        <v>8110</v>
      </c>
      <c r="CV1509" s="1389" t="s">
        <v>8111</v>
      </c>
      <c r="CX1509" s="1379">
        <v>1</v>
      </c>
    </row>
    <row r="1510" spans="91:102" ht="21" customHeight="1" x14ac:dyDescent="0.25">
      <c r="CM1510" s="1377"/>
      <c r="CN1510" s="1388" t="s">
        <v>11473</v>
      </c>
      <c r="CO1510" s="1388" t="s">
        <v>8128</v>
      </c>
      <c r="CP1510" s="1388" t="s">
        <v>8106</v>
      </c>
      <c r="CQ1510" s="1388" t="s">
        <v>11474</v>
      </c>
      <c r="CR1510" s="1388" t="s">
        <v>11475</v>
      </c>
      <c r="CS1510" s="1388" t="s">
        <v>11353</v>
      </c>
      <c r="CT1510" s="1388" t="s">
        <v>11354</v>
      </c>
      <c r="CU1510" s="1388" t="s">
        <v>8419</v>
      </c>
      <c r="CV1510" s="1389" t="s">
        <v>11355</v>
      </c>
      <c r="CX1510" s="1379">
        <v>1</v>
      </c>
    </row>
    <row r="1511" spans="91:102" ht="21" customHeight="1" x14ac:dyDescent="0.25">
      <c r="CM1511" s="1377"/>
      <c r="CN1511" s="1388" t="s">
        <v>11476</v>
      </c>
      <c r="CO1511" s="1388" t="s">
        <v>8128</v>
      </c>
      <c r="CP1511" s="1388" t="s">
        <v>8106</v>
      </c>
      <c r="CQ1511" s="1388" t="s">
        <v>11477</v>
      </c>
      <c r="CR1511" s="1388" t="s">
        <v>11477</v>
      </c>
      <c r="CS1511" s="1388" t="s">
        <v>8194</v>
      </c>
      <c r="CT1511" s="1388" t="s">
        <v>8195</v>
      </c>
      <c r="CU1511" s="1388" t="s">
        <v>8110</v>
      </c>
      <c r="CV1511" s="1389" t="s">
        <v>8196</v>
      </c>
      <c r="CX1511" s="1379">
        <v>1</v>
      </c>
    </row>
    <row r="1512" spans="91:102" ht="21" customHeight="1" x14ac:dyDescent="0.25">
      <c r="CM1512" s="1377"/>
      <c r="CN1512" s="1388" t="s">
        <v>11478</v>
      </c>
      <c r="CO1512" s="1388" t="s">
        <v>8128</v>
      </c>
      <c r="CP1512" s="1388" t="s">
        <v>8106</v>
      </c>
      <c r="CQ1512" s="1388" t="s">
        <v>11479</v>
      </c>
      <c r="CR1512" s="1388" t="s">
        <v>11480</v>
      </c>
      <c r="CS1512" s="1388" t="s">
        <v>8108</v>
      </c>
      <c r="CT1512" s="1388" t="s">
        <v>11368</v>
      </c>
      <c r="CU1512" s="1388" t="s">
        <v>8110</v>
      </c>
      <c r="CV1512" s="1389" t="s">
        <v>8111</v>
      </c>
      <c r="CX1512" s="1379">
        <v>1</v>
      </c>
    </row>
    <row r="1513" spans="91:102" ht="21" customHeight="1" x14ac:dyDescent="0.25">
      <c r="CM1513" s="1377"/>
      <c r="CN1513" s="1388" t="s">
        <v>11481</v>
      </c>
      <c r="CO1513" s="1388" t="s">
        <v>8128</v>
      </c>
      <c r="CP1513" s="1388" t="s">
        <v>8106</v>
      </c>
      <c r="CQ1513" s="1388" t="s">
        <v>11482</v>
      </c>
      <c r="CR1513" s="1388" t="s">
        <v>11483</v>
      </c>
      <c r="CS1513" s="1388" t="s">
        <v>11353</v>
      </c>
      <c r="CT1513" s="1388" t="s">
        <v>11354</v>
      </c>
      <c r="CU1513" s="1388" t="s">
        <v>8419</v>
      </c>
      <c r="CV1513" s="1389" t="s">
        <v>11355</v>
      </c>
      <c r="CX1513" s="1379">
        <v>1</v>
      </c>
    </row>
    <row r="1514" spans="91:102" ht="21" customHeight="1" x14ac:dyDescent="0.25">
      <c r="CM1514" s="1377"/>
      <c r="CN1514" s="1388" t="s">
        <v>11484</v>
      </c>
      <c r="CO1514" s="1388" t="s">
        <v>8128</v>
      </c>
      <c r="CP1514" s="1388" t="s">
        <v>8106</v>
      </c>
      <c r="CQ1514" s="1388" t="s">
        <v>11485</v>
      </c>
      <c r="CR1514" s="1388" t="s">
        <v>11486</v>
      </c>
      <c r="CS1514" s="1388" t="s">
        <v>11353</v>
      </c>
      <c r="CT1514" s="1388" t="s">
        <v>11354</v>
      </c>
      <c r="CU1514" s="1388" t="s">
        <v>8419</v>
      </c>
      <c r="CV1514" s="1389" t="s">
        <v>11355</v>
      </c>
      <c r="CX1514" s="1379">
        <v>1</v>
      </c>
    </row>
    <row r="1515" spans="91:102" ht="21" customHeight="1" x14ac:dyDescent="0.25">
      <c r="CM1515" s="1377"/>
      <c r="CN1515" s="1388" t="s">
        <v>11487</v>
      </c>
      <c r="CO1515" s="1388" t="s">
        <v>8128</v>
      </c>
      <c r="CP1515" s="1388" t="s">
        <v>8106</v>
      </c>
      <c r="CQ1515" s="1388" t="s">
        <v>11488</v>
      </c>
      <c r="CR1515" s="1388" t="s">
        <v>11489</v>
      </c>
      <c r="CS1515" s="1388" t="s">
        <v>8108</v>
      </c>
      <c r="CT1515" s="1388" t="s">
        <v>11368</v>
      </c>
      <c r="CU1515" s="1388" t="s">
        <v>8110</v>
      </c>
      <c r="CV1515" s="1389" t="s">
        <v>8111</v>
      </c>
      <c r="CX1515" s="1379">
        <v>1</v>
      </c>
    </row>
    <row r="1516" spans="91:102" ht="21" customHeight="1" x14ac:dyDescent="0.25">
      <c r="CM1516" s="1377"/>
      <c r="CN1516" s="1388" t="s">
        <v>11490</v>
      </c>
      <c r="CO1516" s="1388" t="s">
        <v>8128</v>
      </c>
      <c r="CP1516" s="1388" t="s">
        <v>8106</v>
      </c>
      <c r="CQ1516" s="1388" t="s">
        <v>11491</v>
      </c>
      <c r="CR1516" s="1388" t="s">
        <v>11492</v>
      </c>
      <c r="CS1516" s="1388" t="s">
        <v>8108</v>
      </c>
      <c r="CT1516" s="1388" t="s">
        <v>11368</v>
      </c>
      <c r="CU1516" s="1388" t="s">
        <v>8110</v>
      </c>
      <c r="CV1516" s="1389" t="s">
        <v>8111</v>
      </c>
      <c r="CX1516" s="1379">
        <v>1</v>
      </c>
    </row>
    <row r="1517" spans="91:102" ht="21" customHeight="1" x14ac:dyDescent="0.25">
      <c r="CM1517" s="1377"/>
      <c r="CN1517" s="1388" t="s">
        <v>11493</v>
      </c>
      <c r="CO1517" s="1388" t="s">
        <v>8128</v>
      </c>
      <c r="CP1517" s="1388" t="s">
        <v>8106</v>
      </c>
      <c r="CQ1517" s="1388" t="s">
        <v>11494</v>
      </c>
      <c r="CR1517" s="1388" t="s">
        <v>11494</v>
      </c>
      <c r="CS1517" s="1388" t="s">
        <v>11353</v>
      </c>
      <c r="CT1517" s="1388" t="s">
        <v>11354</v>
      </c>
      <c r="CU1517" s="1388" t="s">
        <v>8419</v>
      </c>
      <c r="CV1517" s="1389" t="s">
        <v>11355</v>
      </c>
      <c r="CX1517" s="1379">
        <v>1</v>
      </c>
    </row>
    <row r="1518" spans="91:102" ht="21" customHeight="1" x14ac:dyDescent="0.25">
      <c r="CM1518" s="1377"/>
      <c r="CN1518" s="1388" t="s">
        <v>11495</v>
      </c>
      <c r="CO1518" s="1388" t="s">
        <v>8128</v>
      </c>
      <c r="CP1518" s="1388" t="s">
        <v>8106</v>
      </c>
      <c r="CQ1518" s="1388" t="s">
        <v>11496</v>
      </c>
      <c r="CR1518" s="1388" t="s">
        <v>11496</v>
      </c>
      <c r="CS1518" s="1388" t="s">
        <v>8108</v>
      </c>
      <c r="CT1518" s="1388" t="s">
        <v>11368</v>
      </c>
      <c r="CU1518" s="1388" t="s">
        <v>8110</v>
      </c>
      <c r="CV1518" s="1389" t="s">
        <v>8111</v>
      </c>
      <c r="CX1518" s="1379">
        <v>1</v>
      </c>
    </row>
    <row r="1519" spans="91:102" ht="21" customHeight="1" x14ac:dyDescent="0.25">
      <c r="CM1519" s="1377"/>
      <c r="CN1519" s="1388" t="s">
        <v>11497</v>
      </c>
      <c r="CO1519" s="1388" t="s">
        <v>8128</v>
      </c>
      <c r="CP1519" s="1388" t="s">
        <v>8106</v>
      </c>
      <c r="CQ1519" s="1388" t="s">
        <v>11498</v>
      </c>
      <c r="CR1519" s="1388" t="s">
        <v>11498</v>
      </c>
      <c r="CS1519" s="1388" t="s">
        <v>11353</v>
      </c>
      <c r="CT1519" s="1388" t="s">
        <v>11354</v>
      </c>
      <c r="CU1519" s="1388" t="s">
        <v>8419</v>
      </c>
      <c r="CV1519" s="1389" t="s">
        <v>11355</v>
      </c>
      <c r="CX1519" s="1379">
        <v>1</v>
      </c>
    </row>
    <row r="1520" spans="91:102" ht="21" customHeight="1" x14ac:dyDescent="0.25">
      <c r="CM1520" s="1377"/>
      <c r="CN1520" s="1388" t="s">
        <v>11499</v>
      </c>
      <c r="CO1520" s="1388" t="s">
        <v>8128</v>
      </c>
      <c r="CP1520" s="1388" t="s">
        <v>8106</v>
      </c>
      <c r="CQ1520" s="1388" t="s">
        <v>11500</v>
      </c>
      <c r="CR1520" s="1388" t="s">
        <v>11500</v>
      </c>
      <c r="CS1520" s="1388" t="s">
        <v>11353</v>
      </c>
      <c r="CT1520" s="1388" t="s">
        <v>11354</v>
      </c>
      <c r="CU1520" s="1388" t="s">
        <v>8419</v>
      </c>
      <c r="CV1520" s="1389" t="s">
        <v>11355</v>
      </c>
      <c r="CX1520" s="1379">
        <v>1</v>
      </c>
    </row>
    <row r="1521" spans="91:102" ht="21" customHeight="1" x14ac:dyDescent="0.25">
      <c r="CM1521" s="1377"/>
      <c r="CN1521" s="1388" t="s">
        <v>11501</v>
      </c>
      <c r="CO1521" s="1388" t="s">
        <v>8128</v>
      </c>
      <c r="CP1521" s="1388" t="s">
        <v>8106</v>
      </c>
      <c r="CQ1521" s="1388" t="s">
        <v>11502</v>
      </c>
      <c r="CR1521" s="1388" t="s">
        <v>11502</v>
      </c>
      <c r="CS1521" s="1388" t="s">
        <v>8108</v>
      </c>
      <c r="CT1521" s="1388" t="s">
        <v>11368</v>
      </c>
      <c r="CU1521" s="1388" t="s">
        <v>8110</v>
      </c>
      <c r="CV1521" s="1389" t="s">
        <v>8111</v>
      </c>
      <c r="CX1521" s="1379">
        <v>1</v>
      </c>
    </row>
    <row r="1522" spans="91:102" ht="21" customHeight="1" x14ac:dyDescent="0.25">
      <c r="CM1522" s="1377"/>
      <c r="CN1522" s="1388" t="s">
        <v>11503</v>
      </c>
      <c r="CO1522" s="1388" t="s">
        <v>8128</v>
      </c>
      <c r="CP1522" s="1388" t="s">
        <v>8106</v>
      </c>
      <c r="CQ1522" s="1388" t="s">
        <v>11504</v>
      </c>
      <c r="CR1522" s="1388" t="s">
        <v>11504</v>
      </c>
      <c r="CS1522" s="1388" t="s">
        <v>8194</v>
      </c>
      <c r="CT1522" s="1388" t="s">
        <v>8195</v>
      </c>
      <c r="CU1522" s="1388" t="s">
        <v>8110</v>
      </c>
      <c r="CV1522" s="1389" t="s">
        <v>8196</v>
      </c>
      <c r="CX1522" s="1379">
        <v>1</v>
      </c>
    </row>
    <row r="1523" spans="91:102" ht="21" customHeight="1" x14ac:dyDescent="0.25">
      <c r="CM1523" s="1377"/>
      <c r="CN1523" s="1388" t="s">
        <v>11505</v>
      </c>
      <c r="CO1523" s="1388" t="s">
        <v>8128</v>
      </c>
      <c r="CP1523" s="1388" t="s">
        <v>8106</v>
      </c>
      <c r="CQ1523" s="1388" t="s">
        <v>11506</v>
      </c>
      <c r="CR1523" s="1388" t="s">
        <v>11506</v>
      </c>
      <c r="CS1523" s="1388" t="s">
        <v>11353</v>
      </c>
      <c r="CT1523" s="1388" t="s">
        <v>11354</v>
      </c>
      <c r="CU1523" s="1388" t="s">
        <v>8419</v>
      </c>
      <c r="CV1523" s="1389" t="s">
        <v>11355</v>
      </c>
      <c r="CX1523" s="1379">
        <v>1</v>
      </c>
    </row>
    <row r="1524" spans="91:102" ht="21" customHeight="1" x14ac:dyDescent="0.25">
      <c r="CM1524" s="1377"/>
      <c r="CN1524" s="1388" t="s">
        <v>11507</v>
      </c>
      <c r="CO1524" s="1388" t="s">
        <v>8128</v>
      </c>
      <c r="CP1524" s="1388" t="s">
        <v>8106</v>
      </c>
      <c r="CQ1524" s="1388" t="s">
        <v>11508</v>
      </c>
      <c r="CR1524" s="1388" t="s">
        <v>11509</v>
      </c>
      <c r="CS1524" s="1388" t="s">
        <v>8108</v>
      </c>
      <c r="CT1524" s="1388" t="s">
        <v>11368</v>
      </c>
      <c r="CU1524" s="1388" t="s">
        <v>8110</v>
      </c>
      <c r="CV1524" s="1389" t="s">
        <v>8111</v>
      </c>
      <c r="CX1524" s="1379">
        <v>1</v>
      </c>
    </row>
    <row r="1525" spans="91:102" ht="21" customHeight="1" x14ac:dyDescent="0.25">
      <c r="CM1525" s="1377"/>
      <c r="CN1525" s="1388" t="s">
        <v>11510</v>
      </c>
      <c r="CO1525" s="1388" t="s">
        <v>8128</v>
      </c>
      <c r="CP1525" s="1388" t="s">
        <v>8106</v>
      </c>
      <c r="CQ1525" s="1388" t="s">
        <v>11511</v>
      </c>
      <c r="CR1525" s="1388" t="s">
        <v>11512</v>
      </c>
      <c r="CS1525" s="1388" t="s">
        <v>11353</v>
      </c>
      <c r="CT1525" s="1388" t="s">
        <v>11354</v>
      </c>
      <c r="CU1525" s="1388" t="s">
        <v>8419</v>
      </c>
      <c r="CV1525" s="1389" t="s">
        <v>11355</v>
      </c>
      <c r="CX1525" s="1379">
        <v>1</v>
      </c>
    </row>
    <row r="1526" spans="91:102" ht="21" customHeight="1" x14ac:dyDescent="0.25">
      <c r="CM1526" s="1377"/>
      <c r="CN1526" s="1388" t="s">
        <v>11513</v>
      </c>
      <c r="CO1526" s="1388" t="s">
        <v>8128</v>
      </c>
      <c r="CP1526" s="1388" t="s">
        <v>8106</v>
      </c>
      <c r="CQ1526" s="1388" t="s">
        <v>11514</v>
      </c>
      <c r="CR1526" s="1388" t="s">
        <v>11514</v>
      </c>
      <c r="CS1526" s="1388" t="s">
        <v>11353</v>
      </c>
      <c r="CT1526" s="1388" t="s">
        <v>11354</v>
      </c>
      <c r="CU1526" s="1388" t="s">
        <v>8419</v>
      </c>
      <c r="CV1526" s="1389" t="s">
        <v>11355</v>
      </c>
      <c r="CX1526" s="1379">
        <v>1</v>
      </c>
    </row>
    <row r="1527" spans="91:102" ht="21" customHeight="1" x14ac:dyDescent="0.25">
      <c r="CM1527" s="1377"/>
      <c r="CN1527" s="1388" t="s">
        <v>11515</v>
      </c>
      <c r="CO1527" s="1388" t="s">
        <v>8128</v>
      </c>
      <c r="CP1527" s="1388" t="s">
        <v>8106</v>
      </c>
      <c r="CQ1527" s="1388" t="s">
        <v>11516</v>
      </c>
      <c r="CR1527" s="1388" t="s">
        <v>11516</v>
      </c>
      <c r="CS1527" s="1388" t="s">
        <v>8108</v>
      </c>
      <c r="CT1527" s="1388" t="s">
        <v>11368</v>
      </c>
      <c r="CU1527" s="1388" t="s">
        <v>8110</v>
      </c>
      <c r="CV1527" s="1389" t="s">
        <v>8111</v>
      </c>
      <c r="CX1527" s="1379">
        <v>1</v>
      </c>
    </row>
    <row r="1528" spans="91:102" ht="21" customHeight="1" x14ac:dyDescent="0.25">
      <c r="CM1528" s="1377"/>
      <c r="CN1528" s="1388" t="s">
        <v>11517</v>
      </c>
      <c r="CO1528" s="1388" t="s">
        <v>8128</v>
      </c>
      <c r="CP1528" s="1388" t="s">
        <v>8106</v>
      </c>
      <c r="CQ1528" s="1388" t="s">
        <v>11518</v>
      </c>
      <c r="CR1528" s="1388" t="s">
        <v>11518</v>
      </c>
      <c r="CS1528" s="1388" t="s">
        <v>8108</v>
      </c>
      <c r="CT1528" s="1388" t="s">
        <v>11368</v>
      </c>
      <c r="CU1528" s="1388" t="s">
        <v>8110</v>
      </c>
      <c r="CV1528" s="1389" t="s">
        <v>8111</v>
      </c>
      <c r="CX1528" s="1379">
        <v>1</v>
      </c>
    </row>
    <row r="1529" spans="91:102" ht="21" customHeight="1" x14ac:dyDescent="0.25">
      <c r="CM1529" s="1377"/>
      <c r="CN1529" s="1388" t="s">
        <v>11519</v>
      </c>
      <c r="CO1529" s="1388" t="s">
        <v>8128</v>
      </c>
      <c r="CP1529" s="1388" t="s">
        <v>8106</v>
      </c>
      <c r="CQ1529" s="1388" t="s">
        <v>11520</v>
      </c>
      <c r="CR1529" s="1388" t="s">
        <v>11520</v>
      </c>
      <c r="CS1529" s="1388" t="s">
        <v>11353</v>
      </c>
      <c r="CT1529" s="1388" t="s">
        <v>11354</v>
      </c>
      <c r="CU1529" s="1388" t="s">
        <v>8419</v>
      </c>
      <c r="CV1529" s="1389" t="s">
        <v>11355</v>
      </c>
      <c r="CX1529" s="1379">
        <v>1</v>
      </c>
    </row>
    <row r="1530" spans="91:102" ht="21" customHeight="1" x14ac:dyDescent="0.25">
      <c r="CM1530" s="1377"/>
      <c r="CN1530" s="1388" t="s">
        <v>11521</v>
      </c>
      <c r="CO1530" s="1388" t="s">
        <v>8128</v>
      </c>
      <c r="CP1530" s="1388" t="s">
        <v>8106</v>
      </c>
      <c r="CQ1530" s="1388" t="s">
        <v>11522</v>
      </c>
      <c r="CR1530" s="1388" t="s">
        <v>11522</v>
      </c>
      <c r="CS1530" s="1388" t="s">
        <v>11353</v>
      </c>
      <c r="CT1530" s="1388" t="s">
        <v>11354</v>
      </c>
      <c r="CU1530" s="1388" t="s">
        <v>8419</v>
      </c>
      <c r="CV1530" s="1389" t="s">
        <v>11355</v>
      </c>
      <c r="CX1530" s="1379">
        <v>1</v>
      </c>
    </row>
    <row r="1531" spans="91:102" ht="21" customHeight="1" x14ac:dyDescent="0.25">
      <c r="CM1531" s="1377"/>
      <c r="CN1531" s="1388" t="s">
        <v>11523</v>
      </c>
      <c r="CO1531" s="1388" t="s">
        <v>8128</v>
      </c>
      <c r="CP1531" s="1388" t="s">
        <v>8106</v>
      </c>
      <c r="CQ1531" s="1388" t="s">
        <v>11524</v>
      </c>
      <c r="CR1531" s="1388" t="s">
        <v>11525</v>
      </c>
      <c r="CS1531" s="1388" t="s">
        <v>8108</v>
      </c>
      <c r="CT1531" s="1388" t="s">
        <v>11368</v>
      </c>
      <c r="CU1531" s="1388" t="s">
        <v>8110</v>
      </c>
      <c r="CV1531" s="1389" t="s">
        <v>8111</v>
      </c>
      <c r="CX1531" s="1379">
        <v>1</v>
      </c>
    </row>
    <row r="1532" spans="91:102" ht="21" customHeight="1" x14ac:dyDescent="0.25">
      <c r="CM1532" s="1377"/>
      <c r="CN1532" s="1388" t="s">
        <v>11526</v>
      </c>
      <c r="CO1532" s="1388" t="s">
        <v>8128</v>
      </c>
      <c r="CP1532" s="1388" t="s">
        <v>8106</v>
      </c>
      <c r="CQ1532" s="1388" t="s">
        <v>11527</v>
      </c>
      <c r="CR1532" s="1388" t="s">
        <v>11527</v>
      </c>
      <c r="CS1532" s="1388" t="s">
        <v>8108</v>
      </c>
      <c r="CT1532" s="1388" t="s">
        <v>11368</v>
      </c>
      <c r="CU1532" s="1388" t="s">
        <v>8110</v>
      </c>
      <c r="CV1532" s="1389" t="s">
        <v>8111</v>
      </c>
      <c r="CX1532" s="1379">
        <v>1</v>
      </c>
    </row>
    <row r="1533" spans="91:102" ht="21" customHeight="1" x14ac:dyDescent="0.25">
      <c r="CM1533" s="1377"/>
      <c r="CN1533" s="1388" t="s">
        <v>11528</v>
      </c>
      <c r="CO1533" s="1388" t="s">
        <v>8128</v>
      </c>
      <c r="CP1533" s="1388" t="s">
        <v>8106</v>
      </c>
      <c r="CQ1533" s="1388" t="s">
        <v>11529</v>
      </c>
      <c r="CR1533" s="1388" t="s">
        <v>11529</v>
      </c>
      <c r="CS1533" s="1388" t="s">
        <v>11353</v>
      </c>
      <c r="CT1533" s="1388" t="s">
        <v>11354</v>
      </c>
      <c r="CU1533" s="1388" t="s">
        <v>8419</v>
      </c>
      <c r="CV1533" s="1389" t="s">
        <v>11355</v>
      </c>
      <c r="CX1533" s="1379">
        <v>1</v>
      </c>
    </row>
    <row r="1534" spans="91:102" ht="21" customHeight="1" x14ac:dyDescent="0.25">
      <c r="CM1534" s="1377"/>
      <c r="CN1534" s="1388" t="s">
        <v>11530</v>
      </c>
      <c r="CO1534" s="1388" t="s">
        <v>8128</v>
      </c>
      <c r="CP1534" s="1388" t="s">
        <v>8106</v>
      </c>
      <c r="CQ1534" s="1388" t="s">
        <v>11531</v>
      </c>
      <c r="CR1534" s="1388" t="s">
        <v>11531</v>
      </c>
      <c r="CS1534" s="1388" t="s">
        <v>8108</v>
      </c>
      <c r="CT1534" s="1388" t="s">
        <v>11368</v>
      </c>
      <c r="CU1534" s="1388" t="s">
        <v>8110</v>
      </c>
      <c r="CV1534" s="1389" t="s">
        <v>8111</v>
      </c>
      <c r="CX1534" s="1379">
        <v>1</v>
      </c>
    </row>
    <row r="1535" spans="91:102" ht="21" customHeight="1" x14ac:dyDescent="0.25">
      <c r="CM1535" s="1377"/>
      <c r="CN1535" s="1388" t="s">
        <v>11532</v>
      </c>
      <c r="CO1535" s="1388" t="s">
        <v>8128</v>
      </c>
      <c r="CP1535" s="1388" t="s">
        <v>8106</v>
      </c>
      <c r="CQ1535" s="1388" t="s">
        <v>11533</v>
      </c>
      <c r="CR1535" s="1388" t="s">
        <v>11533</v>
      </c>
      <c r="CS1535" s="1388" t="s">
        <v>8194</v>
      </c>
      <c r="CT1535" s="1388" t="s">
        <v>8195</v>
      </c>
      <c r="CU1535" s="1388" t="s">
        <v>8110</v>
      </c>
      <c r="CV1535" s="1389" t="s">
        <v>8196</v>
      </c>
      <c r="CX1535" s="1379">
        <v>1</v>
      </c>
    </row>
    <row r="1536" spans="91:102" ht="21" customHeight="1" x14ac:dyDescent="0.25">
      <c r="CM1536" s="1377"/>
      <c r="CN1536" s="1388" t="s">
        <v>11534</v>
      </c>
      <c r="CO1536" s="1388" t="s">
        <v>8128</v>
      </c>
      <c r="CP1536" s="1388" t="s">
        <v>8106</v>
      </c>
      <c r="CQ1536" s="1388" t="s">
        <v>11535</v>
      </c>
      <c r="CR1536" s="1388" t="s">
        <v>11535</v>
      </c>
      <c r="CS1536" s="1388" t="s">
        <v>8108</v>
      </c>
      <c r="CT1536" s="1388" t="s">
        <v>11368</v>
      </c>
      <c r="CU1536" s="1388" t="s">
        <v>8110</v>
      </c>
      <c r="CV1536" s="1389" t="s">
        <v>8111</v>
      </c>
      <c r="CX1536" s="1379">
        <v>1</v>
      </c>
    </row>
    <row r="1537" spans="91:102" ht="21" customHeight="1" x14ac:dyDescent="0.25">
      <c r="CM1537" s="1377"/>
      <c r="CN1537" s="1388" t="s">
        <v>11536</v>
      </c>
      <c r="CO1537" s="1388" t="s">
        <v>8128</v>
      </c>
      <c r="CP1537" s="1388" t="s">
        <v>8106</v>
      </c>
      <c r="CQ1537" s="1388" t="s">
        <v>11537</v>
      </c>
      <c r="CR1537" s="1388" t="s">
        <v>11537</v>
      </c>
      <c r="CS1537" s="1388" t="s">
        <v>8194</v>
      </c>
      <c r="CT1537" s="1388" t="s">
        <v>8195</v>
      </c>
      <c r="CU1537" s="1388" t="s">
        <v>8110</v>
      </c>
      <c r="CV1537" s="1389" t="s">
        <v>8196</v>
      </c>
      <c r="CX1537" s="1379">
        <v>1</v>
      </c>
    </row>
    <row r="1538" spans="91:102" ht="21" customHeight="1" x14ac:dyDescent="0.25">
      <c r="CM1538" s="1377"/>
      <c r="CN1538" s="1388" t="s">
        <v>11538</v>
      </c>
      <c r="CO1538" s="1388" t="s">
        <v>8128</v>
      </c>
      <c r="CP1538" s="1388" t="s">
        <v>8106</v>
      </c>
      <c r="CQ1538" s="1388" t="s">
        <v>11539</v>
      </c>
      <c r="CR1538" s="1388" t="s">
        <v>1483</v>
      </c>
      <c r="CS1538" s="1388" t="s">
        <v>8108</v>
      </c>
      <c r="CT1538" s="1388" t="s">
        <v>11368</v>
      </c>
      <c r="CU1538" s="1388" t="s">
        <v>8110</v>
      </c>
      <c r="CV1538" s="1389" t="s">
        <v>8111</v>
      </c>
      <c r="CX1538" s="1379">
        <v>1</v>
      </c>
    </row>
    <row r="1539" spans="91:102" ht="21" customHeight="1" x14ac:dyDescent="0.25">
      <c r="CM1539" s="1377"/>
      <c r="CN1539" s="1388" t="s">
        <v>11540</v>
      </c>
      <c r="CO1539" s="1388" t="s">
        <v>8128</v>
      </c>
      <c r="CP1539" s="1388" t="s">
        <v>8106</v>
      </c>
      <c r="CQ1539" s="1388" t="s">
        <v>11541</v>
      </c>
      <c r="CR1539" s="1388" t="s">
        <v>11542</v>
      </c>
      <c r="CS1539" s="1388" t="s">
        <v>11353</v>
      </c>
      <c r="CT1539" s="1388" t="s">
        <v>11354</v>
      </c>
      <c r="CU1539" s="1388" t="s">
        <v>8419</v>
      </c>
      <c r="CV1539" s="1389" t="s">
        <v>11355</v>
      </c>
      <c r="CX1539" s="1379">
        <v>1</v>
      </c>
    </row>
    <row r="1540" spans="91:102" ht="21" customHeight="1" x14ac:dyDescent="0.25">
      <c r="CM1540" s="1377"/>
      <c r="CN1540" s="1388" t="s">
        <v>11543</v>
      </c>
      <c r="CO1540" s="1388" t="s">
        <v>8128</v>
      </c>
      <c r="CP1540" s="1388" t="s">
        <v>8106</v>
      </c>
      <c r="CQ1540" s="1388" t="s">
        <v>11544</v>
      </c>
      <c r="CR1540" s="1388" t="s">
        <v>11545</v>
      </c>
      <c r="CS1540" s="1388" t="s">
        <v>11353</v>
      </c>
      <c r="CT1540" s="1388" t="s">
        <v>11354</v>
      </c>
      <c r="CU1540" s="1388" t="s">
        <v>8419</v>
      </c>
      <c r="CV1540" s="1389" t="s">
        <v>11355</v>
      </c>
      <c r="CX1540" s="1379">
        <v>1</v>
      </c>
    </row>
    <row r="1541" spans="91:102" ht="21" customHeight="1" x14ac:dyDescent="0.25">
      <c r="CM1541" s="1377"/>
      <c r="CN1541" s="1388" t="s">
        <v>11546</v>
      </c>
      <c r="CO1541" s="1388" t="s">
        <v>8128</v>
      </c>
      <c r="CP1541" s="1388" t="s">
        <v>8106</v>
      </c>
      <c r="CQ1541" s="1388" t="s">
        <v>11547</v>
      </c>
      <c r="CR1541" s="1388" t="s">
        <v>11548</v>
      </c>
      <c r="CS1541" s="1388" t="s">
        <v>8194</v>
      </c>
      <c r="CT1541" s="1388" t="s">
        <v>8195</v>
      </c>
      <c r="CU1541" s="1388" t="s">
        <v>8110</v>
      </c>
      <c r="CV1541" s="1389" t="s">
        <v>8196</v>
      </c>
      <c r="CX1541" s="1379">
        <v>1</v>
      </c>
    </row>
    <row r="1542" spans="91:102" ht="21" customHeight="1" x14ac:dyDescent="0.25">
      <c r="CM1542" s="1377"/>
      <c r="CN1542" s="1388" t="s">
        <v>11549</v>
      </c>
      <c r="CO1542" s="1388" t="s">
        <v>8128</v>
      </c>
      <c r="CP1542" s="1388" t="s">
        <v>8106</v>
      </c>
      <c r="CQ1542" s="1388" t="s">
        <v>11550</v>
      </c>
      <c r="CR1542" s="1388" t="s">
        <v>11551</v>
      </c>
      <c r="CS1542" s="1388" t="s">
        <v>11353</v>
      </c>
      <c r="CT1542" s="1388" t="s">
        <v>11354</v>
      </c>
      <c r="CU1542" s="1388" t="s">
        <v>8419</v>
      </c>
      <c r="CV1542" s="1389" t="s">
        <v>11355</v>
      </c>
      <c r="CX1542" s="1379">
        <v>1</v>
      </c>
    </row>
    <row r="1543" spans="91:102" ht="21" customHeight="1" x14ac:dyDescent="0.25">
      <c r="CM1543" s="1377"/>
      <c r="CN1543" s="1388" t="s">
        <v>11552</v>
      </c>
      <c r="CO1543" s="1388" t="s">
        <v>8128</v>
      </c>
      <c r="CP1543" s="1388" t="s">
        <v>8106</v>
      </c>
      <c r="CQ1543" s="1388" t="s">
        <v>11553</v>
      </c>
      <c r="CR1543" s="1388" t="s">
        <v>11554</v>
      </c>
      <c r="CS1543" s="1388" t="s">
        <v>8108</v>
      </c>
      <c r="CT1543" s="1388" t="s">
        <v>11368</v>
      </c>
      <c r="CU1543" s="1388" t="s">
        <v>8110</v>
      </c>
      <c r="CV1543" s="1389" t="s">
        <v>8111</v>
      </c>
      <c r="CX1543" s="1379">
        <v>1</v>
      </c>
    </row>
    <row r="1544" spans="91:102" ht="21" customHeight="1" x14ac:dyDescent="0.25">
      <c r="CM1544" s="1377"/>
      <c r="CN1544" s="1388" t="s">
        <v>11555</v>
      </c>
      <c r="CO1544" s="1388" t="s">
        <v>8128</v>
      </c>
      <c r="CP1544" s="1388" t="s">
        <v>8106</v>
      </c>
      <c r="CQ1544" s="1388" t="s">
        <v>11556</v>
      </c>
      <c r="CR1544" s="1388" t="s">
        <v>11557</v>
      </c>
      <c r="CS1544" s="1388" t="s">
        <v>11353</v>
      </c>
      <c r="CT1544" s="1388" t="s">
        <v>11354</v>
      </c>
      <c r="CU1544" s="1388" t="s">
        <v>8419</v>
      </c>
      <c r="CV1544" s="1389" t="s">
        <v>11355</v>
      </c>
      <c r="CX1544" s="1379">
        <v>1</v>
      </c>
    </row>
    <row r="1545" spans="91:102" ht="21" customHeight="1" x14ac:dyDescent="0.25">
      <c r="CM1545" s="1377"/>
      <c r="CN1545" s="1388" t="s">
        <v>11558</v>
      </c>
      <c r="CO1545" s="1388" t="s">
        <v>8128</v>
      </c>
      <c r="CP1545" s="1388" t="s">
        <v>8106</v>
      </c>
      <c r="CQ1545" s="1388" t="s">
        <v>11559</v>
      </c>
      <c r="CR1545" s="1388" t="s">
        <v>11560</v>
      </c>
      <c r="CS1545" s="1388" t="s">
        <v>11353</v>
      </c>
      <c r="CT1545" s="1388" t="s">
        <v>11354</v>
      </c>
      <c r="CU1545" s="1388" t="s">
        <v>8419</v>
      </c>
      <c r="CV1545" s="1389" t="s">
        <v>11355</v>
      </c>
      <c r="CX1545" s="1379">
        <v>1</v>
      </c>
    </row>
    <row r="1546" spans="91:102" ht="21" customHeight="1" x14ac:dyDescent="0.25">
      <c r="CM1546" s="1377"/>
      <c r="CN1546" s="1388" t="s">
        <v>11561</v>
      </c>
      <c r="CO1546" s="1388" t="s">
        <v>8128</v>
      </c>
      <c r="CP1546" s="1388" t="s">
        <v>8106</v>
      </c>
      <c r="CQ1546" s="1388" t="s">
        <v>11562</v>
      </c>
      <c r="CR1546" s="1388" t="s">
        <v>11563</v>
      </c>
      <c r="CS1546" s="1388" t="s">
        <v>8108</v>
      </c>
      <c r="CT1546" s="1388" t="s">
        <v>11368</v>
      </c>
      <c r="CU1546" s="1388" t="s">
        <v>8110</v>
      </c>
      <c r="CV1546" s="1389" t="s">
        <v>8111</v>
      </c>
      <c r="CX1546" s="1379">
        <v>1</v>
      </c>
    </row>
    <row r="1547" spans="91:102" ht="21" customHeight="1" x14ac:dyDescent="0.25">
      <c r="CM1547" s="1377"/>
      <c r="CN1547" s="1388" t="s">
        <v>11564</v>
      </c>
      <c r="CO1547" s="1388" t="s">
        <v>8128</v>
      </c>
      <c r="CP1547" s="1388" t="s">
        <v>8106</v>
      </c>
      <c r="CQ1547" s="1388" t="s">
        <v>9220</v>
      </c>
      <c r="CR1547" s="1388" t="s">
        <v>9221</v>
      </c>
      <c r="CS1547" s="1388" t="s">
        <v>8108</v>
      </c>
      <c r="CT1547" s="1388" t="s">
        <v>11368</v>
      </c>
      <c r="CU1547" s="1388" t="s">
        <v>8110</v>
      </c>
      <c r="CV1547" s="1389" t="s">
        <v>8111</v>
      </c>
      <c r="CX1547" s="1379">
        <v>1</v>
      </c>
    </row>
    <row r="1548" spans="91:102" ht="21" customHeight="1" x14ac:dyDescent="0.25">
      <c r="CM1548" s="1377"/>
      <c r="CN1548" s="1388" t="s">
        <v>11565</v>
      </c>
      <c r="CO1548" s="1388" t="s">
        <v>8128</v>
      </c>
      <c r="CP1548" s="1388" t="s">
        <v>8106</v>
      </c>
      <c r="CQ1548" s="1388" t="s">
        <v>11566</v>
      </c>
      <c r="CR1548" s="1388" t="s">
        <v>11567</v>
      </c>
      <c r="CS1548" s="1388" t="s">
        <v>8108</v>
      </c>
      <c r="CT1548" s="1388" t="s">
        <v>11368</v>
      </c>
      <c r="CU1548" s="1388" t="s">
        <v>8110</v>
      </c>
      <c r="CV1548" s="1389" t="s">
        <v>8111</v>
      </c>
      <c r="CX1548" s="1379">
        <v>1</v>
      </c>
    </row>
    <row r="1549" spans="91:102" ht="21" customHeight="1" x14ac:dyDescent="0.25">
      <c r="CM1549" s="1377"/>
      <c r="CN1549" s="1388" t="s">
        <v>11568</v>
      </c>
      <c r="CO1549" s="1388" t="s">
        <v>8128</v>
      </c>
      <c r="CP1549" s="1388" t="s">
        <v>8106</v>
      </c>
      <c r="CQ1549" s="1388" t="s">
        <v>11569</v>
      </c>
      <c r="CR1549" s="1388" t="s">
        <v>11569</v>
      </c>
      <c r="CS1549" s="1388" t="s">
        <v>11353</v>
      </c>
      <c r="CT1549" s="1388" t="s">
        <v>11354</v>
      </c>
      <c r="CU1549" s="1388" t="s">
        <v>8419</v>
      </c>
      <c r="CV1549" s="1389" t="s">
        <v>11355</v>
      </c>
      <c r="CX1549" s="1379">
        <v>1</v>
      </c>
    </row>
    <row r="1550" spans="91:102" ht="21" customHeight="1" x14ac:dyDescent="0.25">
      <c r="CM1550" s="1377"/>
      <c r="CN1550" s="1388" t="s">
        <v>11570</v>
      </c>
      <c r="CO1550" s="1388" t="s">
        <v>8128</v>
      </c>
      <c r="CP1550" s="1388" t="s">
        <v>8106</v>
      </c>
      <c r="CQ1550" s="1388" t="s">
        <v>11571</v>
      </c>
      <c r="CR1550" s="1388" t="s">
        <v>11571</v>
      </c>
      <c r="CS1550" s="1388" t="s">
        <v>11353</v>
      </c>
      <c r="CT1550" s="1388" t="s">
        <v>11354</v>
      </c>
      <c r="CU1550" s="1388" t="s">
        <v>8419</v>
      </c>
      <c r="CV1550" s="1389" t="s">
        <v>11355</v>
      </c>
      <c r="CX1550" s="1379">
        <v>1</v>
      </c>
    </row>
    <row r="1551" spans="91:102" ht="21" customHeight="1" x14ac:dyDescent="0.25">
      <c r="CM1551" s="1377"/>
      <c r="CN1551" s="1388" t="s">
        <v>11572</v>
      </c>
      <c r="CO1551" s="1388" t="s">
        <v>8128</v>
      </c>
      <c r="CP1551" s="1388" t="s">
        <v>8106</v>
      </c>
      <c r="CQ1551" s="1388" t="s">
        <v>11573</v>
      </c>
      <c r="CR1551" s="1388" t="s">
        <v>11573</v>
      </c>
      <c r="CS1551" s="1388" t="s">
        <v>11353</v>
      </c>
      <c r="CT1551" s="1388" t="s">
        <v>11354</v>
      </c>
      <c r="CU1551" s="1388" t="s">
        <v>8419</v>
      </c>
      <c r="CV1551" s="1389" t="s">
        <v>11355</v>
      </c>
      <c r="CX1551" s="1379">
        <v>1</v>
      </c>
    </row>
    <row r="1552" spans="91:102" ht="21" customHeight="1" x14ac:dyDescent="0.25">
      <c r="CM1552" s="1377"/>
      <c r="CN1552" s="1388" t="s">
        <v>11574</v>
      </c>
      <c r="CO1552" s="1388" t="s">
        <v>8128</v>
      </c>
      <c r="CP1552" s="1388" t="s">
        <v>8106</v>
      </c>
      <c r="CQ1552" s="1388" t="s">
        <v>11575</v>
      </c>
      <c r="CR1552" s="1388" t="s">
        <v>11575</v>
      </c>
      <c r="CS1552" s="1388" t="s">
        <v>11353</v>
      </c>
      <c r="CT1552" s="1388" t="s">
        <v>11354</v>
      </c>
      <c r="CU1552" s="1388" t="s">
        <v>8419</v>
      </c>
      <c r="CV1552" s="1389" t="s">
        <v>11355</v>
      </c>
      <c r="CX1552" s="1379">
        <v>1</v>
      </c>
    </row>
    <row r="1553" spans="91:102" ht="21" customHeight="1" x14ac:dyDescent="0.25">
      <c r="CM1553" s="1377"/>
      <c r="CN1553" s="1388" t="s">
        <v>11576</v>
      </c>
      <c r="CO1553" s="1388" t="s">
        <v>8128</v>
      </c>
      <c r="CP1553" s="1388" t="s">
        <v>8106</v>
      </c>
      <c r="CQ1553" s="1388" t="s">
        <v>11577</v>
      </c>
      <c r="CR1553" s="1388" t="s">
        <v>11577</v>
      </c>
      <c r="CS1553" s="1388" t="s">
        <v>11353</v>
      </c>
      <c r="CT1553" s="1388" t="s">
        <v>11354</v>
      </c>
      <c r="CU1553" s="1388" t="s">
        <v>8419</v>
      </c>
      <c r="CV1553" s="1389" t="s">
        <v>11355</v>
      </c>
      <c r="CX1553" s="1379">
        <v>1</v>
      </c>
    </row>
    <row r="1554" spans="91:102" ht="21" customHeight="1" x14ac:dyDescent="0.25">
      <c r="CM1554" s="1377"/>
      <c r="CN1554" s="1388" t="s">
        <v>11578</v>
      </c>
      <c r="CO1554" s="1388" t="s">
        <v>8128</v>
      </c>
      <c r="CP1554" s="1388" t="s">
        <v>8106</v>
      </c>
      <c r="CQ1554" s="1388" t="s">
        <v>11579</v>
      </c>
      <c r="CR1554" s="1388" t="s">
        <v>11579</v>
      </c>
      <c r="CS1554" s="1388" t="s">
        <v>8108</v>
      </c>
      <c r="CT1554" s="1388" t="s">
        <v>11368</v>
      </c>
      <c r="CU1554" s="1388" t="s">
        <v>8110</v>
      </c>
      <c r="CV1554" s="1389" t="s">
        <v>8111</v>
      </c>
      <c r="CX1554" s="1379">
        <v>1</v>
      </c>
    </row>
    <row r="1555" spans="91:102" ht="21" customHeight="1" x14ac:dyDescent="0.25">
      <c r="CM1555" s="1377"/>
      <c r="CN1555" s="1388" t="s">
        <v>11580</v>
      </c>
      <c r="CO1555" s="1388" t="s">
        <v>8128</v>
      </c>
      <c r="CP1555" s="1388" t="s">
        <v>8106</v>
      </c>
      <c r="CQ1555" s="1388" t="s">
        <v>11581</v>
      </c>
      <c r="CR1555" s="1388" t="s">
        <v>11581</v>
      </c>
      <c r="CS1555" s="1388" t="s">
        <v>8108</v>
      </c>
      <c r="CT1555" s="1388" t="s">
        <v>11368</v>
      </c>
      <c r="CU1555" s="1388" t="s">
        <v>8110</v>
      </c>
      <c r="CV1555" s="1389" t="s">
        <v>8111</v>
      </c>
      <c r="CX1555" s="1379">
        <v>1</v>
      </c>
    </row>
    <row r="1556" spans="91:102" ht="21" customHeight="1" x14ac:dyDescent="0.25">
      <c r="CM1556" s="1377"/>
      <c r="CN1556" s="1388" t="s">
        <v>11582</v>
      </c>
      <c r="CO1556" s="1388" t="s">
        <v>8128</v>
      </c>
      <c r="CP1556" s="1388" t="s">
        <v>8106</v>
      </c>
      <c r="CQ1556" s="1388" t="s">
        <v>11583</v>
      </c>
      <c r="CR1556" s="1388" t="s">
        <v>11583</v>
      </c>
      <c r="CS1556" s="1388" t="s">
        <v>8108</v>
      </c>
      <c r="CT1556" s="1388" t="s">
        <v>11368</v>
      </c>
      <c r="CU1556" s="1388" t="s">
        <v>8110</v>
      </c>
      <c r="CV1556" s="1389" t="s">
        <v>8111</v>
      </c>
      <c r="CX1556" s="1379">
        <v>1</v>
      </c>
    </row>
    <row r="1557" spans="91:102" ht="21" customHeight="1" x14ac:dyDescent="0.25">
      <c r="CM1557" s="1377"/>
      <c r="CN1557" s="1388" t="s">
        <v>11584</v>
      </c>
      <c r="CO1557" s="1388" t="s">
        <v>8128</v>
      </c>
      <c r="CP1557" s="1388" t="s">
        <v>8106</v>
      </c>
      <c r="CQ1557" s="1388" t="s">
        <v>11585</v>
      </c>
      <c r="CR1557" s="1388" t="s">
        <v>11586</v>
      </c>
      <c r="CS1557" s="1388" t="s">
        <v>11353</v>
      </c>
      <c r="CT1557" s="1388" t="s">
        <v>11354</v>
      </c>
      <c r="CU1557" s="1388" t="s">
        <v>8419</v>
      </c>
      <c r="CV1557" s="1389" t="s">
        <v>11355</v>
      </c>
      <c r="CX1557" s="1379">
        <v>1</v>
      </c>
    </row>
    <row r="1558" spans="91:102" ht="21" customHeight="1" x14ac:dyDescent="0.25">
      <c r="CM1558" s="1377"/>
      <c r="CN1558" s="1388" t="s">
        <v>11587</v>
      </c>
      <c r="CO1558" s="1388" t="s">
        <v>8128</v>
      </c>
      <c r="CP1558" s="1388" t="s">
        <v>8106</v>
      </c>
      <c r="CQ1558" s="1388" t="s">
        <v>11588</v>
      </c>
      <c r="CR1558" s="1388" t="s">
        <v>11588</v>
      </c>
      <c r="CS1558" s="1388" t="s">
        <v>11353</v>
      </c>
      <c r="CT1558" s="1388" t="s">
        <v>11354</v>
      </c>
      <c r="CU1558" s="1388" t="s">
        <v>8419</v>
      </c>
      <c r="CV1558" s="1389" t="s">
        <v>11355</v>
      </c>
      <c r="CX1558" s="1379">
        <v>1</v>
      </c>
    </row>
    <row r="1559" spans="91:102" ht="21" customHeight="1" x14ac:dyDescent="0.25">
      <c r="CM1559" s="1377"/>
      <c r="CN1559" s="1388" t="s">
        <v>11589</v>
      </c>
      <c r="CO1559" s="1388" t="s">
        <v>8128</v>
      </c>
      <c r="CP1559" s="1388" t="s">
        <v>8106</v>
      </c>
      <c r="CQ1559" s="1388" t="s">
        <v>11590</v>
      </c>
      <c r="CR1559" s="1388" t="s">
        <v>11591</v>
      </c>
      <c r="CS1559" s="1388" t="s">
        <v>11353</v>
      </c>
      <c r="CT1559" s="1388" t="s">
        <v>11354</v>
      </c>
      <c r="CU1559" s="1388" t="s">
        <v>8419</v>
      </c>
      <c r="CV1559" s="1389" t="s">
        <v>11355</v>
      </c>
      <c r="CX1559" s="1379">
        <v>1</v>
      </c>
    </row>
    <row r="1560" spans="91:102" ht="21" customHeight="1" x14ac:dyDescent="0.25">
      <c r="CM1560" s="1377"/>
      <c r="CN1560" s="1388" t="s">
        <v>11592</v>
      </c>
      <c r="CO1560" s="1388" t="s">
        <v>8128</v>
      </c>
      <c r="CP1560" s="1388" t="s">
        <v>8106</v>
      </c>
      <c r="CQ1560" s="1388" t="s">
        <v>11593</v>
      </c>
      <c r="CR1560" s="1388" t="s">
        <v>11594</v>
      </c>
      <c r="CS1560" s="1388" t="s">
        <v>11353</v>
      </c>
      <c r="CT1560" s="1388" t="s">
        <v>11354</v>
      </c>
      <c r="CU1560" s="1388" t="s">
        <v>8419</v>
      </c>
      <c r="CV1560" s="1389" t="s">
        <v>11355</v>
      </c>
      <c r="CX1560" s="1379">
        <v>1</v>
      </c>
    </row>
    <row r="1561" spans="91:102" ht="21" customHeight="1" x14ac:dyDescent="0.25">
      <c r="CM1561" s="1377"/>
      <c r="CN1561" s="1388" t="s">
        <v>11595</v>
      </c>
      <c r="CO1561" s="1388" t="s">
        <v>8128</v>
      </c>
      <c r="CP1561" s="1388" t="s">
        <v>8106</v>
      </c>
      <c r="CQ1561" s="1388" t="s">
        <v>11596</v>
      </c>
      <c r="CR1561" s="1388" t="s">
        <v>11596</v>
      </c>
      <c r="CS1561" s="1388" t="s">
        <v>11353</v>
      </c>
      <c r="CT1561" s="1388" t="s">
        <v>11354</v>
      </c>
      <c r="CU1561" s="1388" t="s">
        <v>8419</v>
      </c>
      <c r="CV1561" s="1389" t="s">
        <v>11355</v>
      </c>
      <c r="CX1561" s="1379">
        <v>1</v>
      </c>
    </row>
    <row r="1562" spans="91:102" ht="21" customHeight="1" x14ac:dyDescent="0.25">
      <c r="CM1562" s="1377"/>
      <c r="CN1562" s="1388" t="s">
        <v>11597</v>
      </c>
      <c r="CO1562" s="1388" t="s">
        <v>8128</v>
      </c>
      <c r="CP1562" s="1388" t="s">
        <v>8106</v>
      </c>
      <c r="CQ1562" s="1388" t="s">
        <v>11598</v>
      </c>
      <c r="CR1562" s="1388" t="s">
        <v>11598</v>
      </c>
      <c r="CS1562" s="1388" t="s">
        <v>8108</v>
      </c>
      <c r="CT1562" s="1388" t="s">
        <v>11368</v>
      </c>
      <c r="CU1562" s="1388" t="s">
        <v>8110</v>
      </c>
      <c r="CV1562" s="1389" t="s">
        <v>8111</v>
      </c>
      <c r="CX1562" s="1379">
        <v>1</v>
      </c>
    </row>
    <row r="1563" spans="91:102" ht="21" customHeight="1" x14ac:dyDescent="0.25">
      <c r="CM1563" s="1377"/>
      <c r="CN1563" s="1388" t="s">
        <v>11599</v>
      </c>
      <c r="CO1563" s="1388" t="s">
        <v>8128</v>
      </c>
      <c r="CP1563" s="1388" t="s">
        <v>8106</v>
      </c>
      <c r="CQ1563" s="1388" t="s">
        <v>11600</v>
      </c>
      <c r="CR1563" s="1388" t="s">
        <v>11600</v>
      </c>
      <c r="CS1563" s="1388" t="s">
        <v>8108</v>
      </c>
      <c r="CT1563" s="1388" t="s">
        <v>11368</v>
      </c>
      <c r="CU1563" s="1388" t="s">
        <v>8110</v>
      </c>
      <c r="CV1563" s="1389" t="s">
        <v>8111</v>
      </c>
      <c r="CX1563" s="1379">
        <v>1</v>
      </c>
    </row>
    <row r="1564" spans="91:102" ht="21" customHeight="1" x14ac:dyDescent="0.25">
      <c r="CM1564" s="1377"/>
      <c r="CN1564" s="1388" t="s">
        <v>11601</v>
      </c>
      <c r="CO1564" s="1388" t="s">
        <v>8128</v>
      </c>
      <c r="CP1564" s="1388" t="s">
        <v>8106</v>
      </c>
      <c r="CQ1564" s="1388" t="s">
        <v>11602</v>
      </c>
      <c r="CR1564" s="1388" t="s">
        <v>11602</v>
      </c>
      <c r="CS1564" s="1388" t="s">
        <v>11353</v>
      </c>
      <c r="CT1564" s="1388" t="s">
        <v>11354</v>
      </c>
      <c r="CU1564" s="1388" t="s">
        <v>8419</v>
      </c>
      <c r="CV1564" s="1389" t="s">
        <v>11355</v>
      </c>
      <c r="CX1564" s="1379">
        <v>1</v>
      </c>
    </row>
    <row r="1565" spans="91:102" ht="21" customHeight="1" x14ac:dyDescent="0.25">
      <c r="CM1565" s="1377"/>
      <c r="CN1565" s="1388" t="s">
        <v>11603</v>
      </c>
      <c r="CO1565" s="1388" t="s">
        <v>8128</v>
      </c>
      <c r="CP1565" s="1388" t="s">
        <v>8106</v>
      </c>
      <c r="CQ1565" s="1388" t="s">
        <v>11604</v>
      </c>
      <c r="CR1565" s="1388" t="s">
        <v>11604</v>
      </c>
      <c r="CS1565" s="1388" t="s">
        <v>8108</v>
      </c>
      <c r="CT1565" s="1388" t="s">
        <v>11368</v>
      </c>
      <c r="CU1565" s="1388" t="s">
        <v>8110</v>
      </c>
      <c r="CV1565" s="1389" t="s">
        <v>8111</v>
      </c>
      <c r="CX1565" s="1379">
        <v>1</v>
      </c>
    </row>
    <row r="1566" spans="91:102" ht="21" customHeight="1" x14ac:dyDescent="0.25">
      <c r="CM1566" s="1377"/>
      <c r="CN1566" s="1388" t="s">
        <v>11605</v>
      </c>
      <c r="CO1566" s="1388" t="s">
        <v>8128</v>
      </c>
      <c r="CP1566" s="1388" t="s">
        <v>8106</v>
      </c>
      <c r="CQ1566" s="1388" t="s">
        <v>11606</v>
      </c>
      <c r="CR1566" s="1388" t="s">
        <v>11606</v>
      </c>
      <c r="CS1566" s="1388" t="s">
        <v>8108</v>
      </c>
      <c r="CT1566" s="1388" t="s">
        <v>11368</v>
      </c>
      <c r="CU1566" s="1388" t="s">
        <v>8110</v>
      </c>
      <c r="CV1566" s="1389" t="s">
        <v>8111</v>
      </c>
      <c r="CX1566" s="1379">
        <v>1</v>
      </c>
    </row>
    <row r="1567" spans="91:102" ht="21" customHeight="1" x14ac:dyDescent="0.25">
      <c r="CM1567" s="1377"/>
      <c r="CN1567" s="1388" t="s">
        <v>11607</v>
      </c>
      <c r="CO1567" s="1388" t="s">
        <v>8128</v>
      </c>
      <c r="CP1567" s="1388" t="s">
        <v>8106</v>
      </c>
      <c r="CQ1567" s="1388" t="s">
        <v>11608</v>
      </c>
      <c r="CR1567" s="1388" t="s">
        <v>11609</v>
      </c>
      <c r="CS1567" s="1388" t="s">
        <v>11353</v>
      </c>
      <c r="CT1567" s="1388" t="s">
        <v>11354</v>
      </c>
      <c r="CU1567" s="1388" t="s">
        <v>8419</v>
      </c>
      <c r="CV1567" s="1389" t="s">
        <v>11355</v>
      </c>
      <c r="CX1567" s="1379">
        <v>1</v>
      </c>
    </row>
    <row r="1568" spans="91:102" ht="21" customHeight="1" x14ac:dyDescent="0.25">
      <c r="CM1568" s="1377"/>
      <c r="CN1568" s="1388" t="s">
        <v>11610</v>
      </c>
      <c r="CO1568" s="1388" t="s">
        <v>8128</v>
      </c>
      <c r="CP1568" s="1388" t="s">
        <v>8106</v>
      </c>
      <c r="CQ1568" s="1388" t="s">
        <v>11611</v>
      </c>
      <c r="CR1568" s="1388" t="s">
        <v>11611</v>
      </c>
      <c r="CS1568" s="1388" t="s">
        <v>11353</v>
      </c>
      <c r="CT1568" s="1388" t="s">
        <v>11354</v>
      </c>
      <c r="CU1568" s="1388" t="s">
        <v>8419</v>
      </c>
      <c r="CV1568" s="1389" t="s">
        <v>11355</v>
      </c>
      <c r="CX1568" s="1379">
        <v>1</v>
      </c>
    </row>
    <row r="1569" spans="91:102" ht="21" customHeight="1" x14ac:dyDescent="0.25">
      <c r="CM1569" s="1377"/>
      <c r="CN1569" s="1388" t="s">
        <v>11612</v>
      </c>
      <c r="CO1569" s="1388" t="s">
        <v>8128</v>
      </c>
      <c r="CP1569" s="1388" t="s">
        <v>8106</v>
      </c>
      <c r="CQ1569" s="1388" t="s">
        <v>529</v>
      </c>
      <c r="CR1569" s="1388" t="s">
        <v>529</v>
      </c>
      <c r="CS1569" s="1388" t="s">
        <v>8108</v>
      </c>
      <c r="CT1569" s="1388" t="s">
        <v>11368</v>
      </c>
      <c r="CU1569" s="1388" t="s">
        <v>8110</v>
      </c>
      <c r="CV1569" s="1389" t="s">
        <v>8111</v>
      </c>
      <c r="CX1569" s="1379">
        <v>1</v>
      </c>
    </row>
    <row r="1570" spans="91:102" ht="21" customHeight="1" x14ac:dyDescent="0.25">
      <c r="CM1570" s="1377"/>
      <c r="CN1570" s="1388" t="s">
        <v>11613</v>
      </c>
      <c r="CO1570" s="1388" t="s">
        <v>8128</v>
      </c>
      <c r="CP1570" s="1388" t="s">
        <v>8106</v>
      </c>
      <c r="CQ1570" s="1388" t="s">
        <v>11614</v>
      </c>
      <c r="CR1570" s="1388" t="s">
        <v>11615</v>
      </c>
      <c r="CS1570" s="1388" t="s">
        <v>11353</v>
      </c>
      <c r="CT1570" s="1388" t="s">
        <v>11354</v>
      </c>
      <c r="CU1570" s="1388" t="s">
        <v>8419</v>
      </c>
      <c r="CV1570" s="1389" t="s">
        <v>11355</v>
      </c>
      <c r="CX1570" s="1379">
        <v>1</v>
      </c>
    </row>
    <row r="1571" spans="91:102" ht="21" customHeight="1" x14ac:dyDescent="0.25">
      <c r="CM1571" s="1377"/>
      <c r="CN1571" s="1388" t="s">
        <v>11616</v>
      </c>
      <c r="CO1571" s="1388" t="s">
        <v>8128</v>
      </c>
      <c r="CP1571" s="1388" t="s">
        <v>8106</v>
      </c>
      <c r="CQ1571" s="1388" t="s">
        <v>11617</v>
      </c>
      <c r="CR1571" s="1388" t="s">
        <v>11617</v>
      </c>
      <c r="CS1571" s="1388" t="s">
        <v>11353</v>
      </c>
      <c r="CT1571" s="1388" t="s">
        <v>11354</v>
      </c>
      <c r="CU1571" s="1388" t="s">
        <v>8419</v>
      </c>
      <c r="CV1571" s="1389" t="s">
        <v>11355</v>
      </c>
      <c r="CX1571" s="1379">
        <v>1</v>
      </c>
    </row>
    <row r="1572" spans="91:102" ht="21" customHeight="1" x14ac:dyDescent="0.25">
      <c r="CM1572" s="1377"/>
      <c r="CN1572" s="1388" t="s">
        <v>11618</v>
      </c>
      <c r="CO1572" s="1388" t="s">
        <v>8128</v>
      </c>
      <c r="CP1572" s="1388" t="s">
        <v>8106</v>
      </c>
      <c r="CQ1572" s="1388" t="s">
        <v>187</v>
      </c>
      <c r="CR1572" s="1388" t="s">
        <v>187</v>
      </c>
      <c r="CS1572" s="1388" t="s">
        <v>8108</v>
      </c>
      <c r="CT1572" s="1388" t="s">
        <v>11368</v>
      </c>
      <c r="CU1572" s="1388" t="s">
        <v>8110</v>
      </c>
      <c r="CV1572" s="1389" t="s">
        <v>8111</v>
      </c>
      <c r="CX1572" s="1379">
        <v>1</v>
      </c>
    </row>
    <row r="1573" spans="91:102" ht="21" customHeight="1" x14ac:dyDescent="0.25">
      <c r="CM1573" s="1377"/>
      <c r="CN1573" s="1388" t="s">
        <v>11619</v>
      </c>
      <c r="CO1573" s="1388" t="s">
        <v>8128</v>
      </c>
      <c r="CP1573" s="1388" t="s">
        <v>8106</v>
      </c>
      <c r="CQ1573" s="1388" t="s">
        <v>11620</v>
      </c>
      <c r="CR1573" s="1388" t="s">
        <v>11620</v>
      </c>
      <c r="CS1573" s="1388" t="s">
        <v>11353</v>
      </c>
      <c r="CT1573" s="1388" t="s">
        <v>11354</v>
      </c>
      <c r="CU1573" s="1388" t="s">
        <v>8419</v>
      </c>
      <c r="CV1573" s="1389" t="s">
        <v>11355</v>
      </c>
      <c r="CX1573" s="1379">
        <v>1</v>
      </c>
    </row>
    <row r="1574" spans="91:102" ht="21" customHeight="1" x14ac:dyDescent="0.25">
      <c r="CM1574" s="1377"/>
      <c r="CN1574" s="1388" t="s">
        <v>11621</v>
      </c>
      <c r="CO1574" s="1388" t="s">
        <v>8128</v>
      </c>
      <c r="CP1574" s="1388" t="s">
        <v>8106</v>
      </c>
      <c r="CQ1574" s="1388" t="s">
        <v>11622</v>
      </c>
      <c r="CR1574" s="1388" t="s">
        <v>11623</v>
      </c>
      <c r="CS1574" s="1388" t="s">
        <v>11353</v>
      </c>
      <c r="CT1574" s="1388" t="s">
        <v>11354</v>
      </c>
      <c r="CU1574" s="1388" t="s">
        <v>8419</v>
      </c>
      <c r="CV1574" s="1389" t="s">
        <v>11355</v>
      </c>
      <c r="CX1574" s="1379">
        <v>1</v>
      </c>
    </row>
    <row r="1575" spans="91:102" ht="21" customHeight="1" x14ac:dyDescent="0.25">
      <c r="CM1575" s="1377"/>
      <c r="CN1575" s="1388" t="s">
        <v>11624</v>
      </c>
      <c r="CO1575" s="1388" t="s">
        <v>8128</v>
      </c>
      <c r="CP1575" s="1388" t="s">
        <v>8106</v>
      </c>
      <c r="CQ1575" s="1388" t="s">
        <v>11625</v>
      </c>
      <c r="CR1575" s="1388" t="s">
        <v>11625</v>
      </c>
      <c r="CS1575" s="1388" t="s">
        <v>11353</v>
      </c>
      <c r="CT1575" s="1388" t="s">
        <v>11354</v>
      </c>
      <c r="CU1575" s="1388" t="s">
        <v>8419</v>
      </c>
      <c r="CV1575" s="1389" t="s">
        <v>11355</v>
      </c>
      <c r="CX1575" s="1379">
        <v>1</v>
      </c>
    </row>
    <row r="1576" spans="91:102" ht="21" customHeight="1" x14ac:dyDescent="0.25">
      <c r="CM1576" s="1377"/>
      <c r="CN1576" s="1388" t="s">
        <v>11626</v>
      </c>
      <c r="CO1576" s="1388" t="s">
        <v>8128</v>
      </c>
      <c r="CP1576" s="1388" t="s">
        <v>8106</v>
      </c>
      <c r="CQ1576" s="1388" t="s">
        <v>11627</v>
      </c>
      <c r="CR1576" s="1388" t="s">
        <v>11627</v>
      </c>
      <c r="CS1576" s="1388" t="s">
        <v>11353</v>
      </c>
      <c r="CT1576" s="1388" t="s">
        <v>11354</v>
      </c>
      <c r="CU1576" s="1388" t="s">
        <v>8419</v>
      </c>
      <c r="CV1576" s="1389" t="s">
        <v>11355</v>
      </c>
      <c r="CX1576" s="1379">
        <v>1</v>
      </c>
    </row>
    <row r="1577" spans="91:102" ht="21" customHeight="1" x14ac:dyDescent="0.25">
      <c r="CM1577" s="1377"/>
      <c r="CN1577" s="1388" t="s">
        <v>11628</v>
      </c>
      <c r="CO1577" s="1388" t="s">
        <v>8128</v>
      </c>
      <c r="CP1577" s="1388" t="s">
        <v>8106</v>
      </c>
      <c r="CQ1577" s="1388" t="s">
        <v>11629</v>
      </c>
      <c r="CR1577" s="1388" t="s">
        <v>11629</v>
      </c>
      <c r="CS1577" s="1388" t="s">
        <v>11353</v>
      </c>
      <c r="CT1577" s="1388" t="s">
        <v>11354</v>
      </c>
      <c r="CU1577" s="1388" t="s">
        <v>8419</v>
      </c>
      <c r="CV1577" s="1389" t="s">
        <v>11355</v>
      </c>
      <c r="CX1577" s="1379">
        <v>1</v>
      </c>
    </row>
    <row r="1578" spans="91:102" ht="21" customHeight="1" x14ac:dyDescent="0.25">
      <c r="CM1578" s="1377"/>
      <c r="CN1578" s="1388" t="s">
        <v>11630</v>
      </c>
      <c r="CO1578" s="1388" t="s">
        <v>8128</v>
      </c>
      <c r="CP1578" s="1388" t="s">
        <v>8106</v>
      </c>
      <c r="CQ1578" s="1388" t="s">
        <v>11631</v>
      </c>
      <c r="CR1578" s="1388" t="s">
        <v>11632</v>
      </c>
      <c r="CS1578" s="1388" t="s">
        <v>11353</v>
      </c>
      <c r="CT1578" s="1388" t="s">
        <v>11354</v>
      </c>
      <c r="CU1578" s="1388" t="s">
        <v>8419</v>
      </c>
      <c r="CV1578" s="1389" t="s">
        <v>11355</v>
      </c>
      <c r="CX1578" s="1379">
        <v>1</v>
      </c>
    </row>
    <row r="1579" spans="91:102" ht="21" customHeight="1" x14ac:dyDescent="0.25">
      <c r="CM1579" s="1377"/>
      <c r="CN1579" s="1388" t="s">
        <v>11633</v>
      </c>
      <c r="CO1579" s="1388" t="s">
        <v>8128</v>
      </c>
      <c r="CP1579" s="1388" t="s">
        <v>8106</v>
      </c>
      <c r="CQ1579" s="1388" t="s">
        <v>11634</v>
      </c>
      <c r="CR1579" s="1388" t="s">
        <v>11634</v>
      </c>
      <c r="CS1579" s="1388" t="s">
        <v>8108</v>
      </c>
      <c r="CT1579" s="1388" t="s">
        <v>11368</v>
      </c>
      <c r="CU1579" s="1388" t="s">
        <v>8110</v>
      </c>
      <c r="CV1579" s="1389" t="s">
        <v>8111</v>
      </c>
      <c r="CX1579" s="1379">
        <v>1</v>
      </c>
    </row>
    <row r="1580" spans="91:102" ht="21" customHeight="1" x14ac:dyDescent="0.25">
      <c r="CM1580" s="1377"/>
      <c r="CN1580" s="1388" t="s">
        <v>11635</v>
      </c>
      <c r="CO1580" s="1388" t="s">
        <v>8128</v>
      </c>
      <c r="CP1580" s="1388" t="s">
        <v>8106</v>
      </c>
      <c r="CQ1580" s="1388" t="s">
        <v>11636</v>
      </c>
      <c r="CR1580" s="1388" t="s">
        <v>11636</v>
      </c>
      <c r="CS1580" s="1388" t="s">
        <v>11353</v>
      </c>
      <c r="CT1580" s="1388" t="s">
        <v>11354</v>
      </c>
      <c r="CU1580" s="1388" t="s">
        <v>8419</v>
      </c>
      <c r="CV1580" s="1389" t="s">
        <v>11355</v>
      </c>
      <c r="CX1580" s="1379">
        <v>1</v>
      </c>
    </row>
    <row r="1581" spans="91:102" ht="21" customHeight="1" x14ac:dyDescent="0.25">
      <c r="CM1581" s="1377"/>
      <c r="CN1581" s="1388" t="s">
        <v>11637</v>
      </c>
      <c r="CO1581" s="1388" t="s">
        <v>8128</v>
      </c>
      <c r="CP1581" s="1388" t="s">
        <v>8106</v>
      </c>
      <c r="CQ1581" s="1388" t="s">
        <v>11638</v>
      </c>
      <c r="CR1581" s="1388" t="s">
        <v>11638</v>
      </c>
      <c r="CS1581" s="1388" t="s">
        <v>8108</v>
      </c>
      <c r="CT1581" s="1388" t="s">
        <v>11368</v>
      </c>
      <c r="CU1581" s="1388" t="s">
        <v>8110</v>
      </c>
      <c r="CV1581" s="1389" t="s">
        <v>8111</v>
      </c>
      <c r="CX1581" s="1379">
        <v>1</v>
      </c>
    </row>
    <row r="1582" spans="91:102" ht="21" customHeight="1" x14ac:dyDescent="0.25">
      <c r="CM1582" s="1377"/>
      <c r="CN1582" s="1388" t="s">
        <v>11639</v>
      </c>
      <c r="CO1582" s="1388" t="s">
        <v>8128</v>
      </c>
      <c r="CP1582" s="1388" t="s">
        <v>8106</v>
      </c>
      <c r="CQ1582" s="1388" t="s">
        <v>11640</v>
      </c>
      <c r="CR1582" s="1388" t="s">
        <v>11640</v>
      </c>
      <c r="CS1582" s="1388" t="s">
        <v>11353</v>
      </c>
      <c r="CT1582" s="1388" t="s">
        <v>11354</v>
      </c>
      <c r="CU1582" s="1388" t="s">
        <v>8419</v>
      </c>
      <c r="CV1582" s="1389" t="s">
        <v>11355</v>
      </c>
      <c r="CX1582" s="1379">
        <v>1</v>
      </c>
    </row>
    <row r="1583" spans="91:102" ht="21" customHeight="1" x14ac:dyDescent="0.25">
      <c r="CM1583" s="1377"/>
      <c r="CN1583" s="1388" t="s">
        <v>11641</v>
      </c>
      <c r="CO1583" s="1388" t="s">
        <v>8128</v>
      </c>
      <c r="CP1583" s="1388" t="s">
        <v>8106</v>
      </c>
      <c r="CQ1583" s="1388" t="s">
        <v>11642</v>
      </c>
      <c r="CR1583" s="1388" t="s">
        <v>11642</v>
      </c>
      <c r="CS1583" s="1388" t="s">
        <v>11353</v>
      </c>
      <c r="CT1583" s="1388" t="s">
        <v>11354</v>
      </c>
      <c r="CU1583" s="1388" t="s">
        <v>8419</v>
      </c>
      <c r="CV1583" s="1389" t="s">
        <v>11355</v>
      </c>
      <c r="CX1583" s="1379">
        <v>1</v>
      </c>
    </row>
    <row r="1584" spans="91:102" ht="21" customHeight="1" x14ac:dyDescent="0.25">
      <c r="CM1584" s="1377"/>
      <c r="CN1584" s="1388" t="s">
        <v>11643</v>
      </c>
      <c r="CO1584" s="1388" t="s">
        <v>8128</v>
      </c>
      <c r="CP1584" s="1388" t="s">
        <v>8106</v>
      </c>
      <c r="CQ1584" s="1388" t="s">
        <v>11644</v>
      </c>
      <c r="CR1584" s="1388" t="s">
        <v>11644</v>
      </c>
      <c r="CS1584" s="1388" t="s">
        <v>11353</v>
      </c>
      <c r="CT1584" s="1388" t="s">
        <v>11354</v>
      </c>
      <c r="CU1584" s="1388" t="s">
        <v>8419</v>
      </c>
      <c r="CV1584" s="1389" t="s">
        <v>11355</v>
      </c>
      <c r="CX1584" s="1379">
        <v>1</v>
      </c>
    </row>
    <row r="1585" spans="91:102" ht="21" customHeight="1" x14ac:dyDescent="0.25">
      <c r="CM1585" s="1377"/>
      <c r="CN1585" s="1388" t="s">
        <v>11645</v>
      </c>
      <c r="CO1585" s="1388" t="s">
        <v>8128</v>
      </c>
      <c r="CP1585" s="1388" t="s">
        <v>8106</v>
      </c>
      <c r="CQ1585" s="1388" t="s">
        <v>11646</v>
      </c>
      <c r="CR1585" s="1388" t="s">
        <v>11646</v>
      </c>
      <c r="CS1585" s="1388" t="s">
        <v>8108</v>
      </c>
      <c r="CT1585" s="1388" t="s">
        <v>11368</v>
      </c>
      <c r="CU1585" s="1388" t="s">
        <v>8110</v>
      </c>
      <c r="CV1585" s="1389" t="s">
        <v>8111</v>
      </c>
      <c r="CX1585" s="1379">
        <v>1</v>
      </c>
    </row>
    <row r="1586" spans="91:102" ht="21" customHeight="1" x14ac:dyDescent="0.25">
      <c r="CM1586" s="1377"/>
      <c r="CN1586" s="1388" t="s">
        <v>11647</v>
      </c>
      <c r="CO1586" s="1388" t="s">
        <v>8128</v>
      </c>
      <c r="CP1586" s="1388" t="s">
        <v>8106</v>
      </c>
      <c r="CQ1586" s="1388" t="s">
        <v>11648</v>
      </c>
      <c r="CR1586" s="1388" t="s">
        <v>11648</v>
      </c>
      <c r="CS1586" s="1388" t="s">
        <v>8108</v>
      </c>
      <c r="CT1586" s="1388" t="s">
        <v>11368</v>
      </c>
      <c r="CU1586" s="1388" t="s">
        <v>8110</v>
      </c>
      <c r="CV1586" s="1389" t="s">
        <v>8111</v>
      </c>
      <c r="CX1586" s="1379">
        <v>1</v>
      </c>
    </row>
    <row r="1587" spans="91:102" ht="21" customHeight="1" x14ac:dyDescent="0.25">
      <c r="CM1587" s="1377"/>
      <c r="CN1587" s="1388" t="s">
        <v>11649</v>
      </c>
      <c r="CO1587" s="1388" t="s">
        <v>8128</v>
      </c>
      <c r="CP1587" s="1388" t="s">
        <v>8106</v>
      </c>
      <c r="CQ1587" s="1388" t="s">
        <v>11650</v>
      </c>
      <c r="CR1587" s="1388" t="s">
        <v>11650</v>
      </c>
      <c r="CS1587" s="1388" t="s">
        <v>8108</v>
      </c>
      <c r="CT1587" s="1388" t="s">
        <v>11368</v>
      </c>
      <c r="CU1587" s="1388" t="s">
        <v>8110</v>
      </c>
      <c r="CV1587" s="1389" t="s">
        <v>8111</v>
      </c>
      <c r="CX1587" s="1379">
        <v>1</v>
      </c>
    </row>
    <row r="1588" spans="91:102" ht="21" customHeight="1" x14ac:dyDescent="0.25">
      <c r="CM1588" s="1377"/>
      <c r="CN1588" s="1388" t="s">
        <v>11651</v>
      </c>
      <c r="CO1588" s="1388" t="s">
        <v>8128</v>
      </c>
      <c r="CP1588" s="1388" t="s">
        <v>8106</v>
      </c>
      <c r="CQ1588" s="1388" t="s">
        <v>11652</v>
      </c>
      <c r="CR1588" s="1388" t="s">
        <v>11652</v>
      </c>
      <c r="CS1588" s="1388" t="s">
        <v>8108</v>
      </c>
      <c r="CT1588" s="1388" t="s">
        <v>11368</v>
      </c>
      <c r="CU1588" s="1388" t="s">
        <v>8110</v>
      </c>
      <c r="CV1588" s="1389" t="s">
        <v>8111</v>
      </c>
      <c r="CX1588" s="1379">
        <v>1</v>
      </c>
    </row>
    <row r="1589" spans="91:102" ht="21" customHeight="1" x14ac:dyDescent="0.25">
      <c r="CM1589" s="1377"/>
      <c r="CN1589" s="1388" t="s">
        <v>11653</v>
      </c>
      <c r="CO1589" s="1388" t="s">
        <v>8128</v>
      </c>
      <c r="CP1589" s="1388" t="s">
        <v>8106</v>
      </c>
      <c r="CQ1589" s="1388" t="s">
        <v>11654</v>
      </c>
      <c r="CR1589" s="1388" t="s">
        <v>11654</v>
      </c>
      <c r="CS1589" s="1388" t="s">
        <v>11353</v>
      </c>
      <c r="CT1589" s="1388" t="s">
        <v>11354</v>
      </c>
      <c r="CU1589" s="1388" t="s">
        <v>8419</v>
      </c>
      <c r="CV1589" s="1389" t="s">
        <v>11355</v>
      </c>
      <c r="CX1589" s="1379">
        <v>1</v>
      </c>
    </row>
    <row r="1590" spans="91:102" ht="21" customHeight="1" x14ac:dyDescent="0.25">
      <c r="CM1590" s="1377"/>
      <c r="CN1590" s="1388" t="s">
        <v>11655</v>
      </c>
      <c r="CO1590" s="1388" t="s">
        <v>8128</v>
      </c>
      <c r="CP1590" s="1388" t="s">
        <v>8106</v>
      </c>
      <c r="CQ1590" s="1388" t="s">
        <v>11656</v>
      </c>
      <c r="CR1590" s="1388" t="s">
        <v>11657</v>
      </c>
      <c r="CS1590" s="1388" t="s">
        <v>8108</v>
      </c>
      <c r="CT1590" s="1388" t="s">
        <v>11368</v>
      </c>
      <c r="CU1590" s="1388" t="s">
        <v>8110</v>
      </c>
      <c r="CV1590" s="1389" t="s">
        <v>8111</v>
      </c>
      <c r="CX1590" s="1379">
        <v>1</v>
      </c>
    </row>
    <row r="1591" spans="91:102" ht="21" customHeight="1" x14ac:dyDescent="0.25">
      <c r="CM1591" s="1377"/>
      <c r="CN1591" s="1388" t="s">
        <v>11658</v>
      </c>
      <c r="CO1591" s="1388" t="s">
        <v>8128</v>
      </c>
      <c r="CP1591" s="1388" t="s">
        <v>8106</v>
      </c>
      <c r="CQ1591" s="1388" t="s">
        <v>11659</v>
      </c>
      <c r="CR1591" s="1388" t="s">
        <v>11660</v>
      </c>
      <c r="CS1591" s="1388" t="s">
        <v>11353</v>
      </c>
      <c r="CT1591" s="1388" t="s">
        <v>11354</v>
      </c>
      <c r="CU1591" s="1388" t="s">
        <v>8419</v>
      </c>
      <c r="CV1591" s="1389" t="s">
        <v>11355</v>
      </c>
      <c r="CX1591" s="1379">
        <v>1</v>
      </c>
    </row>
    <row r="1592" spans="91:102" ht="21" customHeight="1" x14ac:dyDescent="0.25">
      <c r="CM1592" s="1377"/>
      <c r="CN1592" s="1388" t="s">
        <v>11661</v>
      </c>
      <c r="CO1592" s="1388" t="s">
        <v>8128</v>
      </c>
      <c r="CP1592" s="1388" t="s">
        <v>8106</v>
      </c>
      <c r="CQ1592" s="1388" t="s">
        <v>11662</v>
      </c>
      <c r="CR1592" s="1388" t="s">
        <v>11662</v>
      </c>
      <c r="CS1592" s="1388" t="s">
        <v>8108</v>
      </c>
      <c r="CT1592" s="1388" t="s">
        <v>11368</v>
      </c>
      <c r="CU1592" s="1388" t="s">
        <v>8110</v>
      </c>
      <c r="CV1592" s="1389" t="s">
        <v>8111</v>
      </c>
      <c r="CX1592" s="1379">
        <v>1</v>
      </c>
    </row>
    <row r="1593" spans="91:102" ht="21" customHeight="1" x14ac:dyDescent="0.25">
      <c r="CM1593" s="1377"/>
      <c r="CN1593" s="1388" t="s">
        <v>11663</v>
      </c>
      <c r="CO1593" s="1388" t="s">
        <v>8128</v>
      </c>
      <c r="CP1593" s="1388" t="s">
        <v>8106</v>
      </c>
      <c r="CQ1593" s="1388" t="s">
        <v>11664</v>
      </c>
      <c r="CR1593" s="1388" t="s">
        <v>11664</v>
      </c>
      <c r="CS1593" s="1388" t="s">
        <v>11353</v>
      </c>
      <c r="CT1593" s="1388" t="s">
        <v>11354</v>
      </c>
      <c r="CU1593" s="1388" t="s">
        <v>8419</v>
      </c>
      <c r="CV1593" s="1389" t="s">
        <v>11355</v>
      </c>
      <c r="CX1593" s="1379">
        <v>1</v>
      </c>
    </row>
    <row r="1594" spans="91:102" ht="21" customHeight="1" x14ac:dyDescent="0.25">
      <c r="CM1594" s="1377"/>
      <c r="CN1594" s="1388" t="s">
        <v>11665</v>
      </c>
      <c r="CO1594" s="1388" t="s">
        <v>8128</v>
      </c>
      <c r="CP1594" s="1388" t="s">
        <v>8106</v>
      </c>
      <c r="CQ1594" s="1388" t="s">
        <v>11666</v>
      </c>
      <c r="CR1594" s="1388" t="s">
        <v>11666</v>
      </c>
      <c r="CS1594" s="1388" t="s">
        <v>11353</v>
      </c>
      <c r="CT1594" s="1388" t="s">
        <v>11354</v>
      </c>
      <c r="CU1594" s="1388" t="s">
        <v>8419</v>
      </c>
      <c r="CV1594" s="1389" t="s">
        <v>11355</v>
      </c>
      <c r="CX1594" s="1379">
        <v>1</v>
      </c>
    </row>
    <row r="1595" spans="91:102" ht="21" customHeight="1" x14ac:dyDescent="0.25">
      <c r="CM1595" s="1377"/>
      <c r="CN1595" s="1388" t="s">
        <v>11667</v>
      </c>
      <c r="CO1595" s="1388" t="s">
        <v>8128</v>
      </c>
      <c r="CP1595" s="1388" t="s">
        <v>8106</v>
      </c>
      <c r="CQ1595" s="1388" t="s">
        <v>11668</v>
      </c>
      <c r="CR1595" s="1388" t="s">
        <v>11668</v>
      </c>
      <c r="CS1595" s="1388" t="s">
        <v>11353</v>
      </c>
      <c r="CT1595" s="1388" t="s">
        <v>11354</v>
      </c>
      <c r="CU1595" s="1388" t="s">
        <v>8419</v>
      </c>
      <c r="CV1595" s="1389" t="s">
        <v>11355</v>
      </c>
      <c r="CX1595" s="1379">
        <v>1</v>
      </c>
    </row>
    <row r="1596" spans="91:102" ht="21" customHeight="1" x14ac:dyDescent="0.25">
      <c r="CM1596" s="1377"/>
      <c r="CN1596" s="1388" t="s">
        <v>11669</v>
      </c>
      <c r="CO1596" s="1388" t="s">
        <v>8128</v>
      </c>
      <c r="CP1596" s="1388" t="s">
        <v>8106</v>
      </c>
      <c r="CQ1596" s="1388" t="s">
        <v>11670</v>
      </c>
      <c r="CR1596" s="1388" t="s">
        <v>11670</v>
      </c>
      <c r="CS1596" s="1388" t="s">
        <v>8194</v>
      </c>
      <c r="CT1596" s="1388" t="s">
        <v>8195</v>
      </c>
      <c r="CU1596" s="1388" t="s">
        <v>8110</v>
      </c>
      <c r="CV1596" s="1389" t="s">
        <v>8196</v>
      </c>
      <c r="CX1596" s="1379">
        <v>1</v>
      </c>
    </row>
    <row r="1597" spans="91:102" ht="21" customHeight="1" x14ac:dyDescent="0.25">
      <c r="CM1597" s="1377"/>
      <c r="CN1597" s="1388" t="s">
        <v>11671</v>
      </c>
      <c r="CO1597" s="1388" t="s">
        <v>8128</v>
      </c>
      <c r="CP1597" s="1388" t="s">
        <v>8106</v>
      </c>
      <c r="CQ1597" s="1388" t="s">
        <v>11672</v>
      </c>
      <c r="CR1597" s="1388" t="s">
        <v>11672</v>
      </c>
      <c r="CS1597" s="1388" t="s">
        <v>11353</v>
      </c>
      <c r="CT1597" s="1388" t="s">
        <v>11354</v>
      </c>
      <c r="CU1597" s="1388" t="s">
        <v>8419</v>
      </c>
      <c r="CV1597" s="1389" t="s">
        <v>11355</v>
      </c>
      <c r="CX1597" s="1379">
        <v>1</v>
      </c>
    </row>
    <row r="1598" spans="91:102" ht="21" customHeight="1" x14ac:dyDescent="0.25">
      <c r="CM1598" s="1377"/>
      <c r="CN1598" s="1388" t="s">
        <v>11673</v>
      </c>
      <c r="CO1598" s="1388" t="s">
        <v>8128</v>
      </c>
      <c r="CP1598" s="1388" t="s">
        <v>8106</v>
      </c>
      <c r="CQ1598" s="1388" t="s">
        <v>11674</v>
      </c>
      <c r="CR1598" s="1388" t="s">
        <v>11674</v>
      </c>
      <c r="CS1598" s="1388" t="s">
        <v>11353</v>
      </c>
      <c r="CT1598" s="1388" t="s">
        <v>11354</v>
      </c>
      <c r="CU1598" s="1388" t="s">
        <v>8419</v>
      </c>
      <c r="CV1598" s="1389" t="s">
        <v>11355</v>
      </c>
      <c r="CX1598" s="1379">
        <v>1</v>
      </c>
    </row>
    <row r="1599" spans="91:102" ht="21" customHeight="1" x14ac:dyDescent="0.25">
      <c r="CM1599" s="1377"/>
      <c r="CN1599" s="1388" t="s">
        <v>11675</v>
      </c>
      <c r="CO1599" s="1388" t="s">
        <v>8128</v>
      </c>
      <c r="CP1599" s="1388" t="s">
        <v>8106</v>
      </c>
      <c r="CQ1599" s="1388" t="s">
        <v>11676</v>
      </c>
      <c r="CR1599" s="1388" t="s">
        <v>11676</v>
      </c>
      <c r="CS1599" s="1388" t="s">
        <v>11353</v>
      </c>
      <c r="CT1599" s="1388" t="s">
        <v>11354</v>
      </c>
      <c r="CU1599" s="1388" t="s">
        <v>8419</v>
      </c>
      <c r="CV1599" s="1389" t="s">
        <v>11355</v>
      </c>
      <c r="CX1599" s="1379">
        <v>1</v>
      </c>
    </row>
    <row r="1600" spans="91:102" ht="21" customHeight="1" x14ac:dyDescent="0.25">
      <c r="CM1600" s="1377"/>
      <c r="CN1600" s="1388" t="s">
        <v>11677</v>
      </c>
      <c r="CO1600" s="1388" t="s">
        <v>8128</v>
      </c>
      <c r="CP1600" s="1388" t="s">
        <v>8106</v>
      </c>
      <c r="CQ1600" s="1388" t="s">
        <v>11678</v>
      </c>
      <c r="CR1600" s="1388" t="s">
        <v>11679</v>
      </c>
      <c r="CS1600" s="1388" t="s">
        <v>8108</v>
      </c>
      <c r="CT1600" s="1388" t="s">
        <v>11368</v>
      </c>
      <c r="CU1600" s="1388" t="s">
        <v>8110</v>
      </c>
      <c r="CV1600" s="1389" t="s">
        <v>8111</v>
      </c>
      <c r="CX1600" s="1379">
        <v>1</v>
      </c>
    </row>
    <row r="1601" spans="91:102" ht="21" customHeight="1" x14ac:dyDescent="0.25">
      <c r="CM1601" s="1377"/>
      <c r="CN1601" s="1388" t="s">
        <v>11680</v>
      </c>
      <c r="CO1601" s="1388" t="s">
        <v>8128</v>
      </c>
      <c r="CP1601" s="1388" t="s">
        <v>8106</v>
      </c>
      <c r="CQ1601" s="1388" t="s">
        <v>11681</v>
      </c>
      <c r="CR1601" s="1388" t="s">
        <v>11681</v>
      </c>
      <c r="CS1601" s="1388" t="s">
        <v>8108</v>
      </c>
      <c r="CT1601" s="1388" t="s">
        <v>11368</v>
      </c>
      <c r="CU1601" s="1388" t="s">
        <v>8110</v>
      </c>
      <c r="CV1601" s="1389" t="s">
        <v>8111</v>
      </c>
      <c r="CX1601" s="1379">
        <v>1</v>
      </c>
    </row>
    <row r="1602" spans="91:102" ht="21" customHeight="1" x14ac:dyDescent="0.25">
      <c r="CM1602" s="1377"/>
      <c r="CN1602" s="1388" t="s">
        <v>11682</v>
      </c>
      <c r="CO1602" s="1388" t="s">
        <v>8128</v>
      </c>
      <c r="CP1602" s="1388" t="s">
        <v>8106</v>
      </c>
      <c r="CQ1602" s="1388" t="s">
        <v>11683</v>
      </c>
      <c r="CR1602" s="1388" t="s">
        <v>11683</v>
      </c>
      <c r="CS1602" s="1388" t="s">
        <v>11353</v>
      </c>
      <c r="CT1602" s="1388" t="s">
        <v>11354</v>
      </c>
      <c r="CU1602" s="1388" t="s">
        <v>8419</v>
      </c>
      <c r="CV1602" s="1389" t="s">
        <v>11355</v>
      </c>
      <c r="CX1602" s="1379">
        <v>1</v>
      </c>
    </row>
    <row r="1603" spans="91:102" ht="21" customHeight="1" x14ac:dyDescent="0.25">
      <c r="CM1603" s="1377"/>
      <c r="CN1603" s="1388" t="s">
        <v>11684</v>
      </c>
      <c r="CO1603" s="1388" t="s">
        <v>8128</v>
      </c>
      <c r="CP1603" s="1388" t="s">
        <v>8106</v>
      </c>
      <c r="CQ1603" s="1388" t="s">
        <v>11685</v>
      </c>
      <c r="CR1603" s="1388" t="s">
        <v>11685</v>
      </c>
      <c r="CS1603" s="1388" t="s">
        <v>11353</v>
      </c>
      <c r="CT1603" s="1388" t="s">
        <v>11354</v>
      </c>
      <c r="CU1603" s="1388" t="s">
        <v>8419</v>
      </c>
      <c r="CV1603" s="1389" t="s">
        <v>11355</v>
      </c>
      <c r="CX1603" s="1379">
        <v>1</v>
      </c>
    </row>
    <row r="1604" spans="91:102" ht="21" customHeight="1" x14ac:dyDescent="0.25">
      <c r="CM1604" s="1377"/>
      <c r="CN1604" s="1388" t="s">
        <v>11686</v>
      </c>
      <c r="CO1604" s="1388" t="s">
        <v>8128</v>
      </c>
      <c r="CP1604" s="1388" t="s">
        <v>8106</v>
      </c>
      <c r="CQ1604" s="1388" t="s">
        <v>11687</v>
      </c>
      <c r="CR1604" s="1388" t="s">
        <v>11687</v>
      </c>
      <c r="CS1604" s="1388" t="s">
        <v>8108</v>
      </c>
      <c r="CT1604" s="1388" t="s">
        <v>11368</v>
      </c>
      <c r="CU1604" s="1388" t="s">
        <v>8110</v>
      </c>
      <c r="CV1604" s="1389" t="s">
        <v>8111</v>
      </c>
      <c r="CX1604" s="1379">
        <v>1</v>
      </c>
    </row>
    <row r="1605" spans="91:102" ht="21" customHeight="1" x14ac:dyDescent="0.25">
      <c r="CM1605" s="1377"/>
      <c r="CN1605" s="1388" t="s">
        <v>11688</v>
      </c>
      <c r="CO1605" s="1388" t="s">
        <v>8128</v>
      </c>
      <c r="CP1605" s="1388" t="s">
        <v>8106</v>
      </c>
      <c r="CQ1605" s="1388" t="s">
        <v>11689</v>
      </c>
      <c r="CR1605" s="1388" t="s">
        <v>11689</v>
      </c>
      <c r="CS1605" s="1388" t="s">
        <v>8108</v>
      </c>
      <c r="CT1605" s="1388" t="s">
        <v>11368</v>
      </c>
      <c r="CU1605" s="1388" t="s">
        <v>8110</v>
      </c>
      <c r="CV1605" s="1389" t="s">
        <v>8111</v>
      </c>
      <c r="CX1605" s="1379">
        <v>1</v>
      </c>
    </row>
    <row r="1606" spans="91:102" ht="21" customHeight="1" x14ac:dyDescent="0.25">
      <c r="CM1606" s="1377"/>
      <c r="CN1606" s="1388" t="s">
        <v>11690</v>
      </c>
      <c r="CO1606" s="1388" t="s">
        <v>8128</v>
      </c>
      <c r="CP1606" s="1388" t="s">
        <v>8106</v>
      </c>
      <c r="CQ1606" s="1388" t="s">
        <v>11691</v>
      </c>
      <c r="CR1606" s="1388" t="s">
        <v>11691</v>
      </c>
      <c r="CS1606" s="1388" t="s">
        <v>8108</v>
      </c>
      <c r="CT1606" s="1388" t="s">
        <v>11368</v>
      </c>
      <c r="CU1606" s="1388" t="s">
        <v>8110</v>
      </c>
      <c r="CV1606" s="1389" t="s">
        <v>8111</v>
      </c>
      <c r="CX1606" s="1379">
        <v>1</v>
      </c>
    </row>
    <row r="1607" spans="91:102" ht="21" customHeight="1" x14ac:dyDescent="0.25">
      <c r="CM1607" s="1377"/>
      <c r="CN1607" s="1388" t="s">
        <v>11692</v>
      </c>
      <c r="CO1607" s="1388" t="s">
        <v>8128</v>
      </c>
      <c r="CP1607" s="1388" t="s">
        <v>8106</v>
      </c>
      <c r="CQ1607" s="1388" t="s">
        <v>11693</v>
      </c>
      <c r="CR1607" s="1388" t="s">
        <v>11694</v>
      </c>
      <c r="CS1607" s="1388" t="s">
        <v>11353</v>
      </c>
      <c r="CT1607" s="1388" t="s">
        <v>11354</v>
      </c>
      <c r="CU1607" s="1388" t="s">
        <v>8419</v>
      </c>
      <c r="CV1607" s="1389" t="s">
        <v>11355</v>
      </c>
      <c r="CX1607" s="1379">
        <v>1</v>
      </c>
    </row>
    <row r="1608" spans="91:102" ht="21" customHeight="1" x14ac:dyDescent="0.25">
      <c r="CM1608" s="1377"/>
      <c r="CN1608" s="1388" t="s">
        <v>11695</v>
      </c>
      <c r="CO1608" s="1388" t="s">
        <v>8128</v>
      </c>
      <c r="CP1608" s="1388" t="s">
        <v>8106</v>
      </c>
      <c r="CQ1608" s="1388" t="s">
        <v>11696</v>
      </c>
      <c r="CR1608" s="1388" t="s">
        <v>11697</v>
      </c>
      <c r="CS1608" s="1388" t="s">
        <v>8108</v>
      </c>
      <c r="CT1608" s="1388" t="s">
        <v>11368</v>
      </c>
      <c r="CU1608" s="1388" t="s">
        <v>8110</v>
      </c>
      <c r="CV1608" s="1389" t="s">
        <v>8111</v>
      </c>
      <c r="CX1608" s="1379">
        <v>1</v>
      </c>
    </row>
    <row r="1609" spans="91:102" ht="21" customHeight="1" x14ac:dyDescent="0.25">
      <c r="CM1609" s="1377"/>
      <c r="CN1609" s="1388" t="s">
        <v>11698</v>
      </c>
      <c r="CO1609" s="1388" t="s">
        <v>8128</v>
      </c>
      <c r="CP1609" s="1388" t="s">
        <v>8106</v>
      </c>
      <c r="CQ1609" s="1388" t="s">
        <v>11699</v>
      </c>
      <c r="CR1609" s="1388" t="s">
        <v>11699</v>
      </c>
      <c r="CS1609" s="1388" t="s">
        <v>11353</v>
      </c>
      <c r="CT1609" s="1388" t="s">
        <v>11354</v>
      </c>
      <c r="CU1609" s="1388" t="s">
        <v>8419</v>
      </c>
      <c r="CV1609" s="1389" t="s">
        <v>11355</v>
      </c>
      <c r="CX1609" s="1379">
        <v>1</v>
      </c>
    </row>
    <row r="1610" spans="91:102" ht="21" customHeight="1" x14ac:dyDescent="0.25">
      <c r="CM1610" s="1377"/>
      <c r="CN1610" s="1388" t="s">
        <v>11700</v>
      </c>
      <c r="CO1610" s="1388" t="s">
        <v>8128</v>
      </c>
      <c r="CP1610" s="1388" t="s">
        <v>8106</v>
      </c>
      <c r="CQ1610" s="1388" t="s">
        <v>11701</v>
      </c>
      <c r="CR1610" s="1388" t="s">
        <v>11701</v>
      </c>
      <c r="CS1610" s="1388" t="s">
        <v>8108</v>
      </c>
      <c r="CT1610" s="1388" t="s">
        <v>11368</v>
      </c>
      <c r="CU1610" s="1388" t="s">
        <v>8110</v>
      </c>
      <c r="CV1610" s="1389" t="s">
        <v>8111</v>
      </c>
      <c r="CX1610" s="1379">
        <v>1</v>
      </c>
    </row>
    <row r="1611" spans="91:102" ht="21" customHeight="1" x14ac:dyDescent="0.25">
      <c r="CM1611" s="1377"/>
      <c r="CN1611" s="1388" t="s">
        <v>11702</v>
      </c>
      <c r="CO1611" s="1388" t="s">
        <v>8128</v>
      </c>
      <c r="CP1611" s="1388" t="s">
        <v>8106</v>
      </c>
      <c r="CQ1611" s="1388" t="s">
        <v>11703</v>
      </c>
      <c r="CR1611" s="1388" t="s">
        <v>11704</v>
      </c>
      <c r="CS1611" s="1388" t="s">
        <v>8108</v>
      </c>
      <c r="CT1611" s="1388" t="s">
        <v>11368</v>
      </c>
      <c r="CU1611" s="1388" t="s">
        <v>8110</v>
      </c>
      <c r="CV1611" s="1389" t="s">
        <v>8111</v>
      </c>
      <c r="CX1611" s="1379">
        <v>1</v>
      </c>
    </row>
    <row r="1612" spans="91:102" ht="21" customHeight="1" x14ac:dyDescent="0.25">
      <c r="CM1612" s="1377"/>
      <c r="CN1612" s="1388" t="s">
        <v>11705</v>
      </c>
      <c r="CO1612" s="1388" t="s">
        <v>8128</v>
      </c>
      <c r="CP1612" s="1388" t="s">
        <v>8106</v>
      </c>
      <c r="CQ1612" s="1388" t="s">
        <v>11706</v>
      </c>
      <c r="CR1612" s="1388" t="s">
        <v>11707</v>
      </c>
      <c r="CS1612" s="1388" t="s">
        <v>11353</v>
      </c>
      <c r="CT1612" s="1388" t="s">
        <v>11354</v>
      </c>
      <c r="CU1612" s="1388" t="s">
        <v>8419</v>
      </c>
      <c r="CV1612" s="1389" t="s">
        <v>11355</v>
      </c>
      <c r="CX1612" s="1379">
        <v>1</v>
      </c>
    </row>
    <row r="1613" spans="91:102" ht="21" customHeight="1" x14ac:dyDescent="0.25">
      <c r="CM1613" s="1377"/>
      <c r="CN1613" s="1388" t="s">
        <v>11708</v>
      </c>
      <c r="CO1613" s="1388" t="s">
        <v>8128</v>
      </c>
      <c r="CP1613" s="1388" t="s">
        <v>8106</v>
      </c>
      <c r="CQ1613" s="1388" t="s">
        <v>11709</v>
      </c>
      <c r="CR1613" s="1388" t="s">
        <v>11709</v>
      </c>
      <c r="CS1613" s="1388" t="s">
        <v>11353</v>
      </c>
      <c r="CT1613" s="1388" t="s">
        <v>11354</v>
      </c>
      <c r="CU1613" s="1388" t="s">
        <v>8419</v>
      </c>
      <c r="CV1613" s="1389" t="s">
        <v>11355</v>
      </c>
      <c r="CX1613" s="1379">
        <v>1</v>
      </c>
    </row>
    <row r="1614" spans="91:102" ht="21" customHeight="1" x14ac:dyDescent="0.25">
      <c r="CM1614" s="1377"/>
      <c r="CN1614" s="1388" t="s">
        <v>11710</v>
      </c>
      <c r="CO1614" s="1388" t="s">
        <v>8128</v>
      </c>
      <c r="CP1614" s="1388" t="s">
        <v>8106</v>
      </c>
      <c r="CQ1614" s="1388" t="s">
        <v>11711</v>
      </c>
      <c r="CR1614" s="1388" t="s">
        <v>11711</v>
      </c>
      <c r="CS1614" s="1388" t="s">
        <v>8108</v>
      </c>
      <c r="CT1614" s="1388" t="s">
        <v>11368</v>
      </c>
      <c r="CU1614" s="1388" t="s">
        <v>8110</v>
      </c>
      <c r="CV1614" s="1389" t="s">
        <v>8111</v>
      </c>
      <c r="CX1614" s="1379">
        <v>1</v>
      </c>
    </row>
    <row r="1615" spans="91:102" ht="21" customHeight="1" x14ac:dyDescent="0.25">
      <c r="CM1615" s="1377"/>
      <c r="CN1615" s="1388" t="s">
        <v>11712</v>
      </c>
      <c r="CO1615" s="1388" t="s">
        <v>8128</v>
      </c>
      <c r="CP1615" s="1388" t="s">
        <v>8106</v>
      </c>
      <c r="CQ1615" s="1388" t="s">
        <v>11713</v>
      </c>
      <c r="CR1615" s="1388" t="s">
        <v>11713</v>
      </c>
      <c r="CS1615" s="1388" t="s">
        <v>11353</v>
      </c>
      <c r="CT1615" s="1388" t="s">
        <v>11354</v>
      </c>
      <c r="CU1615" s="1388" t="s">
        <v>8419</v>
      </c>
      <c r="CV1615" s="1389" t="s">
        <v>11355</v>
      </c>
      <c r="CX1615" s="1379">
        <v>1</v>
      </c>
    </row>
    <row r="1616" spans="91:102" ht="21" customHeight="1" x14ac:dyDescent="0.25">
      <c r="CM1616" s="1377"/>
      <c r="CN1616" s="1388" t="s">
        <v>11714</v>
      </c>
      <c r="CO1616" s="1388" t="s">
        <v>8128</v>
      </c>
      <c r="CP1616" s="1388" t="s">
        <v>8106</v>
      </c>
      <c r="CQ1616" s="1388" t="s">
        <v>11715</v>
      </c>
      <c r="CR1616" s="1388" t="s">
        <v>11716</v>
      </c>
      <c r="CS1616" s="1388" t="s">
        <v>8108</v>
      </c>
      <c r="CT1616" s="1388" t="s">
        <v>11368</v>
      </c>
      <c r="CU1616" s="1388" t="s">
        <v>8110</v>
      </c>
      <c r="CV1616" s="1389" t="s">
        <v>8111</v>
      </c>
      <c r="CX1616" s="1379">
        <v>1</v>
      </c>
    </row>
    <row r="1617" spans="91:102" ht="21" customHeight="1" x14ac:dyDescent="0.25">
      <c r="CM1617" s="1377"/>
      <c r="CN1617" s="1388" t="s">
        <v>11717</v>
      </c>
      <c r="CO1617" s="1388" t="s">
        <v>8128</v>
      </c>
      <c r="CP1617" s="1388" t="s">
        <v>8106</v>
      </c>
      <c r="CQ1617" s="1388" t="s">
        <v>11718</v>
      </c>
      <c r="CR1617" s="1388" t="s">
        <v>11718</v>
      </c>
      <c r="CS1617" s="1388" t="s">
        <v>8108</v>
      </c>
      <c r="CT1617" s="1388" t="s">
        <v>11368</v>
      </c>
      <c r="CU1617" s="1388" t="s">
        <v>8110</v>
      </c>
      <c r="CV1617" s="1389" t="s">
        <v>8111</v>
      </c>
      <c r="CX1617" s="1379">
        <v>1</v>
      </c>
    </row>
    <row r="1618" spans="91:102" ht="21" customHeight="1" x14ac:dyDescent="0.25">
      <c r="CM1618" s="1377"/>
      <c r="CN1618" s="1388" t="s">
        <v>11719</v>
      </c>
      <c r="CO1618" s="1388" t="s">
        <v>8128</v>
      </c>
      <c r="CP1618" s="1388" t="s">
        <v>8106</v>
      </c>
      <c r="CQ1618" s="1388" t="s">
        <v>11720</v>
      </c>
      <c r="CR1618" s="1388" t="s">
        <v>11721</v>
      </c>
      <c r="CS1618" s="1388" t="s">
        <v>8108</v>
      </c>
      <c r="CT1618" s="1388" t="s">
        <v>11368</v>
      </c>
      <c r="CU1618" s="1388" t="s">
        <v>8110</v>
      </c>
      <c r="CV1618" s="1389" t="s">
        <v>8111</v>
      </c>
      <c r="CX1618" s="1379">
        <v>1</v>
      </c>
    </row>
    <row r="1619" spans="91:102" ht="21" customHeight="1" x14ac:dyDescent="0.25">
      <c r="CM1619" s="1377"/>
      <c r="CN1619" s="1388" t="s">
        <v>11722</v>
      </c>
      <c r="CO1619" s="1388" t="s">
        <v>8128</v>
      </c>
      <c r="CP1619" s="1388" t="s">
        <v>8106</v>
      </c>
      <c r="CQ1619" s="1388" t="s">
        <v>11723</v>
      </c>
      <c r="CR1619" s="1388" t="s">
        <v>11724</v>
      </c>
      <c r="CS1619" s="1388" t="s">
        <v>8108</v>
      </c>
      <c r="CT1619" s="1388" t="s">
        <v>11368</v>
      </c>
      <c r="CU1619" s="1388" t="s">
        <v>8110</v>
      </c>
      <c r="CV1619" s="1389" t="s">
        <v>8111</v>
      </c>
      <c r="CX1619" s="1379">
        <v>1</v>
      </c>
    </row>
    <row r="1620" spans="91:102" ht="21" customHeight="1" x14ac:dyDescent="0.25">
      <c r="CM1620" s="1377"/>
      <c r="CN1620" s="1388" t="s">
        <v>11725</v>
      </c>
      <c r="CO1620" s="1388" t="s">
        <v>8128</v>
      </c>
      <c r="CP1620" s="1388" t="s">
        <v>8106</v>
      </c>
      <c r="CQ1620" s="1388" t="s">
        <v>11726</v>
      </c>
      <c r="CR1620" s="1388" t="s">
        <v>11726</v>
      </c>
      <c r="CS1620" s="1388" t="s">
        <v>8108</v>
      </c>
      <c r="CT1620" s="1388" t="s">
        <v>11368</v>
      </c>
      <c r="CU1620" s="1388" t="s">
        <v>8110</v>
      </c>
      <c r="CV1620" s="1389" t="s">
        <v>8111</v>
      </c>
      <c r="CX1620" s="1379">
        <v>1</v>
      </c>
    </row>
    <row r="1621" spans="91:102" ht="21" customHeight="1" x14ac:dyDescent="0.25">
      <c r="CM1621" s="1377"/>
      <c r="CN1621" s="1388" t="s">
        <v>11727</v>
      </c>
      <c r="CO1621" s="1388" t="s">
        <v>8128</v>
      </c>
      <c r="CP1621" s="1388" t="s">
        <v>8106</v>
      </c>
      <c r="CQ1621" s="1388" t="s">
        <v>11728</v>
      </c>
      <c r="CR1621" s="1388" t="s">
        <v>11728</v>
      </c>
      <c r="CS1621" s="1388" t="s">
        <v>8108</v>
      </c>
      <c r="CT1621" s="1388" t="s">
        <v>11368</v>
      </c>
      <c r="CU1621" s="1388" t="s">
        <v>8110</v>
      </c>
      <c r="CV1621" s="1389" t="s">
        <v>8111</v>
      </c>
      <c r="CX1621" s="1379">
        <v>1</v>
      </c>
    </row>
    <row r="1622" spans="91:102" ht="21" customHeight="1" x14ac:dyDescent="0.25">
      <c r="CM1622" s="1377"/>
      <c r="CN1622" s="1388" t="s">
        <v>11729</v>
      </c>
      <c r="CO1622" s="1388" t="s">
        <v>8128</v>
      </c>
      <c r="CP1622" s="1388" t="s">
        <v>8106</v>
      </c>
      <c r="CQ1622" s="1388" t="s">
        <v>11730</v>
      </c>
      <c r="CR1622" s="1388" t="s">
        <v>11731</v>
      </c>
      <c r="CS1622" s="1388" t="s">
        <v>8108</v>
      </c>
      <c r="CT1622" s="1388" t="s">
        <v>11368</v>
      </c>
      <c r="CU1622" s="1388" t="s">
        <v>8110</v>
      </c>
      <c r="CV1622" s="1389" t="s">
        <v>8111</v>
      </c>
      <c r="CX1622" s="1379">
        <v>1</v>
      </c>
    </row>
    <row r="1623" spans="91:102" ht="21" customHeight="1" x14ac:dyDescent="0.25">
      <c r="CM1623" s="1377"/>
      <c r="CN1623" s="1388" t="s">
        <v>11732</v>
      </c>
      <c r="CO1623" s="1388" t="s">
        <v>8128</v>
      </c>
      <c r="CP1623" s="1388" t="s">
        <v>8106</v>
      </c>
      <c r="CQ1623" s="1388" t="s">
        <v>11733</v>
      </c>
      <c r="CR1623" s="1388" t="s">
        <v>11734</v>
      </c>
      <c r="CS1623" s="1388" t="s">
        <v>11353</v>
      </c>
      <c r="CT1623" s="1388" t="s">
        <v>11354</v>
      </c>
      <c r="CU1623" s="1388" t="s">
        <v>8419</v>
      </c>
      <c r="CV1623" s="1389" t="s">
        <v>11355</v>
      </c>
      <c r="CX1623" s="1379">
        <v>1</v>
      </c>
    </row>
    <row r="1624" spans="91:102" ht="21" customHeight="1" x14ac:dyDescent="0.25">
      <c r="CM1624" s="1377"/>
      <c r="CN1624" s="1388" t="s">
        <v>11735</v>
      </c>
      <c r="CO1624" s="1388" t="s">
        <v>8128</v>
      </c>
      <c r="CP1624" s="1388" t="s">
        <v>8106</v>
      </c>
      <c r="CQ1624" s="1388" t="s">
        <v>11736</v>
      </c>
      <c r="CR1624" s="1388" t="s">
        <v>11737</v>
      </c>
      <c r="CS1624" s="1388" t="s">
        <v>11353</v>
      </c>
      <c r="CT1624" s="1388" t="s">
        <v>11354</v>
      </c>
      <c r="CU1624" s="1388" t="s">
        <v>8419</v>
      </c>
      <c r="CV1624" s="1389" t="s">
        <v>11355</v>
      </c>
      <c r="CX1624" s="1379">
        <v>1</v>
      </c>
    </row>
    <row r="1625" spans="91:102" ht="21" customHeight="1" x14ac:dyDescent="0.25">
      <c r="CM1625" s="1377"/>
      <c r="CN1625" s="1388" t="s">
        <v>11738</v>
      </c>
      <c r="CO1625" s="1388" t="s">
        <v>8128</v>
      </c>
      <c r="CP1625" s="1388" t="s">
        <v>8106</v>
      </c>
      <c r="CQ1625" s="1388" t="s">
        <v>11739</v>
      </c>
      <c r="CR1625" s="1388" t="s">
        <v>11740</v>
      </c>
      <c r="CS1625" s="1388" t="s">
        <v>11353</v>
      </c>
      <c r="CT1625" s="1388" t="s">
        <v>11354</v>
      </c>
      <c r="CU1625" s="1388" t="s">
        <v>8419</v>
      </c>
      <c r="CV1625" s="1389" t="s">
        <v>11355</v>
      </c>
      <c r="CX1625" s="1379">
        <v>1</v>
      </c>
    </row>
    <row r="1626" spans="91:102" ht="21" customHeight="1" x14ac:dyDescent="0.25">
      <c r="CM1626" s="1377"/>
      <c r="CN1626" s="1388" t="s">
        <v>11741</v>
      </c>
      <c r="CO1626" s="1388" t="s">
        <v>8128</v>
      </c>
      <c r="CP1626" s="1388" t="s">
        <v>8106</v>
      </c>
      <c r="CQ1626" s="1388" t="s">
        <v>11742</v>
      </c>
      <c r="CR1626" s="1388" t="s">
        <v>11743</v>
      </c>
      <c r="CS1626" s="1388" t="s">
        <v>11353</v>
      </c>
      <c r="CT1626" s="1388" t="s">
        <v>11354</v>
      </c>
      <c r="CU1626" s="1388" t="s">
        <v>8419</v>
      </c>
      <c r="CV1626" s="1389" t="s">
        <v>11355</v>
      </c>
      <c r="CX1626" s="1379">
        <v>1</v>
      </c>
    </row>
    <row r="1627" spans="91:102" ht="21" customHeight="1" x14ac:dyDescent="0.25">
      <c r="CM1627" s="1377"/>
      <c r="CN1627" s="1388" t="s">
        <v>11744</v>
      </c>
      <c r="CO1627" s="1388" t="s">
        <v>8128</v>
      </c>
      <c r="CP1627" s="1388" t="s">
        <v>8106</v>
      </c>
      <c r="CQ1627" s="1388" t="s">
        <v>11745</v>
      </c>
      <c r="CR1627" s="1388" t="s">
        <v>11745</v>
      </c>
      <c r="CS1627" s="1388" t="s">
        <v>11353</v>
      </c>
      <c r="CT1627" s="1388" t="s">
        <v>11354</v>
      </c>
      <c r="CU1627" s="1388" t="s">
        <v>8419</v>
      </c>
      <c r="CV1627" s="1389" t="s">
        <v>11355</v>
      </c>
      <c r="CX1627" s="1379">
        <v>1</v>
      </c>
    </row>
    <row r="1628" spans="91:102" ht="21" customHeight="1" x14ac:dyDescent="0.25">
      <c r="CM1628" s="1377"/>
      <c r="CN1628" s="1388" t="s">
        <v>11746</v>
      </c>
      <c r="CO1628" s="1388" t="s">
        <v>8128</v>
      </c>
      <c r="CP1628" s="1388" t="s">
        <v>8106</v>
      </c>
      <c r="CQ1628" s="1388" t="s">
        <v>11747</v>
      </c>
      <c r="CR1628" s="1388" t="s">
        <v>11748</v>
      </c>
      <c r="CS1628" s="1388" t="s">
        <v>11353</v>
      </c>
      <c r="CT1628" s="1388" t="s">
        <v>11354</v>
      </c>
      <c r="CU1628" s="1388" t="s">
        <v>8419</v>
      </c>
      <c r="CV1628" s="1389" t="s">
        <v>11355</v>
      </c>
      <c r="CX1628" s="1379">
        <v>1</v>
      </c>
    </row>
    <row r="1629" spans="91:102" ht="21" customHeight="1" x14ac:dyDescent="0.25">
      <c r="CM1629" s="1377"/>
      <c r="CN1629" s="1388" t="s">
        <v>11749</v>
      </c>
      <c r="CO1629" s="1388" t="s">
        <v>8128</v>
      </c>
      <c r="CP1629" s="1388" t="s">
        <v>8106</v>
      </c>
      <c r="CQ1629" s="1388" t="s">
        <v>11750</v>
      </c>
      <c r="CR1629" s="1388" t="s">
        <v>11750</v>
      </c>
      <c r="CS1629" s="1388" t="s">
        <v>11353</v>
      </c>
      <c r="CT1629" s="1388" t="s">
        <v>11354</v>
      </c>
      <c r="CU1629" s="1388" t="s">
        <v>8419</v>
      </c>
      <c r="CV1629" s="1389" t="s">
        <v>11355</v>
      </c>
      <c r="CX1629" s="1379">
        <v>1</v>
      </c>
    </row>
    <row r="1630" spans="91:102" ht="21" customHeight="1" x14ac:dyDescent="0.25">
      <c r="CM1630" s="1377"/>
      <c r="CN1630" s="1388" t="s">
        <v>11751</v>
      </c>
      <c r="CO1630" s="1388" t="s">
        <v>8128</v>
      </c>
      <c r="CP1630" s="1388" t="s">
        <v>8106</v>
      </c>
      <c r="CQ1630" s="1388" t="s">
        <v>11752</v>
      </c>
      <c r="CR1630" s="1388" t="s">
        <v>11752</v>
      </c>
      <c r="CS1630" s="1388" t="s">
        <v>11353</v>
      </c>
      <c r="CT1630" s="1388" t="s">
        <v>11354</v>
      </c>
      <c r="CU1630" s="1388" t="s">
        <v>8419</v>
      </c>
      <c r="CV1630" s="1389" t="s">
        <v>11355</v>
      </c>
      <c r="CX1630" s="1379">
        <v>1</v>
      </c>
    </row>
    <row r="1631" spans="91:102" ht="21" customHeight="1" x14ac:dyDescent="0.25">
      <c r="CM1631" s="1377"/>
      <c r="CN1631" s="1388" t="s">
        <v>11753</v>
      </c>
      <c r="CO1631" s="1388" t="s">
        <v>8128</v>
      </c>
      <c r="CP1631" s="1388" t="s">
        <v>8106</v>
      </c>
      <c r="CQ1631" s="1388" t="s">
        <v>11754</v>
      </c>
      <c r="CR1631" s="1388" t="s">
        <v>11754</v>
      </c>
      <c r="CS1631" s="1388" t="s">
        <v>11353</v>
      </c>
      <c r="CT1631" s="1388" t="s">
        <v>11354</v>
      </c>
      <c r="CU1631" s="1388" t="s">
        <v>8419</v>
      </c>
      <c r="CV1631" s="1389" t="s">
        <v>11355</v>
      </c>
      <c r="CX1631" s="1379">
        <v>1</v>
      </c>
    </row>
    <row r="1632" spans="91:102" ht="21" customHeight="1" x14ac:dyDescent="0.25">
      <c r="CM1632" s="1377"/>
      <c r="CN1632" s="1388" t="s">
        <v>11755</v>
      </c>
      <c r="CO1632" s="1388" t="s">
        <v>8128</v>
      </c>
      <c r="CP1632" s="1388" t="s">
        <v>8106</v>
      </c>
      <c r="CQ1632" s="1388" t="s">
        <v>11756</v>
      </c>
      <c r="CR1632" s="1388" t="s">
        <v>11756</v>
      </c>
      <c r="CS1632" s="1388" t="s">
        <v>11353</v>
      </c>
      <c r="CT1632" s="1388" t="s">
        <v>11354</v>
      </c>
      <c r="CU1632" s="1388" t="s">
        <v>8419</v>
      </c>
      <c r="CV1632" s="1389" t="s">
        <v>11355</v>
      </c>
      <c r="CX1632" s="1379">
        <v>1</v>
      </c>
    </row>
    <row r="1633" spans="91:102" ht="21" customHeight="1" x14ac:dyDescent="0.25">
      <c r="CM1633" s="1377"/>
      <c r="CN1633" s="1388" t="s">
        <v>11757</v>
      </c>
      <c r="CO1633" s="1388" t="s">
        <v>8128</v>
      </c>
      <c r="CP1633" s="1388" t="s">
        <v>8106</v>
      </c>
      <c r="CQ1633" s="1388" t="s">
        <v>11758</v>
      </c>
      <c r="CR1633" s="1388" t="s">
        <v>11758</v>
      </c>
      <c r="CS1633" s="1388" t="s">
        <v>8108</v>
      </c>
      <c r="CT1633" s="1388" t="s">
        <v>11368</v>
      </c>
      <c r="CU1633" s="1388" t="s">
        <v>8110</v>
      </c>
      <c r="CV1633" s="1389" t="s">
        <v>8111</v>
      </c>
      <c r="CX1633" s="1379">
        <v>1</v>
      </c>
    </row>
    <row r="1634" spans="91:102" ht="21" customHeight="1" x14ac:dyDescent="0.25">
      <c r="CM1634" s="1377"/>
      <c r="CN1634" s="1388" t="s">
        <v>11759</v>
      </c>
      <c r="CO1634" s="1388" t="s">
        <v>8128</v>
      </c>
      <c r="CP1634" s="1388" t="s">
        <v>8106</v>
      </c>
      <c r="CQ1634" s="1388" t="s">
        <v>11760</v>
      </c>
      <c r="CR1634" s="1388" t="s">
        <v>11760</v>
      </c>
      <c r="CS1634" s="1388" t="s">
        <v>11353</v>
      </c>
      <c r="CT1634" s="1388" t="s">
        <v>11354</v>
      </c>
      <c r="CU1634" s="1388" t="s">
        <v>8419</v>
      </c>
      <c r="CV1634" s="1389" t="s">
        <v>11355</v>
      </c>
      <c r="CX1634" s="1379">
        <v>1</v>
      </c>
    </row>
    <row r="1635" spans="91:102" ht="21" customHeight="1" x14ac:dyDescent="0.25">
      <c r="CM1635" s="1377"/>
      <c r="CN1635" s="1388" t="s">
        <v>11761</v>
      </c>
      <c r="CO1635" s="1388" t="s">
        <v>8128</v>
      </c>
      <c r="CP1635" s="1388" t="s">
        <v>8106</v>
      </c>
      <c r="CQ1635" s="1388" t="s">
        <v>11762</v>
      </c>
      <c r="CR1635" s="1388" t="s">
        <v>11763</v>
      </c>
      <c r="CS1635" s="1388" t="s">
        <v>11353</v>
      </c>
      <c r="CT1635" s="1388" t="s">
        <v>11354</v>
      </c>
      <c r="CU1635" s="1388" t="s">
        <v>8419</v>
      </c>
      <c r="CV1635" s="1389" t="s">
        <v>11355</v>
      </c>
      <c r="CX1635" s="1379">
        <v>1</v>
      </c>
    </row>
    <row r="1636" spans="91:102" ht="21" customHeight="1" x14ac:dyDescent="0.25">
      <c r="CM1636" s="1377"/>
      <c r="CN1636" s="1388" t="s">
        <v>11764</v>
      </c>
      <c r="CO1636" s="1388" t="s">
        <v>8128</v>
      </c>
      <c r="CP1636" s="1388" t="s">
        <v>8106</v>
      </c>
      <c r="CQ1636" s="1388" t="s">
        <v>11765</v>
      </c>
      <c r="CR1636" s="1388" t="s">
        <v>11765</v>
      </c>
      <c r="CS1636" s="1388" t="s">
        <v>11353</v>
      </c>
      <c r="CT1636" s="1388" t="s">
        <v>11354</v>
      </c>
      <c r="CU1636" s="1388" t="s">
        <v>8419</v>
      </c>
      <c r="CV1636" s="1389" t="s">
        <v>11355</v>
      </c>
      <c r="CX1636" s="1379">
        <v>1</v>
      </c>
    </row>
    <row r="1637" spans="91:102" ht="21" customHeight="1" x14ac:dyDescent="0.25">
      <c r="CM1637" s="1377"/>
      <c r="CN1637" s="1388" t="s">
        <v>11766</v>
      </c>
      <c r="CO1637" s="1388" t="s">
        <v>8128</v>
      </c>
      <c r="CP1637" s="1388" t="s">
        <v>8106</v>
      </c>
      <c r="CQ1637" s="1388" t="s">
        <v>11767</v>
      </c>
      <c r="CR1637" s="1388" t="s">
        <v>11767</v>
      </c>
      <c r="CS1637" s="1388" t="s">
        <v>11353</v>
      </c>
      <c r="CT1637" s="1388" t="s">
        <v>11354</v>
      </c>
      <c r="CU1637" s="1388" t="s">
        <v>8419</v>
      </c>
      <c r="CV1637" s="1389" t="s">
        <v>11355</v>
      </c>
      <c r="CX1637" s="1379">
        <v>1</v>
      </c>
    </row>
    <row r="1638" spans="91:102" ht="21" customHeight="1" x14ac:dyDescent="0.25">
      <c r="CM1638" s="1377"/>
      <c r="CN1638" s="1388" t="s">
        <v>11768</v>
      </c>
      <c r="CO1638" s="1388" t="s">
        <v>8128</v>
      </c>
      <c r="CP1638" s="1388" t="s">
        <v>8106</v>
      </c>
      <c r="CQ1638" s="1388" t="s">
        <v>11769</v>
      </c>
      <c r="CR1638" s="1388" t="s">
        <v>11769</v>
      </c>
      <c r="CS1638" s="1388" t="s">
        <v>8108</v>
      </c>
      <c r="CT1638" s="1388" t="s">
        <v>11368</v>
      </c>
      <c r="CU1638" s="1388" t="s">
        <v>8110</v>
      </c>
      <c r="CV1638" s="1389" t="s">
        <v>8111</v>
      </c>
      <c r="CX1638" s="1379">
        <v>1</v>
      </c>
    </row>
    <row r="1639" spans="91:102" ht="21" customHeight="1" x14ac:dyDescent="0.25">
      <c r="CM1639" s="1377"/>
      <c r="CN1639" s="1388" t="s">
        <v>11770</v>
      </c>
      <c r="CO1639" s="1388" t="s">
        <v>8128</v>
      </c>
      <c r="CP1639" s="1388" t="s">
        <v>8106</v>
      </c>
      <c r="CQ1639" s="1388" t="s">
        <v>11771</v>
      </c>
      <c r="CR1639" s="1388" t="s">
        <v>11771</v>
      </c>
      <c r="CS1639" s="1388" t="s">
        <v>8108</v>
      </c>
      <c r="CT1639" s="1388" t="s">
        <v>11368</v>
      </c>
      <c r="CU1639" s="1388" t="s">
        <v>8110</v>
      </c>
      <c r="CV1639" s="1389" t="s">
        <v>8111</v>
      </c>
      <c r="CX1639" s="1379">
        <v>1</v>
      </c>
    </row>
    <row r="1640" spans="91:102" ht="21" customHeight="1" x14ac:dyDescent="0.25">
      <c r="CM1640" s="1377"/>
      <c r="CN1640" s="1388" t="s">
        <v>11772</v>
      </c>
      <c r="CO1640" s="1388" t="s">
        <v>8128</v>
      </c>
      <c r="CP1640" s="1388" t="s">
        <v>8106</v>
      </c>
      <c r="CQ1640" s="1388" t="s">
        <v>11773</v>
      </c>
      <c r="CR1640" s="1388" t="s">
        <v>11774</v>
      </c>
      <c r="CS1640" s="1388" t="s">
        <v>11353</v>
      </c>
      <c r="CT1640" s="1388" t="s">
        <v>11354</v>
      </c>
      <c r="CU1640" s="1388" t="s">
        <v>8419</v>
      </c>
      <c r="CV1640" s="1389" t="s">
        <v>11355</v>
      </c>
      <c r="CX1640" s="1379">
        <v>1</v>
      </c>
    </row>
    <row r="1641" spans="91:102" ht="21" customHeight="1" x14ac:dyDescent="0.25">
      <c r="CM1641" s="1377"/>
      <c r="CN1641" s="1388" t="s">
        <v>11775</v>
      </c>
      <c r="CO1641" s="1388" t="s">
        <v>8128</v>
      </c>
      <c r="CP1641" s="1388" t="s">
        <v>8106</v>
      </c>
      <c r="CQ1641" s="1388" t="s">
        <v>11776</v>
      </c>
      <c r="CR1641" s="1388" t="s">
        <v>11776</v>
      </c>
      <c r="CS1641" s="1388" t="s">
        <v>8194</v>
      </c>
      <c r="CT1641" s="1388" t="s">
        <v>8195</v>
      </c>
      <c r="CU1641" s="1388" t="s">
        <v>8110</v>
      </c>
      <c r="CV1641" s="1389" t="s">
        <v>8196</v>
      </c>
      <c r="CX1641" s="1379">
        <v>1</v>
      </c>
    </row>
    <row r="1642" spans="91:102" ht="21" customHeight="1" x14ac:dyDescent="0.25">
      <c r="CM1642" s="1377"/>
      <c r="CN1642" s="1388" t="s">
        <v>11777</v>
      </c>
      <c r="CO1642" s="1388" t="s">
        <v>8128</v>
      </c>
      <c r="CP1642" s="1388" t="s">
        <v>8106</v>
      </c>
      <c r="CQ1642" s="1388" t="s">
        <v>11778</v>
      </c>
      <c r="CR1642" s="1388" t="s">
        <v>11778</v>
      </c>
      <c r="CS1642" s="1388" t="s">
        <v>8108</v>
      </c>
      <c r="CT1642" s="1388" t="s">
        <v>11368</v>
      </c>
      <c r="CU1642" s="1388" t="s">
        <v>8110</v>
      </c>
      <c r="CV1642" s="1389" t="s">
        <v>8111</v>
      </c>
      <c r="CX1642" s="1379">
        <v>1</v>
      </c>
    </row>
    <row r="1643" spans="91:102" ht="21" customHeight="1" x14ac:dyDescent="0.25">
      <c r="CM1643" s="1377"/>
      <c r="CN1643" s="1388" t="s">
        <v>11779</v>
      </c>
      <c r="CO1643" s="1388" t="s">
        <v>8128</v>
      </c>
      <c r="CP1643" s="1388" t="s">
        <v>8106</v>
      </c>
      <c r="CQ1643" s="1388" t="s">
        <v>11780</v>
      </c>
      <c r="CR1643" s="1388" t="s">
        <v>11780</v>
      </c>
      <c r="CS1643" s="1388" t="s">
        <v>8108</v>
      </c>
      <c r="CT1643" s="1388" t="s">
        <v>11368</v>
      </c>
      <c r="CU1643" s="1388" t="s">
        <v>8110</v>
      </c>
      <c r="CV1643" s="1389" t="s">
        <v>8111</v>
      </c>
      <c r="CX1643" s="1379">
        <v>1</v>
      </c>
    </row>
    <row r="1644" spans="91:102" ht="21" customHeight="1" x14ac:dyDescent="0.25">
      <c r="CM1644" s="1377"/>
      <c r="CN1644" s="1388" t="s">
        <v>11781</v>
      </c>
      <c r="CO1644" s="1388" t="s">
        <v>8128</v>
      </c>
      <c r="CP1644" s="1388" t="s">
        <v>8106</v>
      </c>
      <c r="CQ1644" s="1388" t="s">
        <v>11782</v>
      </c>
      <c r="CR1644" s="1388" t="s">
        <v>11783</v>
      </c>
      <c r="CS1644" s="1388" t="s">
        <v>11353</v>
      </c>
      <c r="CT1644" s="1388" t="s">
        <v>11354</v>
      </c>
      <c r="CU1644" s="1388" t="s">
        <v>8419</v>
      </c>
      <c r="CV1644" s="1389" t="s">
        <v>11355</v>
      </c>
      <c r="CX1644" s="1379">
        <v>1</v>
      </c>
    </row>
    <row r="1645" spans="91:102" ht="21" customHeight="1" x14ac:dyDescent="0.25">
      <c r="CM1645" s="1377"/>
      <c r="CN1645" s="1388" t="s">
        <v>11784</v>
      </c>
      <c r="CO1645" s="1388" t="s">
        <v>8128</v>
      </c>
      <c r="CP1645" s="1388" t="s">
        <v>8106</v>
      </c>
      <c r="CQ1645" s="1388" t="s">
        <v>11785</v>
      </c>
      <c r="CR1645" s="1388" t="s">
        <v>11785</v>
      </c>
      <c r="CS1645" s="1388" t="s">
        <v>11353</v>
      </c>
      <c r="CT1645" s="1388" t="s">
        <v>11354</v>
      </c>
      <c r="CU1645" s="1388" t="s">
        <v>8419</v>
      </c>
      <c r="CV1645" s="1389" t="s">
        <v>11355</v>
      </c>
      <c r="CX1645" s="1379">
        <v>1</v>
      </c>
    </row>
    <row r="1646" spans="91:102" ht="21" customHeight="1" x14ac:dyDescent="0.25">
      <c r="CM1646" s="1377"/>
      <c r="CN1646" s="1388" t="s">
        <v>11786</v>
      </c>
      <c r="CO1646" s="1388" t="s">
        <v>8128</v>
      </c>
      <c r="CP1646" s="1388" t="s">
        <v>8106</v>
      </c>
      <c r="CQ1646" s="1388" t="s">
        <v>11787</v>
      </c>
      <c r="CR1646" s="1388" t="s">
        <v>11787</v>
      </c>
      <c r="CS1646" s="1388" t="s">
        <v>11353</v>
      </c>
      <c r="CT1646" s="1388" t="s">
        <v>11354</v>
      </c>
      <c r="CU1646" s="1388" t="s">
        <v>8419</v>
      </c>
      <c r="CV1646" s="1389" t="s">
        <v>11355</v>
      </c>
      <c r="CX1646" s="1379">
        <v>1</v>
      </c>
    </row>
    <row r="1647" spans="91:102" ht="21" customHeight="1" x14ac:dyDescent="0.25">
      <c r="CM1647" s="1377"/>
      <c r="CN1647" s="1388" t="s">
        <v>11788</v>
      </c>
      <c r="CO1647" s="1388" t="s">
        <v>8128</v>
      </c>
      <c r="CP1647" s="1388" t="s">
        <v>8106</v>
      </c>
      <c r="CQ1647" s="1388" t="s">
        <v>11789</v>
      </c>
      <c r="CR1647" s="1388" t="s">
        <v>11789</v>
      </c>
      <c r="CS1647" s="1388" t="s">
        <v>8108</v>
      </c>
      <c r="CT1647" s="1388" t="s">
        <v>11368</v>
      </c>
      <c r="CU1647" s="1388" t="s">
        <v>8110</v>
      </c>
      <c r="CV1647" s="1389" t="s">
        <v>8111</v>
      </c>
      <c r="CX1647" s="1379">
        <v>1</v>
      </c>
    </row>
    <row r="1648" spans="91:102" ht="21" customHeight="1" x14ac:dyDescent="0.25">
      <c r="CM1648" s="1377"/>
      <c r="CN1648" s="1388" t="s">
        <v>11790</v>
      </c>
      <c r="CO1648" s="1388" t="s">
        <v>8128</v>
      </c>
      <c r="CP1648" s="1388" t="s">
        <v>8106</v>
      </c>
      <c r="CQ1648" s="1388" t="s">
        <v>11791</v>
      </c>
      <c r="CR1648" s="1388" t="s">
        <v>11791</v>
      </c>
      <c r="CS1648" s="1388" t="s">
        <v>11353</v>
      </c>
      <c r="CT1648" s="1388" t="s">
        <v>11354</v>
      </c>
      <c r="CU1648" s="1388" t="s">
        <v>8419</v>
      </c>
      <c r="CV1648" s="1389" t="s">
        <v>11355</v>
      </c>
      <c r="CX1648" s="1379">
        <v>1</v>
      </c>
    </row>
    <row r="1649" spans="91:102" ht="21" customHeight="1" x14ac:dyDescent="0.25">
      <c r="CM1649" s="1377"/>
      <c r="CN1649" s="1388" t="s">
        <v>11792</v>
      </c>
      <c r="CO1649" s="1388" t="s">
        <v>8128</v>
      </c>
      <c r="CP1649" s="1388" t="s">
        <v>8106</v>
      </c>
      <c r="CQ1649" s="1388" t="s">
        <v>11793</v>
      </c>
      <c r="CR1649" s="1388" t="s">
        <v>11793</v>
      </c>
      <c r="CS1649" s="1388" t="s">
        <v>8108</v>
      </c>
      <c r="CT1649" s="1388" t="s">
        <v>11368</v>
      </c>
      <c r="CU1649" s="1388" t="s">
        <v>8110</v>
      </c>
      <c r="CV1649" s="1389" t="s">
        <v>8111</v>
      </c>
      <c r="CX1649" s="1379">
        <v>1</v>
      </c>
    </row>
    <row r="1650" spans="91:102" ht="21" customHeight="1" x14ac:dyDescent="0.25">
      <c r="CM1650" s="1377"/>
      <c r="CN1650" s="1388" t="s">
        <v>11794</v>
      </c>
      <c r="CO1650" s="1388" t="s">
        <v>8128</v>
      </c>
      <c r="CP1650" s="1388" t="s">
        <v>8106</v>
      </c>
      <c r="CQ1650" s="1388" t="s">
        <v>11795</v>
      </c>
      <c r="CR1650" s="1388" t="s">
        <v>11795</v>
      </c>
      <c r="CS1650" s="1388" t="s">
        <v>11353</v>
      </c>
      <c r="CT1650" s="1388" t="s">
        <v>11354</v>
      </c>
      <c r="CU1650" s="1388" t="s">
        <v>8419</v>
      </c>
      <c r="CV1650" s="1389" t="s">
        <v>11355</v>
      </c>
      <c r="CX1650" s="1379">
        <v>1</v>
      </c>
    </row>
    <row r="1651" spans="91:102" ht="21" customHeight="1" x14ac:dyDescent="0.25">
      <c r="CM1651" s="1377"/>
      <c r="CN1651" s="1388" t="s">
        <v>11796</v>
      </c>
      <c r="CO1651" s="1388" t="s">
        <v>8128</v>
      </c>
      <c r="CP1651" s="1388" t="s">
        <v>8106</v>
      </c>
      <c r="CQ1651" s="1388" t="s">
        <v>11797</v>
      </c>
      <c r="CR1651" s="1388" t="s">
        <v>11798</v>
      </c>
      <c r="CS1651" s="1388" t="s">
        <v>11353</v>
      </c>
      <c r="CT1651" s="1388" t="s">
        <v>11354</v>
      </c>
      <c r="CU1651" s="1388" t="s">
        <v>8419</v>
      </c>
      <c r="CV1651" s="1389" t="s">
        <v>11355</v>
      </c>
      <c r="CX1651" s="1379">
        <v>1</v>
      </c>
    </row>
    <row r="1652" spans="91:102" ht="21" customHeight="1" x14ac:dyDescent="0.25">
      <c r="CM1652" s="1377"/>
      <c r="CN1652" s="1388" t="s">
        <v>11799</v>
      </c>
      <c r="CO1652" s="1388" t="s">
        <v>8128</v>
      </c>
      <c r="CP1652" s="1388" t="s">
        <v>8106</v>
      </c>
      <c r="CQ1652" s="1388" t="s">
        <v>11800</v>
      </c>
      <c r="CR1652" s="1388" t="s">
        <v>11801</v>
      </c>
      <c r="CS1652" s="1388" t="s">
        <v>11353</v>
      </c>
      <c r="CT1652" s="1388" t="s">
        <v>11354</v>
      </c>
      <c r="CU1652" s="1388" t="s">
        <v>8419</v>
      </c>
      <c r="CV1652" s="1389" t="s">
        <v>11355</v>
      </c>
      <c r="CX1652" s="1379">
        <v>1</v>
      </c>
    </row>
    <row r="1653" spans="91:102" ht="21" customHeight="1" x14ac:dyDescent="0.25">
      <c r="CM1653" s="1377"/>
      <c r="CN1653" s="1388" t="s">
        <v>11802</v>
      </c>
      <c r="CO1653" s="1388" t="s">
        <v>8128</v>
      </c>
      <c r="CP1653" s="1388" t="s">
        <v>8106</v>
      </c>
      <c r="CQ1653" s="1388" t="s">
        <v>11803</v>
      </c>
      <c r="CR1653" s="1388" t="s">
        <v>11803</v>
      </c>
      <c r="CS1653" s="1388" t="s">
        <v>11353</v>
      </c>
      <c r="CT1653" s="1388" t="s">
        <v>11354</v>
      </c>
      <c r="CU1653" s="1388" t="s">
        <v>8419</v>
      </c>
      <c r="CV1653" s="1389" t="s">
        <v>11355</v>
      </c>
      <c r="CX1653" s="1379">
        <v>1</v>
      </c>
    </row>
    <row r="1654" spans="91:102" ht="21" customHeight="1" x14ac:dyDescent="0.25">
      <c r="CM1654" s="1377"/>
      <c r="CN1654" s="1388" t="s">
        <v>11804</v>
      </c>
      <c r="CO1654" s="1388" t="s">
        <v>8128</v>
      </c>
      <c r="CP1654" s="1388" t="s">
        <v>8106</v>
      </c>
      <c r="CQ1654" s="1388" t="s">
        <v>11805</v>
      </c>
      <c r="CR1654" s="1388" t="s">
        <v>11805</v>
      </c>
      <c r="CS1654" s="1388" t="s">
        <v>8108</v>
      </c>
      <c r="CT1654" s="1388" t="s">
        <v>11368</v>
      </c>
      <c r="CU1654" s="1388" t="s">
        <v>8110</v>
      </c>
      <c r="CV1654" s="1389" t="s">
        <v>8111</v>
      </c>
      <c r="CX1654" s="1379">
        <v>1</v>
      </c>
    </row>
    <row r="1655" spans="91:102" ht="21" customHeight="1" x14ac:dyDescent="0.25">
      <c r="CM1655" s="1377"/>
      <c r="CN1655" s="1388" t="s">
        <v>11806</v>
      </c>
      <c r="CO1655" s="1388" t="s">
        <v>8128</v>
      </c>
      <c r="CP1655" s="1388" t="s">
        <v>8106</v>
      </c>
      <c r="CQ1655" s="1388" t="s">
        <v>11807</v>
      </c>
      <c r="CR1655" s="1388" t="s">
        <v>11808</v>
      </c>
      <c r="CS1655" s="1388" t="s">
        <v>11353</v>
      </c>
      <c r="CT1655" s="1388" t="s">
        <v>11354</v>
      </c>
      <c r="CU1655" s="1388" t="s">
        <v>8419</v>
      </c>
      <c r="CV1655" s="1389" t="s">
        <v>11355</v>
      </c>
      <c r="CX1655" s="1379">
        <v>1</v>
      </c>
    </row>
    <row r="1656" spans="91:102" ht="21" customHeight="1" x14ac:dyDescent="0.25">
      <c r="CM1656" s="1377"/>
      <c r="CN1656" s="1388" t="s">
        <v>11809</v>
      </c>
      <c r="CO1656" s="1388" t="s">
        <v>8128</v>
      </c>
      <c r="CP1656" s="1388" t="s">
        <v>8106</v>
      </c>
      <c r="CQ1656" s="1388" t="s">
        <v>11810</v>
      </c>
      <c r="CR1656" s="1388" t="s">
        <v>11810</v>
      </c>
      <c r="CS1656" s="1388" t="s">
        <v>8108</v>
      </c>
      <c r="CT1656" s="1388" t="s">
        <v>11368</v>
      </c>
      <c r="CU1656" s="1388" t="s">
        <v>8110</v>
      </c>
      <c r="CV1656" s="1389" t="s">
        <v>8111</v>
      </c>
      <c r="CX1656" s="1379">
        <v>1</v>
      </c>
    </row>
    <row r="1657" spans="91:102" ht="21" customHeight="1" x14ac:dyDescent="0.25">
      <c r="CM1657" s="1377"/>
      <c r="CN1657" s="1388" t="s">
        <v>11811</v>
      </c>
      <c r="CO1657" s="1388" t="s">
        <v>8128</v>
      </c>
      <c r="CP1657" s="1388" t="s">
        <v>8106</v>
      </c>
      <c r="CQ1657" s="1388" t="s">
        <v>11812</v>
      </c>
      <c r="CR1657" s="1388" t="s">
        <v>11812</v>
      </c>
      <c r="CS1657" s="1388" t="s">
        <v>11353</v>
      </c>
      <c r="CT1657" s="1388" t="s">
        <v>11354</v>
      </c>
      <c r="CU1657" s="1388" t="s">
        <v>8419</v>
      </c>
      <c r="CV1657" s="1389" t="s">
        <v>11355</v>
      </c>
      <c r="CX1657" s="1379">
        <v>1</v>
      </c>
    </row>
    <row r="1658" spans="91:102" ht="21" customHeight="1" x14ac:dyDescent="0.25">
      <c r="CM1658" s="1377"/>
      <c r="CN1658" s="1388" t="s">
        <v>11813</v>
      </c>
      <c r="CO1658" s="1388" t="s">
        <v>8128</v>
      </c>
      <c r="CP1658" s="1388" t="s">
        <v>8106</v>
      </c>
      <c r="CQ1658" s="1388" t="s">
        <v>11814</v>
      </c>
      <c r="CR1658" s="1388" t="s">
        <v>11815</v>
      </c>
      <c r="CS1658" s="1388" t="s">
        <v>11353</v>
      </c>
      <c r="CT1658" s="1388" t="s">
        <v>11354</v>
      </c>
      <c r="CU1658" s="1388" t="s">
        <v>8419</v>
      </c>
      <c r="CV1658" s="1389" t="s">
        <v>11355</v>
      </c>
      <c r="CX1658" s="1379">
        <v>1</v>
      </c>
    </row>
    <row r="1659" spans="91:102" ht="21" customHeight="1" x14ac:dyDescent="0.25">
      <c r="CM1659" s="1377"/>
      <c r="CN1659" s="1388" t="s">
        <v>11816</v>
      </c>
      <c r="CO1659" s="1388" t="s">
        <v>8128</v>
      </c>
      <c r="CP1659" s="1388" t="s">
        <v>8106</v>
      </c>
      <c r="CQ1659" s="1388" t="s">
        <v>11817</v>
      </c>
      <c r="CR1659" s="1388" t="s">
        <v>11818</v>
      </c>
      <c r="CS1659" s="1388" t="s">
        <v>11353</v>
      </c>
      <c r="CT1659" s="1388" t="s">
        <v>11354</v>
      </c>
      <c r="CU1659" s="1388" t="s">
        <v>8419</v>
      </c>
      <c r="CV1659" s="1389" t="s">
        <v>11355</v>
      </c>
      <c r="CX1659" s="1379">
        <v>1</v>
      </c>
    </row>
    <row r="1660" spans="91:102" ht="21" customHeight="1" x14ac:dyDescent="0.25">
      <c r="CM1660" s="1377"/>
      <c r="CN1660" s="1388" t="s">
        <v>11819</v>
      </c>
      <c r="CO1660" s="1388" t="s">
        <v>8128</v>
      </c>
      <c r="CP1660" s="1388" t="s">
        <v>8106</v>
      </c>
      <c r="CQ1660" s="1388" t="s">
        <v>11820</v>
      </c>
      <c r="CR1660" s="1388" t="s">
        <v>11821</v>
      </c>
      <c r="CS1660" s="1388" t="s">
        <v>11353</v>
      </c>
      <c r="CT1660" s="1388" t="s">
        <v>11354</v>
      </c>
      <c r="CU1660" s="1388" t="s">
        <v>8419</v>
      </c>
      <c r="CV1660" s="1389" t="s">
        <v>11355</v>
      </c>
      <c r="CX1660" s="1379">
        <v>1</v>
      </c>
    </row>
    <row r="1661" spans="91:102" ht="21" customHeight="1" x14ac:dyDescent="0.25">
      <c r="CM1661" s="1377"/>
      <c r="CN1661" s="1388" t="s">
        <v>11822</v>
      </c>
      <c r="CO1661" s="1388" t="s">
        <v>8128</v>
      </c>
      <c r="CP1661" s="1388" t="s">
        <v>8106</v>
      </c>
      <c r="CQ1661" s="1388" t="s">
        <v>11823</v>
      </c>
      <c r="CR1661" s="1388" t="s">
        <v>11823</v>
      </c>
      <c r="CS1661" s="1388" t="s">
        <v>8108</v>
      </c>
      <c r="CT1661" s="1388" t="s">
        <v>11368</v>
      </c>
      <c r="CU1661" s="1388" t="s">
        <v>8110</v>
      </c>
      <c r="CV1661" s="1389" t="s">
        <v>8111</v>
      </c>
      <c r="CX1661" s="1379">
        <v>1</v>
      </c>
    </row>
    <row r="1662" spans="91:102" ht="21" customHeight="1" x14ac:dyDescent="0.25">
      <c r="CM1662" s="1377"/>
      <c r="CN1662" s="1388" t="s">
        <v>11824</v>
      </c>
      <c r="CO1662" s="1388" t="s">
        <v>8128</v>
      </c>
      <c r="CP1662" s="1388" t="s">
        <v>8106</v>
      </c>
      <c r="CQ1662" s="1388" t="s">
        <v>11825</v>
      </c>
      <c r="CR1662" s="1388" t="s">
        <v>11825</v>
      </c>
      <c r="CS1662" s="1388" t="s">
        <v>11353</v>
      </c>
      <c r="CT1662" s="1388" t="s">
        <v>11354</v>
      </c>
      <c r="CU1662" s="1388" t="s">
        <v>8419</v>
      </c>
      <c r="CV1662" s="1389" t="s">
        <v>11355</v>
      </c>
      <c r="CX1662" s="1379">
        <v>1</v>
      </c>
    </row>
    <row r="1663" spans="91:102" ht="21" customHeight="1" x14ac:dyDescent="0.25">
      <c r="CM1663" s="1377"/>
      <c r="CN1663" s="1388" t="s">
        <v>11826</v>
      </c>
      <c r="CO1663" s="1388" t="s">
        <v>8128</v>
      </c>
      <c r="CP1663" s="1388" t="s">
        <v>8106</v>
      </c>
      <c r="CQ1663" s="1388" t="s">
        <v>11827</v>
      </c>
      <c r="CR1663" s="1388" t="s">
        <v>11828</v>
      </c>
      <c r="CS1663" s="1388" t="s">
        <v>11353</v>
      </c>
      <c r="CT1663" s="1388" t="s">
        <v>11354</v>
      </c>
      <c r="CU1663" s="1388" t="s">
        <v>8419</v>
      </c>
      <c r="CV1663" s="1389" t="s">
        <v>11355</v>
      </c>
      <c r="CX1663" s="1379">
        <v>1</v>
      </c>
    </row>
    <row r="1664" spans="91:102" ht="21" customHeight="1" x14ac:dyDescent="0.25">
      <c r="CM1664" s="1377"/>
      <c r="CN1664" s="1388" t="s">
        <v>11829</v>
      </c>
      <c r="CO1664" s="1388" t="s">
        <v>8128</v>
      </c>
      <c r="CP1664" s="1388" t="s">
        <v>8106</v>
      </c>
      <c r="CQ1664" s="1388" t="s">
        <v>11830</v>
      </c>
      <c r="CR1664" s="1388" t="s">
        <v>11830</v>
      </c>
      <c r="CS1664" s="1388" t="s">
        <v>11353</v>
      </c>
      <c r="CT1664" s="1388" t="s">
        <v>11354</v>
      </c>
      <c r="CU1664" s="1388" t="s">
        <v>8419</v>
      </c>
      <c r="CV1664" s="1389" t="s">
        <v>11355</v>
      </c>
      <c r="CX1664" s="1379">
        <v>1</v>
      </c>
    </row>
    <row r="1665" spans="91:102" ht="21" customHeight="1" x14ac:dyDescent="0.25">
      <c r="CM1665" s="1377"/>
      <c r="CN1665" s="1388" t="s">
        <v>11831</v>
      </c>
      <c r="CO1665" s="1388" t="s">
        <v>8128</v>
      </c>
      <c r="CP1665" s="1388" t="s">
        <v>8106</v>
      </c>
      <c r="CQ1665" s="1388" t="s">
        <v>11832</v>
      </c>
      <c r="CR1665" s="1388" t="s">
        <v>11833</v>
      </c>
      <c r="CS1665" s="1388" t="s">
        <v>11353</v>
      </c>
      <c r="CT1665" s="1388" t="s">
        <v>11354</v>
      </c>
      <c r="CU1665" s="1388" t="s">
        <v>8419</v>
      </c>
      <c r="CV1665" s="1389" t="s">
        <v>11355</v>
      </c>
      <c r="CX1665" s="1379">
        <v>1</v>
      </c>
    </row>
    <row r="1666" spans="91:102" ht="21" customHeight="1" x14ac:dyDescent="0.25">
      <c r="CM1666" s="1377"/>
      <c r="CN1666" s="1388" t="s">
        <v>11834</v>
      </c>
      <c r="CO1666" s="1388" t="s">
        <v>8128</v>
      </c>
      <c r="CP1666" s="1388" t="s">
        <v>8106</v>
      </c>
      <c r="CQ1666" s="1388" t="s">
        <v>11835</v>
      </c>
      <c r="CR1666" s="1388" t="s">
        <v>11835</v>
      </c>
      <c r="CS1666" s="1388" t="s">
        <v>8108</v>
      </c>
      <c r="CT1666" s="1388" t="s">
        <v>11368</v>
      </c>
      <c r="CU1666" s="1388" t="s">
        <v>8110</v>
      </c>
      <c r="CV1666" s="1389" t="s">
        <v>8111</v>
      </c>
      <c r="CX1666" s="1379">
        <v>1</v>
      </c>
    </row>
    <row r="1667" spans="91:102" ht="21" customHeight="1" x14ac:dyDescent="0.25">
      <c r="CM1667" s="1377"/>
      <c r="CN1667" s="1388" t="s">
        <v>11836</v>
      </c>
      <c r="CO1667" s="1388" t="s">
        <v>8128</v>
      </c>
      <c r="CP1667" s="1388" t="s">
        <v>8106</v>
      </c>
      <c r="CQ1667" s="1388" t="s">
        <v>11837</v>
      </c>
      <c r="CR1667" s="1388" t="s">
        <v>11837</v>
      </c>
      <c r="CS1667" s="1388" t="s">
        <v>8108</v>
      </c>
      <c r="CT1667" s="1388" t="s">
        <v>11368</v>
      </c>
      <c r="CU1667" s="1388" t="s">
        <v>8110</v>
      </c>
      <c r="CV1667" s="1389" t="s">
        <v>8111</v>
      </c>
      <c r="CX1667" s="1379">
        <v>1</v>
      </c>
    </row>
    <row r="1668" spans="91:102" ht="21" customHeight="1" x14ac:dyDescent="0.25">
      <c r="CM1668" s="1377"/>
      <c r="CN1668" s="1388" t="s">
        <v>11838</v>
      </c>
      <c r="CO1668" s="1388" t="s">
        <v>8128</v>
      </c>
      <c r="CP1668" s="1388" t="s">
        <v>8106</v>
      </c>
      <c r="CQ1668" s="1388" t="s">
        <v>11839</v>
      </c>
      <c r="CR1668" s="1388" t="s">
        <v>11839</v>
      </c>
      <c r="CS1668" s="1388" t="s">
        <v>8108</v>
      </c>
      <c r="CT1668" s="1388" t="s">
        <v>11368</v>
      </c>
      <c r="CU1668" s="1388" t="s">
        <v>8110</v>
      </c>
      <c r="CV1668" s="1389" t="s">
        <v>8111</v>
      </c>
      <c r="CX1668" s="1379">
        <v>1</v>
      </c>
    </row>
    <row r="1669" spans="91:102" ht="21" customHeight="1" x14ac:dyDescent="0.25">
      <c r="CM1669" s="1377"/>
      <c r="CN1669" s="1388" t="s">
        <v>11840</v>
      </c>
      <c r="CO1669" s="1388" t="s">
        <v>8128</v>
      </c>
      <c r="CP1669" s="1388" t="s">
        <v>8106</v>
      </c>
      <c r="CQ1669" s="1388" t="s">
        <v>11841</v>
      </c>
      <c r="CR1669" s="1388" t="s">
        <v>11841</v>
      </c>
      <c r="CS1669" s="1388" t="s">
        <v>11353</v>
      </c>
      <c r="CT1669" s="1388" t="s">
        <v>11354</v>
      </c>
      <c r="CU1669" s="1388" t="s">
        <v>8419</v>
      </c>
      <c r="CV1669" s="1389" t="s">
        <v>11355</v>
      </c>
      <c r="CX1669" s="1379">
        <v>1</v>
      </c>
    </row>
    <row r="1670" spans="91:102" ht="21" customHeight="1" x14ac:dyDescent="0.25">
      <c r="CM1670" s="1377"/>
      <c r="CN1670" s="1388" t="s">
        <v>11842</v>
      </c>
      <c r="CO1670" s="1388" t="s">
        <v>8128</v>
      </c>
      <c r="CP1670" s="1388" t="s">
        <v>8106</v>
      </c>
      <c r="CQ1670" s="1388" t="s">
        <v>11843</v>
      </c>
      <c r="CR1670" s="1388" t="s">
        <v>11843</v>
      </c>
      <c r="CS1670" s="1388" t="s">
        <v>11353</v>
      </c>
      <c r="CT1670" s="1388" t="s">
        <v>11354</v>
      </c>
      <c r="CU1670" s="1388" t="s">
        <v>8419</v>
      </c>
      <c r="CV1670" s="1389" t="s">
        <v>11355</v>
      </c>
      <c r="CX1670" s="1379">
        <v>1</v>
      </c>
    </row>
    <row r="1671" spans="91:102" ht="21" customHeight="1" x14ac:dyDescent="0.25">
      <c r="CM1671" s="1377"/>
      <c r="CN1671" s="1388" t="s">
        <v>11844</v>
      </c>
      <c r="CO1671" s="1388" t="s">
        <v>8128</v>
      </c>
      <c r="CP1671" s="1388" t="s">
        <v>8106</v>
      </c>
      <c r="CQ1671" s="1388" t="s">
        <v>11845</v>
      </c>
      <c r="CR1671" s="1388" t="s">
        <v>11846</v>
      </c>
      <c r="CS1671" s="1388" t="s">
        <v>8108</v>
      </c>
      <c r="CT1671" s="1388" t="s">
        <v>11368</v>
      </c>
      <c r="CU1671" s="1388" t="s">
        <v>8110</v>
      </c>
      <c r="CV1671" s="1389" t="s">
        <v>8111</v>
      </c>
      <c r="CX1671" s="1379">
        <v>1</v>
      </c>
    </row>
    <row r="1672" spans="91:102" ht="21" customHeight="1" x14ac:dyDescent="0.25">
      <c r="CM1672" s="1377"/>
      <c r="CN1672" s="1388" t="s">
        <v>11847</v>
      </c>
      <c r="CO1672" s="1388" t="s">
        <v>8128</v>
      </c>
      <c r="CP1672" s="1388" t="s">
        <v>8106</v>
      </c>
      <c r="CQ1672" s="1388" t="s">
        <v>11848</v>
      </c>
      <c r="CR1672" s="1388" t="s">
        <v>11849</v>
      </c>
      <c r="CS1672" s="1388" t="s">
        <v>11353</v>
      </c>
      <c r="CT1672" s="1388" t="s">
        <v>11354</v>
      </c>
      <c r="CU1672" s="1388" t="s">
        <v>8419</v>
      </c>
      <c r="CV1672" s="1389" t="s">
        <v>11355</v>
      </c>
      <c r="CX1672" s="1379">
        <v>1</v>
      </c>
    </row>
    <row r="1673" spans="91:102" ht="21" customHeight="1" x14ac:dyDescent="0.25">
      <c r="CM1673" s="1377"/>
      <c r="CN1673" s="1388" t="s">
        <v>11850</v>
      </c>
      <c r="CO1673" s="1388" t="s">
        <v>8128</v>
      </c>
      <c r="CP1673" s="1388" t="s">
        <v>8106</v>
      </c>
      <c r="CQ1673" s="1388" t="s">
        <v>11851</v>
      </c>
      <c r="CR1673" s="1388" t="s">
        <v>11852</v>
      </c>
      <c r="CS1673" s="1388" t="s">
        <v>11353</v>
      </c>
      <c r="CT1673" s="1388" t="s">
        <v>11354</v>
      </c>
      <c r="CU1673" s="1388" t="s">
        <v>8419</v>
      </c>
      <c r="CV1673" s="1389" t="s">
        <v>11355</v>
      </c>
      <c r="CX1673" s="1379">
        <v>1</v>
      </c>
    </row>
    <row r="1674" spans="91:102" ht="21" customHeight="1" x14ac:dyDescent="0.25">
      <c r="CM1674" s="1377"/>
      <c r="CN1674" s="1388" t="s">
        <v>11853</v>
      </c>
      <c r="CO1674" s="1388" t="s">
        <v>8128</v>
      </c>
      <c r="CP1674" s="1388" t="s">
        <v>8106</v>
      </c>
      <c r="CQ1674" s="1388" t="s">
        <v>11854</v>
      </c>
      <c r="CR1674" s="1388" t="s">
        <v>11854</v>
      </c>
      <c r="CS1674" s="1388" t="s">
        <v>8108</v>
      </c>
      <c r="CT1674" s="1388" t="s">
        <v>11368</v>
      </c>
      <c r="CU1674" s="1388" t="s">
        <v>8110</v>
      </c>
      <c r="CV1674" s="1389" t="s">
        <v>8111</v>
      </c>
      <c r="CX1674" s="1379">
        <v>1</v>
      </c>
    </row>
    <row r="1675" spans="91:102" ht="21" customHeight="1" x14ac:dyDescent="0.25">
      <c r="CM1675" s="1377"/>
      <c r="CN1675" s="1388" t="s">
        <v>11855</v>
      </c>
      <c r="CO1675" s="1388" t="s">
        <v>8128</v>
      </c>
      <c r="CP1675" s="1388" t="s">
        <v>8106</v>
      </c>
      <c r="CQ1675" s="1388" t="s">
        <v>11856</v>
      </c>
      <c r="CR1675" s="1388" t="s">
        <v>11857</v>
      </c>
      <c r="CS1675" s="1388" t="s">
        <v>11353</v>
      </c>
      <c r="CT1675" s="1388" t="s">
        <v>11354</v>
      </c>
      <c r="CU1675" s="1388" t="s">
        <v>8419</v>
      </c>
      <c r="CV1675" s="1389" t="s">
        <v>11355</v>
      </c>
      <c r="CX1675" s="1379">
        <v>1</v>
      </c>
    </row>
    <row r="1676" spans="91:102" ht="21" customHeight="1" x14ac:dyDescent="0.25">
      <c r="CM1676" s="1377"/>
      <c r="CN1676" s="1388" t="s">
        <v>11858</v>
      </c>
      <c r="CO1676" s="1388" t="s">
        <v>8128</v>
      </c>
      <c r="CP1676" s="1388" t="s">
        <v>8106</v>
      </c>
      <c r="CQ1676" s="1388" t="s">
        <v>11859</v>
      </c>
      <c r="CR1676" s="1388" t="s">
        <v>11860</v>
      </c>
      <c r="CS1676" s="1388" t="s">
        <v>8108</v>
      </c>
      <c r="CT1676" s="1388" t="s">
        <v>11368</v>
      </c>
      <c r="CU1676" s="1388" t="s">
        <v>8110</v>
      </c>
      <c r="CV1676" s="1389" t="s">
        <v>8111</v>
      </c>
      <c r="CX1676" s="1379">
        <v>1</v>
      </c>
    </row>
    <row r="1677" spans="91:102" ht="21" customHeight="1" x14ac:dyDescent="0.25">
      <c r="CM1677" s="1377"/>
      <c r="CN1677" s="1388" t="s">
        <v>11861</v>
      </c>
      <c r="CO1677" s="1388" t="s">
        <v>8128</v>
      </c>
      <c r="CP1677" s="1388" t="s">
        <v>8106</v>
      </c>
      <c r="CQ1677" s="1388" t="s">
        <v>11862</v>
      </c>
      <c r="CR1677" s="1388" t="s">
        <v>11863</v>
      </c>
      <c r="CS1677" s="1388" t="s">
        <v>11353</v>
      </c>
      <c r="CT1677" s="1388" t="s">
        <v>11354</v>
      </c>
      <c r="CU1677" s="1388" t="s">
        <v>8419</v>
      </c>
      <c r="CV1677" s="1389" t="s">
        <v>11355</v>
      </c>
      <c r="CX1677" s="1379">
        <v>1</v>
      </c>
    </row>
    <row r="1678" spans="91:102" ht="21" customHeight="1" x14ac:dyDescent="0.25">
      <c r="CM1678" s="1377"/>
      <c r="CN1678" s="1388" t="s">
        <v>11864</v>
      </c>
      <c r="CO1678" s="1388" t="s">
        <v>8128</v>
      </c>
      <c r="CP1678" s="1388" t="s">
        <v>8106</v>
      </c>
      <c r="CQ1678" s="1388" t="s">
        <v>11865</v>
      </c>
      <c r="CR1678" s="1388" t="s">
        <v>11866</v>
      </c>
      <c r="CS1678" s="1388" t="s">
        <v>11353</v>
      </c>
      <c r="CT1678" s="1388" t="s">
        <v>11354</v>
      </c>
      <c r="CU1678" s="1388" t="s">
        <v>8419</v>
      </c>
      <c r="CV1678" s="1389" t="s">
        <v>11355</v>
      </c>
      <c r="CX1678" s="1379">
        <v>1</v>
      </c>
    </row>
    <row r="1679" spans="91:102" ht="21" customHeight="1" x14ac:dyDescent="0.25">
      <c r="CM1679" s="1377"/>
      <c r="CN1679" s="1388" t="s">
        <v>11867</v>
      </c>
      <c r="CO1679" s="1388" t="s">
        <v>8128</v>
      </c>
      <c r="CP1679" s="1388" t="s">
        <v>8106</v>
      </c>
      <c r="CQ1679" s="1388" t="s">
        <v>11868</v>
      </c>
      <c r="CR1679" s="1388" t="s">
        <v>11869</v>
      </c>
      <c r="CS1679" s="1388" t="s">
        <v>8108</v>
      </c>
      <c r="CT1679" s="1388" t="s">
        <v>11368</v>
      </c>
      <c r="CU1679" s="1388" t="s">
        <v>8110</v>
      </c>
      <c r="CV1679" s="1389" t="s">
        <v>8111</v>
      </c>
      <c r="CX1679" s="1379">
        <v>1</v>
      </c>
    </row>
    <row r="1680" spans="91:102" ht="21" customHeight="1" x14ac:dyDescent="0.25">
      <c r="CM1680" s="1377"/>
      <c r="CN1680" s="1388" t="s">
        <v>11870</v>
      </c>
      <c r="CO1680" s="1388" t="s">
        <v>8128</v>
      </c>
      <c r="CP1680" s="1388" t="s">
        <v>8106</v>
      </c>
      <c r="CQ1680" s="1388" t="s">
        <v>11871</v>
      </c>
      <c r="CR1680" s="1388" t="s">
        <v>11871</v>
      </c>
      <c r="CS1680" s="1388" t="s">
        <v>8108</v>
      </c>
      <c r="CT1680" s="1388" t="s">
        <v>11368</v>
      </c>
      <c r="CU1680" s="1388" t="s">
        <v>8110</v>
      </c>
      <c r="CV1680" s="1389" t="s">
        <v>8111</v>
      </c>
      <c r="CX1680" s="1379">
        <v>1</v>
      </c>
    </row>
    <row r="1681" spans="91:102" ht="21" customHeight="1" x14ac:dyDescent="0.25">
      <c r="CM1681" s="1377"/>
      <c r="CN1681" s="1388" t="s">
        <v>11872</v>
      </c>
      <c r="CO1681" s="1388" t="s">
        <v>8128</v>
      </c>
      <c r="CP1681" s="1388" t="s">
        <v>8106</v>
      </c>
      <c r="CQ1681" s="1388" t="s">
        <v>11873</v>
      </c>
      <c r="CR1681" s="1388" t="s">
        <v>11873</v>
      </c>
      <c r="CS1681" s="1388" t="s">
        <v>11353</v>
      </c>
      <c r="CT1681" s="1388" t="s">
        <v>11354</v>
      </c>
      <c r="CU1681" s="1388" t="s">
        <v>8419</v>
      </c>
      <c r="CV1681" s="1389" t="s">
        <v>11355</v>
      </c>
      <c r="CX1681" s="1379">
        <v>1</v>
      </c>
    </row>
    <row r="1682" spans="91:102" ht="21" customHeight="1" x14ac:dyDescent="0.25">
      <c r="CM1682" s="1377"/>
      <c r="CN1682" s="1388" t="s">
        <v>11874</v>
      </c>
      <c r="CO1682" s="1388" t="s">
        <v>8128</v>
      </c>
      <c r="CP1682" s="1388" t="s">
        <v>8106</v>
      </c>
      <c r="CQ1682" s="1388" t="s">
        <v>11875</v>
      </c>
      <c r="CR1682" s="1388" t="s">
        <v>11875</v>
      </c>
      <c r="CS1682" s="1388" t="s">
        <v>11353</v>
      </c>
      <c r="CT1682" s="1388" t="s">
        <v>11354</v>
      </c>
      <c r="CU1682" s="1388" t="s">
        <v>8419</v>
      </c>
      <c r="CV1682" s="1389" t="s">
        <v>11355</v>
      </c>
      <c r="CX1682" s="1379">
        <v>1</v>
      </c>
    </row>
    <row r="1683" spans="91:102" ht="21" customHeight="1" x14ac:dyDescent="0.25">
      <c r="CM1683" s="1377"/>
      <c r="CN1683" s="1388" t="s">
        <v>11876</v>
      </c>
      <c r="CO1683" s="1388" t="s">
        <v>8128</v>
      </c>
      <c r="CP1683" s="1388" t="s">
        <v>8106</v>
      </c>
      <c r="CQ1683" s="1388" t="s">
        <v>11877</v>
      </c>
      <c r="CR1683" s="1388" t="s">
        <v>11877</v>
      </c>
      <c r="CS1683" s="1388" t="s">
        <v>11353</v>
      </c>
      <c r="CT1683" s="1388" t="s">
        <v>11354</v>
      </c>
      <c r="CU1683" s="1388" t="s">
        <v>8419</v>
      </c>
      <c r="CV1683" s="1389" t="s">
        <v>11355</v>
      </c>
      <c r="CX1683" s="1379">
        <v>1</v>
      </c>
    </row>
    <row r="1684" spans="91:102" ht="21" customHeight="1" x14ac:dyDescent="0.25">
      <c r="CM1684" s="1377"/>
      <c r="CN1684" s="1388" t="s">
        <v>11878</v>
      </c>
      <c r="CO1684" s="1388" t="s">
        <v>8128</v>
      </c>
      <c r="CP1684" s="1388" t="s">
        <v>8106</v>
      </c>
      <c r="CQ1684" s="1388" t="s">
        <v>11879</v>
      </c>
      <c r="CR1684" s="1388" t="s">
        <v>11879</v>
      </c>
      <c r="CS1684" s="1388" t="s">
        <v>8108</v>
      </c>
      <c r="CT1684" s="1388" t="s">
        <v>11368</v>
      </c>
      <c r="CU1684" s="1388" t="s">
        <v>8110</v>
      </c>
      <c r="CV1684" s="1389" t="s">
        <v>8111</v>
      </c>
      <c r="CX1684" s="1379">
        <v>1</v>
      </c>
    </row>
    <row r="1685" spans="91:102" ht="21" customHeight="1" x14ac:dyDescent="0.25">
      <c r="CM1685" s="1377"/>
      <c r="CN1685" s="1388" t="s">
        <v>11880</v>
      </c>
      <c r="CO1685" s="1388" t="s">
        <v>8128</v>
      </c>
      <c r="CP1685" s="1388" t="s">
        <v>8106</v>
      </c>
      <c r="CQ1685" s="1388" t="s">
        <v>11881</v>
      </c>
      <c r="CR1685" s="1388" t="s">
        <v>11881</v>
      </c>
      <c r="CS1685" s="1388" t="s">
        <v>8108</v>
      </c>
      <c r="CT1685" s="1388" t="s">
        <v>11368</v>
      </c>
      <c r="CU1685" s="1388" t="s">
        <v>8110</v>
      </c>
      <c r="CV1685" s="1389" t="s">
        <v>8111</v>
      </c>
      <c r="CX1685" s="1379">
        <v>1</v>
      </c>
    </row>
    <row r="1686" spans="91:102" ht="21" customHeight="1" x14ac:dyDescent="0.25">
      <c r="CM1686" s="1377"/>
      <c r="CN1686" s="1388" t="s">
        <v>11882</v>
      </c>
      <c r="CO1686" s="1388" t="s">
        <v>8128</v>
      </c>
      <c r="CP1686" s="1388" t="s">
        <v>8106</v>
      </c>
      <c r="CQ1686" s="1388" t="s">
        <v>11883</v>
      </c>
      <c r="CR1686" s="1388" t="s">
        <v>11883</v>
      </c>
      <c r="CS1686" s="1388" t="s">
        <v>11353</v>
      </c>
      <c r="CT1686" s="1388" t="s">
        <v>11354</v>
      </c>
      <c r="CU1686" s="1388" t="s">
        <v>8419</v>
      </c>
      <c r="CV1686" s="1389" t="s">
        <v>11355</v>
      </c>
      <c r="CX1686" s="1379">
        <v>1</v>
      </c>
    </row>
    <row r="1687" spans="91:102" ht="21" customHeight="1" x14ac:dyDescent="0.25">
      <c r="CM1687" s="1377"/>
      <c r="CN1687" s="1388" t="s">
        <v>11884</v>
      </c>
      <c r="CO1687" s="1388" t="s">
        <v>8128</v>
      </c>
      <c r="CP1687" s="1388" t="s">
        <v>8106</v>
      </c>
      <c r="CQ1687" s="1388" t="s">
        <v>11885</v>
      </c>
      <c r="CR1687" s="1388" t="s">
        <v>11885</v>
      </c>
      <c r="CS1687" s="1388" t="s">
        <v>8108</v>
      </c>
      <c r="CT1687" s="1388" t="s">
        <v>11368</v>
      </c>
      <c r="CU1687" s="1388" t="s">
        <v>8110</v>
      </c>
      <c r="CV1687" s="1389" t="s">
        <v>8111</v>
      </c>
      <c r="CX1687" s="1379">
        <v>1</v>
      </c>
    </row>
    <row r="1688" spans="91:102" ht="21" customHeight="1" x14ac:dyDescent="0.25">
      <c r="CM1688" s="1377"/>
      <c r="CN1688" s="1388" t="s">
        <v>11886</v>
      </c>
      <c r="CO1688" s="1388" t="s">
        <v>8128</v>
      </c>
      <c r="CP1688" s="1388" t="s">
        <v>8106</v>
      </c>
      <c r="CQ1688" s="1388" t="s">
        <v>11887</v>
      </c>
      <c r="CR1688" s="1388" t="s">
        <v>11887</v>
      </c>
      <c r="CS1688" s="1388" t="s">
        <v>11353</v>
      </c>
      <c r="CT1688" s="1388" t="s">
        <v>11354</v>
      </c>
      <c r="CU1688" s="1388" t="s">
        <v>8419</v>
      </c>
      <c r="CV1688" s="1389" t="s">
        <v>11355</v>
      </c>
      <c r="CX1688" s="1379">
        <v>1</v>
      </c>
    </row>
    <row r="1689" spans="91:102" ht="21" customHeight="1" x14ac:dyDescent="0.25">
      <c r="CM1689" s="1377"/>
      <c r="CN1689" s="1388" t="s">
        <v>11888</v>
      </c>
      <c r="CO1689" s="1388" t="s">
        <v>8128</v>
      </c>
      <c r="CP1689" s="1388" t="s">
        <v>8106</v>
      </c>
      <c r="CQ1689" s="1388" t="s">
        <v>11889</v>
      </c>
      <c r="CR1689" s="1388" t="s">
        <v>11889</v>
      </c>
      <c r="CS1689" s="1388" t="s">
        <v>11353</v>
      </c>
      <c r="CT1689" s="1388" t="s">
        <v>11354</v>
      </c>
      <c r="CU1689" s="1388" t="s">
        <v>8419</v>
      </c>
      <c r="CV1689" s="1389" t="s">
        <v>11355</v>
      </c>
      <c r="CX1689" s="1379">
        <v>1</v>
      </c>
    </row>
    <row r="1690" spans="91:102" ht="21" customHeight="1" x14ac:dyDescent="0.25">
      <c r="CM1690" s="1377"/>
      <c r="CN1690" s="1388" t="s">
        <v>11890</v>
      </c>
      <c r="CO1690" s="1388" t="s">
        <v>8128</v>
      </c>
      <c r="CP1690" s="1388" t="s">
        <v>8106</v>
      </c>
      <c r="CQ1690" s="1388" t="s">
        <v>11891</v>
      </c>
      <c r="CR1690" s="1388" t="s">
        <v>11891</v>
      </c>
      <c r="CS1690" s="1388" t="s">
        <v>8108</v>
      </c>
      <c r="CT1690" s="1388" t="s">
        <v>11368</v>
      </c>
      <c r="CU1690" s="1388" t="s">
        <v>8110</v>
      </c>
      <c r="CV1690" s="1389" t="s">
        <v>8111</v>
      </c>
      <c r="CX1690" s="1379">
        <v>1</v>
      </c>
    </row>
    <row r="1691" spans="91:102" ht="21" customHeight="1" x14ac:dyDescent="0.25">
      <c r="CM1691" s="1377"/>
      <c r="CN1691" s="1388" t="s">
        <v>11892</v>
      </c>
      <c r="CO1691" s="1388" t="s">
        <v>8128</v>
      </c>
      <c r="CP1691" s="1388" t="s">
        <v>8106</v>
      </c>
      <c r="CQ1691" s="1388" t="s">
        <v>11893</v>
      </c>
      <c r="CR1691" s="1388" t="s">
        <v>11894</v>
      </c>
      <c r="CS1691" s="1388" t="s">
        <v>11353</v>
      </c>
      <c r="CT1691" s="1388" t="s">
        <v>11354</v>
      </c>
      <c r="CU1691" s="1388" t="s">
        <v>8419</v>
      </c>
      <c r="CV1691" s="1389" t="s">
        <v>11355</v>
      </c>
      <c r="CX1691" s="1379">
        <v>1</v>
      </c>
    </row>
    <row r="1692" spans="91:102" ht="21" customHeight="1" x14ac:dyDescent="0.25">
      <c r="CM1692" s="1377"/>
      <c r="CN1692" s="1388" t="s">
        <v>11895</v>
      </c>
      <c r="CO1692" s="1388" t="s">
        <v>8128</v>
      </c>
      <c r="CP1692" s="1388" t="s">
        <v>8106</v>
      </c>
      <c r="CQ1692" s="1388" t="s">
        <v>11896</v>
      </c>
      <c r="CR1692" s="1388" t="s">
        <v>11897</v>
      </c>
      <c r="CS1692" s="1388" t="s">
        <v>11353</v>
      </c>
      <c r="CT1692" s="1388" t="s">
        <v>11354</v>
      </c>
      <c r="CU1692" s="1388" t="s">
        <v>8419</v>
      </c>
      <c r="CV1692" s="1389" t="s">
        <v>11355</v>
      </c>
      <c r="CX1692" s="1379">
        <v>1</v>
      </c>
    </row>
    <row r="1693" spans="91:102" ht="21" customHeight="1" x14ac:dyDescent="0.25">
      <c r="CM1693" s="1377"/>
      <c r="CN1693" s="1388" t="s">
        <v>11898</v>
      </c>
      <c r="CO1693" s="1388" t="s">
        <v>8128</v>
      </c>
      <c r="CP1693" s="1388" t="s">
        <v>8106</v>
      </c>
      <c r="CQ1693" s="1388" t="s">
        <v>11899</v>
      </c>
      <c r="CR1693" s="1388" t="s">
        <v>11900</v>
      </c>
      <c r="CS1693" s="1388" t="s">
        <v>11353</v>
      </c>
      <c r="CT1693" s="1388" t="s">
        <v>11354</v>
      </c>
      <c r="CU1693" s="1388" t="s">
        <v>8419</v>
      </c>
      <c r="CV1693" s="1389" t="s">
        <v>11355</v>
      </c>
      <c r="CX1693" s="1379">
        <v>1</v>
      </c>
    </row>
    <row r="1694" spans="91:102" ht="21" customHeight="1" x14ac:dyDescent="0.25">
      <c r="CM1694" s="1377"/>
      <c r="CN1694" s="1388" t="s">
        <v>11901</v>
      </c>
      <c r="CO1694" s="1388" t="s">
        <v>8128</v>
      </c>
      <c r="CP1694" s="1388" t="s">
        <v>8106</v>
      </c>
      <c r="CQ1694" s="1388" t="s">
        <v>11902</v>
      </c>
      <c r="CR1694" s="1388" t="s">
        <v>11902</v>
      </c>
      <c r="CS1694" s="1388" t="s">
        <v>8108</v>
      </c>
      <c r="CT1694" s="1388" t="s">
        <v>11368</v>
      </c>
      <c r="CU1694" s="1388" t="s">
        <v>8110</v>
      </c>
      <c r="CV1694" s="1389" t="s">
        <v>8111</v>
      </c>
      <c r="CX1694" s="1379">
        <v>1</v>
      </c>
    </row>
    <row r="1695" spans="91:102" ht="21" customHeight="1" x14ac:dyDescent="0.25">
      <c r="CM1695" s="1377"/>
      <c r="CN1695" s="1388" t="s">
        <v>11903</v>
      </c>
      <c r="CO1695" s="1388" t="s">
        <v>8128</v>
      </c>
      <c r="CP1695" s="1388" t="s">
        <v>8106</v>
      </c>
      <c r="CQ1695" s="1388" t="s">
        <v>11904</v>
      </c>
      <c r="CR1695" s="1388" t="s">
        <v>11905</v>
      </c>
      <c r="CS1695" s="1388" t="s">
        <v>11353</v>
      </c>
      <c r="CT1695" s="1388" t="s">
        <v>11354</v>
      </c>
      <c r="CU1695" s="1388" t="s">
        <v>8419</v>
      </c>
      <c r="CV1695" s="1389" t="s">
        <v>11355</v>
      </c>
      <c r="CX1695" s="1379">
        <v>1</v>
      </c>
    </row>
    <row r="1696" spans="91:102" ht="21" customHeight="1" x14ac:dyDescent="0.25">
      <c r="CM1696" s="1377"/>
      <c r="CN1696" s="1388" t="s">
        <v>11906</v>
      </c>
      <c r="CO1696" s="1388" t="s">
        <v>8128</v>
      </c>
      <c r="CP1696" s="1388" t="s">
        <v>8106</v>
      </c>
      <c r="CQ1696" s="1388" t="s">
        <v>11907</v>
      </c>
      <c r="CR1696" s="1388" t="s">
        <v>11907</v>
      </c>
      <c r="CS1696" s="1388" t="s">
        <v>8108</v>
      </c>
      <c r="CT1696" s="1388" t="s">
        <v>11368</v>
      </c>
      <c r="CU1696" s="1388" t="s">
        <v>8110</v>
      </c>
      <c r="CV1696" s="1389" t="s">
        <v>8111</v>
      </c>
      <c r="CX1696" s="1379">
        <v>1</v>
      </c>
    </row>
    <row r="1697" spans="91:102" ht="21" customHeight="1" x14ac:dyDescent="0.25">
      <c r="CM1697" s="1377"/>
      <c r="CN1697" s="1388" t="s">
        <v>11908</v>
      </c>
      <c r="CO1697" s="1388" t="s">
        <v>8128</v>
      </c>
      <c r="CP1697" s="1388" t="s">
        <v>8106</v>
      </c>
      <c r="CQ1697" s="1388" t="s">
        <v>11909</v>
      </c>
      <c r="CR1697" s="1388" t="s">
        <v>11910</v>
      </c>
      <c r="CS1697" s="1388" t="s">
        <v>11353</v>
      </c>
      <c r="CT1697" s="1388" t="s">
        <v>11354</v>
      </c>
      <c r="CU1697" s="1388" t="s">
        <v>8419</v>
      </c>
      <c r="CV1697" s="1389" t="s">
        <v>11355</v>
      </c>
      <c r="CX1697" s="1379">
        <v>1</v>
      </c>
    </row>
    <row r="1698" spans="91:102" ht="21" customHeight="1" x14ac:dyDescent="0.25">
      <c r="CM1698" s="1377"/>
      <c r="CN1698" s="1388" t="s">
        <v>11911</v>
      </c>
      <c r="CO1698" s="1388" t="s">
        <v>8128</v>
      </c>
      <c r="CP1698" s="1388" t="s">
        <v>8106</v>
      </c>
      <c r="CQ1698" s="1388" t="s">
        <v>11912</v>
      </c>
      <c r="CR1698" s="1388" t="s">
        <v>11912</v>
      </c>
      <c r="CS1698" s="1388" t="s">
        <v>11353</v>
      </c>
      <c r="CT1698" s="1388" t="s">
        <v>11354</v>
      </c>
      <c r="CU1698" s="1388" t="s">
        <v>8419</v>
      </c>
      <c r="CV1698" s="1389" t="s">
        <v>11355</v>
      </c>
      <c r="CX1698" s="1379">
        <v>1</v>
      </c>
    </row>
    <row r="1699" spans="91:102" ht="21" customHeight="1" x14ac:dyDescent="0.25">
      <c r="CM1699" s="1377"/>
      <c r="CN1699" s="1388" t="s">
        <v>11913</v>
      </c>
      <c r="CO1699" s="1388" t="s">
        <v>8128</v>
      </c>
      <c r="CP1699" s="1388" t="s">
        <v>8106</v>
      </c>
      <c r="CQ1699" s="1388" t="s">
        <v>11914</v>
      </c>
      <c r="CR1699" s="1388" t="s">
        <v>11914</v>
      </c>
      <c r="CS1699" s="1388" t="s">
        <v>11353</v>
      </c>
      <c r="CT1699" s="1388" t="s">
        <v>11354</v>
      </c>
      <c r="CU1699" s="1388" t="s">
        <v>8419</v>
      </c>
      <c r="CV1699" s="1389" t="s">
        <v>11355</v>
      </c>
      <c r="CX1699" s="1379">
        <v>1</v>
      </c>
    </row>
    <row r="1700" spans="91:102" ht="21" customHeight="1" x14ac:dyDescent="0.25">
      <c r="CM1700" s="1377"/>
      <c r="CN1700" s="1388" t="s">
        <v>11915</v>
      </c>
      <c r="CO1700" s="1388" t="s">
        <v>8128</v>
      </c>
      <c r="CP1700" s="1388" t="s">
        <v>8106</v>
      </c>
      <c r="CQ1700" s="1388" t="s">
        <v>11916</v>
      </c>
      <c r="CR1700" s="1388" t="s">
        <v>11917</v>
      </c>
      <c r="CS1700" s="1388" t="s">
        <v>11353</v>
      </c>
      <c r="CT1700" s="1388" t="s">
        <v>11354</v>
      </c>
      <c r="CU1700" s="1388" t="s">
        <v>8419</v>
      </c>
      <c r="CV1700" s="1389" t="s">
        <v>11355</v>
      </c>
      <c r="CX1700" s="1379">
        <v>1</v>
      </c>
    </row>
    <row r="1701" spans="91:102" ht="21" customHeight="1" x14ac:dyDescent="0.25">
      <c r="CM1701" s="1377"/>
      <c r="CN1701" s="1388" t="s">
        <v>11918</v>
      </c>
      <c r="CO1701" s="1388" t="s">
        <v>8128</v>
      </c>
      <c r="CP1701" s="1388" t="s">
        <v>8106</v>
      </c>
      <c r="CQ1701" s="1388" t="s">
        <v>11919</v>
      </c>
      <c r="CR1701" s="1388" t="s">
        <v>11919</v>
      </c>
      <c r="CS1701" s="1388" t="s">
        <v>11353</v>
      </c>
      <c r="CT1701" s="1388" t="s">
        <v>11354</v>
      </c>
      <c r="CU1701" s="1388" t="s">
        <v>8419</v>
      </c>
      <c r="CV1701" s="1389" t="s">
        <v>11355</v>
      </c>
      <c r="CX1701" s="1379">
        <v>1</v>
      </c>
    </row>
    <row r="1702" spans="91:102" ht="21" customHeight="1" x14ac:dyDescent="0.25">
      <c r="CM1702" s="1377"/>
      <c r="CN1702" s="1388" t="s">
        <v>11920</v>
      </c>
      <c r="CO1702" s="1388" t="s">
        <v>8128</v>
      </c>
      <c r="CP1702" s="1388" t="s">
        <v>8106</v>
      </c>
      <c r="CQ1702" s="1388" t="s">
        <v>11921</v>
      </c>
      <c r="CR1702" s="1388" t="s">
        <v>11921</v>
      </c>
      <c r="CS1702" s="1388" t="s">
        <v>8108</v>
      </c>
      <c r="CT1702" s="1388" t="s">
        <v>11368</v>
      </c>
      <c r="CU1702" s="1388" t="s">
        <v>8110</v>
      </c>
      <c r="CV1702" s="1389" t="s">
        <v>8111</v>
      </c>
      <c r="CX1702" s="1379">
        <v>1</v>
      </c>
    </row>
    <row r="1703" spans="91:102" ht="21" customHeight="1" x14ac:dyDescent="0.25">
      <c r="CM1703" s="1377"/>
      <c r="CN1703" s="1388" t="s">
        <v>11922</v>
      </c>
      <c r="CO1703" s="1388" t="s">
        <v>8128</v>
      </c>
      <c r="CP1703" s="1388" t="s">
        <v>8106</v>
      </c>
      <c r="CQ1703" s="1388" t="s">
        <v>11923</v>
      </c>
      <c r="CR1703" s="1388" t="s">
        <v>11924</v>
      </c>
      <c r="CS1703" s="1388" t="s">
        <v>11353</v>
      </c>
      <c r="CT1703" s="1388" t="s">
        <v>11354</v>
      </c>
      <c r="CU1703" s="1388" t="s">
        <v>8419</v>
      </c>
      <c r="CV1703" s="1389" t="s">
        <v>11355</v>
      </c>
      <c r="CX1703" s="1379">
        <v>1</v>
      </c>
    </row>
    <row r="1704" spans="91:102" ht="21" customHeight="1" x14ac:dyDescent="0.25">
      <c r="CM1704" s="1377"/>
      <c r="CN1704" s="1388" t="s">
        <v>11925</v>
      </c>
      <c r="CO1704" s="1388" t="s">
        <v>8128</v>
      </c>
      <c r="CP1704" s="1388" t="s">
        <v>8106</v>
      </c>
      <c r="CQ1704" s="1388" t="s">
        <v>11926</v>
      </c>
      <c r="CR1704" s="1388" t="s">
        <v>11927</v>
      </c>
      <c r="CS1704" s="1388" t="s">
        <v>11353</v>
      </c>
      <c r="CT1704" s="1388" t="s">
        <v>11354</v>
      </c>
      <c r="CU1704" s="1388" t="s">
        <v>8419</v>
      </c>
      <c r="CV1704" s="1389" t="s">
        <v>11355</v>
      </c>
      <c r="CX1704" s="1379">
        <v>1</v>
      </c>
    </row>
    <row r="1705" spans="91:102" ht="21" customHeight="1" x14ac:dyDescent="0.25">
      <c r="CM1705" s="1377"/>
      <c r="CN1705" s="1388" t="s">
        <v>11928</v>
      </c>
      <c r="CO1705" s="1388" t="s">
        <v>8128</v>
      </c>
      <c r="CP1705" s="1388" t="s">
        <v>8106</v>
      </c>
      <c r="CQ1705" s="1388" t="s">
        <v>11929</v>
      </c>
      <c r="CR1705" s="1388" t="s">
        <v>11929</v>
      </c>
      <c r="CS1705" s="1388" t="s">
        <v>11353</v>
      </c>
      <c r="CT1705" s="1388" t="s">
        <v>11354</v>
      </c>
      <c r="CU1705" s="1388" t="s">
        <v>8419</v>
      </c>
      <c r="CV1705" s="1389" t="s">
        <v>11355</v>
      </c>
      <c r="CX1705" s="1379">
        <v>1</v>
      </c>
    </row>
    <row r="1706" spans="91:102" ht="21" customHeight="1" x14ac:dyDescent="0.25">
      <c r="CM1706" s="1377"/>
      <c r="CN1706" s="1388" t="s">
        <v>11930</v>
      </c>
      <c r="CO1706" s="1388" t="s">
        <v>8128</v>
      </c>
      <c r="CP1706" s="1388" t="s">
        <v>8106</v>
      </c>
      <c r="CQ1706" s="1388" t="s">
        <v>11931</v>
      </c>
      <c r="CR1706" s="1388" t="s">
        <v>11931</v>
      </c>
      <c r="CS1706" s="1388" t="s">
        <v>8108</v>
      </c>
      <c r="CT1706" s="1388" t="s">
        <v>11368</v>
      </c>
      <c r="CU1706" s="1388" t="s">
        <v>8110</v>
      </c>
      <c r="CV1706" s="1389" t="s">
        <v>8111</v>
      </c>
      <c r="CX1706" s="1379">
        <v>1</v>
      </c>
    </row>
    <row r="1707" spans="91:102" ht="21" customHeight="1" x14ac:dyDescent="0.25">
      <c r="CM1707" s="1377"/>
      <c r="CN1707" s="1388" t="s">
        <v>11932</v>
      </c>
      <c r="CO1707" s="1388" t="s">
        <v>8128</v>
      </c>
      <c r="CP1707" s="1388" t="s">
        <v>8106</v>
      </c>
      <c r="CQ1707" s="1388" t="s">
        <v>11933</v>
      </c>
      <c r="CR1707" s="1388" t="s">
        <v>11934</v>
      </c>
      <c r="CS1707" s="1388" t="s">
        <v>8108</v>
      </c>
      <c r="CT1707" s="1388" t="s">
        <v>11368</v>
      </c>
      <c r="CU1707" s="1388" t="s">
        <v>8110</v>
      </c>
      <c r="CV1707" s="1389" t="s">
        <v>8111</v>
      </c>
      <c r="CX1707" s="1379">
        <v>1</v>
      </c>
    </row>
    <row r="1708" spans="91:102" ht="21" customHeight="1" x14ac:dyDescent="0.25">
      <c r="CM1708" s="1377"/>
      <c r="CN1708" s="1388" t="s">
        <v>11935</v>
      </c>
      <c r="CO1708" s="1388" t="s">
        <v>8128</v>
      </c>
      <c r="CP1708" s="1388" t="s">
        <v>8106</v>
      </c>
      <c r="CQ1708" s="1388" t="s">
        <v>11936</v>
      </c>
      <c r="CR1708" s="1388" t="s">
        <v>11936</v>
      </c>
      <c r="CS1708" s="1388" t="s">
        <v>11353</v>
      </c>
      <c r="CT1708" s="1388" t="s">
        <v>11354</v>
      </c>
      <c r="CU1708" s="1388" t="s">
        <v>8419</v>
      </c>
      <c r="CV1708" s="1389" t="s">
        <v>11355</v>
      </c>
      <c r="CX1708" s="1379">
        <v>1</v>
      </c>
    </row>
    <row r="1709" spans="91:102" ht="21" customHeight="1" x14ac:dyDescent="0.25">
      <c r="CM1709" s="1377"/>
      <c r="CN1709" s="1388" t="s">
        <v>11937</v>
      </c>
      <c r="CO1709" s="1388" t="s">
        <v>8128</v>
      </c>
      <c r="CP1709" s="1388" t="s">
        <v>8106</v>
      </c>
      <c r="CQ1709" s="1388" t="s">
        <v>11938</v>
      </c>
      <c r="CR1709" s="1388" t="s">
        <v>11938</v>
      </c>
      <c r="CS1709" s="1388" t="s">
        <v>11353</v>
      </c>
      <c r="CT1709" s="1388" t="s">
        <v>11354</v>
      </c>
      <c r="CU1709" s="1388" t="s">
        <v>8419</v>
      </c>
      <c r="CV1709" s="1389" t="s">
        <v>11355</v>
      </c>
      <c r="CX1709" s="1379">
        <v>1</v>
      </c>
    </row>
    <row r="1710" spans="91:102" ht="21" customHeight="1" x14ac:dyDescent="0.25">
      <c r="CM1710" s="1377"/>
      <c r="CN1710" s="1388" t="s">
        <v>11939</v>
      </c>
      <c r="CO1710" s="1388" t="s">
        <v>8128</v>
      </c>
      <c r="CP1710" s="1388" t="s">
        <v>8106</v>
      </c>
      <c r="CQ1710" s="1388" t="s">
        <v>11940</v>
      </c>
      <c r="CR1710" s="1388" t="s">
        <v>11940</v>
      </c>
      <c r="CS1710" s="1388" t="s">
        <v>11353</v>
      </c>
      <c r="CT1710" s="1388" t="s">
        <v>11354</v>
      </c>
      <c r="CU1710" s="1388" t="s">
        <v>8419</v>
      </c>
      <c r="CV1710" s="1389" t="s">
        <v>11355</v>
      </c>
      <c r="CX1710" s="1379">
        <v>1</v>
      </c>
    </row>
    <row r="1711" spans="91:102" ht="21" customHeight="1" x14ac:dyDescent="0.25">
      <c r="CM1711" s="1377"/>
      <c r="CN1711" s="1388" t="s">
        <v>11941</v>
      </c>
      <c r="CO1711" s="1388" t="s">
        <v>8128</v>
      </c>
      <c r="CP1711" s="1388" t="s">
        <v>8106</v>
      </c>
      <c r="CQ1711" s="1388" t="s">
        <v>11942</v>
      </c>
      <c r="CR1711" s="1388" t="s">
        <v>11942</v>
      </c>
      <c r="CS1711" s="1388" t="s">
        <v>8108</v>
      </c>
      <c r="CT1711" s="1388" t="s">
        <v>11368</v>
      </c>
      <c r="CU1711" s="1388" t="s">
        <v>8110</v>
      </c>
      <c r="CV1711" s="1389" t="s">
        <v>8111</v>
      </c>
      <c r="CX1711" s="1379">
        <v>1</v>
      </c>
    </row>
    <row r="1712" spans="91:102" ht="21" customHeight="1" x14ac:dyDescent="0.25">
      <c r="CM1712" s="1377"/>
      <c r="CN1712" s="1388" t="s">
        <v>11943</v>
      </c>
      <c r="CO1712" s="1388" t="s">
        <v>8128</v>
      </c>
      <c r="CP1712" s="1388" t="s">
        <v>8106</v>
      </c>
      <c r="CQ1712" s="1388" t="s">
        <v>11944</v>
      </c>
      <c r="CR1712" s="1388" t="s">
        <v>11944</v>
      </c>
      <c r="CS1712" s="1388" t="s">
        <v>11353</v>
      </c>
      <c r="CT1712" s="1388" t="s">
        <v>11354</v>
      </c>
      <c r="CU1712" s="1388" t="s">
        <v>8419</v>
      </c>
      <c r="CV1712" s="1389" t="s">
        <v>11355</v>
      </c>
      <c r="CX1712" s="1379">
        <v>1</v>
      </c>
    </row>
    <row r="1713" spans="91:102" ht="21" customHeight="1" x14ac:dyDescent="0.25">
      <c r="CM1713" s="1377"/>
      <c r="CN1713" s="1388" t="s">
        <v>11945</v>
      </c>
      <c r="CO1713" s="1388" t="s">
        <v>8128</v>
      </c>
      <c r="CP1713" s="1388" t="s">
        <v>8106</v>
      </c>
      <c r="CQ1713" s="1388" t="s">
        <v>11946</v>
      </c>
      <c r="CR1713" s="1388" t="s">
        <v>11946</v>
      </c>
      <c r="CS1713" s="1388" t="s">
        <v>11353</v>
      </c>
      <c r="CT1713" s="1388" t="s">
        <v>11354</v>
      </c>
      <c r="CU1713" s="1388" t="s">
        <v>8419</v>
      </c>
      <c r="CV1713" s="1389" t="s">
        <v>11355</v>
      </c>
      <c r="CX1713" s="1379">
        <v>1</v>
      </c>
    </row>
    <row r="1714" spans="91:102" ht="21" customHeight="1" x14ac:dyDescent="0.25">
      <c r="CM1714" s="1377"/>
      <c r="CN1714" s="1388" t="s">
        <v>11947</v>
      </c>
      <c r="CO1714" s="1388" t="s">
        <v>8128</v>
      </c>
      <c r="CP1714" s="1388" t="s">
        <v>8106</v>
      </c>
      <c r="CQ1714" s="1388" t="s">
        <v>11948</v>
      </c>
      <c r="CR1714" s="1388" t="s">
        <v>11948</v>
      </c>
      <c r="CS1714" s="1388" t="s">
        <v>11353</v>
      </c>
      <c r="CT1714" s="1388" t="s">
        <v>11354</v>
      </c>
      <c r="CU1714" s="1388" t="s">
        <v>8419</v>
      </c>
      <c r="CV1714" s="1389" t="s">
        <v>11355</v>
      </c>
      <c r="CX1714" s="1379">
        <v>1</v>
      </c>
    </row>
    <row r="1715" spans="91:102" ht="21" customHeight="1" x14ac:dyDescent="0.25">
      <c r="CM1715" s="1377"/>
      <c r="CN1715" s="1388" t="s">
        <v>11949</v>
      </c>
      <c r="CO1715" s="1388" t="s">
        <v>8128</v>
      </c>
      <c r="CP1715" s="1388" t="s">
        <v>8106</v>
      </c>
      <c r="CQ1715" s="1388" t="s">
        <v>11950</v>
      </c>
      <c r="CR1715" s="1388" t="s">
        <v>11950</v>
      </c>
      <c r="CS1715" s="1388" t="s">
        <v>11353</v>
      </c>
      <c r="CT1715" s="1388" t="s">
        <v>11354</v>
      </c>
      <c r="CU1715" s="1388" t="s">
        <v>8419</v>
      </c>
      <c r="CV1715" s="1389" t="s">
        <v>11355</v>
      </c>
      <c r="CX1715" s="1379">
        <v>1</v>
      </c>
    </row>
    <row r="1716" spans="91:102" ht="21" customHeight="1" x14ac:dyDescent="0.25">
      <c r="CM1716" s="1377"/>
      <c r="CN1716" s="1388" t="s">
        <v>11951</v>
      </c>
      <c r="CO1716" s="1388" t="s">
        <v>8128</v>
      </c>
      <c r="CP1716" s="1388" t="s">
        <v>8106</v>
      </c>
      <c r="CQ1716" s="1388" t="s">
        <v>11952</v>
      </c>
      <c r="CR1716" s="1388" t="s">
        <v>11952</v>
      </c>
      <c r="CS1716" s="1388" t="s">
        <v>11353</v>
      </c>
      <c r="CT1716" s="1388" t="s">
        <v>11354</v>
      </c>
      <c r="CU1716" s="1388" t="s">
        <v>8419</v>
      </c>
      <c r="CV1716" s="1389" t="s">
        <v>11355</v>
      </c>
      <c r="CX1716" s="1379">
        <v>1</v>
      </c>
    </row>
    <row r="1717" spans="91:102" ht="21" customHeight="1" x14ac:dyDescent="0.25">
      <c r="CM1717" s="1377"/>
      <c r="CN1717" s="1388" t="s">
        <v>11953</v>
      </c>
      <c r="CO1717" s="1388" t="s">
        <v>8128</v>
      </c>
      <c r="CP1717" s="1388" t="s">
        <v>8106</v>
      </c>
      <c r="CQ1717" s="1388" t="s">
        <v>11954</v>
      </c>
      <c r="CR1717" s="1388" t="s">
        <v>11955</v>
      </c>
      <c r="CS1717" s="1388" t="s">
        <v>11353</v>
      </c>
      <c r="CT1717" s="1388" t="s">
        <v>11354</v>
      </c>
      <c r="CU1717" s="1388" t="s">
        <v>8419</v>
      </c>
      <c r="CV1717" s="1389" t="s">
        <v>11355</v>
      </c>
      <c r="CX1717" s="1379">
        <v>1</v>
      </c>
    </row>
    <row r="1718" spans="91:102" ht="21" customHeight="1" x14ac:dyDescent="0.25">
      <c r="CM1718" s="1377"/>
      <c r="CN1718" s="1388" t="s">
        <v>11956</v>
      </c>
      <c r="CO1718" s="1388" t="s">
        <v>8128</v>
      </c>
      <c r="CP1718" s="1388" t="s">
        <v>8106</v>
      </c>
      <c r="CQ1718" s="1388" t="s">
        <v>11957</v>
      </c>
      <c r="CR1718" s="1388" t="s">
        <v>11957</v>
      </c>
      <c r="CS1718" s="1388" t="s">
        <v>11353</v>
      </c>
      <c r="CT1718" s="1388" t="s">
        <v>11354</v>
      </c>
      <c r="CU1718" s="1388" t="s">
        <v>8419</v>
      </c>
      <c r="CV1718" s="1389" t="s">
        <v>11355</v>
      </c>
      <c r="CX1718" s="1379">
        <v>1</v>
      </c>
    </row>
    <row r="1719" spans="91:102" ht="21" customHeight="1" x14ac:dyDescent="0.25">
      <c r="CM1719" s="1377"/>
      <c r="CN1719" s="1388" t="s">
        <v>11958</v>
      </c>
      <c r="CO1719" s="1388" t="s">
        <v>8128</v>
      </c>
      <c r="CP1719" s="1388" t="s">
        <v>8106</v>
      </c>
      <c r="CQ1719" s="1388" t="s">
        <v>11959</v>
      </c>
      <c r="CR1719" s="1388" t="s">
        <v>11959</v>
      </c>
      <c r="CS1719" s="1388" t="s">
        <v>11353</v>
      </c>
      <c r="CT1719" s="1388" t="s">
        <v>11354</v>
      </c>
      <c r="CU1719" s="1388" t="s">
        <v>8419</v>
      </c>
      <c r="CV1719" s="1389" t="s">
        <v>11355</v>
      </c>
      <c r="CX1719" s="1379">
        <v>1</v>
      </c>
    </row>
    <row r="1720" spans="91:102" ht="21" customHeight="1" x14ac:dyDescent="0.25">
      <c r="CM1720" s="1377"/>
      <c r="CN1720" s="1388" t="s">
        <v>11960</v>
      </c>
      <c r="CO1720" s="1388" t="s">
        <v>8128</v>
      </c>
      <c r="CP1720" s="1388" t="s">
        <v>8106</v>
      </c>
      <c r="CQ1720" s="1388" t="s">
        <v>11961</v>
      </c>
      <c r="CR1720" s="1388" t="s">
        <v>11961</v>
      </c>
      <c r="CS1720" s="1388" t="s">
        <v>11353</v>
      </c>
      <c r="CT1720" s="1388" t="s">
        <v>11354</v>
      </c>
      <c r="CU1720" s="1388" t="s">
        <v>8419</v>
      </c>
      <c r="CV1720" s="1389" t="s">
        <v>11355</v>
      </c>
      <c r="CX1720" s="1379">
        <v>1</v>
      </c>
    </row>
    <row r="1721" spans="91:102" ht="21" customHeight="1" x14ac:dyDescent="0.25">
      <c r="CM1721" s="1377"/>
      <c r="CN1721" s="1388" t="s">
        <v>11962</v>
      </c>
      <c r="CO1721" s="1388" t="s">
        <v>8128</v>
      </c>
      <c r="CP1721" s="1388" t="s">
        <v>8106</v>
      </c>
      <c r="CQ1721" s="1388" t="s">
        <v>11963</v>
      </c>
      <c r="CR1721" s="1388" t="s">
        <v>11963</v>
      </c>
      <c r="CS1721" s="1388" t="s">
        <v>8108</v>
      </c>
      <c r="CT1721" s="1388" t="s">
        <v>11368</v>
      </c>
      <c r="CU1721" s="1388" t="s">
        <v>8110</v>
      </c>
      <c r="CV1721" s="1389" t="s">
        <v>8111</v>
      </c>
      <c r="CX1721" s="1379">
        <v>1</v>
      </c>
    </row>
    <row r="1722" spans="91:102" ht="21" customHeight="1" x14ac:dyDescent="0.25">
      <c r="CM1722" s="1377"/>
      <c r="CN1722" s="1388" t="s">
        <v>11964</v>
      </c>
      <c r="CO1722" s="1388" t="s">
        <v>8128</v>
      </c>
      <c r="CP1722" s="1388" t="s">
        <v>8106</v>
      </c>
      <c r="CQ1722" s="1388" t="s">
        <v>11965</v>
      </c>
      <c r="CR1722" s="1388" t="s">
        <v>11965</v>
      </c>
      <c r="CS1722" s="1388" t="s">
        <v>8108</v>
      </c>
      <c r="CT1722" s="1388" t="s">
        <v>11368</v>
      </c>
      <c r="CU1722" s="1388" t="s">
        <v>8110</v>
      </c>
      <c r="CV1722" s="1389" t="s">
        <v>8111</v>
      </c>
      <c r="CX1722" s="1379">
        <v>1</v>
      </c>
    </row>
    <row r="1723" spans="91:102" ht="21" customHeight="1" x14ac:dyDescent="0.25">
      <c r="CM1723" s="1377"/>
      <c r="CN1723" s="1388" t="s">
        <v>11966</v>
      </c>
      <c r="CO1723" s="1388" t="s">
        <v>8128</v>
      </c>
      <c r="CP1723" s="1388" t="s">
        <v>8106</v>
      </c>
      <c r="CQ1723" s="1388" t="s">
        <v>11967</v>
      </c>
      <c r="CR1723" s="1388" t="s">
        <v>11967</v>
      </c>
      <c r="CS1723" s="1388" t="s">
        <v>8108</v>
      </c>
      <c r="CT1723" s="1388" t="s">
        <v>11368</v>
      </c>
      <c r="CU1723" s="1388" t="s">
        <v>8110</v>
      </c>
      <c r="CV1723" s="1389" t="s">
        <v>8111</v>
      </c>
      <c r="CX1723" s="1379">
        <v>1</v>
      </c>
    </row>
    <row r="1724" spans="91:102" ht="21" customHeight="1" x14ac:dyDescent="0.25">
      <c r="CM1724" s="1377"/>
      <c r="CN1724" s="1388" t="s">
        <v>11968</v>
      </c>
      <c r="CO1724" s="1388" t="s">
        <v>8128</v>
      </c>
      <c r="CP1724" s="1388" t="s">
        <v>8106</v>
      </c>
      <c r="CQ1724" s="1388" t="s">
        <v>11969</v>
      </c>
      <c r="CR1724" s="1388" t="s">
        <v>11969</v>
      </c>
      <c r="CS1724" s="1388" t="s">
        <v>11353</v>
      </c>
      <c r="CT1724" s="1388" t="s">
        <v>11354</v>
      </c>
      <c r="CU1724" s="1388" t="s">
        <v>8419</v>
      </c>
      <c r="CV1724" s="1389" t="s">
        <v>11355</v>
      </c>
      <c r="CX1724" s="1379">
        <v>1</v>
      </c>
    </row>
    <row r="1725" spans="91:102" ht="21" customHeight="1" x14ac:dyDescent="0.25">
      <c r="CM1725" s="1377"/>
      <c r="CN1725" s="1388" t="s">
        <v>11970</v>
      </c>
      <c r="CO1725" s="1388" t="s">
        <v>8128</v>
      </c>
      <c r="CP1725" s="1388" t="s">
        <v>8106</v>
      </c>
      <c r="CQ1725" s="1388" t="s">
        <v>11971</v>
      </c>
      <c r="CR1725" s="1388" t="s">
        <v>11972</v>
      </c>
      <c r="CS1725" s="1388" t="s">
        <v>11353</v>
      </c>
      <c r="CT1725" s="1388" t="s">
        <v>11354</v>
      </c>
      <c r="CU1725" s="1388" t="s">
        <v>8419</v>
      </c>
      <c r="CV1725" s="1389" t="s">
        <v>11355</v>
      </c>
      <c r="CX1725" s="1379">
        <v>1</v>
      </c>
    </row>
    <row r="1726" spans="91:102" ht="21" customHeight="1" x14ac:dyDescent="0.25">
      <c r="CM1726" s="1377"/>
      <c r="CN1726" s="1388" t="s">
        <v>11973</v>
      </c>
      <c r="CO1726" s="1388" t="s">
        <v>8128</v>
      </c>
      <c r="CP1726" s="1388" t="s">
        <v>8106</v>
      </c>
      <c r="CQ1726" s="1388" t="s">
        <v>11974</v>
      </c>
      <c r="CR1726" s="1388" t="s">
        <v>11975</v>
      </c>
      <c r="CS1726" s="1388" t="s">
        <v>11353</v>
      </c>
      <c r="CT1726" s="1388" t="s">
        <v>11354</v>
      </c>
      <c r="CU1726" s="1388" t="s">
        <v>8419</v>
      </c>
      <c r="CV1726" s="1389" t="s">
        <v>11355</v>
      </c>
      <c r="CX1726" s="1379">
        <v>1</v>
      </c>
    </row>
    <row r="1727" spans="91:102" ht="21" customHeight="1" x14ac:dyDescent="0.25">
      <c r="CM1727" s="1377"/>
      <c r="CN1727" s="1388" t="s">
        <v>11976</v>
      </c>
      <c r="CO1727" s="1388" t="s">
        <v>8128</v>
      </c>
      <c r="CP1727" s="1388" t="s">
        <v>8106</v>
      </c>
      <c r="CQ1727" s="1388" t="s">
        <v>11977</v>
      </c>
      <c r="CR1727" s="1388" t="s">
        <v>11978</v>
      </c>
      <c r="CS1727" s="1388" t="s">
        <v>11353</v>
      </c>
      <c r="CT1727" s="1388" t="s">
        <v>11354</v>
      </c>
      <c r="CU1727" s="1388" t="s">
        <v>8419</v>
      </c>
      <c r="CV1727" s="1389" t="s">
        <v>11355</v>
      </c>
      <c r="CX1727" s="1379">
        <v>1</v>
      </c>
    </row>
    <row r="1728" spans="91:102" ht="21" customHeight="1" x14ac:dyDescent="0.25">
      <c r="CM1728" s="1377"/>
      <c r="CN1728" s="1388" t="s">
        <v>11979</v>
      </c>
      <c r="CO1728" s="1388" t="s">
        <v>8128</v>
      </c>
      <c r="CP1728" s="1388" t="s">
        <v>8106</v>
      </c>
      <c r="CQ1728" s="1388" t="s">
        <v>11980</v>
      </c>
      <c r="CR1728" s="1388" t="s">
        <v>11980</v>
      </c>
      <c r="CS1728" s="1388" t="s">
        <v>11353</v>
      </c>
      <c r="CT1728" s="1388" t="s">
        <v>11354</v>
      </c>
      <c r="CU1728" s="1388" t="s">
        <v>8419</v>
      </c>
      <c r="CV1728" s="1389" t="s">
        <v>11355</v>
      </c>
      <c r="CX1728" s="1379">
        <v>1</v>
      </c>
    </row>
    <row r="1729" spans="91:102" ht="21" customHeight="1" x14ac:dyDescent="0.25">
      <c r="CM1729" s="1377"/>
      <c r="CN1729" s="1388" t="s">
        <v>11981</v>
      </c>
      <c r="CO1729" s="1388" t="s">
        <v>8128</v>
      </c>
      <c r="CP1729" s="1388" t="s">
        <v>8106</v>
      </c>
      <c r="CQ1729" s="1388" t="s">
        <v>11982</v>
      </c>
      <c r="CR1729" s="1388" t="s">
        <v>11982</v>
      </c>
      <c r="CS1729" s="1388" t="s">
        <v>8194</v>
      </c>
      <c r="CT1729" s="1388" t="s">
        <v>8195</v>
      </c>
      <c r="CU1729" s="1388" t="s">
        <v>8110</v>
      </c>
      <c r="CV1729" s="1389" t="s">
        <v>8196</v>
      </c>
      <c r="CX1729" s="1379">
        <v>1</v>
      </c>
    </row>
    <row r="1730" spans="91:102" ht="21" customHeight="1" x14ac:dyDescent="0.25">
      <c r="CM1730" s="1377"/>
      <c r="CN1730" s="1388" t="s">
        <v>11983</v>
      </c>
      <c r="CO1730" s="1388" t="s">
        <v>8128</v>
      </c>
      <c r="CP1730" s="1388" t="s">
        <v>8106</v>
      </c>
      <c r="CQ1730" s="1388" t="s">
        <v>11984</v>
      </c>
      <c r="CR1730" s="1388" t="s">
        <v>11984</v>
      </c>
      <c r="CS1730" s="1388" t="s">
        <v>11353</v>
      </c>
      <c r="CT1730" s="1388" t="s">
        <v>11354</v>
      </c>
      <c r="CU1730" s="1388" t="s">
        <v>8419</v>
      </c>
      <c r="CV1730" s="1389" t="s">
        <v>11355</v>
      </c>
      <c r="CX1730" s="1379">
        <v>1</v>
      </c>
    </row>
    <row r="1731" spans="91:102" ht="21" customHeight="1" x14ac:dyDescent="0.25">
      <c r="CM1731" s="1377"/>
      <c r="CN1731" s="1388" t="s">
        <v>11985</v>
      </c>
      <c r="CO1731" s="1388" t="s">
        <v>8128</v>
      </c>
      <c r="CP1731" s="1388" t="s">
        <v>8106</v>
      </c>
      <c r="CQ1731" s="1388" t="s">
        <v>11986</v>
      </c>
      <c r="CR1731" s="1388" t="s">
        <v>11986</v>
      </c>
      <c r="CS1731" s="1388" t="s">
        <v>11353</v>
      </c>
      <c r="CT1731" s="1388" t="s">
        <v>11354</v>
      </c>
      <c r="CU1731" s="1388" t="s">
        <v>8419</v>
      </c>
      <c r="CV1731" s="1389" t="s">
        <v>11355</v>
      </c>
      <c r="CX1731" s="1379">
        <v>1</v>
      </c>
    </row>
    <row r="1732" spans="91:102" ht="21" customHeight="1" x14ac:dyDescent="0.25">
      <c r="CM1732" s="1377"/>
      <c r="CN1732" s="1388" t="s">
        <v>11987</v>
      </c>
      <c r="CO1732" s="1388" t="s">
        <v>8128</v>
      </c>
      <c r="CP1732" s="1388" t="s">
        <v>8106</v>
      </c>
      <c r="CQ1732" s="1388" t="s">
        <v>278</v>
      </c>
      <c r="CR1732" s="1388" t="s">
        <v>278</v>
      </c>
      <c r="CS1732" s="1388" t="s">
        <v>8108</v>
      </c>
      <c r="CT1732" s="1388" t="s">
        <v>11368</v>
      </c>
      <c r="CU1732" s="1388" t="s">
        <v>8110</v>
      </c>
      <c r="CV1732" s="1389" t="s">
        <v>8111</v>
      </c>
      <c r="CX1732" s="1379">
        <v>1</v>
      </c>
    </row>
    <row r="1733" spans="91:102" ht="21" customHeight="1" x14ac:dyDescent="0.25">
      <c r="CM1733" s="1377"/>
      <c r="CN1733" s="1388" t="s">
        <v>11988</v>
      </c>
      <c r="CO1733" s="1388" t="s">
        <v>8128</v>
      </c>
      <c r="CP1733" s="1388" t="s">
        <v>8106</v>
      </c>
      <c r="CQ1733" s="1388" t="s">
        <v>11989</v>
      </c>
      <c r="CR1733" s="1388" t="s">
        <v>11990</v>
      </c>
      <c r="CS1733" s="1388" t="s">
        <v>11353</v>
      </c>
      <c r="CT1733" s="1388" t="s">
        <v>11354</v>
      </c>
      <c r="CU1733" s="1388" t="s">
        <v>8419</v>
      </c>
      <c r="CV1733" s="1389" t="s">
        <v>11355</v>
      </c>
      <c r="CX1733" s="1379">
        <v>1</v>
      </c>
    </row>
    <row r="1734" spans="91:102" ht="21" customHeight="1" x14ac:dyDescent="0.25">
      <c r="CM1734" s="1377"/>
      <c r="CN1734" s="1388" t="s">
        <v>11991</v>
      </c>
      <c r="CO1734" s="1388" t="s">
        <v>8128</v>
      </c>
      <c r="CP1734" s="1388" t="s">
        <v>8106</v>
      </c>
      <c r="CQ1734" s="1388" t="s">
        <v>11992</v>
      </c>
      <c r="CR1734" s="1388" t="s">
        <v>11992</v>
      </c>
      <c r="CS1734" s="1388" t="s">
        <v>11353</v>
      </c>
      <c r="CT1734" s="1388" t="s">
        <v>11354</v>
      </c>
      <c r="CU1734" s="1388" t="s">
        <v>8419</v>
      </c>
      <c r="CV1734" s="1389" t="s">
        <v>11355</v>
      </c>
      <c r="CX1734" s="1379">
        <v>1</v>
      </c>
    </row>
    <row r="1735" spans="91:102" ht="21" customHeight="1" x14ac:dyDescent="0.25">
      <c r="CM1735" s="1377"/>
      <c r="CN1735" s="1388" t="s">
        <v>11993</v>
      </c>
      <c r="CO1735" s="1388" t="s">
        <v>8128</v>
      </c>
      <c r="CP1735" s="1388" t="s">
        <v>8106</v>
      </c>
      <c r="CQ1735" s="1388" t="s">
        <v>11994</v>
      </c>
      <c r="CR1735" s="1388" t="s">
        <v>11994</v>
      </c>
      <c r="CS1735" s="1388" t="s">
        <v>8108</v>
      </c>
      <c r="CT1735" s="1388" t="s">
        <v>11368</v>
      </c>
      <c r="CU1735" s="1388" t="s">
        <v>8110</v>
      </c>
      <c r="CV1735" s="1389" t="s">
        <v>8111</v>
      </c>
      <c r="CX1735" s="1379">
        <v>1</v>
      </c>
    </row>
    <row r="1736" spans="91:102" ht="21" customHeight="1" x14ac:dyDescent="0.25">
      <c r="CM1736" s="1377"/>
      <c r="CN1736" s="1388" t="s">
        <v>11995</v>
      </c>
      <c r="CO1736" s="1388" t="s">
        <v>8128</v>
      </c>
      <c r="CP1736" s="1388" t="s">
        <v>8106</v>
      </c>
      <c r="CQ1736" s="1388" t="s">
        <v>11996</v>
      </c>
      <c r="CR1736" s="1388" t="s">
        <v>11996</v>
      </c>
      <c r="CS1736" s="1388" t="s">
        <v>8194</v>
      </c>
      <c r="CT1736" s="1388" t="s">
        <v>8195</v>
      </c>
      <c r="CU1736" s="1388" t="s">
        <v>8110</v>
      </c>
      <c r="CV1736" s="1389" t="s">
        <v>8196</v>
      </c>
      <c r="CX1736" s="1379">
        <v>1</v>
      </c>
    </row>
    <row r="1737" spans="91:102" ht="21" customHeight="1" x14ac:dyDescent="0.25">
      <c r="CM1737" s="1377"/>
      <c r="CN1737" s="1388" t="s">
        <v>11997</v>
      </c>
      <c r="CO1737" s="1388" t="s">
        <v>8128</v>
      </c>
      <c r="CP1737" s="1388" t="s">
        <v>8106</v>
      </c>
      <c r="CQ1737" s="1388" t="s">
        <v>11998</v>
      </c>
      <c r="CR1737" s="1388" t="s">
        <v>11998</v>
      </c>
      <c r="CS1737" s="1388" t="s">
        <v>8108</v>
      </c>
      <c r="CT1737" s="1388" t="s">
        <v>11368</v>
      </c>
      <c r="CU1737" s="1388" t="s">
        <v>8110</v>
      </c>
      <c r="CV1737" s="1389" t="s">
        <v>8111</v>
      </c>
      <c r="CX1737" s="1379">
        <v>1</v>
      </c>
    </row>
    <row r="1738" spans="91:102" ht="21" customHeight="1" x14ac:dyDescent="0.25">
      <c r="CM1738" s="1377"/>
      <c r="CN1738" s="1388" t="s">
        <v>11999</v>
      </c>
      <c r="CO1738" s="1388" t="s">
        <v>8128</v>
      </c>
      <c r="CP1738" s="1388" t="s">
        <v>8106</v>
      </c>
      <c r="CQ1738" s="1388" t="s">
        <v>12000</v>
      </c>
      <c r="CR1738" s="1388" t="s">
        <v>12000</v>
      </c>
      <c r="CS1738" s="1388" t="s">
        <v>11353</v>
      </c>
      <c r="CT1738" s="1388" t="s">
        <v>11354</v>
      </c>
      <c r="CU1738" s="1388" t="s">
        <v>8419</v>
      </c>
      <c r="CV1738" s="1389" t="s">
        <v>11355</v>
      </c>
      <c r="CX1738" s="1379">
        <v>1</v>
      </c>
    </row>
    <row r="1739" spans="91:102" ht="21" customHeight="1" x14ac:dyDescent="0.25">
      <c r="CM1739" s="1377"/>
      <c r="CN1739" s="1388" t="s">
        <v>12001</v>
      </c>
      <c r="CO1739" s="1388" t="s">
        <v>8128</v>
      </c>
      <c r="CP1739" s="1388" t="s">
        <v>8106</v>
      </c>
      <c r="CQ1739" s="1388" t="s">
        <v>12002</v>
      </c>
      <c r="CR1739" s="1388" t="s">
        <v>12002</v>
      </c>
      <c r="CS1739" s="1388" t="s">
        <v>8194</v>
      </c>
      <c r="CT1739" s="1388" t="s">
        <v>8195</v>
      </c>
      <c r="CU1739" s="1388" t="s">
        <v>8110</v>
      </c>
      <c r="CV1739" s="1389" t="s">
        <v>8196</v>
      </c>
      <c r="CX1739" s="1379">
        <v>1</v>
      </c>
    </row>
    <row r="1740" spans="91:102" ht="21" customHeight="1" x14ac:dyDescent="0.25">
      <c r="CM1740" s="1377"/>
      <c r="CN1740" s="1388" t="s">
        <v>12003</v>
      </c>
      <c r="CO1740" s="1388" t="s">
        <v>8128</v>
      </c>
      <c r="CP1740" s="1388" t="s">
        <v>8555</v>
      </c>
      <c r="CQ1740" s="1388" t="s">
        <v>12004</v>
      </c>
      <c r="CR1740" s="1388" t="s">
        <v>12004</v>
      </c>
      <c r="CS1740" s="1388" t="s">
        <v>8194</v>
      </c>
      <c r="CT1740" s="1388" t="s">
        <v>8557</v>
      </c>
      <c r="CU1740" s="1388" t="s">
        <v>8110</v>
      </c>
      <c r="CV1740" s="1389" t="s">
        <v>8196</v>
      </c>
      <c r="CX1740" s="1379">
        <v>1</v>
      </c>
    </row>
    <row r="1741" spans="91:102" ht="21" customHeight="1" x14ac:dyDescent="0.25">
      <c r="CM1741" s="1377"/>
      <c r="CN1741" s="1388" t="s">
        <v>12005</v>
      </c>
      <c r="CO1741" s="1388" t="s">
        <v>8128</v>
      </c>
      <c r="CP1741" s="1388" t="s">
        <v>8555</v>
      </c>
      <c r="CQ1741" s="1388" t="s">
        <v>12006</v>
      </c>
      <c r="CR1741" s="1388" t="s">
        <v>12006</v>
      </c>
      <c r="CS1741" s="1388" t="s">
        <v>8194</v>
      </c>
      <c r="CT1741" s="1388" t="s">
        <v>8557</v>
      </c>
      <c r="CU1741" s="1388" t="s">
        <v>8110</v>
      </c>
      <c r="CV1741" s="1389" t="s">
        <v>8196</v>
      </c>
      <c r="CX1741" s="1379">
        <v>1</v>
      </c>
    </row>
    <row r="1742" spans="91:102" ht="21" customHeight="1" x14ac:dyDescent="0.25">
      <c r="CM1742" s="1377"/>
      <c r="CN1742" s="1388" t="s">
        <v>12007</v>
      </c>
      <c r="CO1742" s="1388" t="s">
        <v>8128</v>
      </c>
      <c r="CP1742" s="1388" t="s">
        <v>8555</v>
      </c>
      <c r="CQ1742" s="1388" t="s">
        <v>12008</v>
      </c>
      <c r="CR1742" s="1388" t="s">
        <v>12009</v>
      </c>
      <c r="CS1742" s="1388" t="s">
        <v>11353</v>
      </c>
      <c r="CT1742" s="1388" t="s">
        <v>12010</v>
      </c>
      <c r="CU1742" s="1388" t="s">
        <v>8419</v>
      </c>
      <c r="CV1742" s="1389" t="s">
        <v>11355</v>
      </c>
      <c r="CX1742" s="1379">
        <v>1</v>
      </c>
    </row>
    <row r="1743" spans="91:102" ht="21" customHeight="1" x14ac:dyDescent="0.25">
      <c r="CM1743" s="1377"/>
      <c r="CN1743" s="1388" t="s">
        <v>12011</v>
      </c>
      <c r="CO1743" s="1388" t="s">
        <v>8128</v>
      </c>
      <c r="CP1743" s="1388" t="s">
        <v>8555</v>
      </c>
      <c r="CQ1743" s="1388" t="s">
        <v>12012</v>
      </c>
      <c r="CR1743" s="1388" t="s">
        <v>12012</v>
      </c>
      <c r="CS1743" s="1388" t="s">
        <v>8108</v>
      </c>
      <c r="CT1743" s="1388" t="s">
        <v>12013</v>
      </c>
      <c r="CU1743" s="1388" t="s">
        <v>8110</v>
      </c>
      <c r="CV1743" s="1389" t="s">
        <v>8111</v>
      </c>
      <c r="CX1743" s="1379">
        <v>1</v>
      </c>
    </row>
    <row r="1744" spans="91:102" ht="21" customHeight="1" x14ac:dyDescent="0.25">
      <c r="CM1744" s="1377"/>
      <c r="CN1744" s="1388" t="s">
        <v>12014</v>
      </c>
      <c r="CO1744" s="1388" t="s">
        <v>8128</v>
      </c>
      <c r="CP1744" s="1388" t="s">
        <v>8555</v>
      </c>
      <c r="CQ1744" s="1388" t="s">
        <v>11191</v>
      </c>
      <c r="CR1744" s="1388" t="s">
        <v>11191</v>
      </c>
      <c r="CS1744" s="1388" t="s">
        <v>8108</v>
      </c>
      <c r="CT1744" s="1388" t="s">
        <v>12013</v>
      </c>
      <c r="CU1744" s="1388" t="s">
        <v>8110</v>
      </c>
      <c r="CV1744" s="1389" t="s">
        <v>8111</v>
      </c>
      <c r="CX1744" s="1379">
        <v>1</v>
      </c>
    </row>
    <row r="1745" spans="91:102" ht="21" customHeight="1" x14ac:dyDescent="0.25">
      <c r="CM1745" s="1377"/>
      <c r="CN1745" s="1388" t="s">
        <v>12015</v>
      </c>
      <c r="CO1745" s="1388" t="s">
        <v>8128</v>
      </c>
      <c r="CP1745" s="1388" t="s">
        <v>8555</v>
      </c>
      <c r="CQ1745" s="1388" t="s">
        <v>11193</v>
      </c>
      <c r="CR1745" s="1388" t="s">
        <v>11194</v>
      </c>
      <c r="CS1745" s="1388" t="s">
        <v>8108</v>
      </c>
      <c r="CT1745" s="1388" t="s">
        <v>12013</v>
      </c>
      <c r="CU1745" s="1388" t="s">
        <v>8110</v>
      </c>
      <c r="CV1745" s="1389" t="s">
        <v>8111</v>
      </c>
      <c r="CX1745" s="1379">
        <v>1</v>
      </c>
    </row>
    <row r="1746" spans="91:102" ht="21" customHeight="1" x14ac:dyDescent="0.25">
      <c r="CM1746" s="1377"/>
      <c r="CN1746" s="1388" t="s">
        <v>12016</v>
      </c>
      <c r="CO1746" s="1388" t="s">
        <v>8128</v>
      </c>
      <c r="CP1746" s="1388" t="s">
        <v>8555</v>
      </c>
      <c r="CQ1746" s="1388" t="s">
        <v>12017</v>
      </c>
      <c r="CR1746" s="1388" t="s">
        <v>12017</v>
      </c>
      <c r="CS1746" s="1388" t="s">
        <v>8108</v>
      </c>
      <c r="CT1746" s="1388" t="s">
        <v>12013</v>
      </c>
      <c r="CU1746" s="1388" t="s">
        <v>8110</v>
      </c>
      <c r="CV1746" s="1389" t="s">
        <v>8111</v>
      </c>
      <c r="CX1746" s="1379">
        <v>1</v>
      </c>
    </row>
    <row r="1747" spans="91:102" ht="21" customHeight="1" x14ac:dyDescent="0.25">
      <c r="CM1747" s="1377"/>
      <c r="CN1747" s="1388" t="s">
        <v>12018</v>
      </c>
      <c r="CO1747" s="1388" t="s">
        <v>8128</v>
      </c>
      <c r="CP1747" s="1388" t="s">
        <v>8555</v>
      </c>
      <c r="CQ1747" s="1388" t="s">
        <v>12019</v>
      </c>
      <c r="CR1747" s="1388" t="s">
        <v>12019</v>
      </c>
      <c r="CS1747" s="1388" t="s">
        <v>8108</v>
      </c>
      <c r="CT1747" s="1388" t="s">
        <v>12013</v>
      </c>
      <c r="CU1747" s="1388" t="s">
        <v>8110</v>
      </c>
      <c r="CV1747" s="1389" t="s">
        <v>8111</v>
      </c>
      <c r="CX1747" s="1379">
        <v>1</v>
      </c>
    </row>
    <row r="1748" spans="91:102" ht="21" customHeight="1" x14ac:dyDescent="0.25">
      <c r="CM1748" s="1377"/>
      <c r="CN1748" s="1388" t="s">
        <v>12020</v>
      </c>
      <c r="CO1748" s="1388" t="s">
        <v>8128</v>
      </c>
      <c r="CP1748" s="1388" t="s">
        <v>8555</v>
      </c>
      <c r="CQ1748" s="1388" t="s">
        <v>12021</v>
      </c>
      <c r="CR1748" s="1388" t="s">
        <v>12021</v>
      </c>
      <c r="CS1748" s="1388" t="s">
        <v>11353</v>
      </c>
      <c r="CT1748" s="1388" t="s">
        <v>12010</v>
      </c>
      <c r="CU1748" s="1388" t="s">
        <v>8419</v>
      </c>
      <c r="CV1748" s="1389" t="s">
        <v>11355</v>
      </c>
      <c r="CX1748" s="1379">
        <v>1</v>
      </c>
    </row>
    <row r="1749" spans="91:102" ht="21" customHeight="1" x14ac:dyDescent="0.25">
      <c r="CM1749" s="1377"/>
      <c r="CN1749" s="1388" t="s">
        <v>12022</v>
      </c>
      <c r="CO1749" s="1388" t="s">
        <v>8128</v>
      </c>
      <c r="CP1749" s="1388" t="s">
        <v>8555</v>
      </c>
      <c r="CQ1749" s="1388" t="s">
        <v>12023</v>
      </c>
      <c r="CR1749" s="1388" t="s">
        <v>12024</v>
      </c>
      <c r="CS1749" s="1388" t="s">
        <v>8108</v>
      </c>
      <c r="CT1749" s="1388" t="s">
        <v>12013</v>
      </c>
      <c r="CU1749" s="1388" t="s">
        <v>8110</v>
      </c>
      <c r="CV1749" s="1389" t="s">
        <v>8111</v>
      </c>
      <c r="CX1749" s="1379">
        <v>1</v>
      </c>
    </row>
    <row r="1750" spans="91:102" ht="21" customHeight="1" x14ac:dyDescent="0.25">
      <c r="CM1750" s="1377"/>
      <c r="CN1750" s="1388" t="s">
        <v>12025</v>
      </c>
      <c r="CO1750" s="1388" t="s">
        <v>8128</v>
      </c>
      <c r="CP1750" s="1388" t="s">
        <v>8555</v>
      </c>
      <c r="CQ1750" s="1388" t="s">
        <v>12026</v>
      </c>
      <c r="CR1750" s="1388" t="s">
        <v>12026</v>
      </c>
      <c r="CS1750" s="1388" t="s">
        <v>8108</v>
      </c>
      <c r="CT1750" s="1388" t="s">
        <v>12013</v>
      </c>
      <c r="CU1750" s="1388" t="s">
        <v>8110</v>
      </c>
      <c r="CV1750" s="1389" t="s">
        <v>8111</v>
      </c>
      <c r="CX1750" s="1379">
        <v>1</v>
      </c>
    </row>
    <row r="1751" spans="91:102" ht="21" customHeight="1" x14ac:dyDescent="0.25">
      <c r="CM1751" s="1377"/>
      <c r="CN1751" s="1388" t="s">
        <v>12027</v>
      </c>
      <c r="CO1751" s="1388" t="s">
        <v>8128</v>
      </c>
      <c r="CP1751" s="1388" t="s">
        <v>8555</v>
      </c>
      <c r="CQ1751" s="1388" t="s">
        <v>12028</v>
      </c>
      <c r="CR1751" s="1388" t="s">
        <v>12029</v>
      </c>
      <c r="CS1751" s="1388" t="s">
        <v>8108</v>
      </c>
      <c r="CT1751" s="1388" t="s">
        <v>12013</v>
      </c>
      <c r="CU1751" s="1388" t="s">
        <v>8110</v>
      </c>
      <c r="CV1751" s="1389" t="s">
        <v>8111</v>
      </c>
      <c r="CX1751" s="1379">
        <v>1</v>
      </c>
    </row>
    <row r="1752" spans="91:102" ht="21" customHeight="1" x14ac:dyDescent="0.25">
      <c r="CM1752" s="1377"/>
      <c r="CN1752" s="1388" t="s">
        <v>12030</v>
      </c>
      <c r="CO1752" s="1388" t="s">
        <v>8128</v>
      </c>
      <c r="CP1752" s="1388" t="s">
        <v>8555</v>
      </c>
      <c r="CQ1752" s="1388" t="s">
        <v>12031</v>
      </c>
      <c r="CR1752" s="1388" t="s">
        <v>12031</v>
      </c>
      <c r="CS1752" s="1388" t="s">
        <v>8194</v>
      </c>
      <c r="CT1752" s="1388" t="s">
        <v>8557</v>
      </c>
      <c r="CU1752" s="1388" t="s">
        <v>8110</v>
      </c>
      <c r="CV1752" s="1389" t="s">
        <v>8196</v>
      </c>
      <c r="CX1752" s="1379">
        <v>1</v>
      </c>
    </row>
    <row r="1753" spans="91:102" ht="21" customHeight="1" x14ac:dyDescent="0.25">
      <c r="CM1753" s="1377"/>
      <c r="CN1753" s="1388" t="s">
        <v>12032</v>
      </c>
      <c r="CO1753" s="1388" t="s">
        <v>8128</v>
      </c>
      <c r="CP1753" s="1388" t="s">
        <v>8555</v>
      </c>
      <c r="CQ1753" s="1388" t="s">
        <v>12033</v>
      </c>
      <c r="CR1753" s="1388" t="s">
        <v>12033</v>
      </c>
      <c r="CS1753" s="1388" t="s">
        <v>8194</v>
      </c>
      <c r="CT1753" s="1388" t="s">
        <v>8557</v>
      </c>
      <c r="CU1753" s="1388" t="s">
        <v>8110</v>
      </c>
      <c r="CV1753" s="1389" t="s">
        <v>8196</v>
      </c>
      <c r="CX1753" s="1379">
        <v>1</v>
      </c>
    </row>
    <row r="1754" spans="91:102" ht="21" customHeight="1" x14ac:dyDescent="0.25">
      <c r="CM1754" s="1377"/>
      <c r="CN1754" s="1388" t="s">
        <v>12034</v>
      </c>
      <c r="CO1754" s="1388" t="s">
        <v>8128</v>
      </c>
      <c r="CP1754" s="1388" t="s">
        <v>8555</v>
      </c>
      <c r="CQ1754" s="1388" t="s">
        <v>12035</v>
      </c>
      <c r="CR1754" s="1388" t="s">
        <v>12035</v>
      </c>
      <c r="CS1754" s="1388" t="s">
        <v>11353</v>
      </c>
      <c r="CT1754" s="1388" t="s">
        <v>12010</v>
      </c>
      <c r="CU1754" s="1388" t="s">
        <v>8419</v>
      </c>
      <c r="CV1754" s="1389" t="s">
        <v>11355</v>
      </c>
      <c r="CX1754" s="1379">
        <v>1</v>
      </c>
    </row>
    <row r="1755" spans="91:102" ht="21" customHeight="1" x14ac:dyDescent="0.25">
      <c r="CM1755" s="1377"/>
      <c r="CN1755" s="1388" t="s">
        <v>12036</v>
      </c>
      <c r="CO1755" s="1388" t="s">
        <v>8128</v>
      </c>
      <c r="CP1755" s="1388" t="s">
        <v>8555</v>
      </c>
      <c r="CQ1755" s="1388" t="s">
        <v>12037</v>
      </c>
      <c r="CR1755" s="1388" t="s">
        <v>12037</v>
      </c>
      <c r="CS1755" s="1388" t="s">
        <v>8194</v>
      </c>
      <c r="CT1755" s="1388" t="s">
        <v>8557</v>
      </c>
      <c r="CU1755" s="1388" t="s">
        <v>8110</v>
      </c>
      <c r="CV1755" s="1389" t="s">
        <v>8196</v>
      </c>
      <c r="CX1755" s="1379">
        <v>1</v>
      </c>
    </row>
    <row r="1756" spans="91:102" ht="21" customHeight="1" x14ac:dyDescent="0.25">
      <c r="CM1756" s="1377"/>
      <c r="CN1756" s="1388" t="s">
        <v>12038</v>
      </c>
      <c r="CO1756" s="1388" t="s">
        <v>8128</v>
      </c>
      <c r="CP1756" s="1388" t="s">
        <v>8555</v>
      </c>
      <c r="CQ1756" s="1388" t="s">
        <v>12039</v>
      </c>
      <c r="CR1756" s="1388" t="s">
        <v>12039</v>
      </c>
      <c r="CS1756" s="1388" t="s">
        <v>8194</v>
      </c>
      <c r="CT1756" s="1388" t="s">
        <v>8557</v>
      </c>
      <c r="CU1756" s="1388" t="s">
        <v>8110</v>
      </c>
      <c r="CV1756" s="1389" t="s">
        <v>8196</v>
      </c>
      <c r="CX1756" s="1379">
        <v>1</v>
      </c>
    </row>
    <row r="1757" spans="91:102" ht="21" customHeight="1" x14ac:dyDescent="0.25">
      <c r="CM1757" s="1377"/>
      <c r="CN1757" s="1388" t="s">
        <v>12040</v>
      </c>
      <c r="CO1757" s="1388" t="s">
        <v>8128</v>
      </c>
      <c r="CP1757" s="1388" t="s">
        <v>8555</v>
      </c>
      <c r="CQ1757" s="1388" t="s">
        <v>12041</v>
      </c>
      <c r="CR1757" s="1388" t="s">
        <v>12041</v>
      </c>
      <c r="CS1757" s="1388" t="s">
        <v>8194</v>
      </c>
      <c r="CT1757" s="1388" t="s">
        <v>8557</v>
      </c>
      <c r="CU1757" s="1388" t="s">
        <v>8110</v>
      </c>
      <c r="CV1757" s="1389" t="s">
        <v>8196</v>
      </c>
      <c r="CX1757" s="1379">
        <v>1</v>
      </c>
    </row>
    <row r="1758" spans="91:102" ht="21" customHeight="1" x14ac:dyDescent="0.25">
      <c r="CM1758" s="1377"/>
      <c r="CN1758" s="1388" t="s">
        <v>12042</v>
      </c>
      <c r="CO1758" s="1388" t="s">
        <v>8128</v>
      </c>
      <c r="CP1758" s="1388" t="s">
        <v>8555</v>
      </c>
      <c r="CQ1758" s="1388" t="s">
        <v>12043</v>
      </c>
      <c r="CR1758" s="1388" t="s">
        <v>12044</v>
      </c>
      <c r="CS1758" s="1388" t="s">
        <v>11353</v>
      </c>
      <c r="CT1758" s="1388" t="s">
        <v>12010</v>
      </c>
      <c r="CU1758" s="1388" t="s">
        <v>8419</v>
      </c>
      <c r="CV1758" s="1389" t="s">
        <v>11355</v>
      </c>
      <c r="CX1758" s="1379">
        <v>1</v>
      </c>
    </row>
    <row r="1759" spans="91:102" ht="21" customHeight="1" x14ac:dyDescent="0.25">
      <c r="CM1759" s="1377"/>
      <c r="CN1759" s="1388" t="s">
        <v>12045</v>
      </c>
      <c r="CO1759" s="1388" t="s">
        <v>8128</v>
      </c>
      <c r="CP1759" s="1388" t="s">
        <v>8555</v>
      </c>
      <c r="CQ1759" s="1388" t="s">
        <v>12046</v>
      </c>
      <c r="CR1759" s="1388" t="s">
        <v>12047</v>
      </c>
      <c r="CS1759" s="1388" t="s">
        <v>11353</v>
      </c>
      <c r="CT1759" s="1388" t="s">
        <v>12010</v>
      </c>
      <c r="CU1759" s="1388" t="s">
        <v>8419</v>
      </c>
      <c r="CV1759" s="1389" t="s">
        <v>11355</v>
      </c>
      <c r="CX1759" s="1379">
        <v>1</v>
      </c>
    </row>
    <row r="1760" spans="91:102" ht="21" customHeight="1" x14ac:dyDescent="0.25">
      <c r="CM1760" s="1377"/>
      <c r="CN1760" s="1388" t="s">
        <v>12048</v>
      </c>
      <c r="CO1760" s="1388" t="s">
        <v>8128</v>
      </c>
      <c r="CP1760" s="1388" t="s">
        <v>8555</v>
      </c>
      <c r="CQ1760" s="1388" t="s">
        <v>12049</v>
      </c>
      <c r="CR1760" s="1388" t="s">
        <v>12050</v>
      </c>
      <c r="CS1760" s="1388" t="s">
        <v>8108</v>
      </c>
      <c r="CT1760" s="1388" t="s">
        <v>12013</v>
      </c>
      <c r="CU1760" s="1388" t="s">
        <v>8110</v>
      </c>
      <c r="CV1760" s="1389" t="s">
        <v>8111</v>
      </c>
      <c r="CX1760" s="1379">
        <v>1</v>
      </c>
    </row>
    <row r="1761" spans="91:102" ht="21" customHeight="1" x14ac:dyDescent="0.25">
      <c r="CM1761" s="1377"/>
      <c r="CN1761" s="1388" t="s">
        <v>12051</v>
      </c>
      <c r="CO1761" s="1388" t="s">
        <v>8128</v>
      </c>
      <c r="CP1761" s="1388" t="s">
        <v>8555</v>
      </c>
      <c r="CQ1761" s="1388" t="s">
        <v>12052</v>
      </c>
      <c r="CR1761" s="1388" t="s">
        <v>12053</v>
      </c>
      <c r="CS1761" s="1388" t="s">
        <v>11353</v>
      </c>
      <c r="CT1761" s="1388" t="s">
        <v>12010</v>
      </c>
      <c r="CU1761" s="1388" t="s">
        <v>8419</v>
      </c>
      <c r="CV1761" s="1389" t="s">
        <v>11355</v>
      </c>
      <c r="CX1761" s="1379">
        <v>1</v>
      </c>
    </row>
    <row r="1762" spans="91:102" ht="21" customHeight="1" x14ac:dyDescent="0.25">
      <c r="CM1762" s="1377"/>
      <c r="CN1762" s="1388" t="s">
        <v>12054</v>
      </c>
      <c r="CO1762" s="1388" t="s">
        <v>8128</v>
      </c>
      <c r="CP1762" s="1388" t="s">
        <v>8555</v>
      </c>
      <c r="CQ1762" s="1388" t="s">
        <v>12055</v>
      </c>
      <c r="CR1762" s="1388" t="s">
        <v>12056</v>
      </c>
      <c r="CS1762" s="1388" t="s">
        <v>8108</v>
      </c>
      <c r="CT1762" s="1388" t="s">
        <v>12013</v>
      </c>
      <c r="CU1762" s="1388" t="s">
        <v>8110</v>
      </c>
      <c r="CV1762" s="1389" t="s">
        <v>8111</v>
      </c>
      <c r="CX1762" s="1379">
        <v>1</v>
      </c>
    </row>
    <row r="1763" spans="91:102" ht="21" customHeight="1" x14ac:dyDescent="0.25">
      <c r="CM1763" s="1377"/>
      <c r="CN1763" s="1388" t="s">
        <v>12057</v>
      </c>
      <c r="CO1763" s="1388" t="s">
        <v>8128</v>
      </c>
      <c r="CP1763" s="1388" t="s">
        <v>8555</v>
      </c>
      <c r="CQ1763" s="1388" t="s">
        <v>12058</v>
      </c>
      <c r="CR1763" s="1388" t="s">
        <v>12059</v>
      </c>
      <c r="CS1763" s="1388" t="s">
        <v>8108</v>
      </c>
      <c r="CT1763" s="1388" t="s">
        <v>12013</v>
      </c>
      <c r="CU1763" s="1388" t="s">
        <v>8110</v>
      </c>
      <c r="CV1763" s="1389" t="s">
        <v>8111</v>
      </c>
      <c r="CX1763" s="1379">
        <v>1</v>
      </c>
    </row>
    <row r="1764" spans="91:102" ht="21" customHeight="1" x14ac:dyDescent="0.25">
      <c r="CM1764" s="1377"/>
      <c r="CN1764" s="1388" t="s">
        <v>12060</v>
      </c>
      <c r="CO1764" s="1388" t="s">
        <v>8128</v>
      </c>
      <c r="CP1764" s="1388" t="s">
        <v>8555</v>
      </c>
      <c r="CQ1764" s="1388" t="s">
        <v>12061</v>
      </c>
      <c r="CR1764" s="1388" t="s">
        <v>12062</v>
      </c>
      <c r="CS1764" s="1388" t="s">
        <v>8108</v>
      </c>
      <c r="CT1764" s="1388" t="s">
        <v>12013</v>
      </c>
      <c r="CU1764" s="1388" t="s">
        <v>8110</v>
      </c>
      <c r="CV1764" s="1389" t="s">
        <v>8111</v>
      </c>
      <c r="CX1764" s="1379">
        <v>1</v>
      </c>
    </row>
    <row r="1765" spans="91:102" ht="21" customHeight="1" x14ac:dyDescent="0.25">
      <c r="CM1765" s="1377"/>
      <c r="CN1765" s="1388" t="s">
        <v>12063</v>
      </c>
      <c r="CO1765" s="1388" t="s">
        <v>8128</v>
      </c>
      <c r="CP1765" s="1388" t="s">
        <v>8555</v>
      </c>
      <c r="CQ1765" s="1388" t="s">
        <v>12064</v>
      </c>
      <c r="CR1765" s="1388" t="s">
        <v>12065</v>
      </c>
      <c r="CS1765" s="1388" t="s">
        <v>8108</v>
      </c>
      <c r="CT1765" s="1388" t="s">
        <v>12013</v>
      </c>
      <c r="CU1765" s="1388" t="s">
        <v>8110</v>
      </c>
      <c r="CV1765" s="1389" t="s">
        <v>8111</v>
      </c>
      <c r="CX1765" s="1379">
        <v>1</v>
      </c>
    </row>
    <row r="1766" spans="91:102" ht="21" customHeight="1" x14ac:dyDescent="0.25">
      <c r="CM1766" s="1377"/>
      <c r="CN1766" s="1388" t="s">
        <v>12066</v>
      </c>
      <c r="CO1766" s="1388" t="s">
        <v>8128</v>
      </c>
      <c r="CP1766" s="1388" t="s">
        <v>8555</v>
      </c>
      <c r="CQ1766" s="1388" t="s">
        <v>12067</v>
      </c>
      <c r="CR1766" s="1388" t="s">
        <v>12068</v>
      </c>
      <c r="CS1766" s="1388" t="s">
        <v>11353</v>
      </c>
      <c r="CT1766" s="1388" t="s">
        <v>12010</v>
      </c>
      <c r="CU1766" s="1388" t="s">
        <v>8419</v>
      </c>
      <c r="CV1766" s="1389" t="s">
        <v>11355</v>
      </c>
      <c r="CX1766" s="1379">
        <v>1</v>
      </c>
    </row>
    <row r="1767" spans="91:102" ht="21" customHeight="1" x14ac:dyDescent="0.25">
      <c r="CM1767" s="1377"/>
      <c r="CN1767" s="1388" t="s">
        <v>12069</v>
      </c>
      <c r="CO1767" s="1388" t="s">
        <v>8128</v>
      </c>
      <c r="CP1767" s="1388" t="s">
        <v>8555</v>
      </c>
      <c r="CQ1767" s="1388" t="s">
        <v>11243</v>
      </c>
      <c r="CR1767" s="1388" t="s">
        <v>11244</v>
      </c>
      <c r="CS1767" s="1388" t="s">
        <v>12070</v>
      </c>
      <c r="CT1767" s="1388" t="s">
        <v>12071</v>
      </c>
      <c r="CU1767" s="1388" t="s">
        <v>8110</v>
      </c>
      <c r="CV1767" s="1389" t="s">
        <v>8111</v>
      </c>
      <c r="CX1767" s="1379">
        <v>1</v>
      </c>
    </row>
    <row r="1768" spans="91:102" ht="21" customHeight="1" x14ac:dyDescent="0.25">
      <c r="CM1768" s="1377"/>
      <c r="CN1768" s="1388" t="s">
        <v>12072</v>
      </c>
      <c r="CO1768" s="1388" t="s">
        <v>8128</v>
      </c>
      <c r="CP1768" s="1388" t="s">
        <v>8555</v>
      </c>
      <c r="CQ1768" s="1388" t="s">
        <v>12073</v>
      </c>
      <c r="CR1768" s="1388" t="s">
        <v>12074</v>
      </c>
      <c r="CS1768" s="1388" t="s">
        <v>11353</v>
      </c>
      <c r="CT1768" s="1388" t="s">
        <v>12010</v>
      </c>
      <c r="CU1768" s="1388" t="s">
        <v>8419</v>
      </c>
      <c r="CV1768" s="1389" t="s">
        <v>11355</v>
      </c>
      <c r="CX1768" s="1379">
        <v>1</v>
      </c>
    </row>
    <row r="1769" spans="91:102" ht="21" customHeight="1" x14ac:dyDescent="0.25">
      <c r="CM1769" s="1377"/>
      <c r="CN1769" s="1388" t="s">
        <v>12075</v>
      </c>
      <c r="CO1769" s="1388" t="s">
        <v>8128</v>
      </c>
      <c r="CP1769" s="1388" t="s">
        <v>8555</v>
      </c>
      <c r="CQ1769" s="1388" t="s">
        <v>12076</v>
      </c>
      <c r="CR1769" s="1388" t="s">
        <v>12076</v>
      </c>
      <c r="CS1769" s="1388" t="s">
        <v>11353</v>
      </c>
      <c r="CT1769" s="1388" t="s">
        <v>12010</v>
      </c>
      <c r="CU1769" s="1388" t="s">
        <v>8419</v>
      </c>
      <c r="CV1769" s="1389" t="s">
        <v>11355</v>
      </c>
      <c r="CX1769" s="1379">
        <v>1</v>
      </c>
    </row>
    <row r="1770" spans="91:102" ht="21" customHeight="1" x14ac:dyDescent="0.25">
      <c r="CM1770" s="1377"/>
      <c r="CN1770" s="1388" t="s">
        <v>12077</v>
      </c>
      <c r="CO1770" s="1388" t="s">
        <v>8128</v>
      </c>
      <c r="CP1770" s="1388" t="s">
        <v>8555</v>
      </c>
      <c r="CQ1770" s="1388" t="s">
        <v>12078</v>
      </c>
      <c r="CR1770" s="1388" t="s">
        <v>12079</v>
      </c>
      <c r="CS1770" s="1388" t="s">
        <v>8108</v>
      </c>
      <c r="CT1770" s="1388" t="s">
        <v>12013</v>
      </c>
      <c r="CU1770" s="1388" t="s">
        <v>8110</v>
      </c>
      <c r="CV1770" s="1389" t="s">
        <v>8111</v>
      </c>
      <c r="CX1770" s="1379">
        <v>1</v>
      </c>
    </row>
    <row r="1771" spans="91:102" ht="21" customHeight="1" x14ac:dyDescent="0.25">
      <c r="CM1771" s="1377"/>
      <c r="CN1771" s="1388" t="s">
        <v>12080</v>
      </c>
      <c r="CO1771" s="1388" t="s">
        <v>8128</v>
      </c>
      <c r="CP1771" s="1388" t="s">
        <v>8555</v>
      </c>
      <c r="CQ1771" s="1388" t="s">
        <v>12081</v>
      </c>
      <c r="CR1771" s="1388" t="s">
        <v>12081</v>
      </c>
      <c r="CS1771" s="1388" t="s">
        <v>11353</v>
      </c>
      <c r="CT1771" s="1388" t="s">
        <v>12010</v>
      </c>
      <c r="CU1771" s="1388" t="s">
        <v>8419</v>
      </c>
      <c r="CV1771" s="1389" t="s">
        <v>11355</v>
      </c>
      <c r="CX1771" s="1379">
        <v>1</v>
      </c>
    </row>
    <row r="1772" spans="91:102" ht="21" customHeight="1" x14ac:dyDescent="0.25">
      <c r="CM1772" s="1377"/>
      <c r="CN1772" s="1388" t="s">
        <v>12082</v>
      </c>
      <c r="CO1772" s="1388" t="s">
        <v>8128</v>
      </c>
      <c r="CP1772" s="1388" t="s">
        <v>8555</v>
      </c>
      <c r="CQ1772" s="1388" t="s">
        <v>12083</v>
      </c>
      <c r="CR1772" s="1388" t="s">
        <v>12084</v>
      </c>
      <c r="CS1772" s="1388" t="s">
        <v>11353</v>
      </c>
      <c r="CT1772" s="1388" t="s">
        <v>12010</v>
      </c>
      <c r="CU1772" s="1388" t="s">
        <v>8419</v>
      </c>
      <c r="CV1772" s="1389" t="s">
        <v>11355</v>
      </c>
      <c r="CX1772" s="1379">
        <v>1</v>
      </c>
    </row>
    <row r="1773" spans="91:102" ht="21" customHeight="1" x14ac:dyDescent="0.25">
      <c r="CM1773" s="1377"/>
      <c r="CN1773" s="1388" t="s">
        <v>12085</v>
      </c>
      <c r="CO1773" s="1388" t="s">
        <v>8128</v>
      </c>
      <c r="CP1773" s="1388" t="s">
        <v>8555</v>
      </c>
      <c r="CQ1773" s="1388" t="s">
        <v>12086</v>
      </c>
      <c r="CR1773" s="1388" t="s">
        <v>12086</v>
      </c>
      <c r="CS1773" s="1388" t="s">
        <v>8108</v>
      </c>
      <c r="CT1773" s="1388" t="s">
        <v>12013</v>
      </c>
      <c r="CU1773" s="1388" t="s">
        <v>8110</v>
      </c>
      <c r="CV1773" s="1389" t="s">
        <v>8111</v>
      </c>
      <c r="CX1773" s="1379">
        <v>1</v>
      </c>
    </row>
    <row r="1774" spans="91:102" ht="21" customHeight="1" x14ac:dyDescent="0.25">
      <c r="CM1774" s="1377"/>
      <c r="CN1774" s="1388" t="s">
        <v>12087</v>
      </c>
      <c r="CO1774" s="1388" t="s">
        <v>8128</v>
      </c>
      <c r="CP1774" s="1388" t="s">
        <v>8555</v>
      </c>
      <c r="CQ1774" s="1388" t="s">
        <v>12088</v>
      </c>
      <c r="CR1774" s="1388" t="s">
        <v>12088</v>
      </c>
      <c r="CS1774" s="1388" t="s">
        <v>8108</v>
      </c>
      <c r="CT1774" s="1388" t="s">
        <v>12013</v>
      </c>
      <c r="CU1774" s="1388" t="s">
        <v>8110</v>
      </c>
      <c r="CV1774" s="1389" t="s">
        <v>8111</v>
      </c>
      <c r="CX1774" s="1379">
        <v>1</v>
      </c>
    </row>
    <row r="1775" spans="91:102" ht="21" customHeight="1" x14ac:dyDescent="0.25">
      <c r="CM1775" s="1377"/>
      <c r="CN1775" s="1388" t="s">
        <v>12089</v>
      </c>
      <c r="CO1775" s="1388" t="s">
        <v>8128</v>
      </c>
      <c r="CP1775" s="1388" t="s">
        <v>8555</v>
      </c>
      <c r="CQ1775" s="1388" t="s">
        <v>12090</v>
      </c>
      <c r="CR1775" s="1388" t="s">
        <v>12090</v>
      </c>
      <c r="CS1775" s="1388" t="s">
        <v>8108</v>
      </c>
      <c r="CT1775" s="1388" t="s">
        <v>12013</v>
      </c>
      <c r="CU1775" s="1388" t="s">
        <v>8110</v>
      </c>
      <c r="CV1775" s="1389" t="s">
        <v>8111</v>
      </c>
      <c r="CX1775" s="1379">
        <v>1</v>
      </c>
    </row>
    <row r="1776" spans="91:102" ht="21" customHeight="1" x14ac:dyDescent="0.25">
      <c r="CM1776" s="1377"/>
      <c r="CN1776" s="1388" t="s">
        <v>12091</v>
      </c>
      <c r="CO1776" s="1388" t="s">
        <v>8128</v>
      </c>
      <c r="CP1776" s="1388" t="s">
        <v>8555</v>
      </c>
      <c r="CQ1776" s="1388" t="s">
        <v>12092</v>
      </c>
      <c r="CR1776" s="1388" t="s">
        <v>12092</v>
      </c>
      <c r="CS1776" s="1388" t="s">
        <v>8108</v>
      </c>
      <c r="CT1776" s="1388" t="s">
        <v>12013</v>
      </c>
      <c r="CU1776" s="1388" t="s">
        <v>8110</v>
      </c>
      <c r="CV1776" s="1389" t="s">
        <v>8111</v>
      </c>
      <c r="CX1776" s="1379">
        <v>1</v>
      </c>
    </row>
    <row r="1777" spans="91:102" ht="21" customHeight="1" x14ac:dyDescent="0.25">
      <c r="CM1777" s="1377"/>
      <c r="CN1777" s="1388" t="s">
        <v>12093</v>
      </c>
      <c r="CO1777" s="1388" t="s">
        <v>8128</v>
      </c>
      <c r="CP1777" s="1388" t="s">
        <v>8555</v>
      </c>
      <c r="CQ1777" s="1388" t="s">
        <v>12094</v>
      </c>
      <c r="CR1777" s="1388" t="s">
        <v>12094</v>
      </c>
      <c r="CS1777" s="1388" t="s">
        <v>8108</v>
      </c>
      <c r="CT1777" s="1388" t="s">
        <v>12013</v>
      </c>
      <c r="CU1777" s="1388" t="s">
        <v>8110</v>
      </c>
      <c r="CV1777" s="1389" t="s">
        <v>8111</v>
      </c>
      <c r="CX1777" s="1379">
        <v>1</v>
      </c>
    </row>
    <row r="1778" spans="91:102" ht="21" customHeight="1" x14ac:dyDescent="0.25">
      <c r="CM1778" s="1377"/>
      <c r="CN1778" s="1388" t="s">
        <v>12095</v>
      </c>
      <c r="CO1778" s="1388" t="s">
        <v>8128</v>
      </c>
      <c r="CP1778" s="1388" t="s">
        <v>8555</v>
      </c>
      <c r="CQ1778" s="1388" t="s">
        <v>12096</v>
      </c>
      <c r="CR1778" s="1388" t="s">
        <v>12096</v>
      </c>
      <c r="CS1778" s="1388" t="s">
        <v>8108</v>
      </c>
      <c r="CT1778" s="1388" t="s">
        <v>12013</v>
      </c>
      <c r="CU1778" s="1388" t="s">
        <v>8110</v>
      </c>
      <c r="CV1778" s="1389" t="s">
        <v>8111</v>
      </c>
      <c r="CX1778" s="1379">
        <v>1</v>
      </c>
    </row>
    <row r="1779" spans="91:102" ht="21" customHeight="1" x14ac:dyDescent="0.25">
      <c r="CM1779" s="1377"/>
      <c r="CN1779" s="1388" t="s">
        <v>12097</v>
      </c>
      <c r="CO1779" s="1388" t="s">
        <v>8128</v>
      </c>
      <c r="CP1779" s="1388" t="s">
        <v>8555</v>
      </c>
      <c r="CQ1779" s="1388" t="s">
        <v>12098</v>
      </c>
      <c r="CR1779" s="1388" t="s">
        <v>12098</v>
      </c>
      <c r="CS1779" s="1388" t="s">
        <v>8108</v>
      </c>
      <c r="CT1779" s="1388" t="s">
        <v>12013</v>
      </c>
      <c r="CU1779" s="1388" t="s">
        <v>8110</v>
      </c>
      <c r="CV1779" s="1389" t="s">
        <v>8111</v>
      </c>
      <c r="CX1779" s="1379">
        <v>1</v>
      </c>
    </row>
    <row r="1780" spans="91:102" ht="21" customHeight="1" x14ac:dyDescent="0.25">
      <c r="CM1780" s="1377"/>
      <c r="CN1780" s="1388" t="s">
        <v>12099</v>
      </c>
      <c r="CO1780" s="1388" t="s">
        <v>8128</v>
      </c>
      <c r="CP1780" s="1388" t="s">
        <v>8555</v>
      </c>
      <c r="CQ1780" s="1388" t="s">
        <v>12100</v>
      </c>
      <c r="CR1780" s="1388" t="s">
        <v>12100</v>
      </c>
      <c r="CS1780" s="1388" t="s">
        <v>8108</v>
      </c>
      <c r="CT1780" s="1388" t="s">
        <v>12013</v>
      </c>
      <c r="CU1780" s="1388" t="s">
        <v>8110</v>
      </c>
      <c r="CV1780" s="1389" t="s">
        <v>8111</v>
      </c>
      <c r="CX1780" s="1379">
        <v>1</v>
      </c>
    </row>
    <row r="1781" spans="91:102" ht="21" customHeight="1" x14ac:dyDescent="0.25">
      <c r="CM1781" s="1377"/>
      <c r="CN1781" s="1388" t="s">
        <v>12101</v>
      </c>
      <c r="CO1781" s="1388" t="s">
        <v>8128</v>
      </c>
      <c r="CP1781" s="1388" t="s">
        <v>8555</v>
      </c>
      <c r="CQ1781" s="1388" t="s">
        <v>11267</v>
      </c>
      <c r="CR1781" s="1388" t="s">
        <v>11267</v>
      </c>
      <c r="CS1781" s="1388" t="s">
        <v>8108</v>
      </c>
      <c r="CT1781" s="1388" t="s">
        <v>12013</v>
      </c>
      <c r="CU1781" s="1388" t="s">
        <v>8110</v>
      </c>
      <c r="CV1781" s="1389" t="s">
        <v>8111</v>
      </c>
      <c r="CX1781" s="1379">
        <v>1</v>
      </c>
    </row>
    <row r="1782" spans="91:102" ht="21" customHeight="1" x14ac:dyDescent="0.25">
      <c r="CM1782" s="1377"/>
      <c r="CN1782" s="1388" t="s">
        <v>12102</v>
      </c>
      <c r="CO1782" s="1388" t="s">
        <v>8128</v>
      </c>
      <c r="CP1782" s="1388" t="s">
        <v>8555</v>
      </c>
      <c r="CQ1782" s="1388" t="s">
        <v>12103</v>
      </c>
      <c r="CR1782" s="1388" t="s">
        <v>12104</v>
      </c>
      <c r="CS1782" s="1388" t="s">
        <v>8108</v>
      </c>
      <c r="CT1782" s="1388" t="s">
        <v>12013</v>
      </c>
      <c r="CU1782" s="1388" t="s">
        <v>8110</v>
      </c>
      <c r="CV1782" s="1389" t="s">
        <v>8111</v>
      </c>
      <c r="CX1782" s="1379">
        <v>1</v>
      </c>
    </row>
    <row r="1783" spans="91:102" ht="21" customHeight="1" x14ac:dyDescent="0.25">
      <c r="CM1783" s="1377"/>
      <c r="CN1783" s="1388" t="s">
        <v>12105</v>
      </c>
      <c r="CO1783" s="1388" t="s">
        <v>8128</v>
      </c>
      <c r="CP1783" s="1388" t="s">
        <v>8555</v>
      </c>
      <c r="CQ1783" s="1388" t="s">
        <v>12106</v>
      </c>
      <c r="CR1783" s="1388" t="s">
        <v>12107</v>
      </c>
      <c r="CS1783" s="1388" t="s">
        <v>11353</v>
      </c>
      <c r="CT1783" s="1388" t="s">
        <v>12010</v>
      </c>
      <c r="CU1783" s="1388" t="s">
        <v>8419</v>
      </c>
      <c r="CV1783" s="1389" t="s">
        <v>11355</v>
      </c>
      <c r="CX1783" s="1379">
        <v>1</v>
      </c>
    </row>
    <row r="1784" spans="91:102" ht="21" customHeight="1" x14ac:dyDescent="0.25">
      <c r="CM1784" s="1377"/>
      <c r="CN1784" s="1388" t="s">
        <v>12108</v>
      </c>
      <c r="CO1784" s="1388" t="s">
        <v>8128</v>
      </c>
      <c r="CP1784" s="1388" t="s">
        <v>8555</v>
      </c>
      <c r="CQ1784" s="1388" t="s">
        <v>12109</v>
      </c>
      <c r="CR1784" s="1388" t="s">
        <v>12109</v>
      </c>
      <c r="CS1784" s="1388" t="s">
        <v>8194</v>
      </c>
      <c r="CT1784" s="1388" t="s">
        <v>8557</v>
      </c>
      <c r="CU1784" s="1388" t="s">
        <v>8110</v>
      </c>
      <c r="CV1784" s="1389" t="s">
        <v>8196</v>
      </c>
      <c r="CX1784" s="1379">
        <v>1</v>
      </c>
    </row>
    <row r="1785" spans="91:102" ht="21" customHeight="1" x14ac:dyDescent="0.25">
      <c r="CM1785" s="1377"/>
      <c r="CN1785" s="1388" t="s">
        <v>12110</v>
      </c>
      <c r="CO1785" s="1388" t="s">
        <v>8128</v>
      </c>
      <c r="CP1785" s="1388" t="s">
        <v>8555</v>
      </c>
      <c r="CQ1785" s="1388" t="s">
        <v>12111</v>
      </c>
      <c r="CR1785" s="1388" t="s">
        <v>12111</v>
      </c>
      <c r="CS1785" s="1388" t="s">
        <v>11353</v>
      </c>
      <c r="CT1785" s="1388" t="s">
        <v>12010</v>
      </c>
      <c r="CU1785" s="1388" t="s">
        <v>8419</v>
      </c>
      <c r="CV1785" s="1389" t="s">
        <v>11355</v>
      </c>
      <c r="CX1785" s="1379">
        <v>1</v>
      </c>
    </row>
    <row r="1786" spans="91:102" ht="21" customHeight="1" x14ac:dyDescent="0.25">
      <c r="CM1786" s="1377"/>
      <c r="CN1786" s="1388" t="s">
        <v>12112</v>
      </c>
      <c r="CO1786" s="1388" t="s">
        <v>8128</v>
      </c>
      <c r="CP1786" s="1388" t="s">
        <v>8555</v>
      </c>
      <c r="CQ1786" s="1388" t="s">
        <v>12113</v>
      </c>
      <c r="CR1786" s="1388" t="s">
        <v>12114</v>
      </c>
      <c r="CS1786" s="1388" t="s">
        <v>11353</v>
      </c>
      <c r="CT1786" s="1388" t="s">
        <v>12010</v>
      </c>
      <c r="CU1786" s="1388" t="s">
        <v>8419</v>
      </c>
      <c r="CV1786" s="1389" t="s">
        <v>11355</v>
      </c>
      <c r="CX1786" s="1379">
        <v>1</v>
      </c>
    </row>
    <row r="1787" spans="91:102" ht="21" customHeight="1" x14ac:dyDescent="0.25">
      <c r="CM1787" s="1377"/>
      <c r="CN1787" s="1388" t="s">
        <v>12115</v>
      </c>
      <c r="CO1787" s="1388" t="s">
        <v>8128</v>
      </c>
      <c r="CP1787" s="1388" t="s">
        <v>8555</v>
      </c>
      <c r="CQ1787" s="1388" t="s">
        <v>11217</v>
      </c>
      <c r="CR1787" s="1388" t="s">
        <v>11217</v>
      </c>
      <c r="CS1787" s="1388" t="s">
        <v>8194</v>
      </c>
      <c r="CT1787" s="1388" t="s">
        <v>8557</v>
      </c>
      <c r="CU1787" s="1388" t="s">
        <v>8110</v>
      </c>
      <c r="CV1787" s="1389" t="s">
        <v>8196</v>
      </c>
      <c r="CX1787" s="1379">
        <v>1</v>
      </c>
    </row>
    <row r="1788" spans="91:102" ht="21" customHeight="1" x14ac:dyDescent="0.25">
      <c r="CM1788" s="1377"/>
      <c r="CN1788" s="1388" t="s">
        <v>12116</v>
      </c>
      <c r="CO1788" s="1388" t="s">
        <v>8128</v>
      </c>
      <c r="CP1788" s="1388" t="s">
        <v>8555</v>
      </c>
      <c r="CQ1788" s="1388" t="s">
        <v>12117</v>
      </c>
      <c r="CR1788" s="1388" t="s">
        <v>12117</v>
      </c>
      <c r="CS1788" s="1388" t="s">
        <v>8194</v>
      </c>
      <c r="CT1788" s="1388" t="s">
        <v>8557</v>
      </c>
      <c r="CU1788" s="1388" t="s">
        <v>8110</v>
      </c>
      <c r="CV1788" s="1389" t="s">
        <v>8196</v>
      </c>
      <c r="CX1788" s="1379">
        <v>1</v>
      </c>
    </row>
    <row r="1789" spans="91:102" ht="21" customHeight="1" x14ac:dyDescent="0.25">
      <c r="CM1789" s="1377"/>
      <c r="CN1789" s="1388" t="s">
        <v>12118</v>
      </c>
      <c r="CO1789" s="1388" t="s">
        <v>8128</v>
      </c>
      <c r="CP1789" s="1388" t="s">
        <v>8555</v>
      </c>
      <c r="CQ1789" s="1388" t="s">
        <v>11296</v>
      </c>
      <c r="CR1789" s="1388" t="s">
        <v>11296</v>
      </c>
      <c r="CS1789" s="1388" t="s">
        <v>8194</v>
      </c>
      <c r="CT1789" s="1388" t="s">
        <v>8557</v>
      </c>
      <c r="CU1789" s="1388" t="s">
        <v>8110</v>
      </c>
      <c r="CV1789" s="1389" t="s">
        <v>8196</v>
      </c>
      <c r="CX1789" s="1379">
        <v>1</v>
      </c>
    </row>
    <row r="1790" spans="91:102" ht="21" customHeight="1" x14ac:dyDescent="0.25">
      <c r="CM1790" s="1377"/>
      <c r="CN1790" s="1388" t="s">
        <v>12119</v>
      </c>
      <c r="CO1790" s="1388" t="s">
        <v>8128</v>
      </c>
      <c r="CP1790" s="1388" t="s">
        <v>8741</v>
      </c>
      <c r="CQ1790" s="1388" t="s">
        <v>12120</v>
      </c>
      <c r="CR1790" s="1388" t="s">
        <v>12120</v>
      </c>
      <c r="CS1790" s="1388" t="s">
        <v>11353</v>
      </c>
      <c r="CT1790" s="1388" t="s">
        <v>12121</v>
      </c>
      <c r="CU1790" s="1388" t="s">
        <v>8419</v>
      </c>
      <c r="CV1790" s="1389" t="s">
        <v>11355</v>
      </c>
      <c r="CX1790" s="1379">
        <v>1</v>
      </c>
    </row>
    <row r="1791" spans="91:102" ht="21" customHeight="1" x14ac:dyDescent="0.25">
      <c r="CM1791" s="1377"/>
      <c r="CN1791" s="1388" t="s">
        <v>12122</v>
      </c>
      <c r="CO1791" s="1388" t="s">
        <v>8128</v>
      </c>
      <c r="CP1791" s="1388" t="s">
        <v>8741</v>
      </c>
      <c r="CQ1791" s="1388" t="s">
        <v>12123</v>
      </c>
      <c r="CR1791" s="1388" t="s">
        <v>12123</v>
      </c>
      <c r="CS1791" s="1388" t="s">
        <v>11353</v>
      </c>
      <c r="CT1791" s="1388" t="s">
        <v>12121</v>
      </c>
      <c r="CU1791" s="1388" t="s">
        <v>8419</v>
      </c>
      <c r="CV1791" s="1389" t="s">
        <v>11355</v>
      </c>
      <c r="CX1791" s="1379">
        <v>1</v>
      </c>
    </row>
    <row r="1792" spans="91:102" ht="21" customHeight="1" x14ac:dyDescent="0.25">
      <c r="CM1792" s="1377"/>
      <c r="CN1792" s="1388" t="s">
        <v>12124</v>
      </c>
      <c r="CO1792" s="1388" t="s">
        <v>8128</v>
      </c>
      <c r="CP1792" s="1388" t="s">
        <v>8741</v>
      </c>
      <c r="CQ1792" s="1388" t="s">
        <v>11372</v>
      </c>
      <c r="CR1792" s="1388" t="s">
        <v>11372</v>
      </c>
      <c r="CS1792" s="1388" t="s">
        <v>11353</v>
      </c>
      <c r="CT1792" s="1388" t="s">
        <v>12121</v>
      </c>
      <c r="CU1792" s="1388" t="s">
        <v>8419</v>
      </c>
      <c r="CV1792" s="1389" t="s">
        <v>11355</v>
      </c>
      <c r="CX1792" s="1379">
        <v>1</v>
      </c>
    </row>
    <row r="1793" spans="91:102" ht="21" customHeight="1" x14ac:dyDescent="0.25">
      <c r="CM1793" s="1377"/>
      <c r="CN1793" s="1388" t="s">
        <v>12125</v>
      </c>
      <c r="CO1793" s="1388" t="s">
        <v>8128</v>
      </c>
      <c r="CP1793" s="1388" t="s">
        <v>8741</v>
      </c>
      <c r="CQ1793" s="1388" t="s">
        <v>12126</v>
      </c>
      <c r="CR1793" s="1388" t="s">
        <v>12126</v>
      </c>
      <c r="CS1793" s="1388" t="s">
        <v>8108</v>
      </c>
      <c r="CT1793" s="1388" t="s">
        <v>9207</v>
      </c>
      <c r="CU1793" s="1388" t="s">
        <v>8110</v>
      </c>
      <c r="CV1793" s="1389" t="s">
        <v>8111</v>
      </c>
      <c r="CX1793" s="1379">
        <v>1</v>
      </c>
    </row>
    <row r="1794" spans="91:102" ht="21" customHeight="1" x14ac:dyDescent="0.25">
      <c r="CM1794" s="1377"/>
      <c r="CN1794" s="1388" t="s">
        <v>12127</v>
      </c>
      <c r="CO1794" s="1388" t="s">
        <v>8128</v>
      </c>
      <c r="CP1794" s="1388" t="s">
        <v>8741</v>
      </c>
      <c r="CQ1794" s="1388" t="s">
        <v>12128</v>
      </c>
      <c r="CR1794" s="1388" t="s">
        <v>2249</v>
      </c>
      <c r="CS1794" s="1388" t="s">
        <v>8108</v>
      </c>
      <c r="CT1794" s="1388" t="s">
        <v>9207</v>
      </c>
      <c r="CU1794" s="1388" t="s">
        <v>8110</v>
      </c>
      <c r="CV1794" s="1389" t="s">
        <v>8111</v>
      </c>
      <c r="CX1794" s="1379">
        <v>1</v>
      </c>
    </row>
    <row r="1795" spans="91:102" ht="21" customHeight="1" x14ac:dyDescent="0.25">
      <c r="CM1795" s="1377"/>
      <c r="CN1795" s="1388" t="s">
        <v>12129</v>
      </c>
      <c r="CO1795" s="1388" t="s">
        <v>8128</v>
      </c>
      <c r="CP1795" s="1388" t="s">
        <v>8741</v>
      </c>
      <c r="CQ1795" s="1388" t="s">
        <v>8742</v>
      </c>
      <c r="CR1795" s="1388" t="s">
        <v>8742</v>
      </c>
      <c r="CS1795" s="1388" t="s">
        <v>8108</v>
      </c>
      <c r="CT1795" s="1388" t="s">
        <v>9207</v>
      </c>
      <c r="CU1795" s="1388" t="s">
        <v>8110</v>
      </c>
      <c r="CV1795" s="1389" t="s">
        <v>8111</v>
      </c>
      <c r="CX1795" s="1379">
        <v>1</v>
      </c>
    </row>
    <row r="1796" spans="91:102" ht="21" customHeight="1" x14ac:dyDescent="0.25">
      <c r="CM1796" s="1377"/>
      <c r="CN1796" s="1388" t="s">
        <v>12130</v>
      </c>
      <c r="CO1796" s="1388" t="s">
        <v>8128</v>
      </c>
      <c r="CP1796" s="1388" t="s">
        <v>8741</v>
      </c>
      <c r="CQ1796" s="1388" t="s">
        <v>8247</v>
      </c>
      <c r="CR1796" s="1388" t="s">
        <v>8247</v>
      </c>
      <c r="CS1796" s="1388" t="s">
        <v>8108</v>
      </c>
      <c r="CT1796" s="1388" t="s">
        <v>9207</v>
      </c>
      <c r="CU1796" s="1388" t="s">
        <v>8110</v>
      </c>
      <c r="CV1796" s="1389" t="s">
        <v>8111</v>
      </c>
      <c r="CX1796" s="1379">
        <v>1</v>
      </c>
    </row>
    <row r="1797" spans="91:102" ht="21" customHeight="1" x14ac:dyDescent="0.25">
      <c r="CM1797" s="1377"/>
      <c r="CN1797" s="1388" t="s">
        <v>12131</v>
      </c>
      <c r="CO1797" s="1388" t="s">
        <v>8128</v>
      </c>
      <c r="CP1797" s="1388" t="s">
        <v>8741</v>
      </c>
      <c r="CQ1797" s="1388" t="s">
        <v>8747</v>
      </c>
      <c r="CR1797" s="1388" t="s">
        <v>8747</v>
      </c>
      <c r="CS1797" s="1388" t="s">
        <v>8194</v>
      </c>
      <c r="CT1797" s="1388" t="s">
        <v>8748</v>
      </c>
      <c r="CU1797" s="1388" t="s">
        <v>8110</v>
      </c>
      <c r="CV1797" s="1389" t="s">
        <v>8196</v>
      </c>
      <c r="CX1797" s="1379">
        <v>1</v>
      </c>
    </row>
    <row r="1798" spans="91:102" ht="21" customHeight="1" x14ac:dyDescent="0.25">
      <c r="CM1798" s="1377"/>
      <c r="CN1798" s="1388" t="s">
        <v>12132</v>
      </c>
      <c r="CO1798" s="1388" t="s">
        <v>8128</v>
      </c>
      <c r="CP1798" s="1388" t="s">
        <v>8741</v>
      </c>
      <c r="CQ1798" s="1388" t="s">
        <v>8750</v>
      </c>
      <c r="CR1798" s="1388" t="s">
        <v>8750</v>
      </c>
      <c r="CS1798" s="1388" t="s">
        <v>8194</v>
      </c>
      <c r="CT1798" s="1388" t="s">
        <v>8748</v>
      </c>
      <c r="CU1798" s="1388" t="s">
        <v>8110</v>
      </c>
      <c r="CV1798" s="1389" t="s">
        <v>8196</v>
      </c>
      <c r="CX1798" s="1379">
        <v>1</v>
      </c>
    </row>
    <row r="1799" spans="91:102" ht="21" customHeight="1" x14ac:dyDescent="0.25">
      <c r="CM1799" s="1377"/>
      <c r="CN1799" s="1388" t="s">
        <v>12133</v>
      </c>
      <c r="CO1799" s="1388" t="s">
        <v>8128</v>
      </c>
      <c r="CP1799" s="1388" t="s">
        <v>8741</v>
      </c>
      <c r="CQ1799" s="1388" t="s">
        <v>9092</v>
      </c>
      <c r="CR1799" s="1388" t="s">
        <v>9092</v>
      </c>
      <c r="CS1799" s="1388" t="s">
        <v>11353</v>
      </c>
      <c r="CT1799" s="1388" t="s">
        <v>12121</v>
      </c>
      <c r="CU1799" s="1388" t="s">
        <v>8419</v>
      </c>
      <c r="CV1799" s="1389" t="s">
        <v>11355</v>
      </c>
      <c r="CX1799" s="1379">
        <v>1</v>
      </c>
    </row>
    <row r="1800" spans="91:102" ht="21" customHeight="1" x14ac:dyDescent="0.25">
      <c r="CM1800" s="1377"/>
      <c r="CN1800" s="1388" t="s">
        <v>12134</v>
      </c>
      <c r="CO1800" s="1388" t="s">
        <v>8128</v>
      </c>
      <c r="CP1800" s="1388" t="s">
        <v>8741</v>
      </c>
      <c r="CQ1800" s="1388" t="s">
        <v>678</v>
      </c>
      <c r="CR1800" s="1388" t="s">
        <v>678</v>
      </c>
      <c r="CS1800" s="1388" t="s">
        <v>8108</v>
      </c>
      <c r="CT1800" s="1388" t="s">
        <v>9207</v>
      </c>
      <c r="CU1800" s="1388" t="s">
        <v>8110</v>
      </c>
      <c r="CV1800" s="1389" t="s">
        <v>8111</v>
      </c>
      <c r="CX1800" s="1379">
        <v>1</v>
      </c>
    </row>
    <row r="1801" spans="91:102" ht="21" customHeight="1" x14ac:dyDescent="0.25">
      <c r="CM1801" s="1377"/>
      <c r="CN1801" s="1388" t="s">
        <v>12135</v>
      </c>
      <c r="CO1801" s="1388" t="s">
        <v>8128</v>
      </c>
      <c r="CP1801" s="1388" t="s">
        <v>8741</v>
      </c>
      <c r="CQ1801" s="1388" t="s">
        <v>12136</v>
      </c>
      <c r="CR1801" s="1388" t="s">
        <v>12136</v>
      </c>
      <c r="CS1801" s="1388" t="s">
        <v>11353</v>
      </c>
      <c r="CT1801" s="1388" t="s">
        <v>12121</v>
      </c>
      <c r="CU1801" s="1388" t="s">
        <v>8419</v>
      </c>
      <c r="CV1801" s="1389" t="s">
        <v>11355</v>
      </c>
      <c r="CX1801" s="1379">
        <v>1</v>
      </c>
    </row>
    <row r="1802" spans="91:102" ht="21" customHeight="1" x14ac:dyDescent="0.25">
      <c r="CM1802" s="1377"/>
      <c r="CN1802" s="1388" t="s">
        <v>12137</v>
      </c>
      <c r="CO1802" s="1388" t="s">
        <v>8128</v>
      </c>
      <c r="CP1802" s="1388" t="s">
        <v>8741</v>
      </c>
      <c r="CQ1802" s="1388" t="s">
        <v>12138</v>
      </c>
      <c r="CR1802" s="1388" t="s">
        <v>12138</v>
      </c>
      <c r="CS1802" s="1388" t="s">
        <v>11353</v>
      </c>
      <c r="CT1802" s="1388" t="s">
        <v>12121</v>
      </c>
      <c r="CU1802" s="1388" t="s">
        <v>8419</v>
      </c>
      <c r="CV1802" s="1389" t="s">
        <v>11355</v>
      </c>
      <c r="CX1802" s="1379">
        <v>1</v>
      </c>
    </row>
    <row r="1803" spans="91:102" ht="21" customHeight="1" x14ac:dyDescent="0.25">
      <c r="CM1803" s="1377"/>
      <c r="CN1803" s="1388" t="s">
        <v>12139</v>
      </c>
      <c r="CO1803" s="1388" t="s">
        <v>8128</v>
      </c>
      <c r="CP1803" s="1388" t="s">
        <v>8741</v>
      </c>
      <c r="CQ1803" s="1388" t="s">
        <v>12140</v>
      </c>
      <c r="CR1803" s="1388" t="s">
        <v>12140</v>
      </c>
      <c r="CS1803" s="1388" t="s">
        <v>11353</v>
      </c>
      <c r="CT1803" s="1388" t="s">
        <v>12121</v>
      </c>
      <c r="CU1803" s="1388" t="s">
        <v>8419</v>
      </c>
      <c r="CV1803" s="1389" t="s">
        <v>11355</v>
      </c>
      <c r="CX1803" s="1379">
        <v>1</v>
      </c>
    </row>
    <row r="1804" spans="91:102" ht="21" customHeight="1" x14ac:dyDescent="0.25">
      <c r="CM1804" s="1377"/>
      <c r="CN1804" s="1388" t="s">
        <v>12141</v>
      </c>
      <c r="CO1804" s="1388" t="s">
        <v>8128</v>
      </c>
      <c r="CP1804" s="1388" t="s">
        <v>8741</v>
      </c>
      <c r="CQ1804" s="1388" t="s">
        <v>12142</v>
      </c>
      <c r="CR1804" s="1388" t="s">
        <v>12143</v>
      </c>
      <c r="CS1804" s="1388" t="s">
        <v>8108</v>
      </c>
      <c r="CT1804" s="1388" t="s">
        <v>9207</v>
      </c>
      <c r="CU1804" s="1388" t="s">
        <v>8110</v>
      </c>
      <c r="CV1804" s="1389" t="s">
        <v>8111</v>
      </c>
      <c r="CX1804" s="1379">
        <v>1</v>
      </c>
    </row>
    <row r="1805" spans="91:102" ht="21" customHeight="1" x14ac:dyDescent="0.25">
      <c r="CM1805" s="1377"/>
      <c r="CN1805" s="1388" t="s">
        <v>12144</v>
      </c>
      <c r="CO1805" s="1388" t="s">
        <v>8128</v>
      </c>
      <c r="CP1805" s="1388" t="s">
        <v>8741</v>
      </c>
      <c r="CQ1805" s="1388" t="s">
        <v>8753</v>
      </c>
      <c r="CR1805" s="1388" t="s">
        <v>8753</v>
      </c>
      <c r="CS1805" s="1388" t="s">
        <v>8108</v>
      </c>
      <c r="CT1805" s="1388" t="s">
        <v>9207</v>
      </c>
      <c r="CU1805" s="1388" t="s">
        <v>8110</v>
      </c>
      <c r="CV1805" s="1389" t="s">
        <v>8111</v>
      </c>
      <c r="CX1805" s="1379">
        <v>1</v>
      </c>
    </row>
    <row r="1806" spans="91:102" ht="21" customHeight="1" x14ac:dyDescent="0.25">
      <c r="CM1806" s="1377"/>
      <c r="CN1806" s="1388" t="s">
        <v>12145</v>
      </c>
      <c r="CO1806" s="1388" t="s">
        <v>8128</v>
      </c>
      <c r="CP1806" s="1388" t="s">
        <v>8741</v>
      </c>
      <c r="CQ1806" s="1388" t="s">
        <v>9094</v>
      </c>
      <c r="CR1806" s="1388" t="s">
        <v>9095</v>
      </c>
      <c r="CS1806" s="1388" t="s">
        <v>11353</v>
      </c>
      <c r="CT1806" s="1388" t="s">
        <v>12121</v>
      </c>
      <c r="CU1806" s="1388" t="s">
        <v>8419</v>
      </c>
      <c r="CV1806" s="1389" t="s">
        <v>11355</v>
      </c>
      <c r="CX1806" s="1379">
        <v>1</v>
      </c>
    </row>
    <row r="1807" spans="91:102" ht="21" customHeight="1" x14ac:dyDescent="0.25">
      <c r="CM1807" s="1377"/>
      <c r="CN1807" s="1388" t="s">
        <v>12146</v>
      </c>
      <c r="CO1807" s="1388" t="s">
        <v>8128</v>
      </c>
      <c r="CP1807" s="1388" t="s">
        <v>8741</v>
      </c>
      <c r="CQ1807" s="1388" t="s">
        <v>9097</v>
      </c>
      <c r="CR1807" s="1388" t="s">
        <v>9098</v>
      </c>
      <c r="CS1807" s="1388" t="s">
        <v>11353</v>
      </c>
      <c r="CT1807" s="1388" t="s">
        <v>12121</v>
      </c>
      <c r="CU1807" s="1388" t="s">
        <v>8419</v>
      </c>
      <c r="CV1807" s="1389" t="s">
        <v>11355</v>
      </c>
      <c r="CX1807" s="1379">
        <v>1</v>
      </c>
    </row>
    <row r="1808" spans="91:102" ht="21" customHeight="1" x14ac:dyDescent="0.25">
      <c r="CM1808" s="1377"/>
      <c r="CN1808" s="1388" t="s">
        <v>12147</v>
      </c>
      <c r="CO1808" s="1388" t="s">
        <v>8128</v>
      </c>
      <c r="CP1808" s="1388" t="s">
        <v>8741</v>
      </c>
      <c r="CQ1808" s="1388" t="s">
        <v>9100</v>
      </c>
      <c r="CR1808" s="1388" t="s">
        <v>9101</v>
      </c>
      <c r="CS1808" s="1388" t="s">
        <v>11353</v>
      </c>
      <c r="CT1808" s="1388" t="s">
        <v>12121</v>
      </c>
      <c r="CU1808" s="1388" t="s">
        <v>8419</v>
      </c>
      <c r="CV1808" s="1389" t="s">
        <v>11355</v>
      </c>
      <c r="CX1808" s="1379">
        <v>1</v>
      </c>
    </row>
    <row r="1809" spans="91:102" ht="21" customHeight="1" x14ac:dyDescent="0.25">
      <c r="CM1809" s="1377"/>
      <c r="CN1809" s="1388" t="s">
        <v>12148</v>
      </c>
      <c r="CO1809" s="1388" t="s">
        <v>8128</v>
      </c>
      <c r="CP1809" s="1388" t="s">
        <v>8741</v>
      </c>
      <c r="CQ1809" s="1388" t="s">
        <v>11547</v>
      </c>
      <c r="CR1809" s="1388" t="s">
        <v>11548</v>
      </c>
      <c r="CS1809" s="1388" t="s">
        <v>11353</v>
      </c>
      <c r="CT1809" s="1388" t="s">
        <v>12121</v>
      </c>
      <c r="CU1809" s="1388" t="s">
        <v>8419</v>
      </c>
      <c r="CV1809" s="1389" t="s">
        <v>11355</v>
      </c>
      <c r="CX1809" s="1379">
        <v>1</v>
      </c>
    </row>
    <row r="1810" spans="91:102" ht="21" customHeight="1" x14ac:dyDescent="0.25">
      <c r="CM1810" s="1377"/>
      <c r="CN1810" s="1388" t="s">
        <v>12149</v>
      </c>
      <c r="CO1810" s="1388" t="s">
        <v>8128</v>
      </c>
      <c r="CP1810" s="1388" t="s">
        <v>8741</v>
      </c>
      <c r="CQ1810" s="1388" t="s">
        <v>12150</v>
      </c>
      <c r="CR1810" s="1388" t="s">
        <v>2732</v>
      </c>
      <c r="CS1810" s="1388" t="s">
        <v>8108</v>
      </c>
      <c r="CT1810" s="1388" t="s">
        <v>9207</v>
      </c>
      <c r="CU1810" s="1388" t="s">
        <v>8110</v>
      </c>
      <c r="CV1810" s="1389" t="s">
        <v>8111</v>
      </c>
      <c r="CX1810" s="1379">
        <v>1</v>
      </c>
    </row>
    <row r="1811" spans="91:102" ht="21" customHeight="1" x14ac:dyDescent="0.25">
      <c r="CM1811" s="1377"/>
      <c r="CN1811" s="1388" t="s">
        <v>12151</v>
      </c>
      <c r="CO1811" s="1388" t="s">
        <v>8128</v>
      </c>
      <c r="CP1811" s="1388" t="s">
        <v>8741</v>
      </c>
      <c r="CQ1811" s="1388" t="s">
        <v>12152</v>
      </c>
      <c r="CR1811" s="1388" t="s">
        <v>12153</v>
      </c>
      <c r="CS1811" s="1388" t="s">
        <v>11353</v>
      </c>
      <c r="CT1811" s="1388" t="s">
        <v>12121</v>
      </c>
      <c r="CU1811" s="1388" t="s">
        <v>8419</v>
      </c>
      <c r="CV1811" s="1389" t="s">
        <v>11355</v>
      </c>
      <c r="CX1811" s="1379">
        <v>1</v>
      </c>
    </row>
    <row r="1812" spans="91:102" ht="21" customHeight="1" x14ac:dyDescent="0.25">
      <c r="CM1812" s="1377"/>
      <c r="CN1812" s="1388" t="s">
        <v>12154</v>
      </c>
      <c r="CO1812" s="1388" t="s">
        <v>8128</v>
      </c>
      <c r="CP1812" s="1388" t="s">
        <v>8741</v>
      </c>
      <c r="CQ1812" s="1388" t="s">
        <v>12155</v>
      </c>
      <c r="CR1812" s="1388" t="s">
        <v>12156</v>
      </c>
      <c r="CS1812" s="1388" t="s">
        <v>11353</v>
      </c>
      <c r="CT1812" s="1388" t="s">
        <v>12121</v>
      </c>
      <c r="CU1812" s="1388" t="s">
        <v>8419</v>
      </c>
      <c r="CV1812" s="1389" t="s">
        <v>11355</v>
      </c>
      <c r="CX1812" s="1379">
        <v>1</v>
      </c>
    </row>
    <row r="1813" spans="91:102" ht="21" customHeight="1" x14ac:dyDescent="0.25">
      <c r="CM1813" s="1377"/>
      <c r="CN1813" s="1388" t="s">
        <v>12157</v>
      </c>
      <c r="CO1813" s="1388" t="s">
        <v>8128</v>
      </c>
      <c r="CP1813" s="1388" t="s">
        <v>8741</v>
      </c>
      <c r="CQ1813" s="1388" t="s">
        <v>9106</v>
      </c>
      <c r="CR1813" s="1388" t="s">
        <v>9107</v>
      </c>
      <c r="CS1813" s="1388" t="s">
        <v>11353</v>
      </c>
      <c r="CT1813" s="1388" t="s">
        <v>12121</v>
      </c>
      <c r="CU1813" s="1388" t="s">
        <v>8419</v>
      </c>
      <c r="CV1813" s="1389" t="s">
        <v>11355</v>
      </c>
      <c r="CX1813" s="1379">
        <v>1</v>
      </c>
    </row>
    <row r="1814" spans="91:102" ht="21" customHeight="1" x14ac:dyDescent="0.25">
      <c r="CM1814" s="1377"/>
      <c r="CN1814" s="1388" t="s">
        <v>12158</v>
      </c>
      <c r="CO1814" s="1388" t="s">
        <v>8128</v>
      </c>
      <c r="CP1814" s="1388" t="s">
        <v>8741</v>
      </c>
      <c r="CQ1814" s="1388" t="s">
        <v>8288</v>
      </c>
      <c r="CR1814" s="1388" t="s">
        <v>8288</v>
      </c>
      <c r="CS1814" s="1388" t="s">
        <v>11353</v>
      </c>
      <c r="CT1814" s="1388" t="s">
        <v>12121</v>
      </c>
      <c r="CU1814" s="1388" t="s">
        <v>8419</v>
      </c>
      <c r="CV1814" s="1389" t="s">
        <v>11355</v>
      </c>
      <c r="CX1814" s="1379">
        <v>1</v>
      </c>
    </row>
    <row r="1815" spans="91:102" ht="21" customHeight="1" x14ac:dyDescent="0.25">
      <c r="CM1815" s="1377"/>
      <c r="CN1815" s="1388" t="s">
        <v>12159</v>
      </c>
      <c r="CO1815" s="1388" t="s">
        <v>8128</v>
      </c>
      <c r="CP1815" s="1388" t="s">
        <v>8741</v>
      </c>
      <c r="CQ1815" s="1388" t="s">
        <v>12160</v>
      </c>
      <c r="CR1815" s="1388" t="s">
        <v>12161</v>
      </c>
      <c r="CS1815" s="1388" t="s">
        <v>11353</v>
      </c>
      <c r="CT1815" s="1388" t="s">
        <v>12121</v>
      </c>
      <c r="CU1815" s="1388" t="s">
        <v>8419</v>
      </c>
      <c r="CV1815" s="1389" t="s">
        <v>11355</v>
      </c>
      <c r="CX1815" s="1379">
        <v>1</v>
      </c>
    </row>
    <row r="1816" spans="91:102" ht="21" customHeight="1" x14ac:dyDescent="0.25">
      <c r="CM1816" s="1377"/>
      <c r="CN1816" s="1388" t="s">
        <v>12162</v>
      </c>
      <c r="CO1816" s="1388" t="s">
        <v>8128</v>
      </c>
      <c r="CP1816" s="1388" t="s">
        <v>8741</v>
      </c>
      <c r="CQ1816" s="1388" t="s">
        <v>12163</v>
      </c>
      <c r="CR1816" s="1388" t="s">
        <v>12163</v>
      </c>
      <c r="CS1816" s="1388" t="s">
        <v>11353</v>
      </c>
      <c r="CT1816" s="1388" t="s">
        <v>12121</v>
      </c>
      <c r="CU1816" s="1388" t="s">
        <v>8419</v>
      </c>
      <c r="CV1816" s="1389" t="s">
        <v>11355</v>
      </c>
      <c r="CX1816" s="1379">
        <v>1</v>
      </c>
    </row>
    <row r="1817" spans="91:102" ht="21" customHeight="1" x14ac:dyDescent="0.25">
      <c r="CM1817" s="1377"/>
      <c r="CN1817" s="1388" t="s">
        <v>12164</v>
      </c>
      <c r="CO1817" s="1388" t="s">
        <v>8128</v>
      </c>
      <c r="CP1817" s="1388" t="s">
        <v>8741</v>
      </c>
      <c r="CQ1817" s="1388" t="s">
        <v>12165</v>
      </c>
      <c r="CR1817" s="1388" t="s">
        <v>12165</v>
      </c>
      <c r="CS1817" s="1388" t="s">
        <v>8108</v>
      </c>
      <c r="CT1817" s="1388" t="s">
        <v>9207</v>
      </c>
      <c r="CU1817" s="1388" t="s">
        <v>8110</v>
      </c>
      <c r="CV1817" s="1389" t="s">
        <v>8111</v>
      </c>
      <c r="CX1817" s="1379">
        <v>1</v>
      </c>
    </row>
    <row r="1818" spans="91:102" ht="21" customHeight="1" x14ac:dyDescent="0.25">
      <c r="CM1818" s="1377"/>
      <c r="CN1818" s="1388" t="s">
        <v>12166</v>
      </c>
      <c r="CO1818" s="1388" t="s">
        <v>8128</v>
      </c>
      <c r="CP1818" s="1388" t="s">
        <v>8741</v>
      </c>
      <c r="CQ1818" s="1388" t="s">
        <v>12167</v>
      </c>
      <c r="CR1818" s="1388" t="s">
        <v>12168</v>
      </c>
      <c r="CS1818" s="1388" t="s">
        <v>11353</v>
      </c>
      <c r="CT1818" s="1388" t="s">
        <v>12121</v>
      </c>
      <c r="CU1818" s="1388" t="s">
        <v>8419</v>
      </c>
      <c r="CV1818" s="1389" t="s">
        <v>11355</v>
      </c>
      <c r="CX1818" s="1379">
        <v>1</v>
      </c>
    </row>
    <row r="1819" spans="91:102" ht="21" customHeight="1" x14ac:dyDescent="0.25">
      <c r="CM1819" s="1377"/>
      <c r="CN1819" s="1388" t="s">
        <v>12169</v>
      </c>
      <c r="CO1819" s="1388" t="s">
        <v>8128</v>
      </c>
      <c r="CP1819" s="1388" t="s">
        <v>8741</v>
      </c>
      <c r="CQ1819" s="1388" t="s">
        <v>12170</v>
      </c>
      <c r="CR1819" s="1388" t="s">
        <v>12170</v>
      </c>
      <c r="CS1819" s="1388" t="s">
        <v>11353</v>
      </c>
      <c r="CT1819" s="1388" t="s">
        <v>12121</v>
      </c>
      <c r="CU1819" s="1388" t="s">
        <v>8419</v>
      </c>
      <c r="CV1819" s="1389" t="s">
        <v>11355</v>
      </c>
      <c r="CX1819" s="1379">
        <v>1</v>
      </c>
    </row>
    <row r="1820" spans="91:102" ht="21" customHeight="1" x14ac:dyDescent="0.25">
      <c r="CM1820" s="1377"/>
      <c r="CN1820" s="1388" t="s">
        <v>12171</v>
      </c>
      <c r="CO1820" s="1388" t="s">
        <v>8128</v>
      </c>
      <c r="CP1820" s="1388" t="s">
        <v>8741</v>
      </c>
      <c r="CQ1820" s="1388" t="s">
        <v>1729</v>
      </c>
      <c r="CR1820" s="1388" t="s">
        <v>1729</v>
      </c>
      <c r="CS1820" s="1388" t="s">
        <v>11353</v>
      </c>
      <c r="CT1820" s="1388" t="s">
        <v>12121</v>
      </c>
      <c r="CU1820" s="1388" t="s">
        <v>8419</v>
      </c>
      <c r="CV1820" s="1389" t="s">
        <v>11355</v>
      </c>
      <c r="CX1820" s="1379">
        <v>1</v>
      </c>
    </row>
    <row r="1821" spans="91:102" ht="21" customHeight="1" x14ac:dyDescent="0.25">
      <c r="CM1821" s="1377"/>
      <c r="CN1821" s="1388" t="s">
        <v>12172</v>
      </c>
      <c r="CO1821" s="1388" t="s">
        <v>8128</v>
      </c>
      <c r="CP1821" s="1388" t="s">
        <v>8741</v>
      </c>
      <c r="CQ1821" s="1388" t="s">
        <v>12173</v>
      </c>
      <c r="CR1821" s="1388" t="s">
        <v>12174</v>
      </c>
      <c r="CS1821" s="1388" t="s">
        <v>11353</v>
      </c>
      <c r="CT1821" s="1388" t="s">
        <v>12121</v>
      </c>
      <c r="CU1821" s="1388" t="s">
        <v>8419</v>
      </c>
      <c r="CV1821" s="1389" t="s">
        <v>11355</v>
      </c>
      <c r="CX1821" s="1379">
        <v>1</v>
      </c>
    </row>
    <row r="1822" spans="91:102" ht="21" customHeight="1" x14ac:dyDescent="0.25">
      <c r="CM1822" s="1377"/>
      <c r="CN1822" s="1388" t="s">
        <v>12175</v>
      </c>
      <c r="CO1822" s="1388" t="s">
        <v>8128</v>
      </c>
      <c r="CP1822" s="1388" t="s">
        <v>8741</v>
      </c>
      <c r="CQ1822" s="1388" t="s">
        <v>12176</v>
      </c>
      <c r="CR1822" s="1388" t="s">
        <v>12176</v>
      </c>
      <c r="CS1822" s="1388" t="s">
        <v>11353</v>
      </c>
      <c r="CT1822" s="1388" t="s">
        <v>12121</v>
      </c>
      <c r="CU1822" s="1388" t="s">
        <v>8419</v>
      </c>
      <c r="CV1822" s="1389" t="s">
        <v>11355</v>
      </c>
      <c r="CX1822" s="1379">
        <v>1</v>
      </c>
    </row>
    <row r="1823" spans="91:102" ht="21" customHeight="1" x14ac:dyDescent="0.25">
      <c r="CM1823" s="1377"/>
      <c r="CN1823" s="1388" t="s">
        <v>12177</v>
      </c>
      <c r="CO1823" s="1388" t="s">
        <v>8128</v>
      </c>
      <c r="CP1823" s="1388" t="s">
        <v>8741</v>
      </c>
      <c r="CQ1823" s="1388" t="s">
        <v>12178</v>
      </c>
      <c r="CR1823" s="1388" t="s">
        <v>12178</v>
      </c>
      <c r="CS1823" s="1388" t="s">
        <v>11353</v>
      </c>
      <c r="CT1823" s="1388" t="s">
        <v>12121</v>
      </c>
      <c r="CU1823" s="1388" t="s">
        <v>8419</v>
      </c>
      <c r="CV1823" s="1389" t="s">
        <v>11355</v>
      </c>
      <c r="CX1823" s="1379">
        <v>1</v>
      </c>
    </row>
    <row r="1824" spans="91:102" ht="21" customHeight="1" x14ac:dyDescent="0.25">
      <c r="CM1824" s="1377"/>
      <c r="CN1824" s="1388" t="s">
        <v>12179</v>
      </c>
      <c r="CO1824" s="1388" t="s">
        <v>8128</v>
      </c>
      <c r="CP1824" s="1388" t="s">
        <v>8741</v>
      </c>
      <c r="CQ1824" s="1388" t="s">
        <v>11638</v>
      </c>
      <c r="CR1824" s="1388" t="s">
        <v>11638</v>
      </c>
      <c r="CS1824" s="1388" t="s">
        <v>11353</v>
      </c>
      <c r="CT1824" s="1388" t="s">
        <v>12121</v>
      </c>
      <c r="CU1824" s="1388" t="s">
        <v>8419</v>
      </c>
      <c r="CV1824" s="1389" t="s">
        <v>11355</v>
      </c>
      <c r="CX1824" s="1379">
        <v>1</v>
      </c>
    </row>
    <row r="1825" spans="91:102" ht="21" customHeight="1" x14ac:dyDescent="0.25">
      <c r="CM1825" s="1377"/>
      <c r="CN1825" s="1388" t="s">
        <v>12180</v>
      </c>
      <c r="CO1825" s="1388" t="s">
        <v>8128</v>
      </c>
      <c r="CP1825" s="1388" t="s">
        <v>8741</v>
      </c>
      <c r="CQ1825" s="1388" t="s">
        <v>3240</v>
      </c>
      <c r="CR1825" s="1388" t="s">
        <v>3240</v>
      </c>
      <c r="CS1825" s="1388" t="s">
        <v>8108</v>
      </c>
      <c r="CT1825" s="1388" t="s">
        <v>9207</v>
      </c>
      <c r="CU1825" s="1388" t="s">
        <v>8110</v>
      </c>
      <c r="CV1825" s="1389" t="s">
        <v>8111</v>
      </c>
      <c r="CX1825" s="1379">
        <v>1</v>
      </c>
    </row>
    <row r="1826" spans="91:102" ht="21" customHeight="1" x14ac:dyDescent="0.25">
      <c r="CM1826" s="1377"/>
      <c r="CN1826" s="1388" t="s">
        <v>12181</v>
      </c>
      <c r="CO1826" s="1388" t="s">
        <v>8128</v>
      </c>
      <c r="CP1826" s="1388" t="s">
        <v>8741</v>
      </c>
      <c r="CQ1826" s="1388" t="s">
        <v>12182</v>
      </c>
      <c r="CR1826" s="1388" t="s">
        <v>12182</v>
      </c>
      <c r="CS1826" s="1388" t="s">
        <v>11353</v>
      </c>
      <c r="CT1826" s="1388" t="s">
        <v>12121</v>
      </c>
      <c r="CU1826" s="1388" t="s">
        <v>8419</v>
      </c>
      <c r="CV1826" s="1389" t="s">
        <v>11355</v>
      </c>
      <c r="CX1826" s="1379">
        <v>1</v>
      </c>
    </row>
    <row r="1827" spans="91:102" ht="21" customHeight="1" x14ac:dyDescent="0.25">
      <c r="CM1827" s="1377"/>
      <c r="CN1827" s="1388" t="s">
        <v>12183</v>
      </c>
      <c r="CO1827" s="1388" t="s">
        <v>8128</v>
      </c>
      <c r="CP1827" s="1388" t="s">
        <v>8741</v>
      </c>
      <c r="CQ1827" s="1388" t="s">
        <v>12184</v>
      </c>
      <c r="CR1827" s="1388" t="s">
        <v>12184</v>
      </c>
      <c r="CS1827" s="1388" t="s">
        <v>11353</v>
      </c>
      <c r="CT1827" s="1388" t="s">
        <v>12121</v>
      </c>
      <c r="CU1827" s="1388" t="s">
        <v>8419</v>
      </c>
      <c r="CV1827" s="1389" t="s">
        <v>11355</v>
      </c>
      <c r="CX1827" s="1379">
        <v>1</v>
      </c>
    </row>
    <row r="1828" spans="91:102" ht="21" customHeight="1" x14ac:dyDescent="0.25">
      <c r="CM1828" s="1377"/>
      <c r="CN1828" s="1388" t="s">
        <v>12185</v>
      </c>
      <c r="CO1828" s="1388" t="s">
        <v>8128</v>
      </c>
      <c r="CP1828" s="1388" t="s">
        <v>8741</v>
      </c>
      <c r="CQ1828" s="1388" t="s">
        <v>1482</v>
      </c>
      <c r="CR1828" s="1388" t="s">
        <v>1482</v>
      </c>
      <c r="CS1828" s="1388" t="s">
        <v>8108</v>
      </c>
      <c r="CT1828" s="1388" t="s">
        <v>9207</v>
      </c>
      <c r="CU1828" s="1388" t="s">
        <v>8110</v>
      </c>
      <c r="CV1828" s="1389" t="s">
        <v>8111</v>
      </c>
      <c r="CX1828" s="1379">
        <v>1</v>
      </c>
    </row>
    <row r="1829" spans="91:102" ht="21" customHeight="1" x14ac:dyDescent="0.25">
      <c r="CM1829" s="1377"/>
      <c r="CN1829" s="1388" t="s">
        <v>12186</v>
      </c>
      <c r="CO1829" s="1388" t="s">
        <v>8128</v>
      </c>
      <c r="CP1829" s="1388" t="s">
        <v>8741</v>
      </c>
      <c r="CQ1829" s="1388" t="s">
        <v>12187</v>
      </c>
      <c r="CR1829" s="1388" t="s">
        <v>12187</v>
      </c>
      <c r="CS1829" s="1388" t="s">
        <v>11353</v>
      </c>
      <c r="CT1829" s="1388" t="s">
        <v>12121</v>
      </c>
      <c r="CU1829" s="1388" t="s">
        <v>8419</v>
      </c>
      <c r="CV1829" s="1389" t="s">
        <v>11355</v>
      </c>
      <c r="CX1829" s="1379">
        <v>1</v>
      </c>
    </row>
    <row r="1830" spans="91:102" ht="21" customHeight="1" x14ac:dyDescent="0.25">
      <c r="CM1830" s="1377"/>
      <c r="CN1830" s="1388" t="s">
        <v>12188</v>
      </c>
      <c r="CO1830" s="1388" t="s">
        <v>8128</v>
      </c>
      <c r="CP1830" s="1388" t="s">
        <v>8741</v>
      </c>
      <c r="CQ1830" s="1388" t="s">
        <v>12189</v>
      </c>
      <c r="CR1830" s="1388" t="s">
        <v>12189</v>
      </c>
      <c r="CS1830" s="1388" t="s">
        <v>11353</v>
      </c>
      <c r="CT1830" s="1388" t="s">
        <v>12121</v>
      </c>
      <c r="CU1830" s="1388" t="s">
        <v>8419</v>
      </c>
      <c r="CV1830" s="1389" t="s">
        <v>11355</v>
      </c>
      <c r="CX1830" s="1379">
        <v>1</v>
      </c>
    </row>
    <row r="1831" spans="91:102" ht="21" customHeight="1" x14ac:dyDescent="0.25">
      <c r="CM1831" s="1377"/>
      <c r="CN1831" s="1388" t="s">
        <v>12190</v>
      </c>
      <c r="CO1831" s="1388" t="s">
        <v>8128</v>
      </c>
      <c r="CP1831" s="1388" t="s">
        <v>8741</v>
      </c>
      <c r="CQ1831" s="1388" t="s">
        <v>12191</v>
      </c>
      <c r="CR1831" s="1388" t="s">
        <v>12191</v>
      </c>
      <c r="CS1831" s="1388" t="s">
        <v>8108</v>
      </c>
      <c r="CT1831" s="1388" t="s">
        <v>9207</v>
      </c>
      <c r="CU1831" s="1388" t="s">
        <v>8110</v>
      </c>
      <c r="CV1831" s="1389" t="s">
        <v>8111</v>
      </c>
      <c r="CX1831" s="1379">
        <v>1</v>
      </c>
    </row>
    <row r="1832" spans="91:102" ht="21" customHeight="1" x14ac:dyDescent="0.25">
      <c r="CM1832" s="1377"/>
      <c r="CN1832" s="1388" t="s">
        <v>12192</v>
      </c>
      <c r="CO1832" s="1388" t="s">
        <v>8128</v>
      </c>
      <c r="CP1832" s="1388" t="s">
        <v>8741</v>
      </c>
      <c r="CQ1832" s="1388" t="s">
        <v>12193</v>
      </c>
      <c r="CR1832" s="1388" t="s">
        <v>12194</v>
      </c>
      <c r="CS1832" s="1388" t="s">
        <v>11353</v>
      </c>
      <c r="CT1832" s="1388" t="s">
        <v>12121</v>
      </c>
      <c r="CU1832" s="1388" t="s">
        <v>8419</v>
      </c>
      <c r="CV1832" s="1389" t="s">
        <v>11355</v>
      </c>
      <c r="CX1832" s="1379">
        <v>1</v>
      </c>
    </row>
    <row r="1833" spans="91:102" ht="21" customHeight="1" x14ac:dyDescent="0.25">
      <c r="CM1833" s="1377"/>
      <c r="CN1833" s="1388" t="s">
        <v>12195</v>
      </c>
      <c r="CO1833" s="1388" t="s">
        <v>8128</v>
      </c>
      <c r="CP1833" s="1388" t="s">
        <v>8741</v>
      </c>
      <c r="CQ1833" s="1388" t="s">
        <v>11339</v>
      </c>
      <c r="CR1833" s="1388" t="s">
        <v>11339</v>
      </c>
      <c r="CS1833" s="1388" t="s">
        <v>8108</v>
      </c>
      <c r="CT1833" s="1388" t="s">
        <v>9207</v>
      </c>
      <c r="CU1833" s="1388" t="s">
        <v>8110</v>
      </c>
      <c r="CV1833" s="1389" t="s">
        <v>8111</v>
      </c>
      <c r="CX1833" s="1379">
        <v>1</v>
      </c>
    </row>
    <row r="1834" spans="91:102" ht="21" customHeight="1" x14ac:dyDescent="0.25">
      <c r="CM1834" s="1377"/>
      <c r="CN1834" s="1388" t="s">
        <v>12196</v>
      </c>
      <c r="CO1834" s="1388" t="s">
        <v>8128</v>
      </c>
      <c r="CP1834" s="1388" t="s">
        <v>8741</v>
      </c>
      <c r="CQ1834" s="1388" t="s">
        <v>1915</v>
      </c>
      <c r="CR1834" s="1388" t="s">
        <v>1915</v>
      </c>
      <c r="CS1834" s="1388" t="s">
        <v>8108</v>
      </c>
      <c r="CT1834" s="1388" t="s">
        <v>9207</v>
      </c>
      <c r="CU1834" s="1388" t="s">
        <v>8110</v>
      </c>
      <c r="CV1834" s="1389" t="s">
        <v>8111</v>
      </c>
      <c r="CX1834" s="1379">
        <v>1</v>
      </c>
    </row>
    <row r="1835" spans="91:102" ht="21" customHeight="1" x14ac:dyDescent="0.25">
      <c r="CM1835" s="1377"/>
      <c r="CN1835" s="1388" t="s">
        <v>12197</v>
      </c>
      <c r="CO1835" s="1388" t="s">
        <v>8128</v>
      </c>
      <c r="CP1835" s="1388" t="s">
        <v>8741</v>
      </c>
      <c r="CQ1835" s="1388" t="s">
        <v>12198</v>
      </c>
      <c r="CR1835" s="1388" t="s">
        <v>12198</v>
      </c>
      <c r="CS1835" s="1388" t="s">
        <v>11353</v>
      </c>
      <c r="CT1835" s="1388" t="s">
        <v>12121</v>
      </c>
      <c r="CU1835" s="1388" t="s">
        <v>8419</v>
      </c>
      <c r="CV1835" s="1389" t="s">
        <v>11355</v>
      </c>
      <c r="CX1835" s="1379">
        <v>1</v>
      </c>
    </row>
    <row r="1836" spans="91:102" ht="21" customHeight="1" x14ac:dyDescent="0.25">
      <c r="CM1836" s="1377"/>
      <c r="CN1836" s="1388" t="s">
        <v>12199</v>
      </c>
      <c r="CO1836" s="1388" t="s">
        <v>8128</v>
      </c>
      <c r="CP1836" s="1388" t="s">
        <v>8741</v>
      </c>
      <c r="CQ1836" s="1388" t="s">
        <v>12200</v>
      </c>
      <c r="CR1836" s="1388" t="s">
        <v>12200</v>
      </c>
      <c r="CS1836" s="1388" t="s">
        <v>11353</v>
      </c>
      <c r="CT1836" s="1388" t="s">
        <v>12121</v>
      </c>
      <c r="CU1836" s="1388" t="s">
        <v>8419</v>
      </c>
      <c r="CV1836" s="1389" t="s">
        <v>11355</v>
      </c>
      <c r="CX1836" s="1379">
        <v>1</v>
      </c>
    </row>
    <row r="1837" spans="91:102" ht="21" customHeight="1" x14ac:dyDescent="0.25">
      <c r="CM1837" s="1377"/>
      <c r="CN1837" s="1388" t="s">
        <v>12201</v>
      </c>
      <c r="CO1837" s="1388" t="s">
        <v>8128</v>
      </c>
      <c r="CP1837" s="1388" t="s">
        <v>8741</v>
      </c>
      <c r="CQ1837" s="1388" t="s">
        <v>12202</v>
      </c>
      <c r="CR1837" s="1388" t="s">
        <v>12202</v>
      </c>
      <c r="CS1837" s="1388" t="s">
        <v>8108</v>
      </c>
      <c r="CT1837" s="1388" t="s">
        <v>9207</v>
      </c>
      <c r="CU1837" s="1388" t="s">
        <v>8110</v>
      </c>
      <c r="CV1837" s="1389" t="s">
        <v>8111</v>
      </c>
      <c r="CX1837" s="1379">
        <v>1</v>
      </c>
    </row>
    <row r="1838" spans="91:102" ht="21" customHeight="1" x14ac:dyDescent="0.25">
      <c r="CM1838" s="1377"/>
      <c r="CN1838" s="1388" t="s">
        <v>12203</v>
      </c>
      <c r="CO1838" s="1388" t="s">
        <v>8128</v>
      </c>
      <c r="CP1838" s="1388" t="s">
        <v>8741</v>
      </c>
      <c r="CQ1838" s="1388" t="s">
        <v>12204</v>
      </c>
      <c r="CR1838" s="1388" t="s">
        <v>12204</v>
      </c>
      <c r="CS1838" s="1388" t="s">
        <v>8108</v>
      </c>
      <c r="CT1838" s="1388" t="s">
        <v>9207</v>
      </c>
      <c r="CU1838" s="1388" t="s">
        <v>8110</v>
      </c>
      <c r="CV1838" s="1389" t="s">
        <v>8111</v>
      </c>
      <c r="CX1838" s="1379">
        <v>1</v>
      </c>
    </row>
    <row r="1839" spans="91:102" ht="21" customHeight="1" x14ac:dyDescent="0.25">
      <c r="CM1839" s="1377"/>
      <c r="CN1839" s="1388" t="s">
        <v>12205</v>
      </c>
      <c r="CO1839" s="1388" t="s">
        <v>8128</v>
      </c>
      <c r="CP1839" s="1388" t="s">
        <v>8741</v>
      </c>
      <c r="CQ1839" s="1388" t="s">
        <v>12206</v>
      </c>
      <c r="CR1839" s="1388" t="s">
        <v>12207</v>
      </c>
      <c r="CS1839" s="1388" t="s">
        <v>11353</v>
      </c>
      <c r="CT1839" s="1388" t="s">
        <v>12121</v>
      </c>
      <c r="CU1839" s="1388" t="s">
        <v>8419</v>
      </c>
      <c r="CV1839" s="1389" t="s">
        <v>11355</v>
      </c>
      <c r="CX1839" s="1379">
        <v>1</v>
      </c>
    </row>
    <row r="1840" spans="91:102" ht="21" customHeight="1" x14ac:dyDescent="0.25">
      <c r="CM1840" s="1377"/>
      <c r="CN1840" s="1388" t="s">
        <v>12208</v>
      </c>
      <c r="CO1840" s="1388" t="s">
        <v>8128</v>
      </c>
      <c r="CP1840" s="1388" t="s">
        <v>8741</v>
      </c>
      <c r="CQ1840" s="1388" t="s">
        <v>12209</v>
      </c>
      <c r="CR1840" s="1388" t="s">
        <v>12209</v>
      </c>
      <c r="CS1840" s="1388" t="s">
        <v>8194</v>
      </c>
      <c r="CT1840" s="1388" t="s">
        <v>8748</v>
      </c>
      <c r="CU1840" s="1388" t="s">
        <v>8110</v>
      </c>
      <c r="CV1840" s="1389" t="s">
        <v>8196</v>
      </c>
      <c r="CX1840" s="1379">
        <v>1</v>
      </c>
    </row>
    <row r="1841" spans="91:102" ht="21" customHeight="1" x14ac:dyDescent="0.25">
      <c r="CM1841" s="1377"/>
      <c r="CN1841" s="1388" t="s">
        <v>12210</v>
      </c>
      <c r="CO1841" s="1388" t="s">
        <v>8128</v>
      </c>
      <c r="CP1841" s="1388" t="s">
        <v>8741</v>
      </c>
      <c r="CQ1841" s="1388" t="s">
        <v>12211</v>
      </c>
      <c r="CR1841" s="1388" t="s">
        <v>12212</v>
      </c>
      <c r="CS1841" s="1388" t="s">
        <v>8108</v>
      </c>
      <c r="CT1841" s="1388" t="s">
        <v>9207</v>
      </c>
      <c r="CU1841" s="1388" t="s">
        <v>8110</v>
      </c>
      <c r="CV1841" s="1389" t="s">
        <v>8111</v>
      </c>
      <c r="CX1841" s="1379">
        <v>1</v>
      </c>
    </row>
    <row r="1842" spans="91:102" ht="21" customHeight="1" x14ac:dyDescent="0.25">
      <c r="CM1842" s="1377"/>
      <c r="CN1842" s="1388" t="s">
        <v>12213</v>
      </c>
      <c r="CO1842" s="1388" t="s">
        <v>8128</v>
      </c>
      <c r="CP1842" s="1388" t="s">
        <v>8741</v>
      </c>
      <c r="CQ1842" s="1388" t="s">
        <v>12214</v>
      </c>
      <c r="CR1842" s="1388" t="s">
        <v>12214</v>
      </c>
      <c r="CS1842" s="1388" t="s">
        <v>11353</v>
      </c>
      <c r="CT1842" s="1388" t="s">
        <v>12121</v>
      </c>
      <c r="CU1842" s="1388" t="s">
        <v>8419</v>
      </c>
      <c r="CV1842" s="1389" t="s">
        <v>11355</v>
      </c>
      <c r="CX1842" s="1379">
        <v>1</v>
      </c>
    </row>
    <row r="1843" spans="91:102" ht="21" customHeight="1" x14ac:dyDescent="0.25">
      <c r="CM1843" s="1377"/>
      <c r="CN1843" s="1388" t="s">
        <v>12215</v>
      </c>
      <c r="CO1843" s="1388" t="s">
        <v>8128</v>
      </c>
      <c r="CP1843" s="1388" t="s">
        <v>8741</v>
      </c>
      <c r="CQ1843" s="1388" t="s">
        <v>12216</v>
      </c>
      <c r="CR1843" s="1388" t="s">
        <v>12216</v>
      </c>
      <c r="CS1843" s="1388" t="s">
        <v>11353</v>
      </c>
      <c r="CT1843" s="1388" t="s">
        <v>12121</v>
      </c>
      <c r="CU1843" s="1388" t="s">
        <v>8419</v>
      </c>
      <c r="CV1843" s="1389" t="s">
        <v>11355</v>
      </c>
      <c r="CX1843" s="1379">
        <v>1</v>
      </c>
    </row>
    <row r="1844" spans="91:102" ht="21" customHeight="1" x14ac:dyDescent="0.25">
      <c r="CM1844" s="1377"/>
      <c r="CN1844" s="1388" t="s">
        <v>12217</v>
      </c>
      <c r="CO1844" s="1388" t="s">
        <v>8128</v>
      </c>
      <c r="CP1844" s="1388" t="s">
        <v>8741</v>
      </c>
      <c r="CQ1844" s="1388" t="s">
        <v>499</v>
      </c>
      <c r="CR1844" s="1388" t="s">
        <v>681</v>
      </c>
      <c r="CS1844" s="1388" t="s">
        <v>8108</v>
      </c>
      <c r="CT1844" s="1388" t="s">
        <v>9207</v>
      </c>
      <c r="CU1844" s="1388" t="s">
        <v>8110</v>
      </c>
      <c r="CV1844" s="1389" t="s">
        <v>8111</v>
      </c>
      <c r="CX1844" s="1379">
        <v>1</v>
      </c>
    </row>
    <row r="1845" spans="91:102" ht="21" customHeight="1" x14ac:dyDescent="0.25">
      <c r="CM1845" s="1377"/>
      <c r="CN1845" s="1388" t="s">
        <v>12218</v>
      </c>
      <c r="CO1845" s="1388" t="s">
        <v>8128</v>
      </c>
      <c r="CP1845" s="1388" t="s">
        <v>8741</v>
      </c>
      <c r="CQ1845" s="1388" t="s">
        <v>12219</v>
      </c>
      <c r="CR1845" s="1388" t="s">
        <v>12220</v>
      </c>
      <c r="CS1845" s="1388" t="s">
        <v>8108</v>
      </c>
      <c r="CT1845" s="1388" t="s">
        <v>9207</v>
      </c>
      <c r="CU1845" s="1388" t="s">
        <v>8110</v>
      </c>
      <c r="CV1845" s="1389" t="s">
        <v>8111</v>
      </c>
      <c r="CX1845" s="1379">
        <v>1</v>
      </c>
    </row>
    <row r="1846" spans="91:102" ht="21" customHeight="1" x14ac:dyDescent="0.25">
      <c r="CM1846" s="1377"/>
      <c r="CN1846" s="1388" t="s">
        <v>12221</v>
      </c>
      <c r="CO1846" s="1388" t="s">
        <v>8128</v>
      </c>
      <c r="CP1846" s="1388" t="s">
        <v>8741</v>
      </c>
      <c r="CQ1846" s="1388" t="s">
        <v>12222</v>
      </c>
      <c r="CR1846" s="1388" t="s">
        <v>12223</v>
      </c>
      <c r="CS1846" s="1388" t="s">
        <v>11353</v>
      </c>
      <c r="CT1846" s="1388" t="s">
        <v>12121</v>
      </c>
      <c r="CU1846" s="1388" t="s">
        <v>8419</v>
      </c>
      <c r="CV1846" s="1389" t="s">
        <v>11355</v>
      </c>
      <c r="CX1846" s="1379">
        <v>1</v>
      </c>
    </row>
    <row r="1847" spans="91:102" ht="21" customHeight="1" x14ac:dyDescent="0.25">
      <c r="CM1847" s="1377"/>
      <c r="CN1847" s="1388" t="s">
        <v>12224</v>
      </c>
      <c r="CO1847" s="1388" t="s">
        <v>8128</v>
      </c>
      <c r="CP1847" s="1388" t="s">
        <v>8741</v>
      </c>
      <c r="CQ1847" s="1388" t="s">
        <v>8763</v>
      </c>
      <c r="CR1847" s="1388" t="s">
        <v>8763</v>
      </c>
      <c r="CS1847" s="1388" t="s">
        <v>8108</v>
      </c>
      <c r="CT1847" s="1388" t="s">
        <v>9207</v>
      </c>
      <c r="CU1847" s="1388" t="s">
        <v>8110</v>
      </c>
      <c r="CV1847" s="1389" t="s">
        <v>8111</v>
      </c>
      <c r="CX1847" s="1379">
        <v>1</v>
      </c>
    </row>
    <row r="1848" spans="91:102" ht="21" customHeight="1" x14ac:dyDescent="0.25">
      <c r="CM1848" s="1377"/>
      <c r="CN1848" s="1388" t="s">
        <v>12225</v>
      </c>
      <c r="CO1848" s="1388" t="s">
        <v>8128</v>
      </c>
      <c r="CP1848" s="1388" t="s">
        <v>8741</v>
      </c>
      <c r="CQ1848" s="1388" t="s">
        <v>2265</v>
      </c>
      <c r="CR1848" s="1388" t="s">
        <v>2265</v>
      </c>
      <c r="CS1848" s="1388" t="s">
        <v>11353</v>
      </c>
      <c r="CT1848" s="1388" t="s">
        <v>12121</v>
      </c>
      <c r="CU1848" s="1388" t="s">
        <v>8419</v>
      </c>
      <c r="CV1848" s="1389" t="s">
        <v>11355</v>
      </c>
      <c r="CX1848" s="1379">
        <v>1</v>
      </c>
    </row>
    <row r="1849" spans="91:102" ht="21" customHeight="1" x14ac:dyDescent="0.25">
      <c r="CM1849" s="1377"/>
      <c r="CN1849" s="1388" t="s">
        <v>12226</v>
      </c>
      <c r="CO1849" s="1388" t="s">
        <v>8128</v>
      </c>
      <c r="CP1849" s="1388" t="s">
        <v>8741</v>
      </c>
      <c r="CQ1849" s="1388" t="s">
        <v>12227</v>
      </c>
      <c r="CR1849" s="1388" t="s">
        <v>12227</v>
      </c>
      <c r="CS1849" s="1388" t="s">
        <v>11353</v>
      </c>
      <c r="CT1849" s="1388" t="s">
        <v>12121</v>
      </c>
      <c r="CU1849" s="1388" t="s">
        <v>8419</v>
      </c>
      <c r="CV1849" s="1389" t="s">
        <v>11355</v>
      </c>
      <c r="CX1849" s="1379">
        <v>1</v>
      </c>
    </row>
    <row r="1850" spans="91:102" ht="21" customHeight="1" x14ac:dyDescent="0.25">
      <c r="CM1850" s="1377"/>
      <c r="CN1850" s="1388" t="s">
        <v>12228</v>
      </c>
      <c r="CO1850" s="1388" t="s">
        <v>8128</v>
      </c>
      <c r="CP1850" s="1388" t="s">
        <v>8741</v>
      </c>
      <c r="CQ1850" s="1388" t="s">
        <v>12229</v>
      </c>
      <c r="CR1850" s="1388" t="s">
        <v>12230</v>
      </c>
      <c r="CS1850" s="1388" t="s">
        <v>11353</v>
      </c>
      <c r="CT1850" s="1388" t="s">
        <v>12121</v>
      </c>
      <c r="CU1850" s="1388" t="s">
        <v>8419</v>
      </c>
      <c r="CV1850" s="1389" t="s">
        <v>11355</v>
      </c>
      <c r="CX1850" s="1379">
        <v>1</v>
      </c>
    </row>
    <row r="1851" spans="91:102" ht="21" customHeight="1" x14ac:dyDescent="0.25">
      <c r="CM1851" s="1377"/>
      <c r="CN1851" s="1388" t="s">
        <v>12231</v>
      </c>
      <c r="CO1851" s="1388" t="s">
        <v>8128</v>
      </c>
      <c r="CP1851" s="1388" t="s">
        <v>8741</v>
      </c>
      <c r="CQ1851" s="1388" t="s">
        <v>977</v>
      </c>
      <c r="CR1851" s="1388" t="s">
        <v>977</v>
      </c>
      <c r="CS1851" s="1388" t="s">
        <v>11353</v>
      </c>
      <c r="CT1851" s="1388" t="s">
        <v>12121</v>
      </c>
      <c r="CU1851" s="1388" t="s">
        <v>8419</v>
      </c>
      <c r="CV1851" s="1389" t="s">
        <v>11355</v>
      </c>
      <c r="CX1851" s="1379">
        <v>1</v>
      </c>
    </row>
    <row r="1852" spans="91:102" ht="21" customHeight="1" x14ac:dyDescent="0.25">
      <c r="CM1852" s="1377"/>
      <c r="CN1852" s="1388" t="s">
        <v>12232</v>
      </c>
      <c r="CO1852" s="1388" t="s">
        <v>8128</v>
      </c>
      <c r="CP1852" s="1388" t="s">
        <v>8741</v>
      </c>
      <c r="CQ1852" s="1388" t="s">
        <v>8765</v>
      </c>
      <c r="CR1852" s="1388" t="s">
        <v>8766</v>
      </c>
      <c r="CS1852" s="1388" t="s">
        <v>8194</v>
      </c>
      <c r="CT1852" s="1388" t="s">
        <v>8748</v>
      </c>
      <c r="CU1852" s="1388" t="s">
        <v>8110</v>
      </c>
      <c r="CV1852" s="1389" t="s">
        <v>8196</v>
      </c>
      <c r="CX1852" s="1379">
        <v>1</v>
      </c>
    </row>
    <row r="1853" spans="91:102" ht="21" customHeight="1" x14ac:dyDescent="0.25">
      <c r="CM1853" s="1377"/>
      <c r="CN1853" s="1388" t="s">
        <v>12233</v>
      </c>
      <c r="CO1853" s="1388" t="s">
        <v>8128</v>
      </c>
      <c r="CP1853" s="1388" t="s">
        <v>8741</v>
      </c>
      <c r="CQ1853" s="1388" t="s">
        <v>12234</v>
      </c>
      <c r="CR1853" s="1388" t="s">
        <v>12234</v>
      </c>
      <c r="CS1853" s="1388" t="s">
        <v>8108</v>
      </c>
      <c r="CT1853" s="1388" t="s">
        <v>9207</v>
      </c>
      <c r="CU1853" s="1388" t="s">
        <v>8110</v>
      </c>
      <c r="CV1853" s="1389" t="s">
        <v>8111</v>
      </c>
      <c r="CX1853" s="1379">
        <v>1</v>
      </c>
    </row>
    <row r="1854" spans="91:102" ht="21" customHeight="1" x14ac:dyDescent="0.25">
      <c r="CM1854" s="1377"/>
      <c r="CN1854" s="1388" t="s">
        <v>12235</v>
      </c>
      <c r="CO1854" s="1388" t="s">
        <v>8128</v>
      </c>
      <c r="CP1854" s="1388" t="s">
        <v>8741</v>
      </c>
      <c r="CQ1854" s="1388" t="s">
        <v>12236</v>
      </c>
      <c r="CR1854" s="1388" t="s">
        <v>12236</v>
      </c>
      <c r="CS1854" s="1388" t="s">
        <v>11353</v>
      </c>
      <c r="CT1854" s="1388" t="s">
        <v>12121</v>
      </c>
      <c r="CU1854" s="1388" t="s">
        <v>8419</v>
      </c>
      <c r="CV1854" s="1389" t="s">
        <v>11355</v>
      </c>
      <c r="CX1854" s="1379">
        <v>1</v>
      </c>
    </row>
    <row r="1855" spans="91:102" ht="21" customHeight="1" x14ac:dyDescent="0.25">
      <c r="CM1855" s="1377"/>
      <c r="CN1855" s="1388" t="s">
        <v>12237</v>
      </c>
      <c r="CO1855" s="1388" t="s">
        <v>8128</v>
      </c>
      <c r="CP1855" s="1388" t="s">
        <v>8741</v>
      </c>
      <c r="CQ1855" s="1388" t="s">
        <v>12238</v>
      </c>
      <c r="CR1855" s="1388" t="s">
        <v>12238</v>
      </c>
      <c r="CS1855" s="1388" t="s">
        <v>8194</v>
      </c>
      <c r="CT1855" s="1388" t="s">
        <v>8748</v>
      </c>
      <c r="CU1855" s="1388" t="s">
        <v>8110</v>
      </c>
      <c r="CV1855" s="1389" t="s">
        <v>8196</v>
      </c>
      <c r="CX1855" s="1379">
        <v>1</v>
      </c>
    </row>
    <row r="1856" spans="91:102" ht="21" customHeight="1" x14ac:dyDescent="0.25">
      <c r="CM1856" s="1377"/>
      <c r="CN1856" s="1388" t="s">
        <v>12239</v>
      </c>
      <c r="CO1856" s="1388" t="s">
        <v>8128</v>
      </c>
      <c r="CP1856" s="1388" t="s">
        <v>8741</v>
      </c>
      <c r="CQ1856" s="1388" t="s">
        <v>12240</v>
      </c>
      <c r="CR1856" s="1388" t="s">
        <v>12241</v>
      </c>
      <c r="CS1856" s="1388" t="s">
        <v>11353</v>
      </c>
      <c r="CT1856" s="1388" t="s">
        <v>12121</v>
      </c>
      <c r="CU1856" s="1388" t="s">
        <v>8419</v>
      </c>
      <c r="CV1856" s="1389" t="s">
        <v>11355</v>
      </c>
      <c r="CX1856" s="1379">
        <v>1</v>
      </c>
    </row>
    <row r="1857" spans="91:102" ht="21" customHeight="1" x14ac:dyDescent="0.25">
      <c r="CM1857" s="1377"/>
      <c r="CN1857" s="1388" t="s">
        <v>12242</v>
      </c>
      <c r="CO1857" s="1388" t="s">
        <v>8128</v>
      </c>
      <c r="CP1857" s="1388" t="s">
        <v>8741</v>
      </c>
      <c r="CQ1857" s="1388" t="s">
        <v>4895</v>
      </c>
      <c r="CR1857" s="1388" t="s">
        <v>4895</v>
      </c>
      <c r="CS1857" s="1388" t="s">
        <v>8108</v>
      </c>
      <c r="CT1857" s="1388" t="s">
        <v>9207</v>
      </c>
      <c r="CU1857" s="1388" t="s">
        <v>8110</v>
      </c>
      <c r="CV1857" s="1389" t="s">
        <v>8111</v>
      </c>
      <c r="CX1857" s="1379">
        <v>1</v>
      </c>
    </row>
    <row r="1858" spans="91:102" ht="21" customHeight="1" x14ac:dyDescent="0.25">
      <c r="CM1858" s="1377"/>
      <c r="CN1858" s="1388" t="s">
        <v>12243</v>
      </c>
      <c r="CO1858" s="1388" t="s">
        <v>8128</v>
      </c>
      <c r="CP1858" s="1388" t="s">
        <v>8741</v>
      </c>
      <c r="CQ1858" s="1388" t="s">
        <v>12244</v>
      </c>
      <c r="CR1858" s="1388" t="s">
        <v>12244</v>
      </c>
      <c r="CS1858" s="1388" t="s">
        <v>11353</v>
      </c>
      <c r="CT1858" s="1388" t="s">
        <v>12121</v>
      </c>
      <c r="CU1858" s="1388" t="s">
        <v>8419</v>
      </c>
      <c r="CV1858" s="1389" t="s">
        <v>11355</v>
      </c>
      <c r="CX1858" s="1379">
        <v>1</v>
      </c>
    </row>
    <row r="1859" spans="91:102" ht="21" customHeight="1" x14ac:dyDescent="0.25">
      <c r="CM1859" s="1377"/>
      <c r="CN1859" s="1388" t="s">
        <v>12245</v>
      </c>
      <c r="CO1859" s="1388" t="s">
        <v>8128</v>
      </c>
      <c r="CP1859" s="1388" t="s">
        <v>8741</v>
      </c>
      <c r="CQ1859" s="1388" t="s">
        <v>12246</v>
      </c>
      <c r="CR1859" s="1388" t="s">
        <v>12246</v>
      </c>
      <c r="CS1859" s="1388" t="s">
        <v>11353</v>
      </c>
      <c r="CT1859" s="1388" t="s">
        <v>12121</v>
      </c>
      <c r="CU1859" s="1388" t="s">
        <v>8419</v>
      </c>
      <c r="CV1859" s="1389" t="s">
        <v>11355</v>
      </c>
      <c r="CX1859" s="1379">
        <v>1</v>
      </c>
    </row>
    <row r="1860" spans="91:102" ht="21" customHeight="1" x14ac:dyDescent="0.25">
      <c r="CM1860" s="1377"/>
      <c r="CN1860" s="1388" t="s">
        <v>12247</v>
      </c>
      <c r="CO1860" s="1388" t="s">
        <v>8128</v>
      </c>
      <c r="CP1860" s="1388" t="s">
        <v>8741</v>
      </c>
      <c r="CQ1860" s="1388" t="s">
        <v>12248</v>
      </c>
      <c r="CR1860" s="1388" t="s">
        <v>12248</v>
      </c>
      <c r="CS1860" s="1388" t="s">
        <v>11353</v>
      </c>
      <c r="CT1860" s="1388" t="s">
        <v>12121</v>
      </c>
      <c r="CU1860" s="1388" t="s">
        <v>8419</v>
      </c>
      <c r="CV1860" s="1389" t="s">
        <v>11355</v>
      </c>
      <c r="CX1860" s="1379">
        <v>1</v>
      </c>
    </row>
    <row r="1861" spans="91:102" ht="21" customHeight="1" x14ac:dyDescent="0.25">
      <c r="CM1861" s="1377"/>
      <c r="CN1861" s="1388" t="s">
        <v>12249</v>
      </c>
      <c r="CO1861" s="1388" t="s">
        <v>8128</v>
      </c>
      <c r="CP1861" s="1388" t="s">
        <v>8741</v>
      </c>
      <c r="CQ1861" s="1388" t="s">
        <v>9247</v>
      </c>
      <c r="CR1861" s="1388" t="s">
        <v>9247</v>
      </c>
      <c r="CS1861" s="1388" t="s">
        <v>8108</v>
      </c>
      <c r="CT1861" s="1388" t="s">
        <v>9207</v>
      </c>
      <c r="CU1861" s="1388" t="s">
        <v>8110</v>
      </c>
      <c r="CV1861" s="1389" t="s">
        <v>8111</v>
      </c>
      <c r="CX1861" s="1379">
        <v>1</v>
      </c>
    </row>
    <row r="1862" spans="91:102" ht="21" customHeight="1" x14ac:dyDescent="0.25">
      <c r="CM1862" s="1377"/>
      <c r="CN1862" s="1388" t="s">
        <v>12250</v>
      </c>
      <c r="CO1862" s="1388" t="s">
        <v>8128</v>
      </c>
      <c r="CP1862" s="1388" t="s">
        <v>8741</v>
      </c>
      <c r="CQ1862" s="1388" t="s">
        <v>12251</v>
      </c>
      <c r="CR1862" s="1388" t="s">
        <v>12251</v>
      </c>
      <c r="CS1862" s="1388" t="s">
        <v>11353</v>
      </c>
      <c r="CT1862" s="1388" t="s">
        <v>12121</v>
      </c>
      <c r="CU1862" s="1388" t="s">
        <v>8419</v>
      </c>
      <c r="CV1862" s="1389" t="s">
        <v>11355</v>
      </c>
      <c r="CX1862" s="1379">
        <v>1</v>
      </c>
    </row>
    <row r="1863" spans="91:102" ht="21" customHeight="1" x14ac:dyDescent="0.25">
      <c r="CM1863" s="1377"/>
      <c r="CN1863" s="1388" t="s">
        <v>12252</v>
      </c>
      <c r="CO1863" s="1388" t="s">
        <v>8128</v>
      </c>
      <c r="CP1863" s="1388" t="s">
        <v>8741</v>
      </c>
      <c r="CQ1863" s="1388" t="s">
        <v>3220</v>
      </c>
      <c r="CR1863" s="1388" t="s">
        <v>3220</v>
      </c>
      <c r="CS1863" s="1388" t="s">
        <v>11353</v>
      </c>
      <c r="CT1863" s="1388" t="s">
        <v>12121</v>
      </c>
      <c r="CU1863" s="1388" t="s">
        <v>8419</v>
      </c>
      <c r="CV1863" s="1389" t="s">
        <v>11355</v>
      </c>
      <c r="CX1863" s="1379">
        <v>1</v>
      </c>
    </row>
    <row r="1864" spans="91:102" ht="21" customHeight="1" x14ac:dyDescent="0.25">
      <c r="CM1864" s="1377"/>
      <c r="CN1864" s="1388" t="s">
        <v>12253</v>
      </c>
      <c r="CO1864" s="1388" t="s">
        <v>8128</v>
      </c>
      <c r="CP1864" s="1388" t="s">
        <v>8741</v>
      </c>
      <c r="CQ1864" s="1388" t="s">
        <v>10977</v>
      </c>
      <c r="CR1864" s="1388" t="s">
        <v>10977</v>
      </c>
      <c r="CS1864" s="1388" t="s">
        <v>11353</v>
      </c>
      <c r="CT1864" s="1388" t="s">
        <v>12121</v>
      </c>
      <c r="CU1864" s="1388" t="s">
        <v>8419</v>
      </c>
      <c r="CV1864" s="1389" t="s">
        <v>11355</v>
      </c>
      <c r="CX1864" s="1379">
        <v>1</v>
      </c>
    </row>
    <row r="1865" spans="91:102" ht="21" customHeight="1" x14ac:dyDescent="0.25">
      <c r="CM1865" s="1377"/>
      <c r="CN1865" s="1388" t="s">
        <v>12254</v>
      </c>
      <c r="CO1865" s="1388" t="s">
        <v>8128</v>
      </c>
      <c r="CP1865" s="1388" t="s">
        <v>8741</v>
      </c>
      <c r="CQ1865" s="1388" t="s">
        <v>9204</v>
      </c>
      <c r="CR1865" s="1388" t="s">
        <v>9204</v>
      </c>
      <c r="CS1865" s="1388" t="s">
        <v>11353</v>
      </c>
      <c r="CT1865" s="1388" t="s">
        <v>12121</v>
      </c>
      <c r="CU1865" s="1388" t="s">
        <v>8419</v>
      </c>
      <c r="CV1865" s="1389" t="s">
        <v>11355</v>
      </c>
      <c r="CX1865" s="1379">
        <v>1</v>
      </c>
    </row>
    <row r="1866" spans="91:102" ht="21" customHeight="1" x14ac:dyDescent="0.25">
      <c r="CM1866" s="1377"/>
      <c r="CN1866" s="1388" t="s">
        <v>12255</v>
      </c>
      <c r="CO1866" s="1388" t="s">
        <v>8128</v>
      </c>
      <c r="CP1866" s="1388" t="s">
        <v>8741</v>
      </c>
      <c r="CQ1866" s="1388" t="s">
        <v>12256</v>
      </c>
      <c r="CR1866" s="1388" t="s">
        <v>12256</v>
      </c>
      <c r="CS1866" s="1388" t="s">
        <v>11353</v>
      </c>
      <c r="CT1866" s="1388" t="s">
        <v>12121</v>
      </c>
      <c r="CU1866" s="1388" t="s">
        <v>8419</v>
      </c>
      <c r="CV1866" s="1389" t="s">
        <v>11355</v>
      </c>
      <c r="CX1866" s="1379">
        <v>1</v>
      </c>
    </row>
    <row r="1867" spans="91:102" ht="21" customHeight="1" x14ac:dyDescent="0.25">
      <c r="CM1867" s="1377"/>
      <c r="CN1867" s="1388" t="s">
        <v>12257</v>
      </c>
      <c r="CO1867" s="1388" t="s">
        <v>8128</v>
      </c>
      <c r="CP1867" s="1388" t="s">
        <v>8741</v>
      </c>
      <c r="CQ1867" s="1388" t="s">
        <v>12258</v>
      </c>
      <c r="CR1867" s="1388" t="s">
        <v>1615</v>
      </c>
      <c r="CS1867" s="1388" t="s">
        <v>8108</v>
      </c>
      <c r="CT1867" s="1388" t="s">
        <v>9207</v>
      </c>
      <c r="CU1867" s="1388" t="s">
        <v>8110</v>
      </c>
      <c r="CV1867" s="1389" t="s">
        <v>8111</v>
      </c>
      <c r="CX1867" s="1379">
        <v>1</v>
      </c>
    </row>
    <row r="1868" spans="91:102" ht="21" customHeight="1" x14ac:dyDescent="0.25">
      <c r="CM1868" s="1377"/>
      <c r="CN1868" s="1388" t="s">
        <v>12259</v>
      </c>
      <c r="CO1868" s="1388" t="s">
        <v>8128</v>
      </c>
      <c r="CP1868" s="1388" t="s">
        <v>8741</v>
      </c>
      <c r="CQ1868" s="1388" t="s">
        <v>8657</v>
      </c>
      <c r="CR1868" s="1388" t="s">
        <v>8657</v>
      </c>
      <c r="CS1868" s="1388" t="s">
        <v>8108</v>
      </c>
      <c r="CT1868" s="1388" t="s">
        <v>9207</v>
      </c>
      <c r="CU1868" s="1388" t="s">
        <v>8110</v>
      </c>
      <c r="CV1868" s="1389" t="s">
        <v>8111</v>
      </c>
      <c r="CX1868" s="1379">
        <v>1</v>
      </c>
    </row>
    <row r="1869" spans="91:102" ht="21" customHeight="1" x14ac:dyDescent="0.25">
      <c r="CM1869" s="1377"/>
      <c r="CN1869" s="1388" t="s">
        <v>12260</v>
      </c>
      <c r="CO1869" s="1388" t="s">
        <v>8128</v>
      </c>
      <c r="CP1869" s="1388" t="s">
        <v>8741</v>
      </c>
      <c r="CQ1869" s="1388" t="s">
        <v>12261</v>
      </c>
      <c r="CR1869" s="1388" t="s">
        <v>12261</v>
      </c>
      <c r="CS1869" s="1388" t="s">
        <v>8108</v>
      </c>
      <c r="CT1869" s="1388" t="s">
        <v>9207</v>
      </c>
      <c r="CU1869" s="1388" t="s">
        <v>8110</v>
      </c>
      <c r="CV1869" s="1389" t="s">
        <v>8111</v>
      </c>
      <c r="CX1869" s="1379">
        <v>1</v>
      </c>
    </row>
    <row r="1870" spans="91:102" ht="21" customHeight="1" x14ac:dyDescent="0.25">
      <c r="CM1870" s="1377"/>
      <c r="CN1870" s="1388" t="s">
        <v>12262</v>
      </c>
      <c r="CO1870" s="1388" t="s">
        <v>8128</v>
      </c>
      <c r="CP1870" s="1388" t="s">
        <v>9255</v>
      </c>
      <c r="CQ1870" s="1388" t="s">
        <v>9256</v>
      </c>
      <c r="CR1870" s="1388" t="s">
        <v>9256</v>
      </c>
      <c r="CS1870" s="1388" t="s">
        <v>8194</v>
      </c>
      <c r="CT1870" s="1388" t="s">
        <v>9257</v>
      </c>
      <c r="CU1870" s="1388" t="s">
        <v>8110</v>
      </c>
      <c r="CV1870" s="1389" t="s">
        <v>8196</v>
      </c>
      <c r="CX1870" s="1379">
        <v>1</v>
      </c>
    </row>
    <row r="1871" spans="91:102" ht="21" customHeight="1" x14ac:dyDescent="0.25">
      <c r="CM1871" s="1377"/>
      <c r="CN1871" s="1388" t="s">
        <v>12263</v>
      </c>
      <c r="CO1871" s="1388" t="s">
        <v>8128</v>
      </c>
      <c r="CP1871" s="1388" t="s">
        <v>9255</v>
      </c>
      <c r="CQ1871" s="1388" t="s">
        <v>9259</v>
      </c>
      <c r="CR1871" s="1388" t="s">
        <v>9260</v>
      </c>
      <c r="CS1871" s="1388" t="s">
        <v>8194</v>
      </c>
      <c r="CT1871" s="1388" t="s">
        <v>9257</v>
      </c>
      <c r="CU1871" s="1388" t="s">
        <v>8110</v>
      </c>
      <c r="CV1871" s="1389" t="s">
        <v>8196</v>
      </c>
      <c r="CX1871" s="1379">
        <v>1</v>
      </c>
    </row>
    <row r="1872" spans="91:102" ht="21" customHeight="1" x14ac:dyDescent="0.25">
      <c r="CM1872" s="1377"/>
      <c r="CN1872" s="1388" t="s">
        <v>12264</v>
      </c>
      <c r="CO1872" s="1388" t="s">
        <v>8128</v>
      </c>
      <c r="CP1872" s="1388" t="s">
        <v>9255</v>
      </c>
      <c r="CQ1872" s="1388" t="s">
        <v>9262</v>
      </c>
      <c r="CR1872" s="1388" t="s">
        <v>9263</v>
      </c>
      <c r="CS1872" s="1388" t="s">
        <v>8194</v>
      </c>
      <c r="CT1872" s="1388" t="s">
        <v>9257</v>
      </c>
      <c r="CU1872" s="1388" t="s">
        <v>8110</v>
      </c>
      <c r="CV1872" s="1389" t="s">
        <v>8196</v>
      </c>
      <c r="CX1872" s="1379">
        <v>1</v>
      </c>
    </row>
    <row r="1873" spans="91:102" ht="21" customHeight="1" x14ac:dyDescent="0.25">
      <c r="CM1873" s="1377"/>
      <c r="CN1873" s="1388" t="s">
        <v>12265</v>
      </c>
      <c r="CO1873" s="1388" t="s">
        <v>8128</v>
      </c>
      <c r="CP1873" s="1388" t="s">
        <v>9255</v>
      </c>
      <c r="CQ1873" s="1388" t="s">
        <v>9265</v>
      </c>
      <c r="CR1873" s="1388" t="s">
        <v>9266</v>
      </c>
      <c r="CS1873" s="1388" t="s">
        <v>8194</v>
      </c>
      <c r="CT1873" s="1388" t="s">
        <v>9257</v>
      </c>
      <c r="CU1873" s="1388" t="s">
        <v>8110</v>
      </c>
      <c r="CV1873" s="1389" t="s">
        <v>8196</v>
      </c>
      <c r="CX1873" s="1379">
        <v>1</v>
      </c>
    </row>
    <row r="1874" spans="91:102" ht="21" customHeight="1" x14ac:dyDescent="0.25">
      <c r="CM1874" s="1377"/>
      <c r="CN1874" s="1388" t="s">
        <v>12266</v>
      </c>
      <c r="CO1874" s="1388" t="s">
        <v>8128</v>
      </c>
      <c r="CP1874" s="1388" t="s">
        <v>9255</v>
      </c>
      <c r="CQ1874" s="1388" t="s">
        <v>8701</v>
      </c>
      <c r="CR1874" s="1388" t="s">
        <v>8702</v>
      </c>
      <c r="CS1874" s="1388" t="s">
        <v>8194</v>
      </c>
      <c r="CT1874" s="1388" t="s">
        <v>9257</v>
      </c>
      <c r="CU1874" s="1388" t="s">
        <v>8110</v>
      </c>
      <c r="CV1874" s="1389" t="s">
        <v>8196</v>
      </c>
      <c r="CX1874" s="1379">
        <v>1</v>
      </c>
    </row>
    <row r="1875" spans="91:102" ht="21" customHeight="1" x14ac:dyDescent="0.25">
      <c r="CM1875" s="1377"/>
      <c r="CN1875" s="1388" t="s">
        <v>12267</v>
      </c>
      <c r="CO1875" s="1388" t="s">
        <v>8128</v>
      </c>
      <c r="CP1875" s="1388" t="s">
        <v>9255</v>
      </c>
      <c r="CQ1875" s="1388" t="s">
        <v>8704</v>
      </c>
      <c r="CR1875" s="1388" t="s">
        <v>8705</v>
      </c>
      <c r="CS1875" s="1388" t="s">
        <v>8194</v>
      </c>
      <c r="CT1875" s="1388" t="s">
        <v>9257</v>
      </c>
      <c r="CU1875" s="1388" t="s">
        <v>8110</v>
      </c>
      <c r="CV1875" s="1389" t="s">
        <v>8196</v>
      </c>
      <c r="CX1875" s="1379">
        <v>1</v>
      </c>
    </row>
    <row r="1876" spans="91:102" ht="21" customHeight="1" x14ac:dyDescent="0.25">
      <c r="CM1876" s="1377"/>
      <c r="CN1876" s="1388" t="s">
        <v>12268</v>
      </c>
      <c r="CO1876" s="1388" t="s">
        <v>8128</v>
      </c>
      <c r="CP1876" s="1388" t="s">
        <v>9255</v>
      </c>
      <c r="CQ1876" s="1388" t="s">
        <v>8713</v>
      </c>
      <c r="CR1876" s="1388" t="s">
        <v>8714</v>
      </c>
      <c r="CS1876" s="1388" t="s">
        <v>8194</v>
      </c>
      <c r="CT1876" s="1388" t="s">
        <v>9257</v>
      </c>
      <c r="CU1876" s="1388" t="s">
        <v>8110</v>
      </c>
      <c r="CV1876" s="1389" t="s">
        <v>8196</v>
      </c>
      <c r="CX1876" s="1379">
        <v>1</v>
      </c>
    </row>
    <row r="1877" spans="91:102" ht="21" customHeight="1" x14ac:dyDescent="0.25">
      <c r="CM1877" s="1377"/>
      <c r="CN1877" s="1388" t="s">
        <v>12269</v>
      </c>
      <c r="CO1877" s="1388" t="s">
        <v>8128</v>
      </c>
      <c r="CP1877" s="1388" t="s">
        <v>9255</v>
      </c>
      <c r="CQ1877" s="1388" t="s">
        <v>9271</v>
      </c>
      <c r="CR1877" s="1388" t="s">
        <v>9271</v>
      </c>
      <c r="CS1877" s="1388" t="s">
        <v>8194</v>
      </c>
      <c r="CT1877" s="1388" t="s">
        <v>9257</v>
      </c>
      <c r="CU1877" s="1388" t="s">
        <v>8110</v>
      </c>
      <c r="CV1877" s="1389" t="s">
        <v>8196</v>
      </c>
      <c r="CX1877" s="1379">
        <v>1</v>
      </c>
    </row>
    <row r="1878" spans="91:102" ht="21" customHeight="1" x14ac:dyDescent="0.25">
      <c r="CM1878" s="1377"/>
      <c r="CN1878" s="1388" t="s">
        <v>12270</v>
      </c>
      <c r="CO1878" s="1388" t="s">
        <v>8128</v>
      </c>
      <c r="CP1878" s="1388" t="s">
        <v>9255</v>
      </c>
      <c r="CQ1878" s="1388" t="s">
        <v>9273</v>
      </c>
      <c r="CR1878" s="1388" t="s">
        <v>9273</v>
      </c>
      <c r="CS1878" s="1388" t="s">
        <v>8194</v>
      </c>
      <c r="CT1878" s="1388" t="s">
        <v>9257</v>
      </c>
      <c r="CU1878" s="1388" t="s">
        <v>8110</v>
      </c>
      <c r="CV1878" s="1389" t="s">
        <v>8196</v>
      </c>
      <c r="CX1878" s="1379">
        <v>1</v>
      </c>
    </row>
    <row r="1879" spans="91:102" ht="21" customHeight="1" x14ac:dyDescent="0.25">
      <c r="CM1879" s="1377"/>
      <c r="CN1879" s="1388" t="s">
        <v>12271</v>
      </c>
      <c r="CO1879" s="1388" t="s">
        <v>8129</v>
      </c>
      <c r="CP1879" s="1388" t="s">
        <v>8106</v>
      </c>
      <c r="CQ1879" s="1388" t="s">
        <v>12272</v>
      </c>
      <c r="CR1879" s="1388" t="s">
        <v>12272</v>
      </c>
      <c r="CS1879" s="1388" t="s">
        <v>8194</v>
      </c>
      <c r="CT1879" s="1388" t="s">
        <v>8195</v>
      </c>
      <c r="CU1879" s="1388" t="s">
        <v>8110</v>
      </c>
      <c r="CV1879" s="1389" t="s">
        <v>8196</v>
      </c>
      <c r="CX1879" s="1379">
        <v>1</v>
      </c>
    </row>
    <row r="1880" spans="91:102" ht="21" customHeight="1" x14ac:dyDescent="0.25">
      <c r="CM1880" s="1377"/>
      <c r="CN1880" s="1388" t="s">
        <v>12273</v>
      </c>
      <c r="CO1880" s="1388" t="s">
        <v>8129</v>
      </c>
      <c r="CP1880" s="1388" t="s">
        <v>8106</v>
      </c>
      <c r="CQ1880" s="1388" t="s">
        <v>12274</v>
      </c>
      <c r="CR1880" s="1388" t="s">
        <v>12274</v>
      </c>
      <c r="CS1880" s="1388" t="s">
        <v>8194</v>
      </c>
      <c r="CT1880" s="1388" t="s">
        <v>8195</v>
      </c>
      <c r="CU1880" s="1388" t="s">
        <v>8110</v>
      </c>
      <c r="CV1880" s="1389" t="s">
        <v>8196</v>
      </c>
      <c r="CX1880" s="1379">
        <v>1</v>
      </c>
    </row>
    <row r="1881" spans="91:102" ht="21" customHeight="1" x14ac:dyDescent="0.25">
      <c r="CM1881" s="1377"/>
      <c r="CN1881" s="1388" t="s">
        <v>12275</v>
      </c>
      <c r="CO1881" s="1388" t="s">
        <v>8129</v>
      </c>
      <c r="CP1881" s="1388" t="s">
        <v>8106</v>
      </c>
      <c r="CQ1881" s="1388" t="s">
        <v>12276</v>
      </c>
      <c r="CR1881" s="1388" t="s">
        <v>12276</v>
      </c>
      <c r="CS1881" s="1388" t="s">
        <v>8108</v>
      </c>
      <c r="CT1881" s="1388" t="s">
        <v>12277</v>
      </c>
      <c r="CU1881" s="1388" t="s">
        <v>8110</v>
      </c>
      <c r="CV1881" s="1389" t="s">
        <v>8111</v>
      </c>
      <c r="CX1881" s="1379">
        <v>1</v>
      </c>
    </row>
    <row r="1882" spans="91:102" ht="21" customHeight="1" x14ac:dyDescent="0.25">
      <c r="CM1882" s="1377"/>
      <c r="CN1882" s="1388" t="s">
        <v>12278</v>
      </c>
      <c r="CO1882" s="1388" t="s">
        <v>8129</v>
      </c>
      <c r="CP1882" s="1388" t="s">
        <v>8106</v>
      </c>
      <c r="CQ1882" s="1388" t="s">
        <v>12279</v>
      </c>
      <c r="CR1882" s="1388" t="s">
        <v>12279</v>
      </c>
      <c r="CS1882" s="1388" t="s">
        <v>8108</v>
      </c>
      <c r="CT1882" s="1388" t="s">
        <v>12277</v>
      </c>
      <c r="CU1882" s="1388" t="s">
        <v>8110</v>
      </c>
      <c r="CV1882" s="1389" t="s">
        <v>8111</v>
      </c>
      <c r="CX1882" s="1379">
        <v>1</v>
      </c>
    </row>
    <row r="1883" spans="91:102" ht="21" customHeight="1" x14ac:dyDescent="0.25">
      <c r="CM1883" s="1377"/>
      <c r="CN1883" s="1388" t="s">
        <v>12280</v>
      </c>
      <c r="CO1883" s="1388" t="s">
        <v>8129</v>
      </c>
      <c r="CP1883" s="1388" t="s">
        <v>8106</v>
      </c>
      <c r="CQ1883" s="1388" t="s">
        <v>12281</v>
      </c>
      <c r="CR1883" s="1388" t="s">
        <v>12281</v>
      </c>
      <c r="CS1883" s="1388" t="s">
        <v>8108</v>
      </c>
      <c r="CT1883" s="1388" t="s">
        <v>12277</v>
      </c>
      <c r="CU1883" s="1388" t="s">
        <v>8110</v>
      </c>
      <c r="CV1883" s="1389" t="s">
        <v>8111</v>
      </c>
      <c r="CX1883" s="1379">
        <v>1</v>
      </c>
    </row>
    <row r="1884" spans="91:102" ht="21" customHeight="1" x14ac:dyDescent="0.25">
      <c r="CM1884" s="1377"/>
      <c r="CN1884" s="1388" t="s">
        <v>12282</v>
      </c>
      <c r="CO1884" s="1388" t="s">
        <v>8129</v>
      </c>
      <c r="CP1884" s="1388" t="s">
        <v>8106</v>
      </c>
      <c r="CQ1884" s="1388" t="s">
        <v>12283</v>
      </c>
      <c r="CR1884" s="1388" t="s">
        <v>12283</v>
      </c>
      <c r="CS1884" s="1388" t="s">
        <v>8108</v>
      </c>
      <c r="CT1884" s="1388" t="s">
        <v>12277</v>
      </c>
      <c r="CU1884" s="1388" t="s">
        <v>8110</v>
      </c>
      <c r="CV1884" s="1389" t="s">
        <v>8111</v>
      </c>
      <c r="CX1884" s="1379">
        <v>1</v>
      </c>
    </row>
    <row r="1885" spans="91:102" ht="21" customHeight="1" x14ac:dyDescent="0.25">
      <c r="CM1885" s="1377"/>
      <c r="CN1885" s="1388" t="s">
        <v>12284</v>
      </c>
      <c r="CO1885" s="1388" t="s">
        <v>8129</v>
      </c>
      <c r="CP1885" s="1388" t="s">
        <v>8106</v>
      </c>
      <c r="CQ1885" s="1388" t="s">
        <v>12285</v>
      </c>
      <c r="CR1885" s="1388" t="s">
        <v>12285</v>
      </c>
      <c r="CS1885" s="1388" t="s">
        <v>8194</v>
      </c>
      <c r="CT1885" s="1388" t="s">
        <v>8195</v>
      </c>
      <c r="CU1885" s="1388" t="s">
        <v>8110</v>
      </c>
      <c r="CV1885" s="1389" t="s">
        <v>8196</v>
      </c>
      <c r="CX1885" s="1379">
        <v>1</v>
      </c>
    </row>
    <row r="1886" spans="91:102" ht="21" customHeight="1" x14ac:dyDescent="0.25">
      <c r="CM1886" s="1377"/>
      <c r="CN1886" s="1388" t="s">
        <v>12286</v>
      </c>
      <c r="CO1886" s="1388" t="s">
        <v>8129</v>
      </c>
      <c r="CP1886" s="1388" t="s">
        <v>8106</v>
      </c>
      <c r="CQ1886" s="1388" t="s">
        <v>12287</v>
      </c>
      <c r="CR1886" s="1388" t="s">
        <v>12287</v>
      </c>
      <c r="CS1886" s="1388" t="s">
        <v>8194</v>
      </c>
      <c r="CT1886" s="1388" t="s">
        <v>8195</v>
      </c>
      <c r="CU1886" s="1388" t="s">
        <v>8110</v>
      </c>
      <c r="CV1886" s="1389" t="s">
        <v>8196</v>
      </c>
      <c r="CX1886" s="1379">
        <v>1</v>
      </c>
    </row>
    <row r="1887" spans="91:102" ht="21" customHeight="1" x14ac:dyDescent="0.25">
      <c r="CM1887" s="1377"/>
      <c r="CN1887" s="1388" t="s">
        <v>12288</v>
      </c>
      <c r="CO1887" s="1388" t="s">
        <v>8129</v>
      </c>
      <c r="CP1887" s="1388" t="s">
        <v>8106</v>
      </c>
      <c r="CQ1887" s="1388" t="s">
        <v>12289</v>
      </c>
      <c r="CR1887" s="1388" t="s">
        <v>12289</v>
      </c>
      <c r="CS1887" s="1388" t="s">
        <v>8108</v>
      </c>
      <c r="CT1887" s="1388" t="s">
        <v>12277</v>
      </c>
      <c r="CU1887" s="1388" t="s">
        <v>8110</v>
      </c>
      <c r="CV1887" s="1389" t="s">
        <v>8111</v>
      </c>
      <c r="CX1887" s="1379">
        <v>1</v>
      </c>
    </row>
    <row r="1888" spans="91:102" ht="21" customHeight="1" x14ac:dyDescent="0.25">
      <c r="CM1888" s="1377"/>
      <c r="CN1888" s="1388" t="s">
        <v>12290</v>
      </c>
      <c r="CO1888" s="1388" t="s">
        <v>8129</v>
      </c>
      <c r="CP1888" s="1388" t="s">
        <v>8106</v>
      </c>
      <c r="CQ1888" s="1388" t="s">
        <v>12291</v>
      </c>
      <c r="CR1888" s="1388" t="s">
        <v>12291</v>
      </c>
      <c r="CS1888" s="1388" t="s">
        <v>8108</v>
      </c>
      <c r="CT1888" s="1388" t="s">
        <v>12277</v>
      </c>
      <c r="CU1888" s="1388" t="s">
        <v>8110</v>
      </c>
      <c r="CV1888" s="1389" t="s">
        <v>8111</v>
      </c>
      <c r="CX1888" s="1379">
        <v>1</v>
      </c>
    </row>
    <row r="1889" spans="91:102" ht="21" customHeight="1" x14ac:dyDescent="0.25">
      <c r="CM1889" s="1377"/>
      <c r="CN1889" s="1388" t="s">
        <v>12292</v>
      </c>
      <c r="CO1889" s="1388" t="s">
        <v>8129</v>
      </c>
      <c r="CP1889" s="1388" t="s">
        <v>8106</v>
      </c>
      <c r="CQ1889" s="1388" t="s">
        <v>12293</v>
      </c>
      <c r="CR1889" s="1388" t="s">
        <v>12293</v>
      </c>
      <c r="CS1889" s="1388" t="s">
        <v>8194</v>
      </c>
      <c r="CT1889" s="1388" t="s">
        <v>8195</v>
      </c>
      <c r="CU1889" s="1388" t="s">
        <v>8110</v>
      </c>
      <c r="CV1889" s="1389" t="s">
        <v>8196</v>
      </c>
      <c r="CX1889" s="1379">
        <v>1</v>
      </c>
    </row>
    <row r="1890" spans="91:102" ht="21" customHeight="1" x14ac:dyDescent="0.25">
      <c r="CM1890" s="1377"/>
      <c r="CN1890" s="1388" t="s">
        <v>12294</v>
      </c>
      <c r="CO1890" s="1388" t="s">
        <v>8129</v>
      </c>
      <c r="CP1890" s="1388" t="s">
        <v>8106</v>
      </c>
      <c r="CQ1890" s="1388" t="s">
        <v>12295</v>
      </c>
      <c r="CR1890" s="1388" t="s">
        <v>12295</v>
      </c>
      <c r="CS1890" s="1388" t="s">
        <v>8194</v>
      </c>
      <c r="CT1890" s="1388" t="s">
        <v>8195</v>
      </c>
      <c r="CU1890" s="1388" t="s">
        <v>8110</v>
      </c>
      <c r="CV1890" s="1389" t="s">
        <v>8196</v>
      </c>
      <c r="CX1890" s="1379">
        <v>1</v>
      </c>
    </row>
    <row r="1891" spans="91:102" ht="21" customHeight="1" x14ac:dyDescent="0.25">
      <c r="CM1891" s="1377"/>
      <c r="CN1891" s="1388" t="s">
        <v>12296</v>
      </c>
      <c r="CO1891" s="1388" t="s">
        <v>8129</v>
      </c>
      <c r="CP1891" s="1388" t="s">
        <v>8106</v>
      </c>
      <c r="CQ1891" s="1388" t="s">
        <v>12297</v>
      </c>
      <c r="CR1891" s="1388" t="s">
        <v>12297</v>
      </c>
      <c r="CS1891" s="1388" t="s">
        <v>8108</v>
      </c>
      <c r="CT1891" s="1388" t="s">
        <v>12277</v>
      </c>
      <c r="CU1891" s="1388" t="s">
        <v>8110</v>
      </c>
      <c r="CV1891" s="1389" t="s">
        <v>8111</v>
      </c>
      <c r="CX1891" s="1379">
        <v>1</v>
      </c>
    </row>
    <row r="1892" spans="91:102" ht="21" customHeight="1" x14ac:dyDescent="0.25">
      <c r="CM1892" s="1377"/>
      <c r="CN1892" s="1388" t="s">
        <v>12298</v>
      </c>
      <c r="CO1892" s="1388" t="s">
        <v>8129</v>
      </c>
      <c r="CP1892" s="1388" t="s">
        <v>8106</v>
      </c>
      <c r="CQ1892" s="1388" t="s">
        <v>12299</v>
      </c>
      <c r="CR1892" s="1388" t="s">
        <v>12299</v>
      </c>
      <c r="CS1892" s="1388" t="s">
        <v>8108</v>
      </c>
      <c r="CT1892" s="1388" t="s">
        <v>12277</v>
      </c>
      <c r="CU1892" s="1388" t="s">
        <v>8110</v>
      </c>
      <c r="CV1892" s="1389" t="s">
        <v>8111</v>
      </c>
      <c r="CX1892" s="1379">
        <v>1</v>
      </c>
    </row>
    <row r="1893" spans="91:102" ht="21" customHeight="1" x14ac:dyDescent="0.25">
      <c r="CM1893" s="1377"/>
      <c r="CN1893" s="1388" t="s">
        <v>12300</v>
      </c>
      <c r="CO1893" s="1388" t="s">
        <v>8129</v>
      </c>
      <c r="CP1893" s="1388" t="s">
        <v>8106</v>
      </c>
      <c r="CQ1893" s="1388" t="s">
        <v>8566</v>
      </c>
      <c r="CR1893" s="1388" t="s">
        <v>8566</v>
      </c>
      <c r="CS1893" s="1388" t="s">
        <v>8108</v>
      </c>
      <c r="CT1893" s="1388" t="s">
        <v>12277</v>
      </c>
      <c r="CU1893" s="1388" t="s">
        <v>8110</v>
      </c>
      <c r="CV1893" s="1389" t="s">
        <v>8111</v>
      </c>
      <c r="CX1893" s="1379">
        <v>1</v>
      </c>
    </row>
    <row r="1894" spans="91:102" ht="21" customHeight="1" x14ac:dyDescent="0.25">
      <c r="CM1894" s="1377"/>
      <c r="CN1894" s="1388" t="s">
        <v>12301</v>
      </c>
      <c r="CO1894" s="1388" t="s">
        <v>8129</v>
      </c>
      <c r="CP1894" s="1388" t="s">
        <v>8106</v>
      </c>
      <c r="CQ1894" s="1388" t="s">
        <v>12302</v>
      </c>
      <c r="CR1894" s="1388" t="s">
        <v>12302</v>
      </c>
      <c r="CS1894" s="1388" t="s">
        <v>8108</v>
      </c>
      <c r="CT1894" s="1388" t="s">
        <v>12277</v>
      </c>
      <c r="CU1894" s="1388" t="s">
        <v>8110</v>
      </c>
      <c r="CV1894" s="1389" t="s">
        <v>8111</v>
      </c>
      <c r="CX1894" s="1379">
        <v>1</v>
      </c>
    </row>
    <row r="1895" spans="91:102" ht="21" customHeight="1" x14ac:dyDescent="0.25">
      <c r="CM1895" s="1377"/>
      <c r="CN1895" s="1388" t="s">
        <v>12303</v>
      </c>
      <c r="CO1895" s="1388" t="s">
        <v>8129</v>
      </c>
      <c r="CP1895" s="1388" t="s">
        <v>8106</v>
      </c>
      <c r="CQ1895" s="1388" t="s">
        <v>12304</v>
      </c>
      <c r="CR1895" s="1388" t="s">
        <v>12304</v>
      </c>
      <c r="CS1895" s="1388" t="s">
        <v>8108</v>
      </c>
      <c r="CT1895" s="1388" t="s">
        <v>12277</v>
      </c>
      <c r="CU1895" s="1388" t="s">
        <v>8110</v>
      </c>
      <c r="CV1895" s="1389" t="s">
        <v>8111</v>
      </c>
      <c r="CX1895" s="1379">
        <v>1</v>
      </c>
    </row>
    <row r="1896" spans="91:102" ht="21" customHeight="1" x14ac:dyDescent="0.25">
      <c r="CM1896" s="1377"/>
      <c r="CN1896" s="1388" t="s">
        <v>12305</v>
      </c>
      <c r="CO1896" s="1388" t="s">
        <v>8129</v>
      </c>
      <c r="CP1896" s="1388" t="s">
        <v>8106</v>
      </c>
      <c r="CQ1896" s="1388" t="s">
        <v>12306</v>
      </c>
      <c r="CR1896" s="1388" t="s">
        <v>12306</v>
      </c>
      <c r="CS1896" s="1388" t="s">
        <v>8108</v>
      </c>
      <c r="CT1896" s="1388" t="s">
        <v>12277</v>
      </c>
      <c r="CU1896" s="1388" t="s">
        <v>8110</v>
      </c>
      <c r="CV1896" s="1389" t="s">
        <v>8111</v>
      </c>
      <c r="CX1896" s="1379">
        <v>1</v>
      </c>
    </row>
    <row r="1897" spans="91:102" ht="21" customHeight="1" x14ac:dyDescent="0.25">
      <c r="CM1897" s="1377"/>
      <c r="CN1897" s="1388" t="s">
        <v>12307</v>
      </c>
      <c r="CO1897" s="1388" t="s">
        <v>8129</v>
      </c>
      <c r="CP1897" s="1388" t="s">
        <v>8106</v>
      </c>
      <c r="CQ1897" s="1388" t="s">
        <v>12308</v>
      </c>
      <c r="CR1897" s="1388" t="s">
        <v>12308</v>
      </c>
      <c r="CS1897" s="1388" t="s">
        <v>8194</v>
      </c>
      <c r="CT1897" s="1388" t="s">
        <v>8195</v>
      </c>
      <c r="CU1897" s="1388" t="s">
        <v>8110</v>
      </c>
      <c r="CV1897" s="1389" t="s">
        <v>8196</v>
      </c>
      <c r="CX1897" s="1379">
        <v>1</v>
      </c>
    </row>
    <row r="1898" spans="91:102" ht="21" customHeight="1" x14ac:dyDescent="0.25">
      <c r="CM1898" s="1377"/>
      <c r="CN1898" s="1388" t="s">
        <v>12309</v>
      </c>
      <c r="CO1898" s="1388" t="s">
        <v>8129</v>
      </c>
      <c r="CP1898" s="1388" t="s">
        <v>8106</v>
      </c>
      <c r="CQ1898" s="1388" t="s">
        <v>12310</v>
      </c>
      <c r="CR1898" s="1388" t="s">
        <v>12310</v>
      </c>
      <c r="CS1898" s="1388" t="s">
        <v>8194</v>
      </c>
      <c r="CT1898" s="1388" t="s">
        <v>8195</v>
      </c>
      <c r="CU1898" s="1388" t="s">
        <v>8110</v>
      </c>
      <c r="CV1898" s="1389" t="s">
        <v>8196</v>
      </c>
      <c r="CX1898" s="1379">
        <v>1</v>
      </c>
    </row>
    <row r="1899" spans="91:102" ht="21" customHeight="1" x14ac:dyDescent="0.25">
      <c r="CM1899" s="1377"/>
      <c r="CN1899" s="1388" t="s">
        <v>12311</v>
      </c>
      <c r="CO1899" s="1388" t="s">
        <v>8129</v>
      </c>
      <c r="CP1899" s="1388" t="s">
        <v>8106</v>
      </c>
      <c r="CQ1899" s="1388" t="s">
        <v>12312</v>
      </c>
      <c r="CR1899" s="1388" t="s">
        <v>12312</v>
      </c>
      <c r="CS1899" s="1388" t="s">
        <v>8108</v>
      </c>
      <c r="CT1899" s="1388" t="s">
        <v>12277</v>
      </c>
      <c r="CU1899" s="1388" t="s">
        <v>8110</v>
      </c>
      <c r="CV1899" s="1389" t="s">
        <v>8111</v>
      </c>
      <c r="CX1899" s="1379">
        <v>1</v>
      </c>
    </row>
    <row r="1900" spans="91:102" ht="21" customHeight="1" x14ac:dyDescent="0.25">
      <c r="CM1900" s="1377"/>
      <c r="CN1900" s="1388" t="s">
        <v>12313</v>
      </c>
      <c r="CO1900" s="1388" t="s">
        <v>8129</v>
      </c>
      <c r="CP1900" s="1388" t="s">
        <v>8106</v>
      </c>
      <c r="CQ1900" s="1388" t="s">
        <v>12314</v>
      </c>
      <c r="CR1900" s="1388" t="s">
        <v>12314</v>
      </c>
      <c r="CS1900" s="1388" t="s">
        <v>8108</v>
      </c>
      <c r="CT1900" s="1388" t="s">
        <v>12277</v>
      </c>
      <c r="CU1900" s="1388" t="s">
        <v>8110</v>
      </c>
      <c r="CV1900" s="1389" t="s">
        <v>8111</v>
      </c>
      <c r="CX1900" s="1379">
        <v>1</v>
      </c>
    </row>
    <row r="1901" spans="91:102" ht="21" customHeight="1" x14ac:dyDescent="0.25">
      <c r="CM1901" s="1377"/>
      <c r="CN1901" s="1388" t="s">
        <v>12315</v>
      </c>
      <c r="CO1901" s="1388" t="s">
        <v>8129</v>
      </c>
      <c r="CP1901" s="1388" t="s">
        <v>8106</v>
      </c>
      <c r="CQ1901" s="1388" t="s">
        <v>12086</v>
      </c>
      <c r="CR1901" s="1388" t="s">
        <v>12086</v>
      </c>
      <c r="CS1901" s="1388" t="s">
        <v>8108</v>
      </c>
      <c r="CT1901" s="1388" t="s">
        <v>12277</v>
      </c>
      <c r="CU1901" s="1388" t="s">
        <v>8110</v>
      </c>
      <c r="CV1901" s="1389" t="s">
        <v>8111</v>
      </c>
      <c r="CX1901" s="1379">
        <v>1</v>
      </c>
    </row>
    <row r="1902" spans="91:102" ht="21" customHeight="1" x14ac:dyDescent="0.25">
      <c r="CM1902" s="1377"/>
      <c r="CN1902" s="1388" t="s">
        <v>12316</v>
      </c>
      <c r="CO1902" s="1388" t="s">
        <v>8129</v>
      </c>
      <c r="CP1902" s="1388" t="s">
        <v>8106</v>
      </c>
      <c r="CQ1902" s="1388" t="s">
        <v>12090</v>
      </c>
      <c r="CR1902" s="1388" t="s">
        <v>12090</v>
      </c>
      <c r="CS1902" s="1388" t="s">
        <v>8108</v>
      </c>
      <c r="CT1902" s="1388" t="s">
        <v>12277</v>
      </c>
      <c r="CU1902" s="1388" t="s">
        <v>8110</v>
      </c>
      <c r="CV1902" s="1389" t="s">
        <v>8111</v>
      </c>
      <c r="CX1902" s="1379">
        <v>1</v>
      </c>
    </row>
    <row r="1903" spans="91:102" ht="21" customHeight="1" x14ac:dyDescent="0.25">
      <c r="CM1903" s="1377"/>
      <c r="CN1903" s="1388" t="s">
        <v>12317</v>
      </c>
      <c r="CO1903" s="1388" t="s">
        <v>8129</v>
      </c>
      <c r="CP1903" s="1388" t="s">
        <v>8106</v>
      </c>
      <c r="CQ1903" s="1388" t="s">
        <v>12318</v>
      </c>
      <c r="CR1903" s="1388" t="s">
        <v>12318</v>
      </c>
      <c r="CS1903" s="1388" t="s">
        <v>8108</v>
      </c>
      <c r="CT1903" s="1388" t="s">
        <v>12277</v>
      </c>
      <c r="CU1903" s="1388" t="s">
        <v>8110</v>
      </c>
      <c r="CV1903" s="1389" t="s">
        <v>8111</v>
      </c>
      <c r="CX1903" s="1379">
        <v>1</v>
      </c>
    </row>
    <row r="1904" spans="91:102" ht="21" customHeight="1" x14ac:dyDescent="0.25">
      <c r="CM1904" s="1377"/>
      <c r="CN1904" s="1388" t="s">
        <v>12319</v>
      </c>
      <c r="CO1904" s="1388" t="s">
        <v>8129</v>
      </c>
      <c r="CP1904" s="1388" t="s">
        <v>8106</v>
      </c>
      <c r="CQ1904" s="1388" t="s">
        <v>12320</v>
      </c>
      <c r="CR1904" s="1388" t="s">
        <v>12320</v>
      </c>
      <c r="CS1904" s="1388" t="s">
        <v>8194</v>
      </c>
      <c r="CT1904" s="1388" t="s">
        <v>8195</v>
      </c>
      <c r="CU1904" s="1388" t="s">
        <v>8110</v>
      </c>
      <c r="CV1904" s="1389" t="s">
        <v>8196</v>
      </c>
      <c r="CX1904" s="1379">
        <v>1</v>
      </c>
    </row>
    <row r="1905" spans="91:102" ht="21" customHeight="1" x14ac:dyDescent="0.25">
      <c r="CM1905" s="1377"/>
      <c r="CN1905" s="1388" t="s">
        <v>12321</v>
      </c>
      <c r="CO1905" s="1388" t="s">
        <v>8129</v>
      </c>
      <c r="CP1905" s="1388" t="s">
        <v>8106</v>
      </c>
      <c r="CQ1905" s="1388" t="s">
        <v>12322</v>
      </c>
      <c r="CR1905" s="1388" t="s">
        <v>12322</v>
      </c>
      <c r="CS1905" s="1388" t="s">
        <v>8194</v>
      </c>
      <c r="CT1905" s="1388" t="s">
        <v>8195</v>
      </c>
      <c r="CU1905" s="1388" t="s">
        <v>8110</v>
      </c>
      <c r="CV1905" s="1389" t="s">
        <v>8196</v>
      </c>
      <c r="CX1905" s="1379">
        <v>1</v>
      </c>
    </row>
    <row r="1906" spans="91:102" ht="21" customHeight="1" x14ac:dyDescent="0.25">
      <c r="CM1906" s="1377"/>
      <c r="CN1906" s="1388" t="s">
        <v>12323</v>
      </c>
      <c r="CO1906" s="1388" t="s">
        <v>8129</v>
      </c>
      <c r="CP1906" s="1388" t="s">
        <v>8106</v>
      </c>
      <c r="CQ1906" s="1388" t="s">
        <v>12324</v>
      </c>
      <c r="CR1906" s="1388" t="s">
        <v>12324</v>
      </c>
      <c r="CS1906" s="1388" t="s">
        <v>8108</v>
      </c>
      <c r="CT1906" s="1388" t="s">
        <v>12277</v>
      </c>
      <c r="CU1906" s="1388" t="s">
        <v>8110</v>
      </c>
      <c r="CV1906" s="1389" t="s">
        <v>8111</v>
      </c>
      <c r="CX1906" s="1379">
        <v>1</v>
      </c>
    </row>
    <row r="1907" spans="91:102" ht="21" customHeight="1" x14ac:dyDescent="0.25">
      <c r="CM1907" s="1377"/>
      <c r="CN1907" s="1388" t="s">
        <v>12325</v>
      </c>
      <c r="CO1907" s="1388" t="s">
        <v>8129</v>
      </c>
      <c r="CP1907" s="1388" t="s">
        <v>8106</v>
      </c>
      <c r="CQ1907" s="1388" t="s">
        <v>12326</v>
      </c>
      <c r="CR1907" s="1388" t="s">
        <v>12326</v>
      </c>
      <c r="CS1907" s="1388" t="s">
        <v>8108</v>
      </c>
      <c r="CT1907" s="1388" t="s">
        <v>12277</v>
      </c>
      <c r="CU1907" s="1388" t="s">
        <v>8110</v>
      </c>
      <c r="CV1907" s="1389" t="s">
        <v>8111</v>
      </c>
      <c r="CX1907" s="1379">
        <v>1</v>
      </c>
    </row>
    <row r="1908" spans="91:102" ht="21" customHeight="1" x14ac:dyDescent="0.25">
      <c r="CM1908" s="1377"/>
      <c r="CN1908" s="1388" t="s">
        <v>12327</v>
      </c>
      <c r="CO1908" s="1388" t="s">
        <v>8129</v>
      </c>
      <c r="CP1908" s="1388" t="s">
        <v>8106</v>
      </c>
      <c r="CQ1908" s="1388" t="s">
        <v>12328</v>
      </c>
      <c r="CR1908" s="1388" t="s">
        <v>12328</v>
      </c>
      <c r="CS1908" s="1388" t="s">
        <v>8108</v>
      </c>
      <c r="CT1908" s="1388" t="s">
        <v>12277</v>
      </c>
      <c r="CU1908" s="1388" t="s">
        <v>8110</v>
      </c>
      <c r="CV1908" s="1389" t="s">
        <v>8111</v>
      </c>
      <c r="CX1908" s="1379">
        <v>1</v>
      </c>
    </row>
    <row r="1909" spans="91:102" ht="21" customHeight="1" x14ac:dyDescent="0.25">
      <c r="CM1909" s="1377"/>
      <c r="CN1909" s="1388" t="s">
        <v>12329</v>
      </c>
      <c r="CO1909" s="1388" t="s">
        <v>8129</v>
      </c>
      <c r="CP1909" s="1388" t="s">
        <v>8106</v>
      </c>
      <c r="CQ1909" s="1388" t="s">
        <v>12330</v>
      </c>
      <c r="CR1909" s="1388" t="s">
        <v>12330</v>
      </c>
      <c r="CS1909" s="1388" t="s">
        <v>8108</v>
      </c>
      <c r="CT1909" s="1388" t="s">
        <v>12277</v>
      </c>
      <c r="CU1909" s="1388" t="s">
        <v>8110</v>
      </c>
      <c r="CV1909" s="1389" t="s">
        <v>8111</v>
      </c>
      <c r="CX1909" s="1379">
        <v>1</v>
      </c>
    </row>
    <row r="1910" spans="91:102" ht="21" customHeight="1" x14ac:dyDescent="0.25">
      <c r="CM1910" s="1377"/>
      <c r="CN1910" s="1388" t="s">
        <v>12331</v>
      </c>
      <c r="CO1910" s="1388" t="s">
        <v>8129</v>
      </c>
      <c r="CP1910" s="1388" t="s">
        <v>8106</v>
      </c>
      <c r="CQ1910" s="1388" t="s">
        <v>12332</v>
      </c>
      <c r="CR1910" s="1388" t="s">
        <v>12332</v>
      </c>
      <c r="CS1910" s="1388" t="s">
        <v>8108</v>
      </c>
      <c r="CT1910" s="1388" t="s">
        <v>12277</v>
      </c>
      <c r="CU1910" s="1388" t="s">
        <v>8110</v>
      </c>
      <c r="CV1910" s="1389" t="s">
        <v>8111</v>
      </c>
      <c r="CX1910" s="1379">
        <v>1</v>
      </c>
    </row>
    <row r="1911" spans="91:102" ht="21" customHeight="1" x14ac:dyDescent="0.25">
      <c r="CM1911" s="1377"/>
      <c r="CN1911" s="1388" t="s">
        <v>12333</v>
      </c>
      <c r="CO1911" s="1388" t="s">
        <v>8129</v>
      </c>
      <c r="CP1911" s="1388" t="s">
        <v>8106</v>
      </c>
      <c r="CQ1911" s="1388" t="s">
        <v>12334</v>
      </c>
      <c r="CR1911" s="1388" t="s">
        <v>12334</v>
      </c>
      <c r="CS1911" s="1388" t="s">
        <v>8108</v>
      </c>
      <c r="CT1911" s="1388" t="s">
        <v>12277</v>
      </c>
      <c r="CU1911" s="1388" t="s">
        <v>8110</v>
      </c>
      <c r="CV1911" s="1389" t="s">
        <v>8111</v>
      </c>
      <c r="CX1911" s="1379">
        <v>1</v>
      </c>
    </row>
    <row r="1912" spans="91:102" ht="21" customHeight="1" x14ac:dyDescent="0.25">
      <c r="CM1912" s="1377"/>
      <c r="CN1912" s="1388" t="s">
        <v>12335</v>
      </c>
      <c r="CO1912" s="1388" t="s">
        <v>8129</v>
      </c>
      <c r="CP1912" s="1388" t="s">
        <v>8106</v>
      </c>
      <c r="CQ1912" s="1388" t="s">
        <v>12336</v>
      </c>
      <c r="CR1912" s="1388" t="s">
        <v>12336</v>
      </c>
      <c r="CS1912" s="1388" t="s">
        <v>8108</v>
      </c>
      <c r="CT1912" s="1388" t="s">
        <v>12277</v>
      </c>
      <c r="CU1912" s="1388" t="s">
        <v>8110</v>
      </c>
      <c r="CV1912" s="1389" t="s">
        <v>8111</v>
      </c>
      <c r="CX1912" s="1379">
        <v>1</v>
      </c>
    </row>
    <row r="1913" spans="91:102" ht="21" customHeight="1" x14ac:dyDescent="0.25">
      <c r="CM1913" s="1377"/>
      <c r="CN1913" s="1388" t="s">
        <v>12337</v>
      </c>
      <c r="CO1913" s="1388" t="s">
        <v>8129</v>
      </c>
      <c r="CP1913" s="1388" t="s">
        <v>8106</v>
      </c>
      <c r="CQ1913" s="1388" t="s">
        <v>12338</v>
      </c>
      <c r="CR1913" s="1388" t="s">
        <v>12339</v>
      </c>
      <c r="CS1913" s="1388" t="s">
        <v>8108</v>
      </c>
      <c r="CT1913" s="1388" t="s">
        <v>12277</v>
      </c>
      <c r="CU1913" s="1388" t="s">
        <v>8110</v>
      </c>
      <c r="CV1913" s="1389" t="s">
        <v>8111</v>
      </c>
      <c r="CX1913" s="1379">
        <v>1</v>
      </c>
    </row>
    <row r="1914" spans="91:102" ht="21" customHeight="1" x14ac:dyDescent="0.25">
      <c r="CM1914" s="1377"/>
      <c r="CN1914" s="1388" t="s">
        <v>12340</v>
      </c>
      <c r="CO1914" s="1388" t="s">
        <v>8129</v>
      </c>
      <c r="CP1914" s="1388" t="s">
        <v>8106</v>
      </c>
      <c r="CQ1914" s="1388" t="s">
        <v>12341</v>
      </c>
      <c r="CR1914" s="1388" t="s">
        <v>12342</v>
      </c>
      <c r="CS1914" s="1388" t="s">
        <v>8108</v>
      </c>
      <c r="CT1914" s="1388" t="s">
        <v>12277</v>
      </c>
      <c r="CU1914" s="1388" t="s">
        <v>8110</v>
      </c>
      <c r="CV1914" s="1389" t="s">
        <v>8111</v>
      </c>
      <c r="CX1914" s="1379">
        <v>1</v>
      </c>
    </row>
    <row r="1915" spans="91:102" ht="21" customHeight="1" x14ac:dyDescent="0.25">
      <c r="CM1915" s="1377"/>
      <c r="CN1915" s="1388" t="s">
        <v>12343</v>
      </c>
      <c r="CO1915" s="1388" t="s">
        <v>8129</v>
      </c>
      <c r="CP1915" s="1388" t="s">
        <v>8106</v>
      </c>
      <c r="CQ1915" s="1388" t="s">
        <v>12344</v>
      </c>
      <c r="CR1915" s="1388" t="s">
        <v>12344</v>
      </c>
      <c r="CS1915" s="1388" t="s">
        <v>8108</v>
      </c>
      <c r="CT1915" s="1388" t="s">
        <v>12277</v>
      </c>
      <c r="CU1915" s="1388" t="s">
        <v>8110</v>
      </c>
      <c r="CV1915" s="1389" t="s">
        <v>8111</v>
      </c>
      <c r="CX1915" s="1379">
        <v>1</v>
      </c>
    </row>
    <row r="1916" spans="91:102" ht="21" customHeight="1" x14ac:dyDescent="0.25">
      <c r="CM1916" s="1377"/>
      <c r="CN1916" s="1388" t="s">
        <v>12345</v>
      </c>
      <c r="CO1916" s="1388" t="s">
        <v>8129</v>
      </c>
      <c r="CP1916" s="1388" t="s">
        <v>8106</v>
      </c>
      <c r="CQ1916" s="1388" t="s">
        <v>12346</v>
      </c>
      <c r="CR1916" s="1388" t="s">
        <v>12346</v>
      </c>
      <c r="CS1916" s="1388" t="s">
        <v>8108</v>
      </c>
      <c r="CT1916" s="1388" t="s">
        <v>12277</v>
      </c>
      <c r="CU1916" s="1388" t="s">
        <v>8110</v>
      </c>
      <c r="CV1916" s="1389" t="s">
        <v>8111</v>
      </c>
      <c r="CX1916" s="1379">
        <v>1</v>
      </c>
    </row>
    <row r="1917" spans="91:102" ht="21" customHeight="1" x14ac:dyDescent="0.25">
      <c r="CM1917" s="1377"/>
      <c r="CN1917" s="1388" t="s">
        <v>12347</v>
      </c>
      <c r="CO1917" s="1388" t="s">
        <v>8129</v>
      </c>
      <c r="CP1917" s="1388" t="s">
        <v>8106</v>
      </c>
      <c r="CQ1917" s="1388" t="s">
        <v>12348</v>
      </c>
      <c r="CR1917" s="1388" t="s">
        <v>12348</v>
      </c>
      <c r="CS1917" s="1388" t="s">
        <v>8108</v>
      </c>
      <c r="CT1917" s="1388" t="s">
        <v>12277</v>
      </c>
      <c r="CU1917" s="1388" t="s">
        <v>8110</v>
      </c>
      <c r="CV1917" s="1389" t="s">
        <v>8111</v>
      </c>
      <c r="CX1917" s="1379">
        <v>1</v>
      </c>
    </row>
    <row r="1918" spans="91:102" ht="21" customHeight="1" x14ac:dyDescent="0.25">
      <c r="CM1918" s="1377"/>
      <c r="CN1918" s="1388" t="s">
        <v>12349</v>
      </c>
      <c r="CO1918" s="1388" t="s">
        <v>8129</v>
      </c>
      <c r="CP1918" s="1388" t="s">
        <v>8106</v>
      </c>
      <c r="CQ1918" s="1388" t="s">
        <v>12350</v>
      </c>
      <c r="CR1918" s="1388" t="s">
        <v>12350</v>
      </c>
      <c r="CS1918" s="1388" t="s">
        <v>8108</v>
      </c>
      <c r="CT1918" s="1388" t="s">
        <v>12277</v>
      </c>
      <c r="CU1918" s="1388" t="s">
        <v>8110</v>
      </c>
      <c r="CV1918" s="1389" t="s">
        <v>8111</v>
      </c>
      <c r="CX1918" s="1379">
        <v>1</v>
      </c>
    </row>
    <row r="1919" spans="91:102" ht="21" customHeight="1" x14ac:dyDescent="0.25">
      <c r="CM1919" s="1377"/>
      <c r="CN1919" s="1388" t="s">
        <v>12351</v>
      </c>
      <c r="CO1919" s="1388" t="s">
        <v>8129</v>
      </c>
      <c r="CP1919" s="1388" t="s">
        <v>8106</v>
      </c>
      <c r="CQ1919" s="1388" t="s">
        <v>12352</v>
      </c>
      <c r="CR1919" s="1388" t="s">
        <v>12353</v>
      </c>
      <c r="CS1919" s="1388" t="s">
        <v>8108</v>
      </c>
      <c r="CT1919" s="1388" t="s">
        <v>12277</v>
      </c>
      <c r="CU1919" s="1388" t="s">
        <v>8110</v>
      </c>
      <c r="CV1919" s="1389" t="s">
        <v>8111</v>
      </c>
      <c r="CX1919" s="1379">
        <v>1</v>
      </c>
    </row>
    <row r="1920" spans="91:102" ht="21" customHeight="1" x14ac:dyDescent="0.25">
      <c r="CM1920" s="1377"/>
      <c r="CN1920" s="1388" t="s">
        <v>12354</v>
      </c>
      <c r="CO1920" s="1388" t="s">
        <v>8129</v>
      </c>
      <c r="CP1920" s="1388" t="s">
        <v>8106</v>
      </c>
      <c r="CQ1920" s="1388" t="s">
        <v>12355</v>
      </c>
      <c r="CR1920" s="1388" t="s">
        <v>12356</v>
      </c>
      <c r="CS1920" s="1388" t="s">
        <v>8108</v>
      </c>
      <c r="CT1920" s="1388" t="s">
        <v>12277</v>
      </c>
      <c r="CU1920" s="1388" t="s">
        <v>8110</v>
      </c>
      <c r="CV1920" s="1389" t="s">
        <v>8111</v>
      </c>
      <c r="CX1920" s="1379">
        <v>1</v>
      </c>
    </row>
    <row r="1921" spans="91:102" ht="21" customHeight="1" x14ac:dyDescent="0.25">
      <c r="CM1921" s="1377"/>
      <c r="CN1921" s="1388" t="s">
        <v>12357</v>
      </c>
      <c r="CO1921" s="1388" t="s">
        <v>8129</v>
      </c>
      <c r="CP1921" s="1388" t="s">
        <v>8106</v>
      </c>
      <c r="CQ1921" s="1388" t="s">
        <v>12358</v>
      </c>
      <c r="CR1921" s="1388" t="s">
        <v>12359</v>
      </c>
      <c r="CS1921" s="1388" t="s">
        <v>8108</v>
      </c>
      <c r="CT1921" s="1388" t="s">
        <v>12277</v>
      </c>
      <c r="CU1921" s="1388" t="s">
        <v>8110</v>
      </c>
      <c r="CV1921" s="1389" t="s">
        <v>8111</v>
      </c>
      <c r="CX1921" s="1379">
        <v>1</v>
      </c>
    </row>
    <row r="1922" spans="91:102" ht="21" customHeight="1" x14ac:dyDescent="0.25">
      <c r="CM1922" s="1377"/>
      <c r="CN1922" s="1388" t="s">
        <v>12360</v>
      </c>
      <c r="CO1922" s="1388" t="s">
        <v>8129</v>
      </c>
      <c r="CP1922" s="1388" t="s">
        <v>8106</v>
      </c>
      <c r="CQ1922" s="1388" t="s">
        <v>12361</v>
      </c>
      <c r="CR1922" s="1388" t="s">
        <v>12361</v>
      </c>
      <c r="CS1922" s="1388" t="s">
        <v>8194</v>
      </c>
      <c r="CT1922" s="1388" t="s">
        <v>8195</v>
      </c>
      <c r="CU1922" s="1388" t="s">
        <v>8110</v>
      </c>
      <c r="CV1922" s="1389" t="s">
        <v>8196</v>
      </c>
      <c r="CX1922" s="1379">
        <v>1</v>
      </c>
    </row>
    <row r="1923" spans="91:102" ht="21" customHeight="1" x14ac:dyDescent="0.25">
      <c r="CM1923" s="1377"/>
      <c r="CN1923" s="1388" t="s">
        <v>12362</v>
      </c>
      <c r="CO1923" s="1388" t="s">
        <v>8129</v>
      </c>
      <c r="CP1923" s="1388" t="s">
        <v>8106</v>
      </c>
      <c r="CQ1923" s="1388" t="s">
        <v>12363</v>
      </c>
      <c r="CR1923" s="1388" t="s">
        <v>12363</v>
      </c>
      <c r="CS1923" s="1388" t="s">
        <v>8108</v>
      </c>
      <c r="CT1923" s="1388" t="s">
        <v>12277</v>
      </c>
      <c r="CU1923" s="1388" t="s">
        <v>8110</v>
      </c>
      <c r="CV1923" s="1389" t="s">
        <v>8111</v>
      </c>
      <c r="CX1923" s="1379">
        <v>1</v>
      </c>
    </row>
    <row r="1924" spans="91:102" ht="21" customHeight="1" x14ac:dyDescent="0.25">
      <c r="CM1924" s="1377"/>
      <c r="CN1924" s="1388" t="s">
        <v>12364</v>
      </c>
      <c r="CO1924" s="1388" t="s">
        <v>8129</v>
      </c>
      <c r="CP1924" s="1388" t="s">
        <v>8106</v>
      </c>
      <c r="CQ1924" s="1388" t="s">
        <v>12365</v>
      </c>
      <c r="CR1924" s="1388" t="s">
        <v>12365</v>
      </c>
      <c r="CS1924" s="1388" t="s">
        <v>8108</v>
      </c>
      <c r="CT1924" s="1388" t="s">
        <v>12277</v>
      </c>
      <c r="CU1924" s="1388" t="s">
        <v>8110</v>
      </c>
      <c r="CV1924" s="1389" t="s">
        <v>8111</v>
      </c>
      <c r="CX1924" s="1379">
        <v>1</v>
      </c>
    </row>
    <row r="1925" spans="91:102" ht="21" customHeight="1" x14ac:dyDescent="0.25">
      <c r="CM1925" s="1377"/>
      <c r="CN1925" s="1388" t="s">
        <v>12366</v>
      </c>
      <c r="CO1925" s="1388" t="s">
        <v>8129</v>
      </c>
      <c r="CP1925" s="1388" t="s">
        <v>8106</v>
      </c>
      <c r="CQ1925" s="1388" t="s">
        <v>12367</v>
      </c>
      <c r="CR1925" s="1388" t="s">
        <v>12367</v>
      </c>
      <c r="CS1925" s="1388" t="s">
        <v>8194</v>
      </c>
      <c r="CT1925" s="1388" t="s">
        <v>8195</v>
      </c>
      <c r="CU1925" s="1388" t="s">
        <v>8110</v>
      </c>
      <c r="CV1925" s="1389" t="s">
        <v>8196</v>
      </c>
      <c r="CX1925" s="1379">
        <v>1</v>
      </c>
    </row>
    <row r="1926" spans="91:102" ht="21" customHeight="1" x14ac:dyDescent="0.25">
      <c r="CM1926" s="1377"/>
      <c r="CN1926" s="1388" t="s">
        <v>12368</v>
      </c>
      <c r="CO1926" s="1388" t="s">
        <v>8129</v>
      </c>
      <c r="CP1926" s="1388" t="s">
        <v>8106</v>
      </c>
      <c r="CQ1926" s="1388" t="s">
        <v>12369</v>
      </c>
      <c r="CR1926" s="1388" t="s">
        <v>12369</v>
      </c>
      <c r="CS1926" s="1388" t="s">
        <v>8194</v>
      </c>
      <c r="CT1926" s="1388" t="s">
        <v>8195</v>
      </c>
      <c r="CU1926" s="1388" t="s">
        <v>8110</v>
      </c>
      <c r="CV1926" s="1389" t="s">
        <v>8196</v>
      </c>
      <c r="CX1926" s="1379">
        <v>1</v>
      </c>
    </row>
    <row r="1927" spans="91:102" ht="21" customHeight="1" x14ac:dyDescent="0.25">
      <c r="CM1927" s="1377"/>
      <c r="CN1927" s="1388" t="s">
        <v>12370</v>
      </c>
      <c r="CO1927" s="1388" t="s">
        <v>8129</v>
      </c>
      <c r="CP1927" s="1388" t="s">
        <v>8106</v>
      </c>
      <c r="CQ1927" s="1388" t="s">
        <v>12371</v>
      </c>
      <c r="CR1927" s="1388" t="s">
        <v>12371</v>
      </c>
      <c r="CS1927" s="1388" t="s">
        <v>8108</v>
      </c>
      <c r="CT1927" s="1388" t="s">
        <v>12277</v>
      </c>
      <c r="CU1927" s="1388" t="s">
        <v>8110</v>
      </c>
      <c r="CV1927" s="1389" t="s">
        <v>8111</v>
      </c>
      <c r="CX1927" s="1379">
        <v>1</v>
      </c>
    </row>
    <row r="1928" spans="91:102" ht="21" customHeight="1" x14ac:dyDescent="0.25">
      <c r="CM1928" s="1377"/>
      <c r="CN1928" s="1388" t="s">
        <v>12372</v>
      </c>
      <c r="CO1928" s="1388" t="s">
        <v>8129</v>
      </c>
      <c r="CP1928" s="1388" t="s">
        <v>8106</v>
      </c>
      <c r="CQ1928" s="1388" t="s">
        <v>12373</v>
      </c>
      <c r="CR1928" s="1388" t="s">
        <v>12373</v>
      </c>
      <c r="CS1928" s="1388" t="s">
        <v>8108</v>
      </c>
      <c r="CT1928" s="1388" t="s">
        <v>12277</v>
      </c>
      <c r="CU1928" s="1388" t="s">
        <v>8110</v>
      </c>
      <c r="CV1928" s="1389" t="s">
        <v>8111</v>
      </c>
      <c r="CX1928" s="1379">
        <v>1</v>
      </c>
    </row>
    <row r="1929" spans="91:102" ht="21" customHeight="1" x14ac:dyDescent="0.25">
      <c r="CM1929" s="1377"/>
      <c r="CN1929" s="1388" t="s">
        <v>12374</v>
      </c>
      <c r="CO1929" s="1388" t="s">
        <v>8129</v>
      </c>
      <c r="CP1929" s="1388" t="s">
        <v>8106</v>
      </c>
      <c r="CQ1929" s="1388" t="s">
        <v>12375</v>
      </c>
      <c r="CR1929" s="1388" t="s">
        <v>12375</v>
      </c>
      <c r="CS1929" s="1388" t="s">
        <v>8108</v>
      </c>
      <c r="CT1929" s="1388" t="s">
        <v>12277</v>
      </c>
      <c r="CU1929" s="1388" t="s">
        <v>8110</v>
      </c>
      <c r="CV1929" s="1389" t="s">
        <v>8111</v>
      </c>
      <c r="CX1929" s="1379">
        <v>1</v>
      </c>
    </row>
    <row r="1930" spans="91:102" ht="21" customHeight="1" x14ac:dyDescent="0.25">
      <c r="CM1930" s="1377"/>
      <c r="CN1930" s="1388" t="s">
        <v>12376</v>
      </c>
      <c r="CO1930" s="1388" t="s">
        <v>8129</v>
      </c>
      <c r="CP1930" s="1388" t="s">
        <v>8106</v>
      </c>
      <c r="CQ1930" s="1388" t="s">
        <v>12377</v>
      </c>
      <c r="CR1930" s="1388" t="s">
        <v>12377</v>
      </c>
      <c r="CS1930" s="1388" t="s">
        <v>8108</v>
      </c>
      <c r="CT1930" s="1388" t="s">
        <v>12277</v>
      </c>
      <c r="CU1930" s="1388" t="s">
        <v>8110</v>
      </c>
      <c r="CV1930" s="1389" t="s">
        <v>8111</v>
      </c>
      <c r="CX1930" s="1379">
        <v>1</v>
      </c>
    </row>
    <row r="1931" spans="91:102" ht="21" customHeight="1" x14ac:dyDescent="0.25">
      <c r="CM1931" s="1377"/>
      <c r="CN1931" s="1388" t="s">
        <v>12378</v>
      </c>
      <c r="CO1931" s="1388" t="s">
        <v>8129</v>
      </c>
      <c r="CP1931" s="1388" t="s">
        <v>8106</v>
      </c>
      <c r="CQ1931" s="1388" t="s">
        <v>12379</v>
      </c>
      <c r="CR1931" s="1388" t="s">
        <v>12380</v>
      </c>
      <c r="CS1931" s="1388" t="s">
        <v>8108</v>
      </c>
      <c r="CT1931" s="1388" t="s">
        <v>12277</v>
      </c>
      <c r="CU1931" s="1388" t="s">
        <v>8110</v>
      </c>
      <c r="CV1931" s="1389" t="s">
        <v>8111</v>
      </c>
      <c r="CX1931" s="1379">
        <v>1</v>
      </c>
    </row>
    <row r="1932" spans="91:102" ht="21" customHeight="1" x14ac:dyDescent="0.25">
      <c r="CM1932" s="1377"/>
      <c r="CN1932" s="1388" t="s">
        <v>12381</v>
      </c>
      <c r="CO1932" s="1388" t="s">
        <v>8129</v>
      </c>
      <c r="CP1932" s="1388" t="s">
        <v>8106</v>
      </c>
      <c r="CQ1932" s="1388" t="s">
        <v>12382</v>
      </c>
      <c r="CR1932" s="1388" t="s">
        <v>12383</v>
      </c>
      <c r="CS1932" s="1388" t="s">
        <v>8108</v>
      </c>
      <c r="CT1932" s="1388" t="s">
        <v>12277</v>
      </c>
      <c r="CU1932" s="1388" t="s">
        <v>8110</v>
      </c>
      <c r="CV1932" s="1389" t="s">
        <v>8111</v>
      </c>
      <c r="CX1932" s="1379">
        <v>1</v>
      </c>
    </row>
    <row r="1933" spans="91:102" ht="21" customHeight="1" x14ac:dyDescent="0.25">
      <c r="CM1933" s="1377"/>
      <c r="CN1933" s="1388" t="s">
        <v>12384</v>
      </c>
      <c r="CO1933" s="1388" t="s">
        <v>8129</v>
      </c>
      <c r="CP1933" s="1388" t="s">
        <v>8106</v>
      </c>
      <c r="CQ1933" s="1388" t="s">
        <v>12385</v>
      </c>
      <c r="CR1933" s="1388" t="s">
        <v>12386</v>
      </c>
      <c r="CS1933" s="1388" t="s">
        <v>8108</v>
      </c>
      <c r="CT1933" s="1388" t="s">
        <v>12277</v>
      </c>
      <c r="CU1933" s="1388" t="s">
        <v>8110</v>
      </c>
      <c r="CV1933" s="1389" t="s">
        <v>8111</v>
      </c>
      <c r="CX1933" s="1379">
        <v>1</v>
      </c>
    </row>
    <row r="1934" spans="91:102" ht="21" customHeight="1" x14ac:dyDescent="0.25">
      <c r="CM1934" s="1377"/>
      <c r="CN1934" s="1388" t="s">
        <v>12387</v>
      </c>
      <c r="CO1934" s="1388" t="s">
        <v>8129</v>
      </c>
      <c r="CP1934" s="1388" t="s">
        <v>8106</v>
      </c>
      <c r="CQ1934" s="1388" t="s">
        <v>12388</v>
      </c>
      <c r="CR1934" s="1388" t="s">
        <v>12389</v>
      </c>
      <c r="CS1934" s="1388" t="s">
        <v>8108</v>
      </c>
      <c r="CT1934" s="1388" t="s">
        <v>12277</v>
      </c>
      <c r="CU1934" s="1388" t="s">
        <v>8110</v>
      </c>
      <c r="CV1934" s="1389" t="s">
        <v>8111</v>
      </c>
      <c r="CX1934" s="1379">
        <v>1</v>
      </c>
    </row>
    <row r="1935" spans="91:102" ht="21" customHeight="1" x14ac:dyDescent="0.25">
      <c r="CM1935" s="1377"/>
      <c r="CN1935" s="1388" t="s">
        <v>12390</v>
      </c>
      <c r="CO1935" s="1388" t="s">
        <v>8129</v>
      </c>
      <c r="CP1935" s="1388" t="s">
        <v>8106</v>
      </c>
      <c r="CQ1935" s="1388" t="s">
        <v>12391</v>
      </c>
      <c r="CR1935" s="1388" t="s">
        <v>12391</v>
      </c>
      <c r="CS1935" s="1388" t="s">
        <v>8194</v>
      </c>
      <c r="CT1935" s="1388" t="s">
        <v>8195</v>
      </c>
      <c r="CU1935" s="1388" t="s">
        <v>8110</v>
      </c>
      <c r="CV1935" s="1389" t="s">
        <v>8196</v>
      </c>
      <c r="CX1935" s="1379">
        <v>1</v>
      </c>
    </row>
    <row r="1936" spans="91:102" ht="21" customHeight="1" x14ac:dyDescent="0.25">
      <c r="CM1936" s="1377"/>
      <c r="CN1936" s="1388" t="s">
        <v>12392</v>
      </c>
      <c r="CO1936" s="1388" t="s">
        <v>8129</v>
      </c>
      <c r="CP1936" s="1388" t="s">
        <v>8106</v>
      </c>
      <c r="CQ1936" s="1388" t="s">
        <v>12393</v>
      </c>
      <c r="CR1936" s="1388" t="s">
        <v>12393</v>
      </c>
      <c r="CS1936" s="1388" t="s">
        <v>8194</v>
      </c>
      <c r="CT1936" s="1388" t="s">
        <v>8195</v>
      </c>
      <c r="CU1936" s="1388" t="s">
        <v>8110</v>
      </c>
      <c r="CV1936" s="1389" t="s">
        <v>8196</v>
      </c>
      <c r="CX1936" s="1379">
        <v>1</v>
      </c>
    </row>
    <row r="1937" spans="91:102" ht="21" customHeight="1" x14ac:dyDescent="0.25">
      <c r="CM1937" s="1377"/>
      <c r="CN1937" s="1388" t="s">
        <v>12394</v>
      </c>
      <c r="CO1937" s="1388" t="s">
        <v>8129</v>
      </c>
      <c r="CP1937" s="1388" t="s">
        <v>8555</v>
      </c>
      <c r="CQ1937" s="1388" t="s">
        <v>12395</v>
      </c>
      <c r="CR1937" s="1388" t="s">
        <v>12395</v>
      </c>
      <c r="CS1937" s="1388" t="s">
        <v>8108</v>
      </c>
      <c r="CT1937" s="1388" t="s">
        <v>12013</v>
      </c>
      <c r="CU1937" s="1388" t="s">
        <v>8110</v>
      </c>
      <c r="CV1937" s="1389" t="s">
        <v>8111</v>
      </c>
      <c r="CX1937" s="1379">
        <v>1</v>
      </c>
    </row>
    <row r="1938" spans="91:102" ht="21" customHeight="1" x14ac:dyDescent="0.25">
      <c r="CM1938" s="1377"/>
      <c r="CN1938" s="1388" t="s">
        <v>12396</v>
      </c>
      <c r="CO1938" s="1388" t="s">
        <v>8129</v>
      </c>
      <c r="CP1938" s="1388" t="s">
        <v>8555</v>
      </c>
      <c r="CQ1938" s="1388" t="s">
        <v>12397</v>
      </c>
      <c r="CR1938" s="1388" t="s">
        <v>12397</v>
      </c>
      <c r="CS1938" s="1388" t="s">
        <v>8108</v>
      </c>
      <c r="CT1938" s="1388" t="s">
        <v>12013</v>
      </c>
      <c r="CU1938" s="1388" t="s">
        <v>8110</v>
      </c>
      <c r="CV1938" s="1389" t="s">
        <v>8111</v>
      </c>
      <c r="CX1938" s="1379">
        <v>1</v>
      </c>
    </row>
    <row r="1939" spans="91:102" ht="21" customHeight="1" x14ac:dyDescent="0.25">
      <c r="CM1939" s="1377"/>
      <c r="CN1939" s="1388" t="s">
        <v>12398</v>
      </c>
      <c r="CO1939" s="1388" t="s">
        <v>8129</v>
      </c>
      <c r="CP1939" s="1388" t="s">
        <v>8555</v>
      </c>
      <c r="CQ1939" s="1388" t="s">
        <v>12399</v>
      </c>
      <c r="CR1939" s="1388" t="s">
        <v>12400</v>
      </c>
      <c r="CS1939" s="1388" t="s">
        <v>8108</v>
      </c>
      <c r="CT1939" s="1388" t="s">
        <v>12013</v>
      </c>
      <c r="CU1939" s="1388" t="s">
        <v>8110</v>
      </c>
      <c r="CV1939" s="1389" t="s">
        <v>8111</v>
      </c>
      <c r="CX1939" s="1379">
        <v>1</v>
      </c>
    </row>
    <row r="1940" spans="91:102" ht="21" customHeight="1" x14ac:dyDescent="0.25">
      <c r="CM1940" s="1377"/>
      <c r="CN1940" s="1388" t="s">
        <v>12401</v>
      </c>
      <c r="CO1940" s="1388" t="s">
        <v>8129</v>
      </c>
      <c r="CP1940" s="1388" t="s">
        <v>8555</v>
      </c>
      <c r="CQ1940" s="1388" t="s">
        <v>12402</v>
      </c>
      <c r="CR1940" s="1388" t="s">
        <v>12403</v>
      </c>
      <c r="CS1940" s="1388" t="s">
        <v>8108</v>
      </c>
      <c r="CT1940" s="1388" t="s">
        <v>12013</v>
      </c>
      <c r="CU1940" s="1388" t="s">
        <v>8110</v>
      </c>
      <c r="CV1940" s="1389" t="s">
        <v>8111</v>
      </c>
      <c r="CX1940" s="1379">
        <v>1</v>
      </c>
    </row>
    <row r="1941" spans="91:102" ht="21" customHeight="1" x14ac:dyDescent="0.25">
      <c r="CM1941" s="1377"/>
      <c r="CN1941" s="1388" t="s">
        <v>12404</v>
      </c>
      <c r="CO1941" s="1388" t="s">
        <v>8129</v>
      </c>
      <c r="CP1941" s="1388" t="s">
        <v>8555</v>
      </c>
      <c r="CQ1941" s="1388" t="s">
        <v>12058</v>
      </c>
      <c r="CR1941" s="1388" t="s">
        <v>12059</v>
      </c>
      <c r="CS1941" s="1388" t="s">
        <v>8108</v>
      </c>
      <c r="CT1941" s="1388" t="s">
        <v>12013</v>
      </c>
      <c r="CU1941" s="1388" t="s">
        <v>8110</v>
      </c>
      <c r="CV1941" s="1389" t="s">
        <v>8111</v>
      </c>
      <c r="CX1941" s="1379">
        <v>1</v>
      </c>
    </row>
    <row r="1942" spans="91:102" ht="21" customHeight="1" x14ac:dyDescent="0.25">
      <c r="CM1942" s="1377"/>
      <c r="CN1942" s="1388" t="s">
        <v>12405</v>
      </c>
      <c r="CO1942" s="1388" t="s">
        <v>8129</v>
      </c>
      <c r="CP1942" s="1388" t="s">
        <v>8555</v>
      </c>
      <c r="CQ1942" s="1388" t="s">
        <v>12406</v>
      </c>
      <c r="CR1942" s="1388" t="s">
        <v>12406</v>
      </c>
      <c r="CS1942" s="1388" t="s">
        <v>8108</v>
      </c>
      <c r="CT1942" s="1388" t="s">
        <v>12013</v>
      </c>
      <c r="CU1942" s="1388" t="s">
        <v>8110</v>
      </c>
      <c r="CV1942" s="1389" t="s">
        <v>8111</v>
      </c>
      <c r="CX1942" s="1379">
        <v>1</v>
      </c>
    </row>
    <row r="1943" spans="91:102" ht="21" customHeight="1" x14ac:dyDescent="0.25">
      <c r="CM1943" s="1377"/>
      <c r="CN1943" s="1388" t="s">
        <v>12407</v>
      </c>
      <c r="CO1943" s="1388" t="s">
        <v>8129</v>
      </c>
      <c r="CP1943" s="1388" t="s">
        <v>8555</v>
      </c>
      <c r="CQ1943" s="1388" t="s">
        <v>12408</v>
      </c>
      <c r="CR1943" s="1388" t="s">
        <v>12408</v>
      </c>
      <c r="CS1943" s="1388" t="s">
        <v>8108</v>
      </c>
      <c r="CT1943" s="1388" t="s">
        <v>12013</v>
      </c>
      <c r="CU1943" s="1388" t="s">
        <v>8110</v>
      </c>
      <c r="CV1943" s="1389" t="s">
        <v>8111</v>
      </c>
      <c r="CX1943" s="1379">
        <v>1</v>
      </c>
    </row>
    <row r="1944" spans="91:102" ht="21" customHeight="1" x14ac:dyDescent="0.25">
      <c r="CM1944" s="1377"/>
      <c r="CN1944" s="1388" t="s">
        <v>12409</v>
      </c>
      <c r="CO1944" s="1388" t="s">
        <v>8129</v>
      </c>
      <c r="CP1944" s="1388" t="s">
        <v>8555</v>
      </c>
      <c r="CQ1944" s="1388" t="s">
        <v>12410</v>
      </c>
      <c r="CR1944" s="1388" t="s">
        <v>12410</v>
      </c>
      <c r="CS1944" s="1388" t="s">
        <v>8108</v>
      </c>
      <c r="CT1944" s="1388" t="s">
        <v>12013</v>
      </c>
      <c r="CU1944" s="1388" t="s">
        <v>8110</v>
      </c>
      <c r="CV1944" s="1389" t="s">
        <v>8111</v>
      </c>
      <c r="CX1944" s="1379">
        <v>1</v>
      </c>
    </row>
    <row r="1945" spans="91:102" ht="21" customHeight="1" x14ac:dyDescent="0.25">
      <c r="CM1945" s="1377"/>
      <c r="CN1945" s="1388" t="s">
        <v>12411</v>
      </c>
      <c r="CO1945" s="1388" t="s">
        <v>8129</v>
      </c>
      <c r="CP1945" s="1388" t="s">
        <v>8555</v>
      </c>
      <c r="CQ1945" s="1388" t="s">
        <v>12094</v>
      </c>
      <c r="CR1945" s="1388" t="s">
        <v>12094</v>
      </c>
      <c r="CS1945" s="1388" t="s">
        <v>8108</v>
      </c>
      <c r="CT1945" s="1388" t="s">
        <v>12013</v>
      </c>
      <c r="CU1945" s="1388" t="s">
        <v>8110</v>
      </c>
      <c r="CV1945" s="1389" t="s">
        <v>8111</v>
      </c>
      <c r="CX1945" s="1379">
        <v>1</v>
      </c>
    </row>
    <row r="1946" spans="91:102" ht="21" customHeight="1" x14ac:dyDescent="0.25">
      <c r="CM1946" s="1377"/>
      <c r="CN1946" s="1388" t="s">
        <v>12412</v>
      </c>
      <c r="CO1946" s="1388" t="s">
        <v>8129</v>
      </c>
      <c r="CP1946" s="1388" t="s">
        <v>8555</v>
      </c>
      <c r="CQ1946" s="1388" t="s">
        <v>405</v>
      </c>
      <c r="CR1946" s="1388" t="s">
        <v>405</v>
      </c>
      <c r="CS1946" s="1388" t="s">
        <v>8108</v>
      </c>
      <c r="CT1946" s="1388" t="s">
        <v>12013</v>
      </c>
      <c r="CU1946" s="1388" t="s">
        <v>8110</v>
      </c>
      <c r="CV1946" s="1389" t="s">
        <v>8111</v>
      </c>
      <c r="CX1946" s="1379">
        <v>1</v>
      </c>
    </row>
    <row r="1947" spans="91:102" ht="21" customHeight="1" x14ac:dyDescent="0.25">
      <c r="CM1947" s="1377"/>
      <c r="CN1947" s="1388" t="s">
        <v>12413</v>
      </c>
      <c r="CO1947" s="1388" t="s">
        <v>8129</v>
      </c>
      <c r="CP1947" s="1388" t="s">
        <v>8555</v>
      </c>
      <c r="CQ1947" s="1388" t="s">
        <v>12414</v>
      </c>
      <c r="CR1947" s="1388" t="s">
        <v>12414</v>
      </c>
      <c r="CS1947" s="1388" t="s">
        <v>8108</v>
      </c>
      <c r="CT1947" s="1388" t="s">
        <v>12013</v>
      </c>
      <c r="CU1947" s="1388" t="s">
        <v>8110</v>
      </c>
      <c r="CV1947" s="1389" t="s">
        <v>8111</v>
      </c>
      <c r="CX1947" s="1379">
        <v>1</v>
      </c>
    </row>
    <row r="1948" spans="91:102" ht="21" customHeight="1" x14ac:dyDescent="0.25">
      <c r="CM1948" s="1377"/>
      <c r="CN1948" s="1388" t="s">
        <v>12415</v>
      </c>
      <c r="CO1948" s="1388" t="s">
        <v>8129</v>
      </c>
      <c r="CP1948" s="1388" t="s">
        <v>8555</v>
      </c>
      <c r="CQ1948" s="1388" t="s">
        <v>12416</v>
      </c>
      <c r="CR1948" s="1388" t="s">
        <v>12416</v>
      </c>
      <c r="CS1948" s="1388" t="s">
        <v>8108</v>
      </c>
      <c r="CT1948" s="1388" t="s">
        <v>12013</v>
      </c>
      <c r="CU1948" s="1388" t="s">
        <v>8110</v>
      </c>
      <c r="CV1948" s="1389" t="s">
        <v>8111</v>
      </c>
      <c r="CX1948" s="1379">
        <v>1</v>
      </c>
    </row>
    <row r="1949" spans="91:102" ht="21" customHeight="1" x14ac:dyDescent="0.25">
      <c r="CM1949" s="1377"/>
      <c r="CN1949" s="1388" t="s">
        <v>12417</v>
      </c>
      <c r="CO1949" s="1388" t="s">
        <v>8129</v>
      </c>
      <c r="CP1949" s="1388" t="s">
        <v>8555</v>
      </c>
      <c r="CQ1949" s="1388" t="s">
        <v>12418</v>
      </c>
      <c r="CR1949" s="1388" t="s">
        <v>12419</v>
      </c>
      <c r="CS1949" s="1388" t="s">
        <v>8108</v>
      </c>
      <c r="CT1949" s="1388" t="s">
        <v>12013</v>
      </c>
      <c r="CU1949" s="1388" t="s">
        <v>8110</v>
      </c>
      <c r="CV1949" s="1389" t="s">
        <v>8111</v>
      </c>
      <c r="CX1949" s="1379">
        <v>1</v>
      </c>
    </row>
    <row r="1950" spans="91:102" ht="21" customHeight="1" x14ac:dyDescent="0.25">
      <c r="CM1950" s="1377"/>
      <c r="CN1950" s="1388" t="s">
        <v>12420</v>
      </c>
      <c r="CO1950" s="1388" t="s">
        <v>8129</v>
      </c>
      <c r="CP1950" s="1388" t="s">
        <v>8555</v>
      </c>
      <c r="CQ1950" s="1388" t="s">
        <v>12421</v>
      </c>
      <c r="CR1950" s="1388" t="s">
        <v>12421</v>
      </c>
      <c r="CS1950" s="1388" t="s">
        <v>8108</v>
      </c>
      <c r="CT1950" s="1388" t="s">
        <v>12013</v>
      </c>
      <c r="CU1950" s="1388" t="s">
        <v>8110</v>
      </c>
      <c r="CV1950" s="1389" t="s">
        <v>8111</v>
      </c>
      <c r="CX1950" s="1379">
        <v>1</v>
      </c>
    </row>
    <row r="1951" spans="91:102" ht="21" customHeight="1" x14ac:dyDescent="0.25">
      <c r="CM1951" s="1377"/>
      <c r="CN1951" s="1388" t="s">
        <v>12422</v>
      </c>
      <c r="CO1951" s="1388" t="s">
        <v>8129</v>
      </c>
      <c r="CP1951" s="1388" t="s">
        <v>8555</v>
      </c>
      <c r="CQ1951" s="1388" t="s">
        <v>12423</v>
      </c>
      <c r="CR1951" s="1388" t="s">
        <v>12423</v>
      </c>
      <c r="CS1951" s="1388" t="s">
        <v>8108</v>
      </c>
      <c r="CT1951" s="1388" t="s">
        <v>12013</v>
      </c>
      <c r="CU1951" s="1388" t="s">
        <v>8110</v>
      </c>
      <c r="CV1951" s="1389" t="s">
        <v>8111</v>
      </c>
      <c r="CX1951" s="1379">
        <v>1</v>
      </c>
    </row>
    <row r="1952" spans="91:102" ht="21" customHeight="1" x14ac:dyDescent="0.25">
      <c r="CM1952" s="1377"/>
      <c r="CN1952" s="1388" t="s">
        <v>12424</v>
      </c>
      <c r="CO1952" s="1388" t="s">
        <v>8129</v>
      </c>
      <c r="CP1952" s="1388" t="s">
        <v>8555</v>
      </c>
      <c r="CQ1952" s="1388" t="s">
        <v>12425</v>
      </c>
      <c r="CR1952" s="1388" t="s">
        <v>12425</v>
      </c>
      <c r="CS1952" s="1388" t="s">
        <v>8108</v>
      </c>
      <c r="CT1952" s="1388" t="s">
        <v>12013</v>
      </c>
      <c r="CU1952" s="1388" t="s">
        <v>8110</v>
      </c>
      <c r="CV1952" s="1389" t="s">
        <v>8111</v>
      </c>
      <c r="CX1952" s="1379">
        <v>1</v>
      </c>
    </row>
    <row r="1953" spans="91:102" ht="21" customHeight="1" x14ac:dyDescent="0.25">
      <c r="CM1953" s="1377"/>
      <c r="CN1953" s="1388" t="s">
        <v>12426</v>
      </c>
      <c r="CO1953" s="1388" t="s">
        <v>8129</v>
      </c>
      <c r="CP1953" s="1388" t="s">
        <v>8555</v>
      </c>
      <c r="CQ1953" s="1388" t="s">
        <v>12427</v>
      </c>
      <c r="CR1953" s="1388" t="s">
        <v>12427</v>
      </c>
      <c r="CS1953" s="1388" t="s">
        <v>8108</v>
      </c>
      <c r="CT1953" s="1388" t="s">
        <v>12013</v>
      </c>
      <c r="CU1953" s="1388" t="s">
        <v>8110</v>
      </c>
      <c r="CV1953" s="1389" t="s">
        <v>8111</v>
      </c>
      <c r="CX1953" s="1379">
        <v>1</v>
      </c>
    </row>
    <row r="1954" spans="91:102" ht="21" customHeight="1" x14ac:dyDescent="0.25">
      <c r="CM1954" s="1377"/>
      <c r="CN1954" s="1388" t="s">
        <v>12428</v>
      </c>
      <c r="CO1954" s="1388" t="s">
        <v>8129</v>
      </c>
      <c r="CP1954" s="1388" t="s">
        <v>8555</v>
      </c>
      <c r="CQ1954" s="1388" t="s">
        <v>12429</v>
      </c>
      <c r="CR1954" s="1388" t="s">
        <v>12429</v>
      </c>
      <c r="CS1954" s="1388" t="s">
        <v>8108</v>
      </c>
      <c r="CT1954" s="1388" t="s">
        <v>12013</v>
      </c>
      <c r="CU1954" s="1388" t="s">
        <v>8110</v>
      </c>
      <c r="CV1954" s="1389" t="s">
        <v>8111</v>
      </c>
      <c r="CX1954" s="1379">
        <v>1</v>
      </c>
    </row>
    <row r="1955" spans="91:102" ht="21" customHeight="1" x14ac:dyDescent="0.25">
      <c r="CM1955" s="1377"/>
      <c r="CN1955" s="1388" t="s">
        <v>12430</v>
      </c>
      <c r="CO1955" s="1388" t="s">
        <v>8129</v>
      </c>
      <c r="CP1955" s="1388" t="s">
        <v>8555</v>
      </c>
      <c r="CQ1955" s="1388" t="s">
        <v>12431</v>
      </c>
      <c r="CR1955" s="1388" t="s">
        <v>12431</v>
      </c>
      <c r="CS1955" s="1388" t="s">
        <v>8108</v>
      </c>
      <c r="CT1955" s="1388" t="s">
        <v>12013</v>
      </c>
      <c r="CU1955" s="1388" t="s">
        <v>8110</v>
      </c>
      <c r="CV1955" s="1389" t="s">
        <v>8111</v>
      </c>
      <c r="CX1955" s="1379">
        <v>1</v>
      </c>
    </row>
    <row r="1956" spans="91:102" ht="21" customHeight="1" x14ac:dyDescent="0.25">
      <c r="CM1956" s="1377"/>
      <c r="CN1956" s="1388" t="s">
        <v>12432</v>
      </c>
      <c r="CO1956" s="1388" t="s">
        <v>8129</v>
      </c>
      <c r="CP1956" s="1388" t="s">
        <v>8555</v>
      </c>
      <c r="CQ1956" s="1388" t="s">
        <v>12433</v>
      </c>
      <c r="CR1956" s="1388" t="s">
        <v>12433</v>
      </c>
      <c r="CS1956" s="1388" t="s">
        <v>8108</v>
      </c>
      <c r="CT1956" s="1388" t="s">
        <v>12013</v>
      </c>
      <c r="CU1956" s="1388" t="s">
        <v>8110</v>
      </c>
      <c r="CV1956" s="1389" t="s">
        <v>8111</v>
      </c>
      <c r="CX1956" s="1379">
        <v>1</v>
      </c>
    </row>
    <row r="1957" spans="91:102" ht="21" customHeight="1" x14ac:dyDescent="0.25">
      <c r="CM1957" s="1377"/>
      <c r="CN1957" s="1388" t="s">
        <v>12434</v>
      </c>
      <c r="CO1957" s="1388" t="s">
        <v>8129</v>
      </c>
      <c r="CP1957" s="1388" t="s">
        <v>8555</v>
      </c>
      <c r="CQ1957" s="1388" t="s">
        <v>12435</v>
      </c>
      <c r="CR1957" s="1388" t="s">
        <v>12435</v>
      </c>
      <c r="CS1957" s="1388" t="s">
        <v>8108</v>
      </c>
      <c r="CT1957" s="1388" t="s">
        <v>12013</v>
      </c>
      <c r="CU1957" s="1388" t="s">
        <v>8110</v>
      </c>
      <c r="CV1957" s="1389" t="s">
        <v>8111</v>
      </c>
      <c r="CX1957" s="1379">
        <v>1</v>
      </c>
    </row>
    <row r="1958" spans="91:102" ht="21" customHeight="1" x14ac:dyDescent="0.25">
      <c r="CM1958" s="1377"/>
      <c r="CN1958" s="1388" t="s">
        <v>12436</v>
      </c>
      <c r="CO1958" s="1388" t="s">
        <v>8129</v>
      </c>
      <c r="CP1958" s="1388" t="s">
        <v>8555</v>
      </c>
      <c r="CQ1958" s="1388" t="s">
        <v>12437</v>
      </c>
      <c r="CR1958" s="1388" t="s">
        <v>12437</v>
      </c>
      <c r="CS1958" s="1388" t="s">
        <v>8108</v>
      </c>
      <c r="CT1958" s="1388" t="s">
        <v>12013</v>
      </c>
      <c r="CU1958" s="1388" t="s">
        <v>8110</v>
      </c>
      <c r="CV1958" s="1389" t="s">
        <v>8111</v>
      </c>
      <c r="CX1958" s="1379">
        <v>1</v>
      </c>
    </row>
    <row r="1959" spans="91:102" ht="21" customHeight="1" x14ac:dyDescent="0.25">
      <c r="CM1959" s="1377"/>
      <c r="CN1959" s="1388" t="s">
        <v>12438</v>
      </c>
      <c r="CO1959" s="1388" t="s">
        <v>8129</v>
      </c>
      <c r="CP1959" s="1388" t="s">
        <v>8555</v>
      </c>
      <c r="CQ1959" s="1388" t="s">
        <v>12439</v>
      </c>
      <c r="CR1959" s="1388" t="s">
        <v>12439</v>
      </c>
      <c r="CS1959" s="1388" t="s">
        <v>8108</v>
      </c>
      <c r="CT1959" s="1388" t="s">
        <v>12013</v>
      </c>
      <c r="CU1959" s="1388" t="s">
        <v>8110</v>
      </c>
      <c r="CV1959" s="1389" t="s">
        <v>8111</v>
      </c>
      <c r="CX1959" s="1379">
        <v>1</v>
      </c>
    </row>
    <row r="1960" spans="91:102" ht="21" customHeight="1" x14ac:dyDescent="0.25">
      <c r="CM1960" s="1377"/>
      <c r="CN1960" s="1388" t="s">
        <v>12440</v>
      </c>
      <c r="CO1960" s="1388" t="s">
        <v>8129</v>
      </c>
      <c r="CP1960" s="1388" t="s">
        <v>8741</v>
      </c>
      <c r="CQ1960" s="1388" t="s">
        <v>12441</v>
      </c>
      <c r="CR1960" s="1388" t="s">
        <v>12441</v>
      </c>
      <c r="CS1960" s="1388" t="s">
        <v>8108</v>
      </c>
      <c r="CT1960" s="1388" t="s">
        <v>11164</v>
      </c>
      <c r="CU1960" s="1388" t="s">
        <v>8110</v>
      </c>
      <c r="CV1960" s="1389" t="s">
        <v>8111</v>
      </c>
      <c r="CX1960" s="1379">
        <v>1</v>
      </c>
    </row>
    <row r="1961" spans="91:102" ht="21" customHeight="1" x14ac:dyDescent="0.25">
      <c r="CM1961" s="1377"/>
      <c r="CN1961" s="1388" t="s">
        <v>12442</v>
      </c>
      <c r="CO1961" s="1388" t="s">
        <v>8129</v>
      </c>
      <c r="CP1961" s="1388" t="s">
        <v>8741</v>
      </c>
      <c r="CQ1961" s="1388" t="s">
        <v>12443</v>
      </c>
      <c r="CR1961" s="1388" t="s">
        <v>12444</v>
      </c>
      <c r="CS1961" s="1388" t="s">
        <v>8108</v>
      </c>
      <c r="CT1961" s="1388" t="s">
        <v>11164</v>
      </c>
      <c r="CU1961" s="1388" t="s">
        <v>8110</v>
      </c>
      <c r="CV1961" s="1389" t="s">
        <v>8111</v>
      </c>
      <c r="CX1961" s="1379">
        <v>1</v>
      </c>
    </row>
    <row r="1962" spans="91:102" ht="21" customHeight="1" x14ac:dyDescent="0.25">
      <c r="CM1962" s="1377"/>
      <c r="CN1962" s="1388" t="s">
        <v>12445</v>
      </c>
      <c r="CO1962" s="1388" t="s">
        <v>8129</v>
      </c>
      <c r="CP1962" s="1388" t="s">
        <v>8741</v>
      </c>
      <c r="CQ1962" s="1388" t="s">
        <v>12446</v>
      </c>
      <c r="CR1962" s="1388" t="s">
        <v>12446</v>
      </c>
      <c r="CS1962" s="1388" t="s">
        <v>8108</v>
      </c>
      <c r="CT1962" s="1388" t="s">
        <v>11164</v>
      </c>
      <c r="CU1962" s="1388" t="s">
        <v>8110</v>
      </c>
      <c r="CV1962" s="1389" t="s">
        <v>8111</v>
      </c>
      <c r="CX1962" s="1379">
        <v>1</v>
      </c>
    </row>
    <row r="1963" spans="91:102" ht="21" customHeight="1" x14ac:dyDescent="0.25">
      <c r="CM1963" s="1377"/>
      <c r="CN1963" s="1388" t="s">
        <v>12447</v>
      </c>
      <c r="CO1963" s="1388" t="s">
        <v>8129</v>
      </c>
      <c r="CP1963" s="1388" t="s">
        <v>8741</v>
      </c>
      <c r="CQ1963" s="1388" t="s">
        <v>8368</v>
      </c>
      <c r="CR1963" s="1388" t="s">
        <v>8368</v>
      </c>
      <c r="CS1963" s="1388" t="s">
        <v>8108</v>
      </c>
      <c r="CT1963" s="1388" t="s">
        <v>11164</v>
      </c>
      <c r="CU1963" s="1388" t="s">
        <v>8110</v>
      </c>
      <c r="CV1963" s="1389" t="s">
        <v>8111</v>
      </c>
      <c r="CX1963" s="1379">
        <v>1</v>
      </c>
    </row>
    <row r="1964" spans="91:102" ht="21" customHeight="1" x14ac:dyDescent="0.25">
      <c r="CM1964" s="1377"/>
      <c r="CN1964" s="1388" t="s">
        <v>12448</v>
      </c>
      <c r="CO1964" s="1388" t="s">
        <v>8129</v>
      </c>
      <c r="CP1964" s="1388" t="s">
        <v>8741</v>
      </c>
      <c r="CQ1964" s="1388" t="s">
        <v>8370</v>
      </c>
      <c r="CR1964" s="1388" t="s">
        <v>8370</v>
      </c>
      <c r="CS1964" s="1388" t="s">
        <v>8108</v>
      </c>
      <c r="CT1964" s="1388" t="s">
        <v>11164</v>
      </c>
      <c r="CU1964" s="1388" t="s">
        <v>8110</v>
      </c>
      <c r="CV1964" s="1389" t="s">
        <v>8111</v>
      </c>
      <c r="CX1964" s="1379">
        <v>1</v>
      </c>
    </row>
    <row r="1965" spans="91:102" ht="21" customHeight="1" x14ac:dyDescent="0.25">
      <c r="CM1965" s="1377"/>
      <c r="CN1965" s="1388" t="s">
        <v>12449</v>
      </c>
      <c r="CO1965" s="1388" t="s">
        <v>8129</v>
      </c>
      <c r="CP1965" s="1388" t="s">
        <v>8741</v>
      </c>
      <c r="CQ1965" s="1388" t="s">
        <v>12450</v>
      </c>
      <c r="CR1965" s="1388" t="s">
        <v>12450</v>
      </c>
      <c r="CS1965" s="1388" t="s">
        <v>8194</v>
      </c>
      <c r="CT1965" s="1388" t="s">
        <v>8748</v>
      </c>
      <c r="CU1965" s="1388" t="s">
        <v>8110</v>
      </c>
      <c r="CV1965" s="1389" t="s">
        <v>8196</v>
      </c>
      <c r="CX1965" s="1379">
        <v>1</v>
      </c>
    </row>
    <row r="1966" spans="91:102" ht="21" customHeight="1" x14ac:dyDescent="0.25">
      <c r="CM1966" s="1377"/>
      <c r="CN1966" s="1388" t="s">
        <v>12451</v>
      </c>
      <c r="CO1966" s="1388" t="s">
        <v>8129</v>
      </c>
      <c r="CP1966" s="1388" t="s">
        <v>8741</v>
      </c>
      <c r="CQ1966" s="1388" t="s">
        <v>12452</v>
      </c>
      <c r="CR1966" s="1388" t="s">
        <v>12453</v>
      </c>
      <c r="CS1966" s="1388" t="s">
        <v>8108</v>
      </c>
      <c r="CT1966" s="1388" t="s">
        <v>11164</v>
      </c>
      <c r="CU1966" s="1388" t="s">
        <v>8110</v>
      </c>
      <c r="CV1966" s="1389" t="s">
        <v>8111</v>
      </c>
      <c r="CX1966" s="1379">
        <v>1</v>
      </c>
    </row>
    <row r="1967" spans="91:102" ht="21" customHeight="1" x14ac:dyDescent="0.25">
      <c r="CM1967" s="1377"/>
      <c r="CN1967" s="1388" t="s">
        <v>12454</v>
      </c>
      <c r="CO1967" s="1388" t="s">
        <v>8129</v>
      </c>
      <c r="CP1967" s="1388" t="s">
        <v>8741</v>
      </c>
      <c r="CQ1967" s="1388" t="s">
        <v>12455</v>
      </c>
      <c r="CR1967" s="1388" t="s">
        <v>12455</v>
      </c>
      <c r="CS1967" s="1388" t="s">
        <v>8108</v>
      </c>
      <c r="CT1967" s="1388" t="s">
        <v>11164</v>
      </c>
      <c r="CU1967" s="1388" t="s">
        <v>8110</v>
      </c>
      <c r="CV1967" s="1389" t="s">
        <v>8111</v>
      </c>
      <c r="CX1967" s="1379">
        <v>1</v>
      </c>
    </row>
    <row r="1968" spans="91:102" ht="21" customHeight="1" x14ac:dyDescent="0.25">
      <c r="CM1968" s="1377"/>
      <c r="CN1968" s="1388" t="s">
        <v>12456</v>
      </c>
      <c r="CO1968" s="1388" t="s">
        <v>8129</v>
      </c>
      <c r="CP1968" s="1388" t="s">
        <v>8741</v>
      </c>
      <c r="CQ1968" s="1388" t="s">
        <v>12457</v>
      </c>
      <c r="CR1968" s="1388" t="s">
        <v>12457</v>
      </c>
      <c r="CS1968" s="1388" t="s">
        <v>8108</v>
      </c>
      <c r="CT1968" s="1388" t="s">
        <v>11164</v>
      </c>
      <c r="CU1968" s="1388" t="s">
        <v>8110</v>
      </c>
      <c r="CV1968" s="1389" t="s">
        <v>8111</v>
      </c>
      <c r="CX1968" s="1379">
        <v>1</v>
      </c>
    </row>
    <row r="1969" spans="91:102" ht="21" customHeight="1" x14ac:dyDescent="0.25">
      <c r="CM1969" s="1377"/>
      <c r="CN1969" s="1388" t="s">
        <v>12458</v>
      </c>
      <c r="CO1969" s="1388" t="s">
        <v>8129</v>
      </c>
      <c r="CP1969" s="1388" t="s">
        <v>8741</v>
      </c>
      <c r="CQ1969" s="1388" t="s">
        <v>12459</v>
      </c>
      <c r="CR1969" s="1388" t="s">
        <v>12459</v>
      </c>
      <c r="CS1969" s="1388" t="s">
        <v>8108</v>
      </c>
      <c r="CT1969" s="1388" t="s">
        <v>11164</v>
      </c>
      <c r="CU1969" s="1388" t="s">
        <v>8110</v>
      </c>
      <c r="CV1969" s="1389" t="s">
        <v>8111</v>
      </c>
      <c r="CX1969" s="1379">
        <v>1</v>
      </c>
    </row>
    <row r="1970" spans="91:102" ht="21" customHeight="1" x14ac:dyDescent="0.25">
      <c r="CM1970" s="1377"/>
      <c r="CN1970" s="1388" t="s">
        <v>12460</v>
      </c>
      <c r="CO1970" s="1388" t="s">
        <v>8129</v>
      </c>
      <c r="CP1970" s="1388" t="s">
        <v>8741</v>
      </c>
      <c r="CQ1970" s="1388" t="s">
        <v>12461</v>
      </c>
      <c r="CR1970" s="1388" t="s">
        <v>12461</v>
      </c>
      <c r="CS1970" s="1388" t="s">
        <v>8108</v>
      </c>
      <c r="CT1970" s="1388" t="s">
        <v>11164</v>
      </c>
      <c r="CU1970" s="1388" t="s">
        <v>8110</v>
      </c>
      <c r="CV1970" s="1389" t="s">
        <v>8111</v>
      </c>
      <c r="CX1970" s="1379">
        <v>1</v>
      </c>
    </row>
    <row r="1971" spans="91:102" ht="21" customHeight="1" x14ac:dyDescent="0.25">
      <c r="CM1971" s="1377"/>
      <c r="CN1971" s="1388" t="s">
        <v>12462</v>
      </c>
      <c r="CO1971" s="1388" t="s">
        <v>8129</v>
      </c>
      <c r="CP1971" s="1388" t="s">
        <v>8741</v>
      </c>
      <c r="CQ1971" s="1388" t="s">
        <v>12463</v>
      </c>
      <c r="CR1971" s="1388" t="s">
        <v>12463</v>
      </c>
      <c r="CS1971" s="1388" t="s">
        <v>8194</v>
      </c>
      <c r="CT1971" s="1388" t="s">
        <v>8748</v>
      </c>
      <c r="CU1971" s="1388" t="s">
        <v>8110</v>
      </c>
      <c r="CV1971" s="1389" t="s">
        <v>8196</v>
      </c>
      <c r="CX1971" s="1379">
        <v>1</v>
      </c>
    </row>
    <row r="1972" spans="91:102" ht="21" customHeight="1" x14ac:dyDescent="0.25">
      <c r="CM1972" s="1377"/>
      <c r="CN1972" s="1388" t="s">
        <v>12464</v>
      </c>
      <c r="CO1972" s="1388" t="s">
        <v>8129</v>
      </c>
      <c r="CP1972" s="1388" t="s">
        <v>8741</v>
      </c>
      <c r="CQ1972" s="1388" t="s">
        <v>12465</v>
      </c>
      <c r="CR1972" s="1388" t="s">
        <v>12466</v>
      </c>
      <c r="CS1972" s="1388" t="s">
        <v>8108</v>
      </c>
      <c r="CT1972" s="1388" t="s">
        <v>11164</v>
      </c>
      <c r="CU1972" s="1388" t="s">
        <v>8110</v>
      </c>
      <c r="CV1972" s="1389" t="s">
        <v>8111</v>
      </c>
      <c r="CX1972" s="1379">
        <v>1</v>
      </c>
    </row>
    <row r="1973" spans="91:102" ht="21" customHeight="1" x14ac:dyDescent="0.25">
      <c r="CM1973" s="1377"/>
      <c r="CN1973" s="1388" t="s">
        <v>12467</v>
      </c>
      <c r="CO1973" s="1388" t="s">
        <v>8129</v>
      </c>
      <c r="CP1973" s="1388" t="s">
        <v>8741</v>
      </c>
      <c r="CQ1973" s="1388" t="s">
        <v>12468</v>
      </c>
      <c r="CR1973" s="1388" t="s">
        <v>12468</v>
      </c>
      <c r="CS1973" s="1388" t="s">
        <v>8108</v>
      </c>
      <c r="CT1973" s="1388" t="s">
        <v>11164</v>
      </c>
      <c r="CU1973" s="1388" t="s">
        <v>8110</v>
      </c>
      <c r="CV1973" s="1389" t="s">
        <v>8111</v>
      </c>
      <c r="CX1973" s="1379">
        <v>1</v>
      </c>
    </row>
    <row r="1974" spans="91:102" ht="21" customHeight="1" x14ac:dyDescent="0.25">
      <c r="CM1974" s="1377"/>
      <c r="CN1974" s="1388" t="s">
        <v>12469</v>
      </c>
      <c r="CO1974" s="1388" t="s">
        <v>8129</v>
      </c>
      <c r="CP1974" s="1388" t="s">
        <v>8741</v>
      </c>
      <c r="CQ1974" s="1388" t="s">
        <v>12209</v>
      </c>
      <c r="CR1974" s="1388" t="s">
        <v>12209</v>
      </c>
      <c r="CS1974" s="1388" t="s">
        <v>8108</v>
      </c>
      <c r="CT1974" s="1388" t="s">
        <v>11164</v>
      </c>
      <c r="CU1974" s="1388" t="s">
        <v>8110</v>
      </c>
      <c r="CV1974" s="1389" t="s">
        <v>8111</v>
      </c>
      <c r="CX1974" s="1379">
        <v>1</v>
      </c>
    </row>
    <row r="1975" spans="91:102" ht="21" customHeight="1" x14ac:dyDescent="0.25">
      <c r="CM1975" s="1377"/>
      <c r="CN1975" s="1388" t="s">
        <v>12470</v>
      </c>
      <c r="CO1975" s="1388" t="s">
        <v>8129</v>
      </c>
      <c r="CP1975" s="1388" t="s">
        <v>8741</v>
      </c>
      <c r="CQ1975" s="1388" t="s">
        <v>12471</v>
      </c>
      <c r="CR1975" s="1388" t="s">
        <v>12471</v>
      </c>
      <c r="CS1975" s="1388" t="s">
        <v>8108</v>
      </c>
      <c r="CT1975" s="1388" t="s">
        <v>11164</v>
      </c>
      <c r="CU1975" s="1388" t="s">
        <v>8110</v>
      </c>
      <c r="CV1975" s="1389" t="s">
        <v>8111</v>
      </c>
      <c r="CX1975" s="1379">
        <v>1</v>
      </c>
    </row>
    <row r="1976" spans="91:102" ht="21" customHeight="1" x14ac:dyDescent="0.25">
      <c r="CM1976" s="1377"/>
      <c r="CN1976" s="1388" t="s">
        <v>12472</v>
      </c>
      <c r="CO1976" s="1388" t="s">
        <v>8129</v>
      </c>
      <c r="CP1976" s="1388" t="s">
        <v>8741</v>
      </c>
      <c r="CQ1976" s="1388" t="s">
        <v>12473</v>
      </c>
      <c r="CR1976" s="1388" t="s">
        <v>12474</v>
      </c>
      <c r="CS1976" s="1388" t="s">
        <v>8108</v>
      </c>
      <c r="CT1976" s="1388" t="s">
        <v>11164</v>
      </c>
      <c r="CU1976" s="1388" t="s">
        <v>8110</v>
      </c>
      <c r="CV1976" s="1389" t="s">
        <v>8111</v>
      </c>
      <c r="CX1976" s="1379">
        <v>1</v>
      </c>
    </row>
    <row r="1977" spans="91:102" ht="21" customHeight="1" x14ac:dyDescent="0.25">
      <c r="CM1977" s="1377"/>
      <c r="CN1977" s="1388" t="s">
        <v>12475</v>
      </c>
      <c r="CO1977" s="1388" t="s">
        <v>8130</v>
      </c>
      <c r="CP1977" s="1388" t="s">
        <v>8106</v>
      </c>
      <c r="CQ1977" s="1388" t="s">
        <v>12476</v>
      </c>
      <c r="CR1977" s="1388" t="s">
        <v>12477</v>
      </c>
      <c r="CS1977" s="1388" t="s">
        <v>8108</v>
      </c>
      <c r="CT1977" s="1388" t="s">
        <v>12478</v>
      </c>
      <c r="CU1977" s="1388" t="s">
        <v>8110</v>
      </c>
      <c r="CV1977" s="1389" t="s">
        <v>8111</v>
      </c>
      <c r="CX1977" s="1379">
        <v>1</v>
      </c>
    </row>
    <row r="1978" spans="91:102" ht="21" customHeight="1" x14ac:dyDescent="0.25">
      <c r="CM1978" s="1377"/>
      <c r="CN1978" s="1388" t="s">
        <v>12479</v>
      </c>
      <c r="CO1978" s="1388" t="s">
        <v>8130</v>
      </c>
      <c r="CP1978" s="1388" t="s">
        <v>8106</v>
      </c>
      <c r="CQ1978" s="1388" t="s">
        <v>12480</v>
      </c>
      <c r="CR1978" s="1388" t="s">
        <v>12481</v>
      </c>
      <c r="CS1978" s="1388" t="s">
        <v>8108</v>
      </c>
      <c r="CT1978" s="1388" t="s">
        <v>12478</v>
      </c>
      <c r="CU1978" s="1388" t="s">
        <v>8110</v>
      </c>
      <c r="CV1978" s="1389" t="s">
        <v>8111</v>
      </c>
      <c r="CX1978" s="1379">
        <v>1</v>
      </c>
    </row>
    <row r="1979" spans="91:102" ht="21" customHeight="1" x14ac:dyDescent="0.25">
      <c r="CM1979" s="1377"/>
      <c r="CN1979" s="1388" t="s">
        <v>12482</v>
      </c>
      <c r="CO1979" s="1388" t="s">
        <v>8130</v>
      </c>
      <c r="CP1979" s="1388" t="s">
        <v>8106</v>
      </c>
      <c r="CQ1979" s="1388" t="s">
        <v>12483</v>
      </c>
      <c r="CR1979" s="1388" t="s">
        <v>12484</v>
      </c>
      <c r="CS1979" s="1388" t="s">
        <v>8108</v>
      </c>
      <c r="CT1979" s="1388" t="s">
        <v>12478</v>
      </c>
      <c r="CU1979" s="1388" t="s">
        <v>8110</v>
      </c>
      <c r="CV1979" s="1389" t="s">
        <v>8111</v>
      </c>
      <c r="CX1979" s="1379">
        <v>1</v>
      </c>
    </row>
    <row r="1980" spans="91:102" ht="21" customHeight="1" x14ac:dyDescent="0.25">
      <c r="CM1980" s="1377"/>
      <c r="CN1980" s="1388" t="s">
        <v>12485</v>
      </c>
      <c r="CO1980" s="1388" t="s">
        <v>8130</v>
      </c>
      <c r="CP1980" s="1388" t="s">
        <v>8106</v>
      </c>
      <c r="CQ1980" s="1388" t="s">
        <v>12486</v>
      </c>
      <c r="CR1980" s="1388" t="s">
        <v>12486</v>
      </c>
      <c r="CS1980" s="1388" t="s">
        <v>8194</v>
      </c>
      <c r="CT1980" s="1388" t="s">
        <v>8195</v>
      </c>
      <c r="CU1980" s="1388" t="s">
        <v>8110</v>
      </c>
      <c r="CV1980" s="1389" t="s">
        <v>8196</v>
      </c>
      <c r="CX1980" s="1379">
        <v>1</v>
      </c>
    </row>
    <row r="1981" spans="91:102" ht="21" customHeight="1" x14ac:dyDescent="0.25">
      <c r="CM1981" s="1377"/>
      <c r="CN1981" s="1388" t="s">
        <v>12487</v>
      </c>
      <c r="CO1981" s="1388" t="s">
        <v>8130</v>
      </c>
      <c r="CP1981" s="1388" t="s">
        <v>8106</v>
      </c>
      <c r="CQ1981" s="1388" t="s">
        <v>12488</v>
      </c>
      <c r="CR1981" s="1388" t="s">
        <v>12488</v>
      </c>
      <c r="CS1981" s="1388" t="s">
        <v>8194</v>
      </c>
      <c r="CT1981" s="1388" t="s">
        <v>8195</v>
      </c>
      <c r="CU1981" s="1388" t="s">
        <v>8110</v>
      </c>
      <c r="CV1981" s="1389" t="s">
        <v>8196</v>
      </c>
      <c r="CX1981" s="1379">
        <v>1</v>
      </c>
    </row>
    <row r="1982" spans="91:102" ht="21" customHeight="1" x14ac:dyDescent="0.25">
      <c r="CM1982" s="1377"/>
      <c r="CN1982" s="1388" t="s">
        <v>12489</v>
      </c>
      <c r="CO1982" s="1388" t="s">
        <v>8130</v>
      </c>
      <c r="CP1982" s="1388" t="s">
        <v>8106</v>
      </c>
      <c r="CQ1982" s="1388" t="s">
        <v>12490</v>
      </c>
      <c r="CR1982" s="1388" t="s">
        <v>12491</v>
      </c>
      <c r="CS1982" s="1388" t="s">
        <v>8108</v>
      </c>
      <c r="CT1982" s="1388" t="s">
        <v>12478</v>
      </c>
      <c r="CU1982" s="1388" t="s">
        <v>8110</v>
      </c>
      <c r="CV1982" s="1389" t="s">
        <v>8111</v>
      </c>
      <c r="CX1982" s="1379">
        <v>1</v>
      </c>
    </row>
    <row r="1983" spans="91:102" ht="21" customHeight="1" x14ac:dyDescent="0.25">
      <c r="CM1983" s="1377"/>
      <c r="CN1983" s="1388" t="s">
        <v>12492</v>
      </c>
      <c r="CO1983" s="1388" t="s">
        <v>8130</v>
      </c>
      <c r="CP1983" s="1388" t="s">
        <v>8106</v>
      </c>
      <c r="CQ1983" s="1388" t="s">
        <v>12493</v>
      </c>
      <c r="CR1983" s="1388" t="s">
        <v>12494</v>
      </c>
      <c r="CS1983" s="1388" t="s">
        <v>8108</v>
      </c>
      <c r="CT1983" s="1388" t="s">
        <v>12478</v>
      </c>
      <c r="CU1983" s="1388" t="s">
        <v>8110</v>
      </c>
      <c r="CV1983" s="1389" t="s">
        <v>8111</v>
      </c>
      <c r="CX1983" s="1379">
        <v>1</v>
      </c>
    </row>
    <row r="1984" spans="91:102" ht="21" customHeight="1" x14ac:dyDescent="0.25">
      <c r="CM1984" s="1377"/>
      <c r="CN1984" s="1388" t="s">
        <v>12495</v>
      </c>
      <c r="CO1984" s="1388" t="s">
        <v>8130</v>
      </c>
      <c r="CP1984" s="1388" t="s">
        <v>8106</v>
      </c>
      <c r="CQ1984" s="1388" t="s">
        <v>12496</v>
      </c>
      <c r="CR1984" s="1388" t="s">
        <v>12497</v>
      </c>
      <c r="CS1984" s="1388" t="s">
        <v>8108</v>
      </c>
      <c r="CT1984" s="1388" t="s">
        <v>12478</v>
      </c>
      <c r="CU1984" s="1388" t="s">
        <v>8110</v>
      </c>
      <c r="CV1984" s="1389" t="s">
        <v>8111</v>
      </c>
      <c r="CX1984" s="1379">
        <v>1</v>
      </c>
    </row>
    <row r="1985" spans="91:102" ht="21" customHeight="1" x14ac:dyDescent="0.25">
      <c r="CM1985" s="1377"/>
      <c r="CN1985" s="1388" t="s">
        <v>12498</v>
      </c>
      <c r="CO1985" s="1388" t="s">
        <v>8130</v>
      </c>
      <c r="CP1985" s="1388" t="s">
        <v>8106</v>
      </c>
      <c r="CQ1985" s="1388" t="s">
        <v>12499</v>
      </c>
      <c r="CR1985" s="1388" t="s">
        <v>12500</v>
      </c>
      <c r="CS1985" s="1388" t="s">
        <v>8108</v>
      </c>
      <c r="CT1985" s="1388" t="s">
        <v>12478</v>
      </c>
      <c r="CU1985" s="1388" t="s">
        <v>8110</v>
      </c>
      <c r="CV1985" s="1389" t="s">
        <v>8111</v>
      </c>
      <c r="CX1985" s="1379">
        <v>1</v>
      </c>
    </row>
    <row r="1986" spans="91:102" ht="21" customHeight="1" x14ac:dyDescent="0.25">
      <c r="CM1986" s="1377"/>
      <c r="CN1986" s="1388" t="s">
        <v>12501</v>
      </c>
      <c r="CO1986" s="1388" t="s">
        <v>8130</v>
      </c>
      <c r="CP1986" s="1388" t="s">
        <v>8106</v>
      </c>
      <c r="CQ1986" s="1388" t="s">
        <v>12502</v>
      </c>
      <c r="CR1986" s="1388" t="s">
        <v>12503</v>
      </c>
      <c r="CS1986" s="1388" t="s">
        <v>8108</v>
      </c>
      <c r="CT1986" s="1388" t="s">
        <v>12478</v>
      </c>
      <c r="CU1986" s="1388" t="s">
        <v>8110</v>
      </c>
      <c r="CV1986" s="1389" t="s">
        <v>8111</v>
      </c>
      <c r="CX1986" s="1379">
        <v>1</v>
      </c>
    </row>
    <row r="1987" spans="91:102" ht="21" customHeight="1" x14ac:dyDescent="0.25">
      <c r="CM1987" s="1377"/>
      <c r="CN1987" s="1388" t="s">
        <v>12504</v>
      </c>
      <c r="CO1987" s="1388" t="s">
        <v>8130</v>
      </c>
      <c r="CP1987" s="1388" t="s">
        <v>8106</v>
      </c>
      <c r="CQ1987" s="1388" t="s">
        <v>12505</v>
      </c>
      <c r="CR1987" s="1388" t="s">
        <v>12506</v>
      </c>
      <c r="CS1987" s="1388" t="s">
        <v>8108</v>
      </c>
      <c r="CT1987" s="1388" t="s">
        <v>12478</v>
      </c>
      <c r="CU1987" s="1388" t="s">
        <v>8110</v>
      </c>
      <c r="CV1987" s="1389" t="s">
        <v>8111</v>
      </c>
      <c r="CX1987" s="1379">
        <v>1</v>
      </c>
    </row>
    <row r="1988" spans="91:102" ht="21" customHeight="1" x14ac:dyDescent="0.25">
      <c r="CM1988" s="1377"/>
      <c r="CN1988" s="1388" t="s">
        <v>12507</v>
      </c>
      <c r="CO1988" s="1388" t="s">
        <v>8130</v>
      </c>
      <c r="CP1988" s="1388" t="s">
        <v>8106</v>
      </c>
      <c r="CQ1988" s="1388" t="s">
        <v>12508</v>
      </c>
      <c r="CR1988" s="1388" t="s">
        <v>12509</v>
      </c>
      <c r="CS1988" s="1388" t="s">
        <v>8108</v>
      </c>
      <c r="CT1988" s="1388" t="s">
        <v>12478</v>
      </c>
      <c r="CU1988" s="1388" t="s">
        <v>8110</v>
      </c>
      <c r="CV1988" s="1389" t="s">
        <v>8111</v>
      </c>
      <c r="CX1988" s="1379">
        <v>1</v>
      </c>
    </row>
    <row r="1989" spans="91:102" ht="21" customHeight="1" x14ac:dyDescent="0.25">
      <c r="CM1989" s="1377"/>
      <c r="CN1989" s="1388" t="s">
        <v>12510</v>
      </c>
      <c r="CO1989" s="1388" t="s">
        <v>8130</v>
      </c>
      <c r="CP1989" s="1388" t="s">
        <v>8106</v>
      </c>
      <c r="CQ1989" s="1388" t="s">
        <v>12511</v>
      </c>
      <c r="CR1989" s="1388" t="s">
        <v>12512</v>
      </c>
      <c r="CS1989" s="1388" t="s">
        <v>8108</v>
      </c>
      <c r="CT1989" s="1388" t="s">
        <v>12478</v>
      </c>
      <c r="CU1989" s="1388" t="s">
        <v>8110</v>
      </c>
      <c r="CV1989" s="1389" t="s">
        <v>8111</v>
      </c>
      <c r="CX1989" s="1379">
        <v>1</v>
      </c>
    </row>
    <row r="1990" spans="91:102" ht="21" customHeight="1" x14ac:dyDescent="0.25">
      <c r="CM1990" s="1377"/>
      <c r="CN1990" s="1388" t="s">
        <v>12513</v>
      </c>
      <c r="CO1990" s="1388" t="s">
        <v>8130</v>
      </c>
      <c r="CP1990" s="1388" t="s">
        <v>8106</v>
      </c>
      <c r="CQ1990" s="1388" t="s">
        <v>12514</v>
      </c>
      <c r="CR1990" s="1388" t="s">
        <v>12515</v>
      </c>
      <c r="CS1990" s="1388" t="s">
        <v>8108</v>
      </c>
      <c r="CT1990" s="1388" t="s">
        <v>12478</v>
      </c>
      <c r="CU1990" s="1388" t="s">
        <v>8110</v>
      </c>
      <c r="CV1990" s="1389" t="s">
        <v>8111</v>
      </c>
      <c r="CX1990" s="1379">
        <v>1</v>
      </c>
    </row>
    <row r="1991" spans="91:102" ht="21" customHeight="1" x14ac:dyDescent="0.25">
      <c r="CM1991" s="1377"/>
      <c r="CN1991" s="1388" t="s">
        <v>12516</v>
      </c>
      <c r="CO1991" s="1388" t="s">
        <v>8130</v>
      </c>
      <c r="CP1991" s="1388" t="s">
        <v>8741</v>
      </c>
      <c r="CQ1991" s="1388" t="s">
        <v>8745</v>
      </c>
      <c r="CR1991" s="1388" t="s">
        <v>8745</v>
      </c>
      <c r="CS1991" s="1388" t="s">
        <v>8108</v>
      </c>
      <c r="CT1991" s="1388" t="s">
        <v>11164</v>
      </c>
      <c r="CU1991" s="1388" t="s">
        <v>8110</v>
      </c>
      <c r="CV1991" s="1389" t="s">
        <v>8111</v>
      </c>
      <c r="CX1991" s="1379">
        <v>1</v>
      </c>
    </row>
    <row r="1992" spans="91:102" ht="21" customHeight="1" x14ac:dyDescent="0.25">
      <c r="CM1992" s="1377"/>
      <c r="CN1992" s="1388" t="s">
        <v>12517</v>
      </c>
      <c r="CO1992" s="1388" t="s">
        <v>8130</v>
      </c>
      <c r="CP1992" s="1388" t="s">
        <v>8741</v>
      </c>
      <c r="CQ1992" s="1388" t="s">
        <v>12518</v>
      </c>
      <c r="CR1992" s="1388" t="s">
        <v>12519</v>
      </c>
      <c r="CS1992" s="1388" t="s">
        <v>8108</v>
      </c>
      <c r="CT1992" s="1388" t="s">
        <v>11164</v>
      </c>
      <c r="CU1992" s="1388" t="s">
        <v>8110</v>
      </c>
      <c r="CV1992" s="1389" t="s">
        <v>8111</v>
      </c>
      <c r="CX1992" s="1379">
        <v>1</v>
      </c>
    </row>
    <row r="1993" spans="91:102" ht="21" customHeight="1" x14ac:dyDescent="0.25">
      <c r="CM1993" s="1377"/>
      <c r="CN1993" s="1388" t="s">
        <v>12520</v>
      </c>
      <c r="CO1993" s="1388" t="s">
        <v>8130</v>
      </c>
      <c r="CP1993" s="1388" t="s">
        <v>8741</v>
      </c>
      <c r="CQ1993" s="1388" t="s">
        <v>678</v>
      </c>
      <c r="CR1993" s="1388" t="s">
        <v>678</v>
      </c>
      <c r="CS1993" s="1388" t="s">
        <v>8108</v>
      </c>
      <c r="CT1993" s="1388" t="s">
        <v>11164</v>
      </c>
      <c r="CU1993" s="1388" t="s">
        <v>8110</v>
      </c>
      <c r="CV1993" s="1389" t="s">
        <v>8111</v>
      </c>
      <c r="CX1993" s="1379">
        <v>1</v>
      </c>
    </row>
    <row r="1994" spans="91:102" ht="21" customHeight="1" x14ac:dyDescent="0.25">
      <c r="CM1994" s="1377"/>
      <c r="CN1994" s="1388" t="s">
        <v>12521</v>
      </c>
      <c r="CO1994" s="1388" t="s">
        <v>8130</v>
      </c>
      <c r="CP1994" s="1388" t="s">
        <v>8741</v>
      </c>
      <c r="CQ1994" s="1388" t="s">
        <v>12522</v>
      </c>
      <c r="CR1994" s="1388" t="s">
        <v>12522</v>
      </c>
      <c r="CS1994" s="1388" t="s">
        <v>8108</v>
      </c>
      <c r="CT1994" s="1388" t="s">
        <v>11164</v>
      </c>
      <c r="CU1994" s="1388" t="s">
        <v>8110</v>
      </c>
      <c r="CV1994" s="1389" t="s">
        <v>8111</v>
      </c>
      <c r="CX1994" s="1379">
        <v>1</v>
      </c>
    </row>
    <row r="1995" spans="91:102" ht="21" customHeight="1" x14ac:dyDescent="0.25">
      <c r="CM1995" s="1377"/>
      <c r="CN1995" s="1388" t="s">
        <v>12523</v>
      </c>
      <c r="CO1995" s="1388" t="s">
        <v>8130</v>
      </c>
      <c r="CP1995" s="1388" t="s">
        <v>8741</v>
      </c>
      <c r="CQ1995" s="1388" t="s">
        <v>8755</v>
      </c>
      <c r="CR1995" s="1388" t="s">
        <v>8755</v>
      </c>
      <c r="CS1995" s="1388" t="s">
        <v>8108</v>
      </c>
      <c r="CT1995" s="1388" t="s">
        <v>11164</v>
      </c>
      <c r="CU1995" s="1388" t="s">
        <v>8110</v>
      </c>
      <c r="CV1995" s="1389" t="s">
        <v>8111</v>
      </c>
      <c r="CX1995" s="1379">
        <v>1</v>
      </c>
    </row>
    <row r="1996" spans="91:102" ht="21" customHeight="1" x14ac:dyDescent="0.25">
      <c r="CM1996" s="1377"/>
      <c r="CN1996" s="1388" t="s">
        <v>12524</v>
      </c>
      <c r="CO1996" s="1388" t="s">
        <v>8130</v>
      </c>
      <c r="CP1996" s="1388" t="s">
        <v>8741</v>
      </c>
      <c r="CQ1996" s="1388" t="s">
        <v>8757</v>
      </c>
      <c r="CR1996" s="1388" t="s">
        <v>8757</v>
      </c>
      <c r="CS1996" s="1388" t="s">
        <v>8108</v>
      </c>
      <c r="CT1996" s="1388" t="s">
        <v>11164</v>
      </c>
      <c r="CU1996" s="1388" t="s">
        <v>8110</v>
      </c>
      <c r="CV1996" s="1389" t="s">
        <v>8111</v>
      </c>
      <c r="CX1996" s="1379">
        <v>1</v>
      </c>
    </row>
    <row r="1997" spans="91:102" ht="21" customHeight="1" x14ac:dyDescent="0.25">
      <c r="CM1997" s="1377"/>
      <c r="CN1997" s="1388" t="s">
        <v>12525</v>
      </c>
      <c r="CO1997" s="1388" t="s">
        <v>8130</v>
      </c>
      <c r="CP1997" s="1388" t="s">
        <v>8741</v>
      </c>
      <c r="CQ1997" s="1388" t="s">
        <v>12526</v>
      </c>
      <c r="CR1997" s="1388" t="s">
        <v>12526</v>
      </c>
      <c r="CS1997" s="1388" t="s">
        <v>8108</v>
      </c>
      <c r="CT1997" s="1388" t="s">
        <v>11164</v>
      </c>
      <c r="CU1997" s="1388" t="s">
        <v>8110</v>
      </c>
      <c r="CV1997" s="1389" t="s">
        <v>8111</v>
      </c>
      <c r="CX1997" s="1379">
        <v>1</v>
      </c>
    </row>
    <row r="1998" spans="91:102" ht="21" customHeight="1" x14ac:dyDescent="0.25">
      <c r="CM1998" s="1377"/>
      <c r="CN1998" s="1388" t="s">
        <v>12527</v>
      </c>
      <c r="CO1998" s="1388" t="s">
        <v>8130</v>
      </c>
      <c r="CP1998" s="1388" t="s">
        <v>8741</v>
      </c>
      <c r="CQ1998" s="1388" t="s">
        <v>12528</v>
      </c>
      <c r="CR1998" s="1388" t="s">
        <v>12529</v>
      </c>
      <c r="CS1998" s="1388" t="s">
        <v>8108</v>
      </c>
      <c r="CT1998" s="1388" t="s">
        <v>11164</v>
      </c>
      <c r="CU1998" s="1388" t="s">
        <v>8110</v>
      </c>
      <c r="CV1998" s="1389" t="s">
        <v>8111</v>
      </c>
      <c r="CX1998" s="1379">
        <v>1</v>
      </c>
    </row>
    <row r="1999" spans="91:102" ht="21" customHeight="1" x14ac:dyDescent="0.25">
      <c r="CM1999" s="1377"/>
      <c r="CN1999" s="1388" t="s">
        <v>12530</v>
      </c>
      <c r="CO1999" s="1388" t="s">
        <v>8130</v>
      </c>
      <c r="CP1999" s="1388" t="s">
        <v>8741</v>
      </c>
      <c r="CQ1999" s="1388" t="s">
        <v>12531</v>
      </c>
      <c r="CR1999" s="1388" t="s">
        <v>12531</v>
      </c>
      <c r="CS1999" s="1388" t="s">
        <v>8108</v>
      </c>
      <c r="CT1999" s="1388" t="s">
        <v>11164</v>
      </c>
      <c r="CU1999" s="1388" t="s">
        <v>8110</v>
      </c>
      <c r="CV1999" s="1389" t="s">
        <v>8111</v>
      </c>
      <c r="CX1999" s="1379">
        <v>1</v>
      </c>
    </row>
    <row r="2000" spans="91:102" ht="21" customHeight="1" x14ac:dyDescent="0.25">
      <c r="CM2000" s="1377"/>
      <c r="CN2000" s="1388" t="s">
        <v>12532</v>
      </c>
      <c r="CO2000" s="1388" t="s">
        <v>8130</v>
      </c>
      <c r="CP2000" s="1388" t="s">
        <v>8741</v>
      </c>
      <c r="CQ2000" s="1388" t="s">
        <v>9236</v>
      </c>
      <c r="CR2000" s="1388" t="s">
        <v>1668</v>
      </c>
      <c r="CS2000" s="1388" t="s">
        <v>8108</v>
      </c>
      <c r="CT2000" s="1388" t="s">
        <v>11164</v>
      </c>
      <c r="CU2000" s="1388" t="s">
        <v>8110</v>
      </c>
      <c r="CV2000" s="1389" t="s">
        <v>8111</v>
      </c>
      <c r="CX2000" s="1379">
        <v>1</v>
      </c>
    </row>
    <row r="2001" spans="91:102" ht="21" customHeight="1" x14ac:dyDescent="0.25">
      <c r="CM2001" s="1377"/>
      <c r="CN2001" s="1388" t="s">
        <v>12533</v>
      </c>
      <c r="CO2001" s="1388" t="s">
        <v>8130</v>
      </c>
      <c r="CP2001" s="1388" t="s">
        <v>8741</v>
      </c>
      <c r="CQ2001" s="1388" t="s">
        <v>12534</v>
      </c>
      <c r="CR2001" s="1388" t="s">
        <v>12534</v>
      </c>
      <c r="CS2001" s="1388" t="s">
        <v>8108</v>
      </c>
      <c r="CT2001" s="1388" t="s">
        <v>11164</v>
      </c>
      <c r="CU2001" s="1388" t="s">
        <v>8110</v>
      </c>
      <c r="CV2001" s="1389" t="s">
        <v>8111</v>
      </c>
      <c r="CX2001" s="1379">
        <v>1</v>
      </c>
    </row>
    <row r="2002" spans="91:102" ht="21" customHeight="1" x14ac:dyDescent="0.25">
      <c r="CM2002" s="1377"/>
      <c r="CN2002" s="1388" t="s">
        <v>12535</v>
      </c>
      <c r="CO2002" s="1388" t="s">
        <v>8130</v>
      </c>
      <c r="CP2002" s="1388" t="s">
        <v>8741</v>
      </c>
      <c r="CQ2002" s="1388" t="s">
        <v>4895</v>
      </c>
      <c r="CR2002" s="1388" t="s">
        <v>4895</v>
      </c>
      <c r="CS2002" s="1388" t="s">
        <v>8108</v>
      </c>
      <c r="CT2002" s="1388" t="s">
        <v>11164</v>
      </c>
      <c r="CU2002" s="1388" t="s">
        <v>8110</v>
      </c>
      <c r="CV2002" s="1389" t="s">
        <v>8111</v>
      </c>
      <c r="CX2002" s="1379">
        <v>1</v>
      </c>
    </row>
    <row r="2003" spans="91:102" ht="21" customHeight="1" x14ac:dyDescent="0.25">
      <c r="CM2003" s="1377"/>
      <c r="CN2003" s="1388" t="s">
        <v>12536</v>
      </c>
      <c r="CO2003" s="1388" t="s">
        <v>8130</v>
      </c>
      <c r="CP2003" s="1388" t="s">
        <v>8741</v>
      </c>
      <c r="CQ2003" s="1388" t="s">
        <v>12537</v>
      </c>
      <c r="CR2003" s="1388" t="s">
        <v>12538</v>
      </c>
      <c r="CS2003" s="1388" t="s">
        <v>8108</v>
      </c>
      <c r="CT2003" s="1388" t="s">
        <v>11164</v>
      </c>
      <c r="CU2003" s="1388" t="s">
        <v>8110</v>
      </c>
      <c r="CV2003" s="1389" t="s">
        <v>8111</v>
      </c>
      <c r="CX2003" s="1379">
        <v>1</v>
      </c>
    </row>
    <row r="2004" spans="91:102" ht="21" customHeight="1" x14ac:dyDescent="0.25">
      <c r="CM2004" s="1377"/>
      <c r="CN2004" s="1388" t="s">
        <v>12539</v>
      </c>
      <c r="CO2004" s="1388" t="s">
        <v>8130</v>
      </c>
      <c r="CP2004" s="1388" t="s">
        <v>8741</v>
      </c>
      <c r="CQ2004" s="1388" t="s">
        <v>12540</v>
      </c>
      <c r="CR2004" s="1388" t="s">
        <v>12540</v>
      </c>
      <c r="CS2004" s="1388" t="s">
        <v>8108</v>
      </c>
      <c r="CT2004" s="1388" t="s">
        <v>11164</v>
      </c>
      <c r="CU2004" s="1388" t="s">
        <v>8110</v>
      </c>
      <c r="CV2004" s="1389" t="s">
        <v>8111</v>
      </c>
      <c r="CX2004" s="1379">
        <v>1</v>
      </c>
    </row>
    <row r="2005" spans="91:102" ht="21" customHeight="1" x14ac:dyDescent="0.25">
      <c r="CM2005" s="1377"/>
      <c r="CN2005" s="1388" t="s">
        <v>12541</v>
      </c>
      <c r="CO2005" s="1388" t="s">
        <v>8130</v>
      </c>
      <c r="CP2005" s="1388" t="s">
        <v>8741</v>
      </c>
      <c r="CQ2005" s="1388" t="s">
        <v>9250</v>
      </c>
      <c r="CR2005" s="1388" t="s">
        <v>9250</v>
      </c>
      <c r="CS2005" s="1388" t="s">
        <v>8108</v>
      </c>
      <c r="CT2005" s="1388" t="s">
        <v>11164</v>
      </c>
      <c r="CU2005" s="1388" t="s">
        <v>8110</v>
      </c>
      <c r="CV2005" s="1389" t="s">
        <v>8111</v>
      </c>
      <c r="CX2005" s="1379">
        <v>1</v>
      </c>
    </row>
    <row r="2006" spans="91:102" ht="21" customHeight="1" x14ac:dyDescent="0.25">
      <c r="CM2006" s="1377"/>
      <c r="CN2006" s="1388" t="s">
        <v>12542</v>
      </c>
      <c r="CO2006" s="1388" t="s">
        <v>8131</v>
      </c>
      <c r="CP2006" s="1388" t="s">
        <v>8106</v>
      </c>
      <c r="CQ2006" s="1388" t="s">
        <v>12543</v>
      </c>
      <c r="CR2006" s="1388" t="s">
        <v>12543</v>
      </c>
      <c r="CS2006" s="1388" t="s">
        <v>8108</v>
      </c>
      <c r="CT2006" s="1388" t="s">
        <v>12544</v>
      </c>
      <c r="CU2006" s="1388" t="s">
        <v>8110</v>
      </c>
      <c r="CV2006" s="1389" t="s">
        <v>8111</v>
      </c>
      <c r="CX2006" s="1379">
        <v>1</v>
      </c>
    </row>
    <row r="2007" spans="91:102" ht="21" customHeight="1" x14ac:dyDescent="0.25">
      <c r="CM2007" s="1377"/>
      <c r="CN2007" s="1388" t="s">
        <v>12545</v>
      </c>
      <c r="CO2007" s="1388" t="s">
        <v>8131</v>
      </c>
      <c r="CP2007" s="1388" t="s">
        <v>8106</v>
      </c>
      <c r="CQ2007" s="1388" t="s">
        <v>12546</v>
      </c>
      <c r="CR2007" s="1388" t="s">
        <v>12546</v>
      </c>
      <c r="CS2007" s="1388" t="s">
        <v>8108</v>
      </c>
      <c r="CT2007" s="1388" t="s">
        <v>12544</v>
      </c>
      <c r="CU2007" s="1388" t="s">
        <v>8110</v>
      </c>
      <c r="CV2007" s="1389" t="s">
        <v>8111</v>
      </c>
      <c r="CX2007" s="1379">
        <v>1</v>
      </c>
    </row>
    <row r="2008" spans="91:102" ht="21" customHeight="1" x14ac:dyDescent="0.25">
      <c r="CM2008" s="1377"/>
      <c r="CN2008" s="1388" t="s">
        <v>12547</v>
      </c>
      <c r="CO2008" s="1388" t="s">
        <v>8131</v>
      </c>
      <c r="CP2008" s="1388" t="s">
        <v>8106</v>
      </c>
      <c r="CQ2008" s="1388" t="s">
        <v>12548</v>
      </c>
      <c r="CR2008" s="1388" t="s">
        <v>12548</v>
      </c>
      <c r="CS2008" s="1388" t="s">
        <v>8108</v>
      </c>
      <c r="CT2008" s="1388" t="s">
        <v>12544</v>
      </c>
      <c r="CU2008" s="1388" t="s">
        <v>8110</v>
      </c>
      <c r="CV2008" s="1389" t="s">
        <v>8111</v>
      </c>
      <c r="CX2008" s="1379">
        <v>1</v>
      </c>
    </row>
    <row r="2009" spans="91:102" ht="21" customHeight="1" x14ac:dyDescent="0.25">
      <c r="CM2009" s="1377"/>
      <c r="CN2009" s="1388" t="s">
        <v>12549</v>
      </c>
      <c r="CO2009" s="1388" t="s">
        <v>8131</v>
      </c>
      <c r="CP2009" s="1388" t="s">
        <v>8106</v>
      </c>
      <c r="CQ2009" s="1388" t="s">
        <v>12550</v>
      </c>
      <c r="CR2009" s="1388" t="s">
        <v>12550</v>
      </c>
      <c r="CS2009" s="1388" t="s">
        <v>8108</v>
      </c>
      <c r="CT2009" s="1388" t="s">
        <v>12544</v>
      </c>
      <c r="CU2009" s="1388" t="s">
        <v>8110</v>
      </c>
      <c r="CV2009" s="1389" t="s">
        <v>8111</v>
      </c>
      <c r="CX2009" s="1379">
        <v>1</v>
      </c>
    </row>
    <row r="2010" spans="91:102" ht="21" customHeight="1" x14ac:dyDescent="0.25">
      <c r="CM2010" s="1377"/>
      <c r="CN2010" s="1388" t="s">
        <v>12551</v>
      </c>
      <c r="CO2010" s="1388" t="s">
        <v>8131</v>
      </c>
      <c r="CP2010" s="1388" t="s">
        <v>8106</v>
      </c>
      <c r="CQ2010" s="1388" t="s">
        <v>12552</v>
      </c>
      <c r="CR2010" s="1388" t="s">
        <v>12552</v>
      </c>
      <c r="CS2010" s="1388" t="s">
        <v>8108</v>
      </c>
      <c r="CT2010" s="1388" t="s">
        <v>12544</v>
      </c>
      <c r="CU2010" s="1388" t="s">
        <v>8110</v>
      </c>
      <c r="CV2010" s="1389" t="s">
        <v>8111</v>
      </c>
      <c r="CX2010" s="1379">
        <v>1</v>
      </c>
    </row>
    <row r="2011" spans="91:102" ht="21" customHeight="1" x14ac:dyDescent="0.25">
      <c r="CM2011" s="1377"/>
      <c r="CN2011" s="1388" t="s">
        <v>12553</v>
      </c>
      <c r="CO2011" s="1388" t="s">
        <v>8131</v>
      </c>
      <c r="CP2011" s="1388" t="s">
        <v>8106</v>
      </c>
      <c r="CQ2011" s="1388" t="s">
        <v>12554</v>
      </c>
      <c r="CR2011" s="1388" t="s">
        <v>12555</v>
      </c>
      <c r="CS2011" s="1388" t="s">
        <v>8108</v>
      </c>
      <c r="CT2011" s="1388" t="s">
        <v>12544</v>
      </c>
      <c r="CU2011" s="1388" t="s">
        <v>8110</v>
      </c>
      <c r="CV2011" s="1389" t="s">
        <v>8111</v>
      </c>
      <c r="CX2011" s="1379">
        <v>1</v>
      </c>
    </row>
    <row r="2012" spans="91:102" ht="21" customHeight="1" x14ac:dyDescent="0.25">
      <c r="CM2012" s="1377"/>
      <c r="CN2012" s="1388" t="s">
        <v>12556</v>
      </c>
      <c r="CO2012" s="1388" t="s">
        <v>8131</v>
      </c>
      <c r="CP2012" s="1388" t="s">
        <v>8106</v>
      </c>
      <c r="CQ2012" s="1388" t="s">
        <v>2212</v>
      </c>
      <c r="CR2012" s="1388" t="s">
        <v>2212</v>
      </c>
      <c r="CS2012" s="1388" t="s">
        <v>8108</v>
      </c>
      <c r="CT2012" s="1388" t="s">
        <v>12544</v>
      </c>
      <c r="CU2012" s="1388" t="s">
        <v>8110</v>
      </c>
      <c r="CV2012" s="1389" t="s">
        <v>8111</v>
      </c>
      <c r="CX2012" s="1379">
        <v>1</v>
      </c>
    </row>
    <row r="2013" spans="91:102" ht="21" customHeight="1" x14ac:dyDescent="0.25">
      <c r="CM2013" s="1377"/>
      <c r="CN2013" s="1388" t="s">
        <v>12557</v>
      </c>
      <c r="CO2013" s="1388" t="s">
        <v>8131</v>
      </c>
      <c r="CP2013" s="1388" t="s">
        <v>8106</v>
      </c>
      <c r="CQ2013" s="1388" t="s">
        <v>12558</v>
      </c>
      <c r="CR2013" s="1388" t="s">
        <v>12559</v>
      </c>
      <c r="CS2013" s="1388" t="s">
        <v>8108</v>
      </c>
      <c r="CT2013" s="1388" t="s">
        <v>12544</v>
      </c>
      <c r="CU2013" s="1388" t="s">
        <v>8110</v>
      </c>
      <c r="CV2013" s="1389" t="s">
        <v>8111</v>
      </c>
      <c r="CX2013" s="1379">
        <v>1</v>
      </c>
    </row>
    <row r="2014" spans="91:102" ht="21" customHeight="1" x14ac:dyDescent="0.25">
      <c r="CM2014" s="1377"/>
      <c r="CN2014" s="1388" t="s">
        <v>12560</v>
      </c>
      <c r="CO2014" s="1388" t="s">
        <v>8131</v>
      </c>
      <c r="CP2014" s="1388" t="s">
        <v>8106</v>
      </c>
      <c r="CQ2014" s="1388" t="s">
        <v>12561</v>
      </c>
      <c r="CR2014" s="1388" t="s">
        <v>12561</v>
      </c>
      <c r="CS2014" s="1388" t="s">
        <v>8108</v>
      </c>
      <c r="CT2014" s="1388" t="s">
        <v>12544</v>
      </c>
      <c r="CU2014" s="1388" t="s">
        <v>8110</v>
      </c>
      <c r="CV2014" s="1389" t="s">
        <v>8111</v>
      </c>
      <c r="CX2014" s="1379">
        <v>1</v>
      </c>
    </row>
    <row r="2015" spans="91:102" ht="21" customHeight="1" x14ac:dyDescent="0.25">
      <c r="CM2015" s="1377"/>
      <c r="CN2015" s="1388" t="s">
        <v>12562</v>
      </c>
      <c r="CO2015" s="1388" t="s">
        <v>8131</v>
      </c>
      <c r="CP2015" s="1388" t="s">
        <v>8106</v>
      </c>
      <c r="CQ2015" s="1388" t="s">
        <v>12563</v>
      </c>
      <c r="CR2015" s="1388" t="s">
        <v>12563</v>
      </c>
      <c r="CS2015" s="1388" t="s">
        <v>8108</v>
      </c>
      <c r="CT2015" s="1388" t="s">
        <v>12544</v>
      </c>
      <c r="CU2015" s="1388" t="s">
        <v>8110</v>
      </c>
      <c r="CV2015" s="1389" t="s">
        <v>8111</v>
      </c>
      <c r="CX2015" s="1379">
        <v>1</v>
      </c>
    </row>
    <row r="2016" spans="91:102" ht="21" customHeight="1" x14ac:dyDescent="0.25">
      <c r="CM2016" s="1377"/>
      <c r="CN2016" s="1388" t="s">
        <v>12564</v>
      </c>
      <c r="CO2016" s="1388" t="s">
        <v>8131</v>
      </c>
      <c r="CP2016" s="1388" t="s">
        <v>8106</v>
      </c>
      <c r="CQ2016" s="1388" t="s">
        <v>12565</v>
      </c>
      <c r="CR2016" s="1388" t="s">
        <v>12565</v>
      </c>
      <c r="CS2016" s="1388" t="s">
        <v>8108</v>
      </c>
      <c r="CT2016" s="1388" t="s">
        <v>12544</v>
      </c>
      <c r="CU2016" s="1388" t="s">
        <v>8110</v>
      </c>
      <c r="CV2016" s="1389" t="s">
        <v>8111</v>
      </c>
      <c r="CX2016" s="1379">
        <v>1</v>
      </c>
    </row>
    <row r="2017" spans="91:102" ht="21" customHeight="1" x14ac:dyDescent="0.25">
      <c r="CM2017" s="1377"/>
      <c r="CN2017" s="1388" t="s">
        <v>12566</v>
      </c>
      <c r="CO2017" s="1388" t="s">
        <v>8131</v>
      </c>
      <c r="CP2017" s="1388" t="s">
        <v>8106</v>
      </c>
      <c r="CQ2017" s="1388" t="s">
        <v>12567</v>
      </c>
      <c r="CR2017" s="1388" t="s">
        <v>12567</v>
      </c>
      <c r="CS2017" s="1388" t="s">
        <v>8108</v>
      </c>
      <c r="CT2017" s="1388" t="s">
        <v>12544</v>
      </c>
      <c r="CU2017" s="1388" t="s">
        <v>8110</v>
      </c>
      <c r="CV2017" s="1389" t="s">
        <v>8111</v>
      </c>
      <c r="CX2017" s="1379">
        <v>1</v>
      </c>
    </row>
    <row r="2018" spans="91:102" ht="21" customHeight="1" x14ac:dyDescent="0.25">
      <c r="CM2018" s="1377"/>
      <c r="CN2018" s="1388" t="s">
        <v>12568</v>
      </c>
      <c r="CO2018" s="1388" t="s">
        <v>8131</v>
      </c>
      <c r="CP2018" s="1388" t="s">
        <v>8106</v>
      </c>
      <c r="CQ2018" s="1388" t="s">
        <v>12569</v>
      </c>
      <c r="CR2018" s="1388" t="s">
        <v>12569</v>
      </c>
      <c r="CS2018" s="1388" t="s">
        <v>8194</v>
      </c>
      <c r="CT2018" s="1388" t="s">
        <v>8195</v>
      </c>
      <c r="CU2018" s="1388" t="s">
        <v>8110</v>
      </c>
      <c r="CV2018" s="1389" t="s">
        <v>8196</v>
      </c>
      <c r="CX2018" s="1379">
        <v>1</v>
      </c>
    </row>
    <row r="2019" spans="91:102" ht="21" customHeight="1" x14ac:dyDescent="0.25">
      <c r="CM2019" s="1377"/>
      <c r="CN2019" s="1388" t="s">
        <v>12570</v>
      </c>
      <c r="CO2019" s="1388" t="s">
        <v>8131</v>
      </c>
      <c r="CP2019" s="1388" t="s">
        <v>8106</v>
      </c>
      <c r="CQ2019" s="1388" t="s">
        <v>12571</v>
      </c>
      <c r="CR2019" s="1388" t="s">
        <v>12571</v>
      </c>
      <c r="CS2019" s="1388" t="s">
        <v>8194</v>
      </c>
      <c r="CT2019" s="1388" t="s">
        <v>8195</v>
      </c>
      <c r="CU2019" s="1388" t="s">
        <v>8110</v>
      </c>
      <c r="CV2019" s="1389" t="s">
        <v>8196</v>
      </c>
      <c r="CX2019" s="1379">
        <v>1</v>
      </c>
    </row>
    <row r="2020" spans="91:102" ht="21" customHeight="1" x14ac:dyDescent="0.25">
      <c r="CM2020" s="1377"/>
      <c r="CN2020" s="1388" t="s">
        <v>12572</v>
      </c>
      <c r="CO2020" s="1388" t="s">
        <v>8131</v>
      </c>
      <c r="CP2020" s="1388" t="s">
        <v>8106</v>
      </c>
      <c r="CQ2020" s="1388" t="s">
        <v>12573</v>
      </c>
      <c r="CR2020" s="1388" t="s">
        <v>12573</v>
      </c>
      <c r="CS2020" s="1388" t="s">
        <v>8194</v>
      </c>
      <c r="CT2020" s="1388" t="s">
        <v>8195</v>
      </c>
      <c r="CU2020" s="1388" t="s">
        <v>8110</v>
      </c>
      <c r="CV2020" s="1389" t="s">
        <v>8196</v>
      </c>
      <c r="CX2020" s="1379">
        <v>1</v>
      </c>
    </row>
    <row r="2021" spans="91:102" ht="21" customHeight="1" x14ac:dyDescent="0.25">
      <c r="CM2021" s="1377"/>
      <c r="CN2021" s="1388" t="s">
        <v>12574</v>
      </c>
      <c r="CO2021" s="1388" t="s">
        <v>8131</v>
      </c>
      <c r="CP2021" s="1388" t="s">
        <v>8106</v>
      </c>
      <c r="CQ2021" s="1388" t="s">
        <v>12575</v>
      </c>
      <c r="CR2021" s="1388" t="s">
        <v>12575</v>
      </c>
      <c r="CS2021" s="1388" t="s">
        <v>8108</v>
      </c>
      <c r="CT2021" s="1388" t="s">
        <v>12544</v>
      </c>
      <c r="CU2021" s="1388" t="s">
        <v>8110</v>
      </c>
      <c r="CV2021" s="1389" t="s">
        <v>8111</v>
      </c>
      <c r="CX2021" s="1379">
        <v>1</v>
      </c>
    </row>
    <row r="2022" spans="91:102" ht="21" customHeight="1" x14ac:dyDescent="0.25">
      <c r="CM2022" s="1377"/>
      <c r="CN2022" s="1388" t="s">
        <v>12576</v>
      </c>
      <c r="CO2022" s="1388" t="s">
        <v>8131</v>
      </c>
      <c r="CP2022" s="1388" t="s">
        <v>8106</v>
      </c>
      <c r="CQ2022" s="1388" t="s">
        <v>12577</v>
      </c>
      <c r="CR2022" s="1388" t="s">
        <v>12577</v>
      </c>
      <c r="CS2022" s="1388" t="s">
        <v>8108</v>
      </c>
      <c r="CT2022" s="1388" t="s">
        <v>12544</v>
      </c>
      <c r="CU2022" s="1388" t="s">
        <v>8110</v>
      </c>
      <c r="CV2022" s="1389" t="s">
        <v>8111</v>
      </c>
      <c r="CX2022" s="1379">
        <v>1</v>
      </c>
    </row>
    <row r="2023" spans="91:102" ht="21" customHeight="1" x14ac:dyDescent="0.25">
      <c r="CM2023" s="1377"/>
      <c r="CN2023" s="1388" t="s">
        <v>12578</v>
      </c>
      <c r="CO2023" s="1388" t="s">
        <v>8131</v>
      </c>
      <c r="CP2023" s="1388" t="s">
        <v>8106</v>
      </c>
      <c r="CQ2023" s="1388" t="s">
        <v>12579</v>
      </c>
      <c r="CR2023" s="1388" t="s">
        <v>12580</v>
      </c>
      <c r="CS2023" s="1388" t="s">
        <v>8108</v>
      </c>
      <c r="CT2023" s="1388" t="s">
        <v>12544</v>
      </c>
      <c r="CU2023" s="1388" t="s">
        <v>8110</v>
      </c>
      <c r="CV2023" s="1389" t="s">
        <v>8111</v>
      </c>
      <c r="CX2023" s="1379">
        <v>1</v>
      </c>
    </row>
    <row r="2024" spans="91:102" ht="21" customHeight="1" x14ac:dyDescent="0.25">
      <c r="CM2024" s="1377"/>
      <c r="CN2024" s="1388" t="s">
        <v>12581</v>
      </c>
      <c r="CO2024" s="1388" t="s">
        <v>8131</v>
      </c>
      <c r="CP2024" s="1388" t="s">
        <v>8741</v>
      </c>
      <c r="CQ2024" s="1388" t="s">
        <v>678</v>
      </c>
      <c r="CR2024" s="1388" t="s">
        <v>678</v>
      </c>
      <c r="CS2024" s="1388" t="s">
        <v>8108</v>
      </c>
      <c r="CT2024" s="1388" t="s">
        <v>11164</v>
      </c>
      <c r="CU2024" s="1388" t="s">
        <v>8110</v>
      </c>
      <c r="CV2024" s="1389" t="s">
        <v>8111</v>
      </c>
      <c r="CX2024" s="1379">
        <v>1</v>
      </c>
    </row>
    <row r="2025" spans="91:102" ht="21" customHeight="1" x14ac:dyDescent="0.25">
      <c r="CM2025" s="1377"/>
      <c r="CN2025" s="1388" t="s">
        <v>12582</v>
      </c>
      <c r="CO2025" s="1388" t="s">
        <v>8131</v>
      </c>
      <c r="CP2025" s="1388" t="s">
        <v>8741</v>
      </c>
      <c r="CQ2025" s="1388" t="s">
        <v>12583</v>
      </c>
      <c r="CR2025" s="1388" t="s">
        <v>12583</v>
      </c>
      <c r="CS2025" s="1388" t="s">
        <v>8108</v>
      </c>
      <c r="CT2025" s="1388" t="s">
        <v>11164</v>
      </c>
      <c r="CU2025" s="1388" t="s">
        <v>8110</v>
      </c>
      <c r="CV2025" s="1389" t="s">
        <v>8111</v>
      </c>
      <c r="CX2025" s="1379">
        <v>1</v>
      </c>
    </row>
    <row r="2026" spans="91:102" ht="21" customHeight="1" x14ac:dyDescent="0.25">
      <c r="CM2026" s="1377"/>
      <c r="CN2026" s="1388" t="s">
        <v>12584</v>
      </c>
      <c r="CO2026" s="1388" t="s">
        <v>8131</v>
      </c>
      <c r="CP2026" s="1388" t="s">
        <v>8741</v>
      </c>
      <c r="CQ2026" s="1388" t="s">
        <v>12585</v>
      </c>
      <c r="CR2026" s="1388" t="s">
        <v>12585</v>
      </c>
      <c r="CS2026" s="1388" t="s">
        <v>8108</v>
      </c>
      <c r="CT2026" s="1388" t="s">
        <v>11164</v>
      </c>
      <c r="CU2026" s="1388" t="s">
        <v>8110</v>
      </c>
      <c r="CV2026" s="1389" t="s">
        <v>8111</v>
      </c>
      <c r="CX2026" s="1379">
        <v>1</v>
      </c>
    </row>
    <row r="2027" spans="91:102" ht="21" customHeight="1" x14ac:dyDescent="0.25">
      <c r="CM2027" s="1377"/>
      <c r="CN2027" s="1388" t="s">
        <v>12586</v>
      </c>
      <c r="CO2027" s="1388" t="s">
        <v>8131</v>
      </c>
      <c r="CP2027" s="1388" t="s">
        <v>8741</v>
      </c>
      <c r="CQ2027" s="1388" t="s">
        <v>3102</v>
      </c>
      <c r="CR2027" s="1388" t="s">
        <v>3102</v>
      </c>
      <c r="CS2027" s="1388" t="s">
        <v>8108</v>
      </c>
      <c r="CT2027" s="1388" t="s">
        <v>11164</v>
      </c>
      <c r="CU2027" s="1388" t="s">
        <v>8110</v>
      </c>
      <c r="CV2027" s="1389" t="s">
        <v>8111</v>
      </c>
      <c r="CX2027" s="1379">
        <v>1</v>
      </c>
    </row>
    <row r="2028" spans="91:102" ht="21" customHeight="1" x14ac:dyDescent="0.25">
      <c r="CM2028" s="1377"/>
      <c r="CN2028" s="1388" t="s">
        <v>12587</v>
      </c>
      <c r="CO2028" s="1388" t="s">
        <v>8131</v>
      </c>
      <c r="CP2028" s="1388" t="s">
        <v>8741</v>
      </c>
      <c r="CQ2028" s="1388" t="s">
        <v>9236</v>
      </c>
      <c r="CR2028" s="1388" t="s">
        <v>1668</v>
      </c>
      <c r="CS2028" s="1388" t="s">
        <v>8108</v>
      </c>
      <c r="CT2028" s="1388" t="s">
        <v>11164</v>
      </c>
      <c r="CU2028" s="1388" t="s">
        <v>8110</v>
      </c>
      <c r="CV2028" s="1389" t="s">
        <v>8111</v>
      </c>
      <c r="CX2028" s="1379">
        <v>1</v>
      </c>
    </row>
    <row r="2029" spans="91:102" ht="21" customHeight="1" x14ac:dyDescent="0.25">
      <c r="CM2029" s="1377"/>
      <c r="CN2029" s="1388" t="s">
        <v>12588</v>
      </c>
      <c r="CO2029" s="1388" t="s">
        <v>8131</v>
      </c>
      <c r="CP2029" s="1388" t="s">
        <v>8741</v>
      </c>
      <c r="CQ2029" s="1388" t="s">
        <v>12589</v>
      </c>
      <c r="CR2029" s="1388" t="s">
        <v>12589</v>
      </c>
      <c r="CS2029" s="1388" t="s">
        <v>8108</v>
      </c>
      <c r="CT2029" s="1388" t="s">
        <v>11164</v>
      </c>
      <c r="CU2029" s="1388" t="s">
        <v>8110</v>
      </c>
      <c r="CV2029" s="1389" t="s">
        <v>8111</v>
      </c>
      <c r="CX2029" s="1379">
        <v>1</v>
      </c>
    </row>
    <row r="2030" spans="91:102" ht="21" customHeight="1" x14ac:dyDescent="0.25">
      <c r="CM2030" s="1377"/>
      <c r="CN2030" s="1388" t="s">
        <v>12590</v>
      </c>
      <c r="CO2030" s="1388" t="s">
        <v>8131</v>
      </c>
      <c r="CP2030" s="1388" t="s">
        <v>8741</v>
      </c>
      <c r="CQ2030" s="1388" t="s">
        <v>12591</v>
      </c>
      <c r="CR2030" s="1388" t="s">
        <v>12591</v>
      </c>
      <c r="CS2030" s="1388" t="s">
        <v>8108</v>
      </c>
      <c r="CT2030" s="1388" t="s">
        <v>11164</v>
      </c>
      <c r="CU2030" s="1388" t="s">
        <v>8110</v>
      </c>
      <c r="CV2030" s="1389" t="s">
        <v>8111</v>
      </c>
      <c r="CX2030" s="1379">
        <v>1</v>
      </c>
    </row>
    <row r="2031" spans="91:102" ht="21" customHeight="1" x14ac:dyDescent="0.25">
      <c r="CM2031" s="1377"/>
      <c r="CN2031" s="1388" t="s">
        <v>12592</v>
      </c>
      <c r="CO2031" s="1388" t="s">
        <v>8131</v>
      </c>
      <c r="CP2031" s="1388" t="s">
        <v>8741</v>
      </c>
      <c r="CQ2031" s="1388" t="s">
        <v>12593</v>
      </c>
      <c r="CR2031" s="1388" t="s">
        <v>12593</v>
      </c>
      <c r="CS2031" s="1388" t="s">
        <v>8108</v>
      </c>
      <c r="CT2031" s="1388" t="s">
        <v>11164</v>
      </c>
      <c r="CU2031" s="1388" t="s">
        <v>8110</v>
      </c>
      <c r="CV2031" s="1389" t="s">
        <v>8111</v>
      </c>
      <c r="CX2031" s="1379">
        <v>1</v>
      </c>
    </row>
    <row r="2032" spans="91:102" ht="21" customHeight="1" x14ac:dyDescent="0.25">
      <c r="CM2032" s="1377"/>
      <c r="CN2032" s="1388" t="s">
        <v>12594</v>
      </c>
      <c r="CO2032" s="1388" t="s">
        <v>8131</v>
      </c>
      <c r="CP2032" s="1388" t="s">
        <v>8741</v>
      </c>
      <c r="CQ2032" s="1388" t="s">
        <v>9192</v>
      </c>
      <c r="CR2032" s="1388" t="s">
        <v>9192</v>
      </c>
      <c r="CS2032" s="1388" t="s">
        <v>8108</v>
      </c>
      <c r="CT2032" s="1388" t="s">
        <v>11164</v>
      </c>
      <c r="CU2032" s="1388" t="s">
        <v>8110</v>
      </c>
      <c r="CV2032" s="1389" t="s">
        <v>8111</v>
      </c>
      <c r="CX2032" s="1379">
        <v>1</v>
      </c>
    </row>
    <row r="2033" spans="91:102" ht="21" customHeight="1" x14ac:dyDescent="0.25">
      <c r="CM2033" s="1377"/>
      <c r="CN2033" s="1388" t="s">
        <v>12595</v>
      </c>
      <c r="CO2033" s="1388" t="s">
        <v>8131</v>
      </c>
      <c r="CP2033" s="1388" t="s">
        <v>8741</v>
      </c>
      <c r="CQ2033" s="1388" t="s">
        <v>9196</v>
      </c>
      <c r="CR2033" s="1388" t="s">
        <v>9197</v>
      </c>
      <c r="CS2033" s="1388" t="s">
        <v>8108</v>
      </c>
      <c r="CT2033" s="1388" t="s">
        <v>11164</v>
      </c>
      <c r="CU2033" s="1388" t="s">
        <v>8110</v>
      </c>
      <c r="CV2033" s="1389" t="s">
        <v>8111</v>
      </c>
      <c r="CX2033" s="1379">
        <v>1</v>
      </c>
    </row>
    <row r="2034" spans="91:102" ht="21" customHeight="1" x14ac:dyDescent="0.25">
      <c r="CM2034" s="1377"/>
      <c r="CN2034" s="1388" t="s">
        <v>12596</v>
      </c>
      <c r="CO2034" s="1388" t="s">
        <v>8131</v>
      </c>
      <c r="CP2034" s="1388" t="s">
        <v>8741</v>
      </c>
      <c r="CQ2034" s="1388" t="s">
        <v>9199</v>
      </c>
      <c r="CR2034" s="1388" t="s">
        <v>9199</v>
      </c>
      <c r="CS2034" s="1388" t="s">
        <v>8108</v>
      </c>
      <c r="CT2034" s="1388" t="s">
        <v>11164</v>
      </c>
      <c r="CU2034" s="1388" t="s">
        <v>8110</v>
      </c>
      <c r="CV2034" s="1389" t="s">
        <v>8111</v>
      </c>
      <c r="CX2034" s="1379">
        <v>1</v>
      </c>
    </row>
    <row r="2035" spans="91:102" ht="21" customHeight="1" x14ac:dyDescent="0.25">
      <c r="CM2035" s="1377"/>
      <c r="CN2035" s="1388" t="s">
        <v>12597</v>
      </c>
      <c r="CO2035" s="1388" t="s">
        <v>8131</v>
      </c>
      <c r="CP2035" s="1388" t="s">
        <v>8741</v>
      </c>
      <c r="CQ2035" s="1388" t="s">
        <v>4895</v>
      </c>
      <c r="CR2035" s="1388" t="s">
        <v>4895</v>
      </c>
      <c r="CS2035" s="1388" t="s">
        <v>8108</v>
      </c>
      <c r="CT2035" s="1388" t="s">
        <v>11164</v>
      </c>
      <c r="CU2035" s="1388" t="s">
        <v>8110</v>
      </c>
      <c r="CV2035" s="1389" t="s">
        <v>8111</v>
      </c>
      <c r="CX2035" s="1379">
        <v>1</v>
      </c>
    </row>
    <row r="2036" spans="91:102" ht="21" customHeight="1" x14ac:dyDescent="0.25">
      <c r="CM2036" s="1377"/>
      <c r="CN2036" s="1388" t="s">
        <v>12598</v>
      </c>
      <c r="CO2036" s="1388" t="s">
        <v>8131</v>
      </c>
      <c r="CP2036" s="1388" t="s">
        <v>8741</v>
      </c>
      <c r="CQ2036" s="1388" t="s">
        <v>8777</v>
      </c>
      <c r="CR2036" s="1388" t="s">
        <v>8777</v>
      </c>
      <c r="CS2036" s="1388" t="s">
        <v>8108</v>
      </c>
      <c r="CT2036" s="1388" t="s">
        <v>11164</v>
      </c>
      <c r="CU2036" s="1388" t="s">
        <v>8110</v>
      </c>
      <c r="CV2036" s="1389" t="s">
        <v>8111</v>
      </c>
      <c r="CX2036" s="1379">
        <v>1</v>
      </c>
    </row>
    <row r="2037" spans="91:102" ht="21" customHeight="1" x14ac:dyDescent="0.25">
      <c r="CM2037" s="1377"/>
      <c r="CN2037" s="1388" t="s">
        <v>12599</v>
      </c>
      <c r="CO2037" s="1388" t="s">
        <v>8131</v>
      </c>
      <c r="CP2037" s="1388" t="s">
        <v>8741</v>
      </c>
      <c r="CQ2037" s="1388" t="s">
        <v>9250</v>
      </c>
      <c r="CR2037" s="1388" t="s">
        <v>9250</v>
      </c>
      <c r="CS2037" s="1388" t="s">
        <v>8108</v>
      </c>
      <c r="CT2037" s="1388" t="s">
        <v>11164</v>
      </c>
      <c r="CU2037" s="1388" t="s">
        <v>8110</v>
      </c>
      <c r="CV2037" s="1389" t="s">
        <v>8111</v>
      </c>
      <c r="CX2037" s="1379">
        <v>1</v>
      </c>
    </row>
    <row r="2038" spans="91:102" ht="21" customHeight="1" x14ac:dyDescent="0.25">
      <c r="CM2038" s="1377"/>
      <c r="CN2038" s="1388" t="s">
        <v>12600</v>
      </c>
      <c r="CO2038" s="1388" t="s">
        <v>8131</v>
      </c>
      <c r="CP2038" s="1388" t="s">
        <v>8741</v>
      </c>
      <c r="CQ2038" s="1388" t="s">
        <v>12601</v>
      </c>
      <c r="CR2038" s="1388" t="s">
        <v>12601</v>
      </c>
      <c r="CS2038" s="1388" t="s">
        <v>8108</v>
      </c>
      <c r="CT2038" s="1388" t="s">
        <v>11164</v>
      </c>
      <c r="CU2038" s="1388" t="s">
        <v>8110</v>
      </c>
      <c r="CV2038" s="1389" t="s">
        <v>8111</v>
      </c>
      <c r="CX2038" s="1379">
        <v>1</v>
      </c>
    </row>
    <row r="2039" spans="91:102" ht="21" customHeight="1" x14ac:dyDescent="0.25">
      <c r="CM2039" s="1377"/>
      <c r="CN2039" s="1388" t="s">
        <v>12602</v>
      </c>
      <c r="CO2039" s="1388" t="s">
        <v>8132</v>
      </c>
      <c r="CP2039" s="1388" t="s">
        <v>8106</v>
      </c>
      <c r="CQ2039" s="1388" t="s">
        <v>12603</v>
      </c>
      <c r="CR2039" s="1388" t="s">
        <v>12603</v>
      </c>
      <c r="CS2039" s="1388" t="s">
        <v>8108</v>
      </c>
      <c r="CT2039" s="1388" t="s">
        <v>12604</v>
      </c>
      <c r="CU2039" s="1388" t="s">
        <v>8110</v>
      </c>
      <c r="CV2039" s="1389" t="s">
        <v>8111</v>
      </c>
      <c r="CX2039" s="1379">
        <v>1</v>
      </c>
    </row>
    <row r="2040" spans="91:102" ht="21" customHeight="1" x14ac:dyDescent="0.25">
      <c r="CM2040" s="1377"/>
      <c r="CN2040" s="1388" t="s">
        <v>12605</v>
      </c>
      <c r="CO2040" s="1388" t="s">
        <v>8132</v>
      </c>
      <c r="CP2040" s="1388" t="s">
        <v>8106</v>
      </c>
      <c r="CQ2040" s="1388" t="s">
        <v>12606</v>
      </c>
      <c r="CR2040" s="1388" t="s">
        <v>12606</v>
      </c>
      <c r="CS2040" s="1388" t="s">
        <v>8108</v>
      </c>
      <c r="CT2040" s="1388" t="s">
        <v>12604</v>
      </c>
      <c r="CU2040" s="1388" t="s">
        <v>8110</v>
      </c>
      <c r="CV2040" s="1389" t="s">
        <v>8111</v>
      </c>
      <c r="CX2040" s="1379">
        <v>1</v>
      </c>
    </row>
    <row r="2041" spans="91:102" ht="21" customHeight="1" x14ac:dyDescent="0.25">
      <c r="CM2041" s="1377"/>
      <c r="CN2041" s="1388" t="s">
        <v>12607</v>
      </c>
      <c r="CO2041" s="1388" t="s">
        <v>8132</v>
      </c>
      <c r="CP2041" s="1388" t="s">
        <v>8106</v>
      </c>
      <c r="CQ2041" s="1388" t="s">
        <v>12608</v>
      </c>
      <c r="CR2041" s="1388" t="s">
        <v>12609</v>
      </c>
      <c r="CS2041" s="1388" t="s">
        <v>8108</v>
      </c>
      <c r="CT2041" s="1388" t="s">
        <v>12604</v>
      </c>
      <c r="CU2041" s="1388" t="s">
        <v>8110</v>
      </c>
      <c r="CV2041" s="1389" t="s">
        <v>8111</v>
      </c>
      <c r="CX2041" s="1379">
        <v>1</v>
      </c>
    </row>
    <row r="2042" spans="91:102" ht="21" customHeight="1" x14ac:dyDescent="0.25">
      <c r="CM2042" s="1377"/>
      <c r="CN2042" s="1388" t="s">
        <v>12610</v>
      </c>
      <c r="CO2042" s="1388" t="s">
        <v>8132</v>
      </c>
      <c r="CP2042" s="1388" t="s">
        <v>8106</v>
      </c>
      <c r="CQ2042" s="1388" t="s">
        <v>12611</v>
      </c>
      <c r="CR2042" s="1388" t="s">
        <v>12612</v>
      </c>
      <c r="CS2042" s="1388" t="s">
        <v>8108</v>
      </c>
      <c r="CT2042" s="1388" t="s">
        <v>12604</v>
      </c>
      <c r="CU2042" s="1388" t="s">
        <v>8110</v>
      </c>
      <c r="CV2042" s="1389" t="s">
        <v>8111</v>
      </c>
      <c r="CX2042" s="1379">
        <v>1</v>
      </c>
    </row>
    <row r="2043" spans="91:102" ht="21" customHeight="1" x14ac:dyDescent="0.25">
      <c r="CM2043" s="1377"/>
      <c r="CN2043" s="1388" t="s">
        <v>12613</v>
      </c>
      <c r="CO2043" s="1388" t="s">
        <v>8132</v>
      </c>
      <c r="CP2043" s="1388" t="s">
        <v>8106</v>
      </c>
      <c r="CQ2043" s="1388" t="s">
        <v>12614</v>
      </c>
      <c r="CR2043" s="1388" t="s">
        <v>12614</v>
      </c>
      <c r="CS2043" s="1388" t="s">
        <v>8108</v>
      </c>
      <c r="CT2043" s="1388" t="s">
        <v>12604</v>
      </c>
      <c r="CU2043" s="1388" t="s">
        <v>8110</v>
      </c>
      <c r="CV2043" s="1389" t="s">
        <v>8111</v>
      </c>
      <c r="CX2043" s="1379">
        <v>1</v>
      </c>
    </row>
    <row r="2044" spans="91:102" ht="21" customHeight="1" x14ac:dyDescent="0.25">
      <c r="CM2044" s="1377"/>
      <c r="CN2044" s="1388" t="s">
        <v>12615</v>
      </c>
      <c r="CO2044" s="1388" t="s">
        <v>8132</v>
      </c>
      <c r="CP2044" s="1388" t="s">
        <v>8106</v>
      </c>
      <c r="CQ2044" s="1388" t="s">
        <v>12616</v>
      </c>
      <c r="CR2044" s="1388" t="s">
        <v>12616</v>
      </c>
      <c r="CS2044" s="1388" t="s">
        <v>8108</v>
      </c>
      <c r="CT2044" s="1388" t="s">
        <v>12604</v>
      </c>
      <c r="CU2044" s="1388" t="s">
        <v>8110</v>
      </c>
      <c r="CV2044" s="1389" t="s">
        <v>8111</v>
      </c>
      <c r="CX2044" s="1379">
        <v>1</v>
      </c>
    </row>
    <row r="2045" spans="91:102" ht="21" customHeight="1" x14ac:dyDescent="0.25">
      <c r="CM2045" s="1377"/>
      <c r="CN2045" s="1388" t="s">
        <v>12617</v>
      </c>
      <c r="CO2045" s="1388" t="s">
        <v>8132</v>
      </c>
      <c r="CP2045" s="1388" t="s">
        <v>8106</v>
      </c>
      <c r="CQ2045" s="1388" t="s">
        <v>12618</v>
      </c>
      <c r="CR2045" s="1388" t="s">
        <v>12619</v>
      </c>
      <c r="CS2045" s="1388" t="s">
        <v>8108</v>
      </c>
      <c r="CT2045" s="1388" t="s">
        <v>12604</v>
      </c>
      <c r="CU2045" s="1388" t="s">
        <v>8110</v>
      </c>
      <c r="CV2045" s="1389" t="s">
        <v>8111</v>
      </c>
      <c r="CX2045" s="1379">
        <v>1</v>
      </c>
    </row>
    <row r="2046" spans="91:102" ht="21" customHeight="1" x14ac:dyDescent="0.25">
      <c r="CM2046" s="1377"/>
      <c r="CN2046" s="1388" t="s">
        <v>12620</v>
      </c>
      <c r="CO2046" s="1388" t="s">
        <v>8132</v>
      </c>
      <c r="CP2046" s="1388" t="s">
        <v>8106</v>
      </c>
      <c r="CQ2046" s="1388" t="s">
        <v>12621</v>
      </c>
      <c r="CR2046" s="1388" t="s">
        <v>12622</v>
      </c>
      <c r="CS2046" s="1388" t="s">
        <v>8108</v>
      </c>
      <c r="CT2046" s="1388" t="s">
        <v>12604</v>
      </c>
      <c r="CU2046" s="1388" t="s">
        <v>8110</v>
      </c>
      <c r="CV2046" s="1389" t="s">
        <v>8111</v>
      </c>
      <c r="CX2046" s="1379">
        <v>1</v>
      </c>
    </row>
    <row r="2047" spans="91:102" ht="21" customHeight="1" x14ac:dyDescent="0.25">
      <c r="CM2047" s="1377"/>
      <c r="CN2047" s="1388" t="s">
        <v>12623</v>
      </c>
      <c r="CO2047" s="1388" t="s">
        <v>8132</v>
      </c>
      <c r="CP2047" s="1388" t="s">
        <v>8106</v>
      </c>
      <c r="CQ2047" s="1388" t="s">
        <v>12624</v>
      </c>
      <c r="CR2047" s="1388" t="s">
        <v>12625</v>
      </c>
      <c r="CS2047" s="1388" t="s">
        <v>8108</v>
      </c>
      <c r="CT2047" s="1388" t="s">
        <v>12604</v>
      </c>
      <c r="CU2047" s="1388" t="s">
        <v>8110</v>
      </c>
      <c r="CV2047" s="1389" t="s">
        <v>8111</v>
      </c>
      <c r="CX2047" s="1379">
        <v>1</v>
      </c>
    </row>
    <row r="2048" spans="91:102" ht="21" customHeight="1" x14ac:dyDescent="0.25">
      <c r="CM2048" s="1377"/>
      <c r="CN2048" s="1388" t="s">
        <v>12626</v>
      </c>
      <c r="CO2048" s="1388" t="s">
        <v>8132</v>
      </c>
      <c r="CP2048" s="1388" t="s">
        <v>8106</v>
      </c>
      <c r="CQ2048" s="1388" t="s">
        <v>12627</v>
      </c>
      <c r="CR2048" s="1388" t="s">
        <v>12628</v>
      </c>
      <c r="CS2048" s="1388" t="s">
        <v>8108</v>
      </c>
      <c r="CT2048" s="1388" t="s">
        <v>12604</v>
      </c>
      <c r="CU2048" s="1388" t="s">
        <v>8110</v>
      </c>
      <c r="CV2048" s="1389" t="s">
        <v>8111</v>
      </c>
      <c r="CX2048" s="1379">
        <v>1</v>
      </c>
    </row>
    <row r="2049" spans="91:102" ht="21" customHeight="1" x14ac:dyDescent="0.25">
      <c r="CM2049" s="1377"/>
      <c r="CN2049" s="1388" t="s">
        <v>12629</v>
      </c>
      <c r="CO2049" s="1388" t="s">
        <v>8132</v>
      </c>
      <c r="CP2049" s="1388" t="s">
        <v>8106</v>
      </c>
      <c r="CQ2049" s="1388" t="s">
        <v>12630</v>
      </c>
      <c r="CR2049" s="1388" t="s">
        <v>12631</v>
      </c>
      <c r="CS2049" s="1388" t="s">
        <v>8108</v>
      </c>
      <c r="CT2049" s="1388" t="s">
        <v>12604</v>
      </c>
      <c r="CU2049" s="1388" t="s">
        <v>8110</v>
      </c>
      <c r="CV2049" s="1389" t="s">
        <v>8111</v>
      </c>
      <c r="CX2049" s="1379">
        <v>1</v>
      </c>
    </row>
    <row r="2050" spans="91:102" ht="21" customHeight="1" x14ac:dyDescent="0.25">
      <c r="CM2050" s="1377"/>
      <c r="CN2050" s="1388" t="s">
        <v>12632</v>
      </c>
      <c r="CO2050" s="1388" t="s">
        <v>8132</v>
      </c>
      <c r="CP2050" s="1388" t="s">
        <v>8106</v>
      </c>
      <c r="CQ2050" s="1388" t="s">
        <v>12633</v>
      </c>
      <c r="CR2050" s="1388" t="s">
        <v>12634</v>
      </c>
      <c r="CS2050" s="1388" t="s">
        <v>8108</v>
      </c>
      <c r="CT2050" s="1388" t="s">
        <v>12604</v>
      </c>
      <c r="CU2050" s="1388" t="s">
        <v>8110</v>
      </c>
      <c r="CV2050" s="1389" t="s">
        <v>8111</v>
      </c>
      <c r="CX2050" s="1379">
        <v>1</v>
      </c>
    </row>
    <row r="2051" spans="91:102" ht="21" customHeight="1" x14ac:dyDescent="0.25">
      <c r="CM2051" s="1377"/>
      <c r="CN2051" s="1388" t="s">
        <v>12635</v>
      </c>
      <c r="CO2051" s="1388" t="s">
        <v>8132</v>
      </c>
      <c r="CP2051" s="1388" t="s">
        <v>8106</v>
      </c>
      <c r="CQ2051" s="1388" t="s">
        <v>12636</v>
      </c>
      <c r="CR2051" s="1388" t="s">
        <v>12637</v>
      </c>
      <c r="CS2051" s="1388" t="s">
        <v>8108</v>
      </c>
      <c r="CT2051" s="1388" t="s">
        <v>12604</v>
      </c>
      <c r="CU2051" s="1388" t="s">
        <v>8110</v>
      </c>
      <c r="CV2051" s="1389" t="s">
        <v>8111</v>
      </c>
      <c r="CX2051" s="1379">
        <v>1</v>
      </c>
    </row>
    <row r="2052" spans="91:102" ht="21" customHeight="1" x14ac:dyDescent="0.25">
      <c r="CM2052" s="1377"/>
      <c r="CN2052" s="1388" t="s">
        <v>12638</v>
      </c>
      <c r="CO2052" s="1388" t="s">
        <v>8132</v>
      </c>
      <c r="CP2052" s="1388" t="s">
        <v>8106</v>
      </c>
      <c r="CQ2052" s="1388" t="s">
        <v>12639</v>
      </c>
      <c r="CR2052" s="1388" t="s">
        <v>12639</v>
      </c>
      <c r="CS2052" s="1388" t="s">
        <v>8194</v>
      </c>
      <c r="CT2052" s="1388" t="s">
        <v>8195</v>
      </c>
      <c r="CU2052" s="1388" t="s">
        <v>8110</v>
      </c>
      <c r="CV2052" s="1389" t="s">
        <v>8196</v>
      </c>
      <c r="CX2052" s="1379">
        <v>1</v>
      </c>
    </row>
    <row r="2053" spans="91:102" ht="21" customHeight="1" x14ac:dyDescent="0.25">
      <c r="CM2053" s="1377"/>
      <c r="CN2053" s="1388" t="s">
        <v>12640</v>
      </c>
      <c r="CO2053" s="1388" t="s">
        <v>8132</v>
      </c>
      <c r="CP2053" s="1388" t="s">
        <v>8106</v>
      </c>
      <c r="CQ2053" s="1388" t="s">
        <v>12641</v>
      </c>
      <c r="CR2053" s="1388" t="s">
        <v>12641</v>
      </c>
      <c r="CS2053" s="1388" t="s">
        <v>8194</v>
      </c>
      <c r="CT2053" s="1388" t="s">
        <v>8195</v>
      </c>
      <c r="CU2053" s="1388" t="s">
        <v>8110</v>
      </c>
      <c r="CV2053" s="1389" t="s">
        <v>8196</v>
      </c>
      <c r="CX2053" s="1379">
        <v>1</v>
      </c>
    </row>
    <row r="2054" spans="91:102" ht="21" customHeight="1" x14ac:dyDescent="0.25">
      <c r="CM2054" s="1377"/>
      <c r="CN2054" s="1388" t="s">
        <v>12642</v>
      </c>
      <c r="CO2054" s="1388" t="s">
        <v>8132</v>
      </c>
      <c r="CP2054" s="1388" t="s">
        <v>8106</v>
      </c>
      <c r="CQ2054" s="1388" t="s">
        <v>12643</v>
      </c>
      <c r="CR2054" s="1388" t="s">
        <v>12643</v>
      </c>
      <c r="CS2054" s="1388" t="s">
        <v>8194</v>
      </c>
      <c r="CT2054" s="1388" t="s">
        <v>8195</v>
      </c>
      <c r="CU2054" s="1388" t="s">
        <v>8110</v>
      </c>
      <c r="CV2054" s="1389" t="s">
        <v>8196</v>
      </c>
      <c r="CX2054" s="1379">
        <v>1</v>
      </c>
    </row>
    <row r="2055" spans="91:102" ht="21" customHeight="1" x14ac:dyDescent="0.25">
      <c r="CM2055" s="1377"/>
      <c r="CN2055" s="1388" t="s">
        <v>12644</v>
      </c>
      <c r="CO2055" s="1388" t="s">
        <v>8132</v>
      </c>
      <c r="CP2055" s="1388" t="s">
        <v>8106</v>
      </c>
      <c r="CQ2055" s="1388" t="s">
        <v>12645</v>
      </c>
      <c r="CR2055" s="1388" t="s">
        <v>12645</v>
      </c>
      <c r="CS2055" s="1388" t="s">
        <v>8108</v>
      </c>
      <c r="CT2055" s="1388" t="s">
        <v>12604</v>
      </c>
      <c r="CU2055" s="1388" t="s">
        <v>8110</v>
      </c>
      <c r="CV2055" s="1389" t="s">
        <v>8111</v>
      </c>
      <c r="CX2055" s="1379">
        <v>1</v>
      </c>
    </row>
    <row r="2056" spans="91:102" ht="21" customHeight="1" x14ac:dyDescent="0.25">
      <c r="CM2056" s="1377"/>
      <c r="CN2056" s="1388" t="s">
        <v>12646</v>
      </c>
      <c r="CO2056" s="1388" t="s">
        <v>8132</v>
      </c>
      <c r="CP2056" s="1388" t="s">
        <v>8106</v>
      </c>
      <c r="CQ2056" s="1388" t="s">
        <v>12647</v>
      </c>
      <c r="CR2056" s="1388" t="s">
        <v>12647</v>
      </c>
      <c r="CS2056" s="1388" t="s">
        <v>8108</v>
      </c>
      <c r="CT2056" s="1388" t="s">
        <v>12604</v>
      </c>
      <c r="CU2056" s="1388" t="s">
        <v>8110</v>
      </c>
      <c r="CV2056" s="1389" t="s">
        <v>8111</v>
      </c>
      <c r="CX2056" s="1379">
        <v>1</v>
      </c>
    </row>
    <row r="2057" spans="91:102" ht="21" customHeight="1" x14ac:dyDescent="0.25">
      <c r="CM2057" s="1377"/>
      <c r="CN2057" s="1388" t="s">
        <v>12648</v>
      </c>
      <c r="CO2057" s="1388" t="s">
        <v>8132</v>
      </c>
      <c r="CP2057" s="1388" t="s">
        <v>8106</v>
      </c>
      <c r="CQ2057" s="1388" t="s">
        <v>12649</v>
      </c>
      <c r="CR2057" s="1388" t="s">
        <v>12649</v>
      </c>
      <c r="CS2057" s="1388" t="s">
        <v>8108</v>
      </c>
      <c r="CT2057" s="1388" t="s">
        <v>12604</v>
      </c>
      <c r="CU2057" s="1388" t="s">
        <v>8110</v>
      </c>
      <c r="CV2057" s="1389" t="s">
        <v>8111</v>
      </c>
      <c r="CX2057" s="1379">
        <v>1</v>
      </c>
    </row>
    <row r="2058" spans="91:102" ht="21" customHeight="1" x14ac:dyDescent="0.25">
      <c r="CM2058" s="1377"/>
      <c r="CN2058" s="1388" t="s">
        <v>12650</v>
      </c>
      <c r="CO2058" s="1388" t="s">
        <v>8132</v>
      </c>
      <c r="CP2058" s="1388" t="s">
        <v>8741</v>
      </c>
      <c r="CQ2058" s="1388" t="s">
        <v>12651</v>
      </c>
      <c r="CR2058" s="1388" t="s">
        <v>12652</v>
      </c>
      <c r="CS2058" s="1388" t="s">
        <v>8108</v>
      </c>
      <c r="CT2058" s="1388" t="s">
        <v>11164</v>
      </c>
      <c r="CU2058" s="1388" t="s">
        <v>8110</v>
      </c>
      <c r="CV2058" s="1389" t="s">
        <v>8111</v>
      </c>
      <c r="CX2058" s="1379">
        <v>1</v>
      </c>
    </row>
    <row r="2059" spans="91:102" ht="21" customHeight="1" x14ac:dyDescent="0.25">
      <c r="CM2059" s="1377"/>
      <c r="CN2059" s="1388" t="s">
        <v>12653</v>
      </c>
      <c r="CO2059" s="1388" t="s">
        <v>8132</v>
      </c>
      <c r="CP2059" s="1388" t="s">
        <v>8741</v>
      </c>
      <c r="CQ2059" s="1388" t="s">
        <v>12654</v>
      </c>
      <c r="CR2059" s="1388" t="s">
        <v>12654</v>
      </c>
      <c r="CS2059" s="1388" t="s">
        <v>8108</v>
      </c>
      <c r="CT2059" s="1388" t="s">
        <v>11164</v>
      </c>
      <c r="CU2059" s="1388" t="s">
        <v>8110</v>
      </c>
      <c r="CV2059" s="1389" t="s">
        <v>8111</v>
      </c>
      <c r="CX2059" s="1379">
        <v>1</v>
      </c>
    </row>
    <row r="2060" spans="91:102" ht="21" customHeight="1" x14ac:dyDescent="0.25">
      <c r="CM2060" s="1377"/>
      <c r="CN2060" s="1388" t="s">
        <v>12655</v>
      </c>
      <c r="CO2060" s="1388" t="s">
        <v>8132</v>
      </c>
      <c r="CP2060" s="1388" t="s">
        <v>8741</v>
      </c>
      <c r="CQ2060" s="1388" t="s">
        <v>12656</v>
      </c>
      <c r="CR2060" s="1388" t="s">
        <v>12656</v>
      </c>
      <c r="CS2060" s="1388" t="s">
        <v>8108</v>
      </c>
      <c r="CT2060" s="1388" t="s">
        <v>11164</v>
      </c>
      <c r="CU2060" s="1388" t="s">
        <v>8110</v>
      </c>
      <c r="CV2060" s="1389" t="s">
        <v>8111</v>
      </c>
      <c r="CX2060" s="1379">
        <v>1</v>
      </c>
    </row>
    <row r="2061" spans="91:102" ht="21" customHeight="1" x14ac:dyDescent="0.25">
      <c r="CM2061" s="1377"/>
      <c r="CN2061" s="1388" t="s">
        <v>12657</v>
      </c>
      <c r="CO2061" s="1388" t="s">
        <v>8132</v>
      </c>
      <c r="CP2061" s="1388" t="s">
        <v>8741</v>
      </c>
      <c r="CQ2061" s="1388" t="s">
        <v>8277</v>
      </c>
      <c r="CR2061" s="1388" t="s">
        <v>8277</v>
      </c>
      <c r="CS2061" s="1388" t="s">
        <v>8108</v>
      </c>
      <c r="CT2061" s="1388" t="s">
        <v>11164</v>
      </c>
      <c r="CU2061" s="1388" t="s">
        <v>8110</v>
      </c>
      <c r="CV2061" s="1389" t="s">
        <v>8111</v>
      </c>
      <c r="CX2061" s="1379">
        <v>1</v>
      </c>
    </row>
    <row r="2062" spans="91:102" ht="21" customHeight="1" x14ac:dyDescent="0.25">
      <c r="CM2062" s="1377"/>
      <c r="CN2062" s="1388" t="s">
        <v>12658</v>
      </c>
      <c r="CO2062" s="1388" t="s">
        <v>8132</v>
      </c>
      <c r="CP2062" s="1388" t="s">
        <v>8741</v>
      </c>
      <c r="CQ2062" s="1388" t="s">
        <v>12659</v>
      </c>
      <c r="CR2062" s="1388" t="s">
        <v>12659</v>
      </c>
      <c r="CS2062" s="1388" t="s">
        <v>8108</v>
      </c>
      <c r="CT2062" s="1388" t="s">
        <v>11164</v>
      </c>
      <c r="CU2062" s="1388" t="s">
        <v>8110</v>
      </c>
      <c r="CV2062" s="1389" t="s">
        <v>8111</v>
      </c>
      <c r="CX2062" s="1379">
        <v>1</v>
      </c>
    </row>
    <row r="2063" spans="91:102" ht="21" customHeight="1" x14ac:dyDescent="0.25">
      <c r="CM2063" s="1377"/>
      <c r="CN2063" s="1388" t="s">
        <v>12660</v>
      </c>
      <c r="CO2063" s="1388" t="s">
        <v>8132</v>
      </c>
      <c r="CP2063" s="1388" t="s">
        <v>8741</v>
      </c>
      <c r="CQ2063" s="1388" t="s">
        <v>12455</v>
      </c>
      <c r="CR2063" s="1388" t="s">
        <v>12455</v>
      </c>
      <c r="CS2063" s="1388" t="s">
        <v>8108</v>
      </c>
      <c r="CT2063" s="1388" t="s">
        <v>11164</v>
      </c>
      <c r="CU2063" s="1388" t="s">
        <v>8110</v>
      </c>
      <c r="CV2063" s="1389" t="s">
        <v>8111</v>
      </c>
      <c r="CX2063" s="1379">
        <v>1</v>
      </c>
    </row>
    <row r="2064" spans="91:102" ht="21" customHeight="1" x14ac:dyDescent="0.25">
      <c r="CM2064" s="1377"/>
      <c r="CN2064" s="1388" t="s">
        <v>12661</v>
      </c>
      <c r="CO2064" s="1388" t="s">
        <v>8132</v>
      </c>
      <c r="CP2064" s="1388" t="s">
        <v>8741</v>
      </c>
      <c r="CQ2064" s="1388" t="s">
        <v>12662</v>
      </c>
      <c r="CR2064" s="1388" t="s">
        <v>12662</v>
      </c>
      <c r="CS2064" s="1388" t="s">
        <v>8108</v>
      </c>
      <c r="CT2064" s="1388" t="s">
        <v>11164</v>
      </c>
      <c r="CU2064" s="1388" t="s">
        <v>8110</v>
      </c>
      <c r="CV2064" s="1389" t="s">
        <v>8111</v>
      </c>
      <c r="CX2064" s="1379">
        <v>1</v>
      </c>
    </row>
    <row r="2065" spans="91:102" ht="21" customHeight="1" x14ac:dyDescent="0.25">
      <c r="CM2065" s="1377"/>
      <c r="CN2065" s="1388" t="s">
        <v>12663</v>
      </c>
      <c r="CO2065" s="1388" t="s">
        <v>8132</v>
      </c>
      <c r="CP2065" s="1388" t="s">
        <v>8741</v>
      </c>
      <c r="CQ2065" s="1388" t="s">
        <v>12664</v>
      </c>
      <c r="CR2065" s="1388" t="s">
        <v>12664</v>
      </c>
      <c r="CS2065" s="1388" t="s">
        <v>8108</v>
      </c>
      <c r="CT2065" s="1388" t="s">
        <v>11164</v>
      </c>
      <c r="CU2065" s="1388" t="s">
        <v>8110</v>
      </c>
      <c r="CV2065" s="1389" t="s">
        <v>8111</v>
      </c>
      <c r="CX2065" s="1379">
        <v>1</v>
      </c>
    </row>
    <row r="2066" spans="91:102" ht="21" customHeight="1" x14ac:dyDescent="0.25">
      <c r="CM2066" s="1377"/>
      <c r="CN2066" s="1388" t="s">
        <v>12665</v>
      </c>
      <c r="CO2066" s="1388" t="s">
        <v>8132</v>
      </c>
      <c r="CP2066" s="1388" t="s">
        <v>8741</v>
      </c>
      <c r="CQ2066" s="1388" t="s">
        <v>12461</v>
      </c>
      <c r="CR2066" s="1388" t="s">
        <v>12461</v>
      </c>
      <c r="CS2066" s="1388" t="s">
        <v>8108</v>
      </c>
      <c r="CT2066" s="1388" t="s">
        <v>11164</v>
      </c>
      <c r="CU2066" s="1388" t="s">
        <v>8110</v>
      </c>
      <c r="CV2066" s="1389" t="s">
        <v>8111</v>
      </c>
      <c r="CX2066" s="1379">
        <v>1</v>
      </c>
    </row>
    <row r="2067" spans="91:102" ht="21" customHeight="1" x14ac:dyDescent="0.25">
      <c r="CM2067" s="1377"/>
      <c r="CN2067" s="1388" t="s">
        <v>12666</v>
      </c>
      <c r="CO2067" s="1388" t="s">
        <v>8132</v>
      </c>
      <c r="CP2067" s="1388" t="s">
        <v>8741</v>
      </c>
      <c r="CQ2067" s="1388" t="s">
        <v>12667</v>
      </c>
      <c r="CR2067" s="1388" t="s">
        <v>12667</v>
      </c>
      <c r="CS2067" s="1388" t="s">
        <v>8108</v>
      </c>
      <c r="CT2067" s="1388" t="s">
        <v>11164</v>
      </c>
      <c r="CU2067" s="1388" t="s">
        <v>8110</v>
      </c>
      <c r="CV2067" s="1389" t="s">
        <v>8111</v>
      </c>
      <c r="CX2067" s="1379">
        <v>1</v>
      </c>
    </row>
    <row r="2068" spans="91:102" ht="21" customHeight="1" x14ac:dyDescent="0.25">
      <c r="CM2068" s="1377"/>
      <c r="CN2068" s="1388" t="s">
        <v>12668</v>
      </c>
      <c r="CO2068" s="1388" t="s">
        <v>8132</v>
      </c>
      <c r="CP2068" s="1388" t="s">
        <v>8741</v>
      </c>
      <c r="CQ2068" s="1388" t="s">
        <v>12669</v>
      </c>
      <c r="CR2068" s="1388" t="s">
        <v>12669</v>
      </c>
      <c r="CS2068" s="1388" t="s">
        <v>8108</v>
      </c>
      <c r="CT2068" s="1388" t="s">
        <v>11164</v>
      </c>
      <c r="CU2068" s="1388" t="s">
        <v>8110</v>
      </c>
      <c r="CV2068" s="1389" t="s">
        <v>8111</v>
      </c>
      <c r="CX2068" s="1379">
        <v>1</v>
      </c>
    </row>
    <row r="2069" spans="91:102" ht="21" customHeight="1" x14ac:dyDescent="0.25">
      <c r="CM2069" s="1377"/>
      <c r="CN2069" s="1388" t="s">
        <v>12670</v>
      </c>
      <c r="CO2069" s="1388" t="s">
        <v>8132</v>
      </c>
      <c r="CP2069" s="1388" t="s">
        <v>8741</v>
      </c>
      <c r="CQ2069" s="1388" t="s">
        <v>12671</v>
      </c>
      <c r="CR2069" s="1388" t="s">
        <v>12671</v>
      </c>
      <c r="CS2069" s="1388" t="s">
        <v>8108</v>
      </c>
      <c r="CT2069" s="1388" t="s">
        <v>11164</v>
      </c>
      <c r="CU2069" s="1388" t="s">
        <v>8110</v>
      </c>
      <c r="CV2069" s="1389" t="s">
        <v>8111</v>
      </c>
      <c r="CX2069" s="1379">
        <v>1</v>
      </c>
    </row>
    <row r="2070" spans="91:102" ht="21" customHeight="1" x14ac:dyDescent="0.25">
      <c r="CM2070" s="1377"/>
      <c r="CN2070" s="1388" t="s">
        <v>12672</v>
      </c>
      <c r="CO2070" s="1388" t="s">
        <v>8132</v>
      </c>
      <c r="CP2070" s="1388" t="s">
        <v>8741</v>
      </c>
      <c r="CQ2070" s="1388" t="s">
        <v>8480</v>
      </c>
      <c r="CR2070" s="1388" t="s">
        <v>8480</v>
      </c>
      <c r="CS2070" s="1388" t="s">
        <v>8108</v>
      </c>
      <c r="CT2070" s="1388" t="s">
        <v>11164</v>
      </c>
      <c r="CU2070" s="1388" t="s">
        <v>8110</v>
      </c>
      <c r="CV2070" s="1389" t="s">
        <v>8111</v>
      </c>
      <c r="CX2070" s="1379">
        <v>1</v>
      </c>
    </row>
    <row r="2071" spans="91:102" ht="21" customHeight="1" x14ac:dyDescent="0.25">
      <c r="CM2071" s="1377"/>
      <c r="CN2071" s="1388" t="s">
        <v>12673</v>
      </c>
      <c r="CO2071" s="1388" t="s">
        <v>8132</v>
      </c>
      <c r="CP2071" s="1388" t="s">
        <v>8741</v>
      </c>
      <c r="CQ2071" s="1388" t="s">
        <v>12674</v>
      </c>
      <c r="CR2071" s="1388" t="s">
        <v>12674</v>
      </c>
      <c r="CS2071" s="1388" t="s">
        <v>8108</v>
      </c>
      <c r="CT2071" s="1388" t="s">
        <v>11164</v>
      </c>
      <c r="CU2071" s="1388" t="s">
        <v>8110</v>
      </c>
      <c r="CV2071" s="1389" t="s">
        <v>8111</v>
      </c>
      <c r="CX2071" s="1379">
        <v>1</v>
      </c>
    </row>
    <row r="2072" spans="91:102" ht="21" customHeight="1" x14ac:dyDescent="0.25">
      <c r="CM2072" s="1377"/>
      <c r="CN2072" s="1388" t="s">
        <v>12675</v>
      </c>
      <c r="CO2072" s="1388" t="s">
        <v>8132</v>
      </c>
      <c r="CP2072" s="1388" t="s">
        <v>8741</v>
      </c>
      <c r="CQ2072" s="1388" t="s">
        <v>12676</v>
      </c>
      <c r="CR2072" s="1388" t="s">
        <v>12676</v>
      </c>
      <c r="CS2072" s="1388" t="s">
        <v>8108</v>
      </c>
      <c r="CT2072" s="1388" t="s">
        <v>11164</v>
      </c>
      <c r="CU2072" s="1388" t="s">
        <v>8110</v>
      </c>
      <c r="CV2072" s="1389" t="s">
        <v>8111</v>
      </c>
      <c r="CX2072" s="1379">
        <v>1</v>
      </c>
    </row>
    <row r="2073" spans="91:102" ht="21" customHeight="1" x14ac:dyDescent="0.25">
      <c r="CM2073" s="1377"/>
      <c r="CN2073" s="1388" t="s">
        <v>12677</v>
      </c>
      <c r="CO2073" s="1388" t="s">
        <v>8133</v>
      </c>
      <c r="CP2073" s="1388" t="s">
        <v>8106</v>
      </c>
      <c r="CQ2073" s="1388" t="s">
        <v>12678</v>
      </c>
      <c r="CR2073" s="1388" t="s">
        <v>12678</v>
      </c>
      <c r="CS2073" s="1388" t="s">
        <v>8108</v>
      </c>
      <c r="CT2073" s="1388" t="s">
        <v>12679</v>
      </c>
      <c r="CU2073" s="1388" t="s">
        <v>8110</v>
      </c>
      <c r="CV2073" s="1389" t="s">
        <v>8111</v>
      </c>
      <c r="CX2073" s="1379">
        <v>1</v>
      </c>
    </row>
    <row r="2074" spans="91:102" ht="21" customHeight="1" x14ac:dyDescent="0.25">
      <c r="CM2074" s="1377"/>
      <c r="CN2074" s="1388" t="s">
        <v>12680</v>
      </c>
      <c r="CO2074" s="1388" t="s">
        <v>8133</v>
      </c>
      <c r="CP2074" s="1388" t="s">
        <v>8106</v>
      </c>
      <c r="CQ2074" s="1388" t="s">
        <v>12681</v>
      </c>
      <c r="CR2074" s="1388" t="s">
        <v>12681</v>
      </c>
      <c r="CS2074" s="1388" t="s">
        <v>8108</v>
      </c>
      <c r="CT2074" s="1388" t="s">
        <v>12679</v>
      </c>
      <c r="CU2074" s="1388" t="s">
        <v>8110</v>
      </c>
      <c r="CV2074" s="1389" t="s">
        <v>8111</v>
      </c>
      <c r="CX2074" s="1379">
        <v>1</v>
      </c>
    </row>
    <row r="2075" spans="91:102" ht="21" customHeight="1" x14ac:dyDescent="0.25">
      <c r="CM2075" s="1377"/>
      <c r="CN2075" s="1388" t="s">
        <v>12682</v>
      </c>
      <c r="CO2075" s="1388" t="s">
        <v>8133</v>
      </c>
      <c r="CP2075" s="1388" t="s">
        <v>8106</v>
      </c>
      <c r="CQ2075" s="1388" t="s">
        <v>12683</v>
      </c>
      <c r="CR2075" s="1388" t="s">
        <v>12683</v>
      </c>
      <c r="CS2075" s="1388" t="s">
        <v>8108</v>
      </c>
      <c r="CT2075" s="1388" t="s">
        <v>12679</v>
      </c>
      <c r="CU2075" s="1388" t="s">
        <v>8110</v>
      </c>
      <c r="CV2075" s="1389" t="s">
        <v>8111</v>
      </c>
      <c r="CX2075" s="1379">
        <v>1</v>
      </c>
    </row>
    <row r="2076" spans="91:102" ht="21" customHeight="1" x14ac:dyDescent="0.25">
      <c r="CM2076" s="1377"/>
      <c r="CN2076" s="1388" t="s">
        <v>12684</v>
      </c>
      <c r="CO2076" s="1388" t="s">
        <v>8133</v>
      </c>
      <c r="CP2076" s="1388" t="s">
        <v>8106</v>
      </c>
      <c r="CQ2076" s="1388" t="s">
        <v>12685</v>
      </c>
      <c r="CR2076" s="1388" t="s">
        <v>12685</v>
      </c>
      <c r="CS2076" s="1388" t="s">
        <v>8108</v>
      </c>
      <c r="CT2076" s="1388" t="s">
        <v>12679</v>
      </c>
      <c r="CU2076" s="1388" t="s">
        <v>8110</v>
      </c>
      <c r="CV2076" s="1389" t="s">
        <v>8111</v>
      </c>
      <c r="CX2076" s="1379">
        <v>1</v>
      </c>
    </row>
    <row r="2077" spans="91:102" ht="21" customHeight="1" x14ac:dyDescent="0.25">
      <c r="CM2077" s="1377"/>
      <c r="CN2077" s="1388" t="s">
        <v>12686</v>
      </c>
      <c r="CO2077" s="1388" t="s">
        <v>8133</v>
      </c>
      <c r="CP2077" s="1388" t="s">
        <v>8106</v>
      </c>
      <c r="CQ2077" s="1388" t="s">
        <v>12687</v>
      </c>
      <c r="CR2077" s="1388" t="s">
        <v>12688</v>
      </c>
      <c r="CS2077" s="1388" t="s">
        <v>8108</v>
      </c>
      <c r="CT2077" s="1388" t="s">
        <v>12679</v>
      </c>
      <c r="CU2077" s="1388" t="s">
        <v>8110</v>
      </c>
      <c r="CV2077" s="1389" t="s">
        <v>8111</v>
      </c>
      <c r="CX2077" s="1379">
        <v>1</v>
      </c>
    </row>
    <row r="2078" spans="91:102" ht="21" customHeight="1" x14ac:dyDescent="0.25">
      <c r="CM2078" s="1377"/>
      <c r="CN2078" s="1388" t="s">
        <v>12689</v>
      </c>
      <c r="CO2078" s="1388" t="s">
        <v>8133</v>
      </c>
      <c r="CP2078" s="1388" t="s">
        <v>8106</v>
      </c>
      <c r="CQ2078" s="1388" t="s">
        <v>12690</v>
      </c>
      <c r="CR2078" s="1388" t="s">
        <v>12691</v>
      </c>
      <c r="CS2078" s="1388" t="s">
        <v>8108</v>
      </c>
      <c r="CT2078" s="1388" t="s">
        <v>12679</v>
      </c>
      <c r="CU2078" s="1388" t="s">
        <v>8110</v>
      </c>
      <c r="CV2078" s="1389" t="s">
        <v>8111</v>
      </c>
      <c r="CX2078" s="1379">
        <v>1</v>
      </c>
    </row>
    <row r="2079" spans="91:102" ht="21" customHeight="1" x14ac:dyDescent="0.25">
      <c r="CM2079" s="1377"/>
      <c r="CN2079" s="1388" t="s">
        <v>12692</v>
      </c>
      <c r="CO2079" s="1388" t="s">
        <v>8133</v>
      </c>
      <c r="CP2079" s="1388" t="s">
        <v>8106</v>
      </c>
      <c r="CQ2079" s="1388" t="s">
        <v>12693</v>
      </c>
      <c r="CR2079" s="1388" t="s">
        <v>12694</v>
      </c>
      <c r="CS2079" s="1388" t="s">
        <v>8108</v>
      </c>
      <c r="CT2079" s="1388" t="s">
        <v>12679</v>
      </c>
      <c r="CU2079" s="1388" t="s">
        <v>8110</v>
      </c>
      <c r="CV2079" s="1389" t="s">
        <v>8111</v>
      </c>
      <c r="CX2079" s="1379">
        <v>1</v>
      </c>
    </row>
    <row r="2080" spans="91:102" ht="21" customHeight="1" x14ac:dyDescent="0.25">
      <c r="CM2080" s="1377"/>
      <c r="CN2080" s="1388" t="s">
        <v>12695</v>
      </c>
      <c r="CO2080" s="1388" t="s">
        <v>8133</v>
      </c>
      <c r="CP2080" s="1388" t="s">
        <v>8106</v>
      </c>
      <c r="CQ2080" s="1388" t="s">
        <v>12696</v>
      </c>
      <c r="CR2080" s="1388" t="s">
        <v>12697</v>
      </c>
      <c r="CS2080" s="1388" t="s">
        <v>8108</v>
      </c>
      <c r="CT2080" s="1388" t="s">
        <v>12679</v>
      </c>
      <c r="CU2080" s="1388" t="s">
        <v>8110</v>
      </c>
      <c r="CV2080" s="1389" t="s">
        <v>8111</v>
      </c>
      <c r="CX2080" s="1379">
        <v>1</v>
      </c>
    </row>
    <row r="2081" spans="91:102" ht="21" customHeight="1" x14ac:dyDescent="0.25">
      <c r="CM2081" s="1377"/>
      <c r="CN2081" s="1388" t="s">
        <v>12698</v>
      </c>
      <c r="CO2081" s="1388" t="s">
        <v>8133</v>
      </c>
      <c r="CP2081" s="1388" t="s">
        <v>8106</v>
      </c>
      <c r="CQ2081" s="1388" t="s">
        <v>12699</v>
      </c>
      <c r="CR2081" s="1388" t="s">
        <v>12700</v>
      </c>
      <c r="CS2081" s="1388" t="s">
        <v>8108</v>
      </c>
      <c r="CT2081" s="1388" t="s">
        <v>12679</v>
      </c>
      <c r="CU2081" s="1388" t="s">
        <v>8110</v>
      </c>
      <c r="CV2081" s="1389" t="s">
        <v>8111</v>
      </c>
      <c r="CX2081" s="1379">
        <v>1</v>
      </c>
    </row>
    <row r="2082" spans="91:102" ht="21" customHeight="1" x14ac:dyDescent="0.25">
      <c r="CM2082" s="1377"/>
      <c r="CN2082" s="1388" t="s">
        <v>12701</v>
      </c>
      <c r="CO2082" s="1388" t="s">
        <v>8133</v>
      </c>
      <c r="CP2082" s="1388" t="s">
        <v>8106</v>
      </c>
      <c r="CQ2082" s="1388" t="s">
        <v>12702</v>
      </c>
      <c r="CR2082" s="1388" t="s">
        <v>12703</v>
      </c>
      <c r="CS2082" s="1388" t="s">
        <v>8108</v>
      </c>
      <c r="CT2082" s="1388" t="s">
        <v>12679</v>
      </c>
      <c r="CU2082" s="1388" t="s">
        <v>8110</v>
      </c>
      <c r="CV2082" s="1389" t="s">
        <v>8111</v>
      </c>
      <c r="CX2082" s="1379">
        <v>1</v>
      </c>
    </row>
    <row r="2083" spans="91:102" ht="21" customHeight="1" x14ac:dyDescent="0.25">
      <c r="CM2083" s="1377"/>
      <c r="CN2083" s="1388" t="s">
        <v>12704</v>
      </c>
      <c r="CO2083" s="1388" t="s">
        <v>8133</v>
      </c>
      <c r="CP2083" s="1388" t="s">
        <v>8106</v>
      </c>
      <c r="CQ2083" s="1388" t="s">
        <v>12705</v>
      </c>
      <c r="CR2083" s="1388" t="s">
        <v>12706</v>
      </c>
      <c r="CS2083" s="1388" t="s">
        <v>8108</v>
      </c>
      <c r="CT2083" s="1388" t="s">
        <v>12679</v>
      </c>
      <c r="CU2083" s="1388" t="s">
        <v>8110</v>
      </c>
      <c r="CV2083" s="1389" t="s">
        <v>8111</v>
      </c>
      <c r="CX2083" s="1379">
        <v>1</v>
      </c>
    </row>
    <row r="2084" spans="91:102" ht="21" customHeight="1" x14ac:dyDescent="0.25">
      <c r="CM2084" s="1377"/>
      <c r="CN2084" s="1388" t="s">
        <v>12707</v>
      </c>
      <c r="CO2084" s="1388" t="s">
        <v>8133</v>
      </c>
      <c r="CP2084" s="1388" t="s">
        <v>8106</v>
      </c>
      <c r="CQ2084" s="1388" t="s">
        <v>12708</v>
      </c>
      <c r="CR2084" s="1388" t="s">
        <v>12709</v>
      </c>
      <c r="CS2084" s="1388" t="s">
        <v>8108</v>
      </c>
      <c r="CT2084" s="1388" t="s">
        <v>12679</v>
      </c>
      <c r="CU2084" s="1388" t="s">
        <v>8110</v>
      </c>
      <c r="CV2084" s="1389" t="s">
        <v>8111</v>
      </c>
      <c r="CX2084" s="1379">
        <v>1</v>
      </c>
    </row>
    <row r="2085" spans="91:102" ht="21" customHeight="1" x14ac:dyDescent="0.25">
      <c r="CM2085" s="1377"/>
      <c r="CN2085" s="1388" t="s">
        <v>12710</v>
      </c>
      <c r="CO2085" s="1388" t="s">
        <v>8133</v>
      </c>
      <c r="CP2085" s="1388" t="s">
        <v>8106</v>
      </c>
      <c r="CQ2085" s="1388" t="s">
        <v>12711</v>
      </c>
      <c r="CR2085" s="1388" t="s">
        <v>12712</v>
      </c>
      <c r="CS2085" s="1388" t="s">
        <v>8108</v>
      </c>
      <c r="CT2085" s="1388" t="s">
        <v>12679</v>
      </c>
      <c r="CU2085" s="1388" t="s">
        <v>8110</v>
      </c>
      <c r="CV2085" s="1389" t="s">
        <v>8111</v>
      </c>
      <c r="CX2085" s="1379">
        <v>1</v>
      </c>
    </row>
    <row r="2086" spans="91:102" ht="21" customHeight="1" x14ac:dyDescent="0.25">
      <c r="CM2086" s="1377"/>
      <c r="CN2086" s="1388" t="s">
        <v>12713</v>
      </c>
      <c r="CO2086" s="1388" t="s">
        <v>8133</v>
      </c>
      <c r="CP2086" s="1388" t="s">
        <v>8106</v>
      </c>
      <c r="CQ2086" s="1388" t="s">
        <v>12714</v>
      </c>
      <c r="CR2086" s="1388" t="s">
        <v>12715</v>
      </c>
      <c r="CS2086" s="1388" t="s">
        <v>8108</v>
      </c>
      <c r="CT2086" s="1388" t="s">
        <v>12679</v>
      </c>
      <c r="CU2086" s="1388" t="s">
        <v>8110</v>
      </c>
      <c r="CV2086" s="1389" t="s">
        <v>8111</v>
      </c>
      <c r="CX2086" s="1379">
        <v>1</v>
      </c>
    </row>
    <row r="2087" spans="91:102" ht="21" customHeight="1" x14ac:dyDescent="0.25">
      <c r="CM2087" s="1377"/>
      <c r="CN2087" s="1388" t="s">
        <v>12716</v>
      </c>
      <c r="CO2087" s="1388" t="s">
        <v>8133</v>
      </c>
      <c r="CP2087" s="1388" t="s">
        <v>8106</v>
      </c>
      <c r="CQ2087" s="1388" t="s">
        <v>12717</v>
      </c>
      <c r="CR2087" s="1388" t="s">
        <v>12718</v>
      </c>
      <c r="CS2087" s="1388" t="s">
        <v>8108</v>
      </c>
      <c r="CT2087" s="1388" t="s">
        <v>12679</v>
      </c>
      <c r="CU2087" s="1388" t="s">
        <v>8110</v>
      </c>
      <c r="CV2087" s="1389" t="s">
        <v>8111</v>
      </c>
      <c r="CX2087" s="1379">
        <v>1</v>
      </c>
    </row>
    <row r="2088" spans="91:102" ht="21" customHeight="1" x14ac:dyDescent="0.25">
      <c r="CM2088" s="1377"/>
      <c r="CN2088" s="1388" t="s">
        <v>12719</v>
      </c>
      <c r="CO2088" s="1388" t="s">
        <v>8133</v>
      </c>
      <c r="CP2088" s="1388" t="s">
        <v>8106</v>
      </c>
      <c r="CQ2088" s="1388" t="s">
        <v>12720</v>
      </c>
      <c r="CR2088" s="1388" t="s">
        <v>12720</v>
      </c>
      <c r="CS2088" s="1388" t="s">
        <v>8108</v>
      </c>
      <c r="CT2088" s="1388" t="s">
        <v>12679</v>
      </c>
      <c r="CU2088" s="1388" t="s">
        <v>8110</v>
      </c>
      <c r="CV2088" s="1389" t="s">
        <v>8111</v>
      </c>
      <c r="CX2088" s="1379">
        <v>1</v>
      </c>
    </row>
    <row r="2089" spans="91:102" ht="21" customHeight="1" x14ac:dyDescent="0.25">
      <c r="CM2089" s="1377"/>
      <c r="CN2089" s="1388" t="s">
        <v>12721</v>
      </c>
      <c r="CO2089" s="1388" t="s">
        <v>8133</v>
      </c>
      <c r="CP2089" s="1388" t="s">
        <v>8106</v>
      </c>
      <c r="CQ2089" s="1388" t="s">
        <v>12722</v>
      </c>
      <c r="CR2089" s="1388" t="s">
        <v>12722</v>
      </c>
      <c r="CS2089" s="1388" t="s">
        <v>8108</v>
      </c>
      <c r="CT2089" s="1388" t="s">
        <v>12679</v>
      </c>
      <c r="CU2089" s="1388" t="s">
        <v>8110</v>
      </c>
      <c r="CV2089" s="1389" t="s">
        <v>8111</v>
      </c>
      <c r="CX2089" s="1379">
        <v>1</v>
      </c>
    </row>
    <row r="2090" spans="91:102" ht="21" customHeight="1" x14ac:dyDescent="0.25">
      <c r="CM2090" s="1377"/>
      <c r="CN2090" s="1388" t="s">
        <v>12723</v>
      </c>
      <c r="CO2090" s="1388" t="s">
        <v>8133</v>
      </c>
      <c r="CP2090" s="1388" t="s">
        <v>8106</v>
      </c>
      <c r="CQ2090" s="1388" t="s">
        <v>12724</v>
      </c>
      <c r="CR2090" s="1388" t="s">
        <v>12724</v>
      </c>
      <c r="CS2090" s="1388" t="s">
        <v>8194</v>
      </c>
      <c r="CT2090" s="1388" t="s">
        <v>8195</v>
      </c>
      <c r="CU2090" s="1388" t="s">
        <v>8110</v>
      </c>
      <c r="CV2090" s="1389" t="s">
        <v>8196</v>
      </c>
      <c r="CX2090" s="1379">
        <v>1</v>
      </c>
    </row>
    <row r="2091" spans="91:102" ht="21" customHeight="1" x14ac:dyDescent="0.25">
      <c r="CM2091" s="1377"/>
      <c r="CN2091" s="1388" t="s">
        <v>12725</v>
      </c>
      <c r="CO2091" s="1388" t="s">
        <v>8133</v>
      </c>
      <c r="CP2091" s="1388" t="s">
        <v>8106</v>
      </c>
      <c r="CQ2091" s="1388" t="s">
        <v>12726</v>
      </c>
      <c r="CR2091" s="1388" t="s">
        <v>12726</v>
      </c>
      <c r="CS2091" s="1388" t="s">
        <v>8108</v>
      </c>
      <c r="CT2091" s="1388" t="s">
        <v>12679</v>
      </c>
      <c r="CU2091" s="1388" t="s">
        <v>8110</v>
      </c>
      <c r="CV2091" s="1389" t="s">
        <v>8111</v>
      </c>
      <c r="CX2091" s="1379">
        <v>1</v>
      </c>
    </row>
    <row r="2092" spans="91:102" ht="21" customHeight="1" x14ac:dyDescent="0.25">
      <c r="CM2092" s="1377"/>
      <c r="CN2092" s="1388" t="s">
        <v>12727</v>
      </c>
      <c r="CO2092" s="1388" t="s">
        <v>8133</v>
      </c>
      <c r="CP2092" s="1388" t="s">
        <v>8106</v>
      </c>
      <c r="CQ2092" s="1388" t="s">
        <v>12728</v>
      </c>
      <c r="CR2092" s="1388" t="s">
        <v>12728</v>
      </c>
      <c r="CS2092" s="1388" t="s">
        <v>8108</v>
      </c>
      <c r="CT2092" s="1388" t="s">
        <v>12679</v>
      </c>
      <c r="CU2092" s="1388" t="s">
        <v>8110</v>
      </c>
      <c r="CV2092" s="1389" t="s">
        <v>8111</v>
      </c>
      <c r="CX2092" s="1379">
        <v>1</v>
      </c>
    </row>
    <row r="2093" spans="91:102" ht="21" customHeight="1" x14ac:dyDescent="0.25">
      <c r="CM2093" s="1377"/>
      <c r="CN2093" s="1388" t="s">
        <v>12729</v>
      </c>
      <c r="CO2093" s="1388" t="s">
        <v>8133</v>
      </c>
      <c r="CP2093" s="1388" t="s">
        <v>8106</v>
      </c>
      <c r="CQ2093" s="1388" t="s">
        <v>12730</v>
      </c>
      <c r="CR2093" s="1388" t="s">
        <v>12730</v>
      </c>
      <c r="CS2093" s="1388" t="s">
        <v>8194</v>
      </c>
      <c r="CT2093" s="1388" t="s">
        <v>8195</v>
      </c>
      <c r="CU2093" s="1388" t="s">
        <v>8110</v>
      </c>
      <c r="CV2093" s="1389" t="s">
        <v>8196</v>
      </c>
      <c r="CX2093" s="1379">
        <v>1</v>
      </c>
    </row>
    <row r="2094" spans="91:102" ht="21" customHeight="1" x14ac:dyDescent="0.25">
      <c r="CM2094" s="1377"/>
      <c r="CN2094" s="1388" t="s">
        <v>12731</v>
      </c>
      <c r="CO2094" s="1388" t="s">
        <v>8133</v>
      </c>
      <c r="CP2094" s="1388" t="s">
        <v>8741</v>
      </c>
      <c r="CQ2094" s="1388" t="s">
        <v>12732</v>
      </c>
      <c r="CR2094" s="1388" t="s">
        <v>12732</v>
      </c>
      <c r="CS2094" s="1388" t="s">
        <v>8108</v>
      </c>
      <c r="CT2094" s="1388" t="s">
        <v>12733</v>
      </c>
      <c r="CU2094" s="1388" t="s">
        <v>8110</v>
      </c>
      <c r="CV2094" s="1389" t="s">
        <v>8111</v>
      </c>
      <c r="CX2094" s="1379">
        <v>1</v>
      </c>
    </row>
    <row r="2095" spans="91:102" ht="21" customHeight="1" x14ac:dyDescent="0.25">
      <c r="CM2095" s="1377"/>
      <c r="CN2095" s="1388" t="s">
        <v>12734</v>
      </c>
      <c r="CO2095" s="1388" t="s">
        <v>8133</v>
      </c>
      <c r="CP2095" s="1388" t="s">
        <v>8741</v>
      </c>
      <c r="CQ2095" s="1388" t="s">
        <v>8199</v>
      </c>
      <c r="CR2095" s="1388" t="s">
        <v>8200</v>
      </c>
      <c r="CS2095" s="1388" t="s">
        <v>8108</v>
      </c>
      <c r="CT2095" s="1388" t="s">
        <v>12733</v>
      </c>
      <c r="CU2095" s="1388" t="s">
        <v>8110</v>
      </c>
      <c r="CV2095" s="1389" t="s">
        <v>8111</v>
      </c>
      <c r="CX2095" s="1379">
        <v>1</v>
      </c>
    </row>
    <row r="2096" spans="91:102" ht="21" customHeight="1" x14ac:dyDescent="0.25">
      <c r="CM2096" s="1377"/>
      <c r="CN2096" s="1388" t="s">
        <v>12735</v>
      </c>
      <c r="CO2096" s="1388" t="s">
        <v>8133</v>
      </c>
      <c r="CP2096" s="1388" t="s">
        <v>8741</v>
      </c>
      <c r="CQ2096" s="1388" t="s">
        <v>12736</v>
      </c>
      <c r="CR2096" s="1388" t="s">
        <v>12736</v>
      </c>
      <c r="CS2096" s="1388" t="s">
        <v>8108</v>
      </c>
      <c r="CT2096" s="1388" t="s">
        <v>12733</v>
      </c>
      <c r="CU2096" s="1388" t="s">
        <v>8110</v>
      </c>
      <c r="CV2096" s="1389" t="s">
        <v>8111</v>
      </c>
      <c r="CX2096" s="1379">
        <v>1</v>
      </c>
    </row>
    <row r="2097" spans="91:102" ht="21" customHeight="1" x14ac:dyDescent="0.25">
      <c r="CM2097" s="1377"/>
      <c r="CN2097" s="1388" t="s">
        <v>12737</v>
      </c>
      <c r="CO2097" s="1388" t="s">
        <v>8133</v>
      </c>
      <c r="CP2097" s="1388" t="s">
        <v>8741</v>
      </c>
      <c r="CQ2097" s="1388" t="s">
        <v>12738</v>
      </c>
      <c r="CR2097" s="1388" t="s">
        <v>12738</v>
      </c>
      <c r="CS2097" s="1388" t="s">
        <v>8108</v>
      </c>
      <c r="CT2097" s="1388" t="s">
        <v>12733</v>
      </c>
      <c r="CU2097" s="1388" t="s">
        <v>8110</v>
      </c>
      <c r="CV2097" s="1389" t="s">
        <v>8111</v>
      </c>
      <c r="CX2097" s="1379">
        <v>1</v>
      </c>
    </row>
    <row r="2098" spans="91:102" ht="21" customHeight="1" x14ac:dyDescent="0.25">
      <c r="CM2098" s="1377"/>
      <c r="CN2098" s="1388" t="s">
        <v>12739</v>
      </c>
      <c r="CO2098" s="1388" t="s">
        <v>8133</v>
      </c>
      <c r="CP2098" s="1388" t="s">
        <v>8741</v>
      </c>
      <c r="CQ2098" s="1388" t="s">
        <v>12740</v>
      </c>
      <c r="CR2098" s="1388" t="s">
        <v>12740</v>
      </c>
      <c r="CS2098" s="1388" t="s">
        <v>8108</v>
      </c>
      <c r="CT2098" s="1388" t="s">
        <v>12733</v>
      </c>
      <c r="CU2098" s="1388" t="s">
        <v>8110</v>
      </c>
      <c r="CV2098" s="1389" t="s">
        <v>8111</v>
      </c>
      <c r="CX2098" s="1379">
        <v>1</v>
      </c>
    </row>
    <row r="2099" spans="91:102" ht="21" customHeight="1" x14ac:dyDescent="0.25">
      <c r="CM2099" s="1377"/>
      <c r="CN2099" s="1388" t="s">
        <v>12741</v>
      </c>
      <c r="CO2099" s="1388" t="s">
        <v>8133</v>
      </c>
      <c r="CP2099" s="1388" t="s">
        <v>8741</v>
      </c>
      <c r="CQ2099" s="1388" t="s">
        <v>12742</v>
      </c>
      <c r="CR2099" s="1388" t="s">
        <v>12742</v>
      </c>
      <c r="CS2099" s="1388" t="s">
        <v>8108</v>
      </c>
      <c r="CT2099" s="1388" t="s">
        <v>12733</v>
      </c>
      <c r="CU2099" s="1388" t="s">
        <v>8110</v>
      </c>
      <c r="CV2099" s="1389" t="s">
        <v>8111</v>
      </c>
      <c r="CX2099" s="1379">
        <v>1</v>
      </c>
    </row>
    <row r="2100" spans="91:102" ht="21" customHeight="1" x14ac:dyDescent="0.25">
      <c r="CM2100" s="1377"/>
      <c r="CN2100" s="1388" t="s">
        <v>12743</v>
      </c>
      <c r="CO2100" s="1388" t="s">
        <v>8133</v>
      </c>
      <c r="CP2100" s="1388" t="s">
        <v>8741</v>
      </c>
      <c r="CQ2100" s="1388" t="s">
        <v>12744</v>
      </c>
      <c r="CR2100" s="1388" t="s">
        <v>12744</v>
      </c>
      <c r="CS2100" s="1388" t="s">
        <v>8194</v>
      </c>
      <c r="CT2100" s="1388" t="s">
        <v>8748</v>
      </c>
      <c r="CU2100" s="1388" t="s">
        <v>8110</v>
      </c>
      <c r="CV2100" s="1389" t="s">
        <v>8196</v>
      </c>
      <c r="CX2100" s="1379">
        <v>1</v>
      </c>
    </row>
    <row r="2101" spans="91:102" ht="21" customHeight="1" x14ac:dyDescent="0.25">
      <c r="CM2101" s="1377"/>
      <c r="CN2101" s="1388" t="s">
        <v>12745</v>
      </c>
      <c r="CO2101" s="1388" t="s">
        <v>8133</v>
      </c>
      <c r="CP2101" s="1388" t="s">
        <v>8741</v>
      </c>
      <c r="CQ2101" s="1388" t="s">
        <v>12746</v>
      </c>
      <c r="CR2101" s="1388" t="s">
        <v>12746</v>
      </c>
      <c r="CS2101" s="1388" t="s">
        <v>8108</v>
      </c>
      <c r="CT2101" s="1388" t="s">
        <v>12733</v>
      </c>
      <c r="CU2101" s="1388" t="s">
        <v>8110</v>
      </c>
      <c r="CV2101" s="1389" t="s">
        <v>8111</v>
      </c>
      <c r="CX2101" s="1379">
        <v>1</v>
      </c>
    </row>
    <row r="2102" spans="91:102" ht="21" customHeight="1" x14ac:dyDescent="0.25">
      <c r="CM2102" s="1377"/>
      <c r="CN2102" s="1388" t="s">
        <v>12747</v>
      </c>
      <c r="CO2102" s="1388" t="s">
        <v>8133</v>
      </c>
      <c r="CP2102" s="1388" t="s">
        <v>8741</v>
      </c>
      <c r="CQ2102" s="1388" t="s">
        <v>12748</v>
      </c>
      <c r="CR2102" s="1388" t="s">
        <v>12749</v>
      </c>
      <c r="CS2102" s="1388" t="s">
        <v>8108</v>
      </c>
      <c r="CT2102" s="1388" t="s">
        <v>12733</v>
      </c>
      <c r="CU2102" s="1388" t="s">
        <v>8110</v>
      </c>
      <c r="CV2102" s="1389" t="s">
        <v>8111</v>
      </c>
      <c r="CX2102" s="1379">
        <v>1</v>
      </c>
    </row>
    <row r="2103" spans="91:102" ht="21" customHeight="1" x14ac:dyDescent="0.25">
      <c r="CM2103" s="1377"/>
      <c r="CN2103" s="1388" t="s">
        <v>12750</v>
      </c>
      <c r="CO2103" s="1388" t="s">
        <v>8133</v>
      </c>
      <c r="CP2103" s="1388" t="s">
        <v>8741</v>
      </c>
      <c r="CQ2103" s="1388" t="s">
        <v>12751</v>
      </c>
      <c r="CR2103" s="1388" t="s">
        <v>12752</v>
      </c>
      <c r="CS2103" s="1388" t="s">
        <v>8108</v>
      </c>
      <c r="CT2103" s="1388" t="s">
        <v>12733</v>
      </c>
      <c r="CU2103" s="1388" t="s">
        <v>8110</v>
      </c>
      <c r="CV2103" s="1389" t="s">
        <v>8111</v>
      </c>
      <c r="CX2103" s="1379">
        <v>1</v>
      </c>
    </row>
    <row r="2104" spans="91:102" ht="21" customHeight="1" x14ac:dyDescent="0.25">
      <c r="CM2104" s="1377"/>
      <c r="CN2104" s="1388" t="s">
        <v>12753</v>
      </c>
      <c r="CO2104" s="1388" t="s">
        <v>8133</v>
      </c>
      <c r="CP2104" s="1388" t="s">
        <v>8741</v>
      </c>
      <c r="CQ2104" s="1388" t="s">
        <v>12754</v>
      </c>
      <c r="CR2104" s="1388" t="s">
        <v>12755</v>
      </c>
      <c r="CS2104" s="1388" t="s">
        <v>8108</v>
      </c>
      <c r="CT2104" s="1388" t="s">
        <v>12733</v>
      </c>
      <c r="CU2104" s="1388" t="s">
        <v>8110</v>
      </c>
      <c r="CV2104" s="1389" t="s">
        <v>8111</v>
      </c>
      <c r="CX2104" s="1379">
        <v>1</v>
      </c>
    </row>
    <row r="2105" spans="91:102" ht="21" customHeight="1" x14ac:dyDescent="0.25">
      <c r="CM2105" s="1377"/>
      <c r="CN2105" s="1388" t="s">
        <v>12756</v>
      </c>
      <c r="CO2105" s="1388" t="s">
        <v>8133</v>
      </c>
      <c r="CP2105" s="1388" t="s">
        <v>8741</v>
      </c>
      <c r="CQ2105" s="1388" t="s">
        <v>12757</v>
      </c>
      <c r="CR2105" s="1388" t="s">
        <v>12757</v>
      </c>
      <c r="CS2105" s="1388" t="s">
        <v>8108</v>
      </c>
      <c r="CT2105" s="1388" t="s">
        <v>12733</v>
      </c>
      <c r="CU2105" s="1388" t="s">
        <v>8110</v>
      </c>
      <c r="CV2105" s="1389" t="s">
        <v>8111</v>
      </c>
      <c r="CX2105" s="1379">
        <v>1</v>
      </c>
    </row>
    <row r="2106" spans="91:102" ht="21" customHeight="1" x14ac:dyDescent="0.25">
      <c r="CM2106" s="1377"/>
      <c r="CN2106" s="1388" t="s">
        <v>12758</v>
      </c>
      <c r="CO2106" s="1388" t="s">
        <v>8133</v>
      </c>
      <c r="CP2106" s="1388" t="s">
        <v>8741</v>
      </c>
      <c r="CQ2106" s="1388" t="s">
        <v>12759</v>
      </c>
      <c r="CR2106" s="1388" t="s">
        <v>12759</v>
      </c>
      <c r="CS2106" s="1388" t="s">
        <v>8108</v>
      </c>
      <c r="CT2106" s="1388" t="s">
        <v>12733</v>
      </c>
      <c r="CU2106" s="1388" t="s">
        <v>8110</v>
      </c>
      <c r="CV2106" s="1389" t="s">
        <v>8111</v>
      </c>
      <c r="CX2106" s="1379">
        <v>1</v>
      </c>
    </row>
    <row r="2107" spans="91:102" ht="21" customHeight="1" x14ac:dyDescent="0.25">
      <c r="CM2107" s="1377"/>
      <c r="CN2107" s="1388" t="s">
        <v>12760</v>
      </c>
      <c r="CO2107" s="1388" t="s">
        <v>8133</v>
      </c>
      <c r="CP2107" s="1388" t="s">
        <v>8741</v>
      </c>
      <c r="CQ2107" s="1388" t="s">
        <v>12761</v>
      </c>
      <c r="CR2107" s="1388" t="s">
        <v>12761</v>
      </c>
      <c r="CS2107" s="1388" t="s">
        <v>8108</v>
      </c>
      <c r="CT2107" s="1388" t="s">
        <v>12733</v>
      </c>
      <c r="CU2107" s="1388" t="s">
        <v>8110</v>
      </c>
      <c r="CV2107" s="1389" t="s">
        <v>8111</v>
      </c>
      <c r="CX2107" s="1379">
        <v>1</v>
      </c>
    </row>
    <row r="2108" spans="91:102" ht="21" customHeight="1" x14ac:dyDescent="0.25">
      <c r="CM2108" s="1377"/>
      <c r="CN2108" s="1388" t="s">
        <v>12762</v>
      </c>
      <c r="CO2108" s="1388" t="s">
        <v>8133</v>
      </c>
      <c r="CP2108" s="1388" t="s">
        <v>8741</v>
      </c>
      <c r="CQ2108" s="1388" t="s">
        <v>12763</v>
      </c>
      <c r="CR2108" s="1388" t="s">
        <v>12763</v>
      </c>
      <c r="CS2108" s="1388" t="s">
        <v>8108</v>
      </c>
      <c r="CT2108" s="1388" t="s">
        <v>12733</v>
      </c>
      <c r="CU2108" s="1388" t="s">
        <v>8110</v>
      </c>
      <c r="CV2108" s="1389" t="s">
        <v>8111</v>
      </c>
      <c r="CX2108" s="1379">
        <v>1</v>
      </c>
    </row>
    <row r="2109" spans="91:102" ht="21" customHeight="1" x14ac:dyDescent="0.25">
      <c r="CM2109" s="1377"/>
      <c r="CN2109" s="1388" t="s">
        <v>12764</v>
      </c>
      <c r="CO2109" s="1388" t="s">
        <v>8133</v>
      </c>
      <c r="CP2109" s="1388" t="s">
        <v>8741</v>
      </c>
      <c r="CQ2109" s="1388" t="s">
        <v>12765</v>
      </c>
      <c r="CR2109" s="1388" t="s">
        <v>12765</v>
      </c>
      <c r="CS2109" s="1388" t="s">
        <v>8194</v>
      </c>
      <c r="CT2109" s="1388" t="s">
        <v>8748</v>
      </c>
      <c r="CU2109" s="1388" t="s">
        <v>8110</v>
      </c>
      <c r="CV2109" s="1389" t="s">
        <v>8196</v>
      </c>
      <c r="CX2109" s="1379">
        <v>1</v>
      </c>
    </row>
    <row r="2110" spans="91:102" ht="21" customHeight="1" x14ac:dyDescent="0.25">
      <c r="CM2110" s="1377"/>
      <c r="CN2110" s="1388" t="s">
        <v>12766</v>
      </c>
      <c r="CO2110" s="1388" t="s">
        <v>8133</v>
      </c>
      <c r="CP2110" s="1388" t="s">
        <v>8741</v>
      </c>
      <c r="CQ2110" s="1388" t="s">
        <v>12767</v>
      </c>
      <c r="CR2110" s="1388" t="s">
        <v>12767</v>
      </c>
      <c r="CS2110" s="1388" t="s">
        <v>8194</v>
      </c>
      <c r="CT2110" s="1388" t="s">
        <v>8748</v>
      </c>
      <c r="CU2110" s="1388" t="s">
        <v>8110</v>
      </c>
      <c r="CV2110" s="1389" t="s">
        <v>8196</v>
      </c>
      <c r="CX2110" s="1379">
        <v>1</v>
      </c>
    </row>
    <row r="2111" spans="91:102" ht="21" customHeight="1" x14ac:dyDescent="0.25">
      <c r="CM2111" s="1377"/>
      <c r="CN2111" s="1388" t="s">
        <v>12768</v>
      </c>
      <c r="CO2111" s="1388" t="s">
        <v>8133</v>
      </c>
      <c r="CP2111" s="1388" t="s">
        <v>8741</v>
      </c>
      <c r="CQ2111" s="1388" t="s">
        <v>12769</v>
      </c>
      <c r="CR2111" s="1388" t="s">
        <v>12770</v>
      </c>
      <c r="CS2111" s="1388" t="s">
        <v>8108</v>
      </c>
      <c r="CT2111" s="1388" t="s">
        <v>12733</v>
      </c>
      <c r="CU2111" s="1388" t="s">
        <v>8110</v>
      </c>
      <c r="CV2111" s="1389" t="s">
        <v>8111</v>
      </c>
      <c r="CX2111" s="1379">
        <v>1</v>
      </c>
    </row>
    <row r="2112" spans="91:102" ht="21" customHeight="1" x14ac:dyDescent="0.25">
      <c r="CM2112" s="1377"/>
      <c r="CN2112" s="1388" t="s">
        <v>12771</v>
      </c>
      <c r="CO2112" s="1388" t="s">
        <v>8133</v>
      </c>
      <c r="CP2112" s="1388" t="s">
        <v>8741</v>
      </c>
      <c r="CQ2112" s="1388" t="s">
        <v>12772</v>
      </c>
      <c r="CR2112" s="1388" t="s">
        <v>12773</v>
      </c>
      <c r="CS2112" s="1388" t="s">
        <v>8108</v>
      </c>
      <c r="CT2112" s="1388" t="s">
        <v>12774</v>
      </c>
      <c r="CU2112" s="1388" t="s">
        <v>8419</v>
      </c>
      <c r="CV2112" s="1389" t="s">
        <v>8196</v>
      </c>
      <c r="CX2112" s="1379">
        <v>1</v>
      </c>
    </row>
    <row r="2113" spans="91:102" ht="21" customHeight="1" x14ac:dyDescent="0.25">
      <c r="CM2113" s="1377"/>
      <c r="CN2113" s="1388" t="s">
        <v>12775</v>
      </c>
      <c r="CO2113" s="1388" t="s">
        <v>8133</v>
      </c>
      <c r="CP2113" s="1388" t="s">
        <v>8741</v>
      </c>
      <c r="CQ2113" s="1388" t="s">
        <v>12776</v>
      </c>
      <c r="CR2113" s="1388" t="s">
        <v>12777</v>
      </c>
      <c r="CS2113" s="1388" t="s">
        <v>8108</v>
      </c>
      <c r="CT2113" s="1388" t="s">
        <v>12733</v>
      </c>
      <c r="CU2113" s="1388" t="s">
        <v>8110</v>
      </c>
      <c r="CV2113" s="1389" t="s">
        <v>8111</v>
      </c>
      <c r="CX2113" s="1379">
        <v>1</v>
      </c>
    </row>
    <row r="2114" spans="91:102" ht="21" customHeight="1" x14ac:dyDescent="0.25">
      <c r="CM2114" s="1377"/>
      <c r="CN2114" s="1388" t="s">
        <v>12778</v>
      </c>
      <c r="CO2114" s="1388" t="s">
        <v>8133</v>
      </c>
      <c r="CP2114" s="1388" t="s">
        <v>8741</v>
      </c>
      <c r="CQ2114" s="1388" t="s">
        <v>12779</v>
      </c>
      <c r="CR2114" s="1388" t="s">
        <v>12779</v>
      </c>
      <c r="CS2114" s="1388" t="s">
        <v>8108</v>
      </c>
      <c r="CT2114" s="1388" t="s">
        <v>12733</v>
      </c>
      <c r="CU2114" s="1388" t="s">
        <v>8110</v>
      </c>
      <c r="CV2114" s="1389" t="s">
        <v>8111</v>
      </c>
      <c r="CX2114" s="1379">
        <v>1</v>
      </c>
    </row>
    <row r="2115" spans="91:102" ht="21" customHeight="1" x14ac:dyDescent="0.25">
      <c r="CM2115" s="1377"/>
      <c r="CN2115" s="1388" t="s">
        <v>12780</v>
      </c>
      <c r="CO2115" s="1388" t="s">
        <v>8133</v>
      </c>
      <c r="CP2115" s="1388" t="s">
        <v>8741</v>
      </c>
      <c r="CQ2115" s="1388" t="s">
        <v>12781</v>
      </c>
      <c r="CR2115" s="1388" t="s">
        <v>12782</v>
      </c>
      <c r="CS2115" s="1388" t="s">
        <v>8108</v>
      </c>
      <c r="CT2115" s="1388" t="s">
        <v>12733</v>
      </c>
      <c r="CU2115" s="1388" t="s">
        <v>8110</v>
      </c>
      <c r="CV2115" s="1389" t="s">
        <v>8111</v>
      </c>
      <c r="CX2115" s="1379">
        <v>1</v>
      </c>
    </row>
    <row r="2116" spans="91:102" ht="21" customHeight="1" x14ac:dyDescent="0.25">
      <c r="CM2116" s="1377"/>
      <c r="CN2116" s="1388" t="s">
        <v>12783</v>
      </c>
      <c r="CO2116" s="1388" t="s">
        <v>8133</v>
      </c>
      <c r="CP2116" s="1388" t="s">
        <v>8741</v>
      </c>
      <c r="CQ2116" s="1388" t="s">
        <v>12784</v>
      </c>
      <c r="CR2116" s="1388" t="s">
        <v>12784</v>
      </c>
      <c r="CS2116" s="1388" t="s">
        <v>8108</v>
      </c>
      <c r="CT2116" s="1388" t="s">
        <v>12733</v>
      </c>
      <c r="CU2116" s="1388" t="s">
        <v>8110</v>
      </c>
      <c r="CV2116" s="1389" t="s">
        <v>8111</v>
      </c>
      <c r="CX2116" s="1379">
        <v>1</v>
      </c>
    </row>
    <row r="2117" spans="91:102" ht="21" customHeight="1" x14ac:dyDescent="0.25">
      <c r="CM2117" s="1377"/>
      <c r="CN2117" s="1388" t="s">
        <v>12785</v>
      </c>
      <c r="CO2117" s="1388" t="s">
        <v>8133</v>
      </c>
      <c r="CP2117" s="1388" t="s">
        <v>8741</v>
      </c>
      <c r="CQ2117" s="1388" t="s">
        <v>12786</v>
      </c>
      <c r="CR2117" s="1388" t="s">
        <v>12786</v>
      </c>
      <c r="CS2117" s="1388" t="s">
        <v>8108</v>
      </c>
      <c r="CT2117" s="1388" t="s">
        <v>12733</v>
      </c>
      <c r="CU2117" s="1388" t="s">
        <v>8110</v>
      </c>
      <c r="CV2117" s="1389" t="s">
        <v>8111</v>
      </c>
      <c r="CX2117" s="1379">
        <v>1</v>
      </c>
    </row>
    <row r="2118" spans="91:102" ht="21" customHeight="1" x14ac:dyDescent="0.25">
      <c r="CM2118" s="1377"/>
      <c r="CN2118" s="1388" t="s">
        <v>12787</v>
      </c>
      <c r="CO2118" s="1388" t="s">
        <v>8133</v>
      </c>
      <c r="CP2118" s="1388" t="s">
        <v>8741</v>
      </c>
      <c r="CQ2118" s="1388" t="s">
        <v>12788</v>
      </c>
      <c r="CR2118" s="1388" t="s">
        <v>12789</v>
      </c>
      <c r="CS2118" s="1388" t="s">
        <v>8108</v>
      </c>
      <c r="CT2118" s="1388" t="s">
        <v>12733</v>
      </c>
      <c r="CU2118" s="1388" t="s">
        <v>8110</v>
      </c>
      <c r="CV2118" s="1389" t="s">
        <v>8111</v>
      </c>
      <c r="CX2118" s="1379">
        <v>1</v>
      </c>
    </row>
    <row r="2119" spans="91:102" ht="21" customHeight="1" x14ac:dyDescent="0.25">
      <c r="CM2119" s="1377"/>
      <c r="CN2119" s="1388" t="s">
        <v>12790</v>
      </c>
      <c r="CO2119" s="1388" t="s">
        <v>8133</v>
      </c>
      <c r="CP2119" s="1388" t="s">
        <v>8741</v>
      </c>
      <c r="CQ2119" s="1388" t="s">
        <v>12791</v>
      </c>
      <c r="CR2119" s="1388" t="s">
        <v>12791</v>
      </c>
      <c r="CS2119" s="1388" t="s">
        <v>8108</v>
      </c>
      <c r="CT2119" s="1388" t="s">
        <v>12733</v>
      </c>
      <c r="CU2119" s="1388" t="s">
        <v>8110</v>
      </c>
      <c r="CV2119" s="1389" t="s">
        <v>8111</v>
      </c>
      <c r="CX2119" s="1379">
        <v>1</v>
      </c>
    </row>
    <row r="2120" spans="91:102" ht="21" customHeight="1" x14ac:dyDescent="0.25">
      <c r="CM2120" s="1377"/>
      <c r="CN2120" s="1388" t="s">
        <v>12792</v>
      </c>
      <c r="CO2120" s="1388" t="s">
        <v>8133</v>
      </c>
      <c r="CP2120" s="1388" t="s">
        <v>8741</v>
      </c>
      <c r="CQ2120" s="1388" t="s">
        <v>12793</v>
      </c>
      <c r="CR2120" s="1388" t="s">
        <v>12793</v>
      </c>
      <c r="CS2120" s="1388" t="s">
        <v>8194</v>
      </c>
      <c r="CT2120" s="1388" t="s">
        <v>8748</v>
      </c>
      <c r="CU2120" s="1388" t="s">
        <v>8110</v>
      </c>
      <c r="CV2120" s="1389" t="s">
        <v>8196</v>
      </c>
      <c r="CX2120" s="1379">
        <v>1</v>
      </c>
    </row>
    <row r="2121" spans="91:102" ht="21" customHeight="1" x14ac:dyDescent="0.25">
      <c r="CM2121" s="1377"/>
      <c r="CN2121" s="1388" t="s">
        <v>12794</v>
      </c>
      <c r="CO2121" s="1388" t="s">
        <v>8133</v>
      </c>
      <c r="CP2121" s="1388" t="s">
        <v>8741</v>
      </c>
      <c r="CQ2121" s="1388" t="s">
        <v>12795</v>
      </c>
      <c r="CR2121" s="1388" t="s">
        <v>12795</v>
      </c>
      <c r="CS2121" s="1388" t="s">
        <v>8108</v>
      </c>
      <c r="CT2121" s="1388" t="s">
        <v>12733</v>
      </c>
      <c r="CU2121" s="1388" t="s">
        <v>8110</v>
      </c>
      <c r="CV2121" s="1389" t="s">
        <v>8111</v>
      </c>
      <c r="CX2121" s="1379">
        <v>1</v>
      </c>
    </row>
    <row r="2122" spans="91:102" ht="21" customHeight="1" x14ac:dyDescent="0.25">
      <c r="CM2122" s="1377"/>
      <c r="CN2122" s="1388" t="s">
        <v>12796</v>
      </c>
      <c r="CO2122" s="1388" t="s">
        <v>8133</v>
      </c>
      <c r="CP2122" s="1388" t="s">
        <v>8741</v>
      </c>
      <c r="CQ2122" s="1388" t="s">
        <v>12797</v>
      </c>
      <c r="CR2122" s="1388" t="s">
        <v>12797</v>
      </c>
      <c r="CS2122" s="1388" t="s">
        <v>8108</v>
      </c>
      <c r="CT2122" s="1388" t="s">
        <v>12733</v>
      </c>
      <c r="CU2122" s="1388" t="s">
        <v>8110</v>
      </c>
      <c r="CV2122" s="1389" t="s">
        <v>8111</v>
      </c>
      <c r="CX2122" s="1379">
        <v>1</v>
      </c>
    </row>
    <row r="2123" spans="91:102" ht="21" customHeight="1" x14ac:dyDescent="0.25">
      <c r="CM2123" s="1377"/>
      <c r="CN2123" s="1388" t="s">
        <v>12798</v>
      </c>
      <c r="CO2123" s="1388" t="s">
        <v>8133</v>
      </c>
      <c r="CP2123" s="1388" t="s">
        <v>8741</v>
      </c>
      <c r="CQ2123" s="1388" t="s">
        <v>12799</v>
      </c>
      <c r="CR2123" s="1388" t="s">
        <v>12799</v>
      </c>
      <c r="CS2123" s="1388" t="s">
        <v>8194</v>
      </c>
      <c r="CT2123" s="1388" t="s">
        <v>8748</v>
      </c>
      <c r="CU2123" s="1388" t="s">
        <v>8110</v>
      </c>
      <c r="CV2123" s="1389" t="s">
        <v>8196</v>
      </c>
      <c r="CX2123" s="1379">
        <v>1</v>
      </c>
    </row>
    <row r="2124" spans="91:102" ht="21" customHeight="1" x14ac:dyDescent="0.25">
      <c r="CM2124" s="1377"/>
      <c r="CN2124" s="1388" t="s">
        <v>12800</v>
      </c>
      <c r="CO2124" s="1388" t="s">
        <v>8133</v>
      </c>
      <c r="CP2124" s="1388" t="s">
        <v>8741</v>
      </c>
      <c r="CQ2124" s="1388" t="s">
        <v>12801</v>
      </c>
      <c r="CR2124" s="1388" t="s">
        <v>12801</v>
      </c>
      <c r="CS2124" s="1388" t="s">
        <v>8108</v>
      </c>
      <c r="CT2124" s="1388" t="s">
        <v>12733</v>
      </c>
      <c r="CU2124" s="1388" t="s">
        <v>8110</v>
      </c>
      <c r="CV2124" s="1389" t="s">
        <v>8111</v>
      </c>
      <c r="CX2124" s="1379">
        <v>1</v>
      </c>
    </row>
    <row r="2125" spans="91:102" ht="21" customHeight="1" x14ac:dyDescent="0.25">
      <c r="CM2125" s="1377"/>
      <c r="CN2125" s="1388" t="s">
        <v>12802</v>
      </c>
      <c r="CO2125" s="1388" t="s">
        <v>8133</v>
      </c>
      <c r="CP2125" s="1388" t="s">
        <v>8741</v>
      </c>
      <c r="CQ2125" s="1388" t="s">
        <v>12803</v>
      </c>
      <c r="CR2125" s="1388" t="s">
        <v>12803</v>
      </c>
      <c r="CS2125" s="1388" t="s">
        <v>8108</v>
      </c>
      <c r="CT2125" s="1388" t="s">
        <v>12733</v>
      </c>
      <c r="CU2125" s="1388" t="s">
        <v>8110</v>
      </c>
      <c r="CV2125" s="1389" t="s">
        <v>8111</v>
      </c>
      <c r="CX2125" s="1379">
        <v>1</v>
      </c>
    </row>
    <row r="2126" spans="91:102" ht="21" customHeight="1" x14ac:dyDescent="0.25">
      <c r="CM2126" s="1377"/>
      <c r="CN2126" s="1388" t="s">
        <v>12804</v>
      </c>
      <c r="CO2126" s="1388" t="s">
        <v>8133</v>
      </c>
      <c r="CP2126" s="1388" t="s">
        <v>8741</v>
      </c>
      <c r="CQ2126" s="1388" t="s">
        <v>12805</v>
      </c>
      <c r="CR2126" s="1388" t="s">
        <v>12805</v>
      </c>
      <c r="CS2126" s="1388" t="s">
        <v>8108</v>
      </c>
      <c r="CT2126" s="1388" t="s">
        <v>12733</v>
      </c>
      <c r="CU2126" s="1388" t="s">
        <v>8110</v>
      </c>
      <c r="CV2126" s="1389" t="s">
        <v>8111</v>
      </c>
      <c r="CX2126" s="1379">
        <v>1</v>
      </c>
    </row>
    <row r="2127" spans="91:102" ht="21" customHeight="1" x14ac:dyDescent="0.25">
      <c r="CM2127" s="1377"/>
      <c r="CN2127" s="1388" t="s">
        <v>12806</v>
      </c>
      <c r="CO2127" s="1388" t="s">
        <v>8133</v>
      </c>
      <c r="CP2127" s="1388" t="s">
        <v>8741</v>
      </c>
      <c r="CQ2127" s="1388" t="s">
        <v>12807</v>
      </c>
      <c r="CR2127" s="1388" t="s">
        <v>12808</v>
      </c>
      <c r="CS2127" s="1388" t="s">
        <v>8108</v>
      </c>
      <c r="CT2127" s="1388" t="s">
        <v>12733</v>
      </c>
      <c r="CU2127" s="1388" t="s">
        <v>8110</v>
      </c>
      <c r="CV2127" s="1389" t="s">
        <v>8111</v>
      </c>
      <c r="CX2127" s="1379">
        <v>1</v>
      </c>
    </row>
    <row r="2128" spans="91:102" ht="21" customHeight="1" x14ac:dyDescent="0.25">
      <c r="CM2128" s="1377"/>
      <c r="CN2128" s="1388" t="s">
        <v>12809</v>
      </c>
      <c r="CO2128" s="1388" t="s">
        <v>8133</v>
      </c>
      <c r="CP2128" s="1388" t="s">
        <v>8741</v>
      </c>
      <c r="CQ2128" s="1388" t="s">
        <v>12810</v>
      </c>
      <c r="CR2128" s="1388" t="s">
        <v>12810</v>
      </c>
      <c r="CS2128" s="1388" t="s">
        <v>8108</v>
      </c>
      <c r="CT2128" s="1388" t="s">
        <v>12733</v>
      </c>
      <c r="CU2128" s="1388" t="s">
        <v>8110</v>
      </c>
      <c r="CV2128" s="1389" t="s">
        <v>8111</v>
      </c>
      <c r="CX2128" s="1379">
        <v>1</v>
      </c>
    </row>
    <row r="2129" spans="91:102" ht="21" customHeight="1" x14ac:dyDescent="0.25">
      <c r="CM2129" s="1377"/>
      <c r="CN2129" s="1388" t="s">
        <v>12811</v>
      </c>
      <c r="CO2129" s="1388" t="s">
        <v>8133</v>
      </c>
      <c r="CP2129" s="1388" t="s">
        <v>8741</v>
      </c>
      <c r="CQ2129" s="1388" t="s">
        <v>12812</v>
      </c>
      <c r="CR2129" s="1388" t="s">
        <v>12812</v>
      </c>
      <c r="CS2129" s="1388" t="s">
        <v>8108</v>
      </c>
      <c r="CT2129" s="1388" t="s">
        <v>12733</v>
      </c>
      <c r="CU2129" s="1388" t="s">
        <v>8110</v>
      </c>
      <c r="CV2129" s="1389" t="s">
        <v>8111</v>
      </c>
      <c r="CX2129" s="1379">
        <v>1</v>
      </c>
    </row>
    <row r="2130" spans="91:102" ht="21" customHeight="1" x14ac:dyDescent="0.25">
      <c r="CM2130" s="1377"/>
      <c r="CN2130" s="1388" t="s">
        <v>12813</v>
      </c>
      <c r="CO2130" s="1388" t="s">
        <v>8133</v>
      </c>
      <c r="CP2130" s="1388" t="s">
        <v>8741</v>
      </c>
      <c r="CQ2130" s="1388" t="s">
        <v>12814</v>
      </c>
      <c r="CR2130" s="1388" t="s">
        <v>12814</v>
      </c>
      <c r="CS2130" s="1388" t="s">
        <v>8108</v>
      </c>
      <c r="CT2130" s="1388" t="s">
        <v>12733</v>
      </c>
      <c r="CU2130" s="1388" t="s">
        <v>8110</v>
      </c>
      <c r="CV2130" s="1389" t="s">
        <v>8111</v>
      </c>
      <c r="CX2130" s="1379">
        <v>1</v>
      </c>
    </row>
    <row r="2131" spans="91:102" ht="21" customHeight="1" x14ac:dyDescent="0.25">
      <c r="CM2131" s="1377"/>
      <c r="CN2131" s="1388" t="s">
        <v>12815</v>
      </c>
      <c r="CO2131" s="1388" t="s">
        <v>8133</v>
      </c>
      <c r="CP2131" s="1388" t="s">
        <v>8106</v>
      </c>
      <c r="CQ2131" s="1388" t="s">
        <v>12816</v>
      </c>
      <c r="CR2131" s="1388" t="s">
        <v>12816</v>
      </c>
      <c r="CS2131" s="1388" t="s">
        <v>8108</v>
      </c>
      <c r="CT2131" s="1388" t="s">
        <v>12817</v>
      </c>
      <c r="CU2131" s="1388" t="s">
        <v>8110</v>
      </c>
      <c r="CV2131" s="1389" t="s">
        <v>8111</v>
      </c>
      <c r="CX2131" s="1379">
        <v>1</v>
      </c>
    </row>
    <row r="2132" spans="91:102" ht="21" customHeight="1" x14ac:dyDescent="0.25">
      <c r="CM2132" s="1377"/>
      <c r="CN2132" s="1388" t="s">
        <v>12818</v>
      </c>
      <c r="CO2132" s="1388" t="s">
        <v>8133</v>
      </c>
      <c r="CP2132" s="1388" t="s">
        <v>8741</v>
      </c>
      <c r="CQ2132" s="1388" t="s">
        <v>12819</v>
      </c>
      <c r="CR2132" s="1388" t="s">
        <v>12819</v>
      </c>
      <c r="CS2132" s="1388" t="s">
        <v>8194</v>
      </c>
      <c r="CT2132" s="1388" t="s">
        <v>8748</v>
      </c>
      <c r="CU2132" s="1388" t="s">
        <v>8110</v>
      </c>
      <c r="CV2132" s="1389" t="s">
        <v>8196</v>
      </c>
      <c r="CX2132" s="1379">
        <v>1</v>
      </c>
    </row>
    <row r="2133" spans="91:102" ht="21" customHeight="1" x14ac:dyDescent="0.25">
      <c r="CM2133" s="1377"/>
      <c r="CN2133" s="1388" t="s">
        <v>12820</v>
      </c>
      <c r="CO2133" s="1388" t="s">
        <v>8133</v>
      </c>
      <c r="CP2133" s="1388" t="s">
        <v>8741</v>
      </c>
      <c r="CQ2133" s="1388" t="s">
        <v>12821</v>
      </c>
      <c r="CR2133" s="1388" t="s">
        <v>12822</v>
      </c>
      <c r="CS2133" s="1388" t="s">
        <v>8108</v>
      </c>
      <c r="CT2133" s="1388" t="s">
        <v>12733</v>
      </c>
      <c r="CU2133" s="1388" t="s">
        <v>8110</v>
      </c>
      <c r="CV2133" s="1389" t="s">
        <v>8111</v>
      </c>
      <c r="CX2133" s="1379">
        <v>1</v>
      </c>
    </row>
    <row r="2134" spans="91:102" ht="21" customHeight="1" x14ac:dyDescent="0.25">
      <c r="CM2134" s="1377"/>
      <c r="CN2134" s="1388" t="s">
        <v>12823</v>
      </c>
      <c r="CO2134" s="1388" t="s">
        <v>8134</v>
      </c>
      <c r="CP2134" s="1388" t="s">
        <v>8106</v>
      </c>
      <c r="CQ2134" s="1388" t="s">
        <v>8678</v>
      </c>
      <c r="CR2134" s="1388" t="s">
        <v>8678</v>
      </c>
      <c r="CS2134" s="1388" t="s">
        <v>8108</v>
      </c>
      <c r="CT2134" s="1388" t="s">
        <v>12824</v>
      </c>
      <c r="CU2134" s="1388" t="s">
        <v>8110</v>
      </c>
      <c r="CV2134" s="1389" t="s">
        <v>8111</v>
      </c>
      <c r="CX2134" s="1379">
        <v>1</v>
      </c>
    </row>
    <row r="2135" spans="91:102" ht="21" customHeight="1" x14ac:dyDescent="0.25">
      <c r="CM2135" s="1377"/>
      <c r="CN2135" s="1388" t="s">
        <v>12825</v>
      </c>
      <c r="CO2135" s="1388" t="s">
        <v>8134</v>
      </c>
      <c r="CP2135" s="1388" t="s">
        <v>8106</v>
      </c>
      <c r="CQ2135" s="1388" t="s">
        <v>12826</v>
      </c>
      <c r="CR2135" s="1388" t="s">
        <v>12826</v>
      </c>
      <c r="CS2135" s="1388" t="s">
        <v>8108</v>
      </c>
      <c r="CT2135" s="1388" t="s">
        <v>12824</v>
      </c>
      <c r="CU2135" s="1388" t="s">
        <v>8110</v>
      </c>
      <c r="CV2135" s="1389" t="s">
        <v>8111</v>
      </c>
      <c r="CX2135" s="1379">
        <v>1</v>
      </c>
    </row>
    <row r="2136" spans="91:102" ht="21" customHeight="1" x14ac:dyDescent="0.25">
      <c r="CM2136" s="1377"/>
      <c r="CN2136" s="1388" t="s">
        <v>12827</v>
      </c>
      <c r="CO2136" s="1388" t="s">
        <v>8134</v>
      </c>
      <c r="CP2136" s="1388" t="s">
        <v>8106</v>
      </c>
      <c r="CQ2136" s="1388" t="s">
        <v>12828</v>
      </c>
      <c r="CR2136" s="1388" t="s">
        <v>12828</v>
      </c>
      <c r="CS2136" s="1388" t="s">
        <v>8108</v>
      </c>
      <c r="CT2136" s="1388" t="s">
        <v>12824</v>
      </c>
      <c r="CU2136" s="1388" t="s">
        <v>8110</v>
      </c>
      <c r="CV2136" s="1389" t="s">
        <v>8111</v>
      </c>
      <c r="CX2136" s="1379">
        <v>1</v>
      </c>
    </row>
    <row r="2137" spans="91:102" ht="21" customHeight="1" x14ac:dyDescent="0.25">
      <c r="CM2137" s="1377"/>
      <c r="CN2137" s="1388" t="s">
        <v>12829</v>
      </c>
      <c r="CO2137" s="1388" t="s">
        <v>8134</v>
      </c>
      <c r="CP2137" s="1388" t="s">
        <v>8106</v>
      </c>
      <c r="CQ2137" s="1388" t="s">
        <v>12830</v>
      </c>
      <c r="CR2137" s="1388" t="s">
        <v>12830</v>
      </c>
      <c r="CS2137" s="1388" t="s">
        <v>8108</v>
      </c>
      <c r="CT2137" s="1388" t="s">
        <v>12824</v>
      </c>
      <c r="CU2137" s="1388" t="s">
        <v>8110</v>
      </c>
      <c r="CV2137" s="1389" t="s">
        <v>8111</v>
      </c>
      <c r="CX2137" s="1379">
        <v>1</v>
      </c>
    </row>
    <row r="2138" spans="91:102" ht="21" customHeight="1" x14ac:dyDescent="0.25">
      <c r="CM2138" s="1377"/>
      <c r="CN2138" s="1388" t="s">
        <v>12831</v>
      </c>
      <c r="CO2138" s="1388" t="s">
        <v>8134</v>
      </c>
      <c r="CP2138" s="1388" t="s">
        <v>8106</v>
      </c>
      <c r="CQ2138" s="1388" t="s">
        <v>12832</v>
      </c>
      <c r="CR2138" s="1388" t="s">
        <v>12832</v>
      </c>
      <c r="CS2138" s="1388" t="s">
        <v>8108</v>
      </c>
      <c r="CT2138" s="1388" t="s">
        <v>12824</v>
      </c>
      <c r="CU2138" s="1388" t="s">
        <v>8110</v>
      </c>
      <c r="CV2138" s="1389" t="s">
        <v>8111</v>
      </c>
      <c r="CX2138" s="1379">
        <v>1</v>
      </c>
    </row>
    <row r="2139" spans="91:102" ht="21" customHeight="1" x14ac:dyDescent="0.25">
      <c r="CM2139" s="1377"/>
      <c r="CN2139" s="1388" t="s">
        <v>12833</v>
      </c>
      <c r="CO2139" s="1388" t="s">
        <v>8134</v>
      </c>
      <c r="CP2139" s="1388" t="s">
        <v>8106</v>
      </c>
      <c r="CQ2139" s="1388" t="s">
        <v>12834</v>
      </c>
      <c r="CR2139" s="1388" t="s">
        <v>12834</v>
      </c>
      <c r="CS2139" s="1388" t="s">
        <v>8108</v>
      </c>
      <c r="CT2139" s="1388" t="s">
        <v>12824</v>
      </c>
      <c r="CU2139" s="1388" t="s">
        <v>8110</v>
      </c>
      <c r="CV2139" s="1389" t="s">
        <v>8111</v>
      </c>
      <c r="CX2139" s="1379">
        <v>1</v>
      </c>
    </row>
    <row r="2140" spans="91:102" ht="21" customHeight="1" x14ac:dyDescent="0.25">
      <c r="CM2140" s="1377"/>
      <c r="CN2140" s="1388" t="s">
        <v>12835</v>
      </c>
      <c r="CO2140" s="1388" t="s">
        <v>8134</v>
      </c>
      <c r="CP2140" s="1388" t="s">
        <v>8106</v>
      </c>
      <c r="CQ2140" s="1388" t="s">
        <v>12836</v>
      </c>
      <c r="CR2140" s="1388" t="s">
        <v>12836</v>
      </c>
      <c r="CS2140" s="1388" t="s">
        <v>8194</v>
      </c>
      <c r="CT2140" s="1388" t="s">
        <v>8195</v>
      </c>
      <c r="CU2140" s="1388" t="s">
        <v>8110</v>
      </c>
      <c r="CV2140" s="1389" t="s">
        <v>8196</v>
      </c>
      <c r="CX2140" s="1379">
        <v>1</v>
      </c>
    </row>
    <row r="2141" spans="91:102" ht="21" customHeight="1" x14ac:dyDescent="0.25">
      <c r="CM2141" s="1377"/>
      <c r="CN2141" s="1388" t="s">
        <v>12837</v>
      </c>
      <c r="CO2141" s="1388" t="s">
        <v>8134</v>
      </c>
      <c r="CP2141" s="1388" t="s">
        <v>8106</v>
      </c>
      <c r="CQ2141" s="1388" t="s">
        <v>12838</v>
      </c>
      <c r="CR2141" s="1388" t="s">
        <v>12838</v>
      </c>
      <c r="CS2141" s="1388" t="s">
        <v>8194</v>
      </c>
      <c r="CT2141" s="1388" t="s">
        <v>8195</v>
      </c>
      <c r="CU2141" s="1388" t="s">
        <v>8110</v>
      </c>
      <c r="CV2141" s="1389" t="s">
        <v>8196</v>
      </c>
      <c r="CX2141" s="1379">
        <v>1</v>
      </c>
    </row>
    <row r="2142" spans="91:102" ht="21" customHeight="1" x14ac:dyDescent="0.25">
      <c r="CM2142" s="1377"/>
      <c r="CN2142" s="1388" t="s">
        <v>12839</v>
      </c>
      <c r="CO2142" s="1388" t="s">
        <v>8134</v>
      </c>
      <c r="CP2142" s="1388" t="s">
        <v>8106</v>
      </c>
      <c r="CQ2142" s="1388" t="s">
        <v>12840</v>
      </c>
      <c r="CR2142" s="1388" t="s">
        <v>12840</v>
      </c>
      <c r="CS2142" s="1388" t="s">
        <v>8108</v>
      </c>
      <c r="CT2142" s="1388" t="s">
        <v>12824</v>
      </c>
      <c r="CU2142" s="1388" t="s">
        <v>8110</v>
      </c>
      <c r="CV2142" s="1389" t="s">
        <v>8111</v>
      </c>
      <c r="CX2142" s="1379">
        <v>1</v>
      </c>
    </row>
    <row r="2143" spans="91:102" ht="21" customHeight="1" x14ac:dyDescent="0.25">
      <c r="CM2143" s="1377"/>
      <c r="CN2143" s="1388" t="s">
        <v>12841</v>
      </c>
      <c r="CO2143" s="1388" t="s">
        <v>8134</v>
      </c>
      <c r="CP2143" s="1388" t="s">
        <v>8106</v>
      </c>
      <c r="CQ2143" s="1388" t="s">
        <v>12842</v>
      </c>
      <c r="CR2143" s="1388" t="s">
        <v>12843</v>
      </c>
      <c r="CS2143" s="1388" t="s">
        <v>8108</v>
      </c>
      <c r="CT2143" s="1388" t="s">
        <v>12824</v>
      </c>
      <c r="CU2143" s="1388" t="s">
        <v>8110</v>
      </c>
      <c r="CV2143" s="1389" t="s">
        <v>8111</v>
      </c>
      <c r="CX2143" s="1379">
        <v>1</v>
      </c>
    </row>
    <row r="2144" spans="91:102" ht="21" customHeight="1" x14ac:dyDescent="0.25">
      <c r="CM2144" s="1377"/>
      <c r="CN2144" s="1388" t="s">
        <v>12844</v>
      </c>
      <c r="CO2144" s="1388" t="s">
        <v>8134</v>
      </c>
      <c r="CP2144" s="1388" t="s">
        <v>8106</v>
      </c>
      <c r="CQ2144" s="1388" t="s">
        <v>12845</v>
      </c>
      <c r="CR2144" s="1388" t="s">
        <v>12846</v>
      </c>
      <c r="CS2144" s="1388" t="s">
        <v>8108</v>
      </c>
      <c r="CT2144" s="1388" t="s">
        <v>12824</v>
      </c>
      <c r="CU2144" s="1388" t="s">
        <v>8110</v>
      </c>
      <c r="CV2144" s="1389" t="s">
        <v>8111</v>
      </c>
      <c r="CX2144" s="1379">
        <v>1</v>
      </c>
    </row>
    <row r="2145" spans="91:102" ht="21" customHeight="1" x14ac:dyDescent="0.25">
      <c r="CM2145" s="1377"/>
      <c r="CN2145" s="1388" t="s">
        <v>12847</v>
      </c>
      <c r="CO2145" s="1388" t="s">
        <v>8134</v>
      </c>
      <c r="CP2145" s="1388" t="s">
        <v>8106</v>
      </c>
      <c r="CQ2145" s="1388" t="s">
        <v>12848</v>
      </c>
      <c r="CR2145" s="1388" t="s">
        <v>12848</v>
      </c>
      <c r="CS2145" s="1388" t="s">
        <v>8108</v>
      </c>
      <c r="CT2145" s="1388" t="s">
        <v>12824</v>
      </c>
      <c r="CU2145" s="1388" t="s">
        <v>8110</v>
      </c>
      <c r="CV2145" s="1389" t="s">
        <v>8111</v>
      </c>
      <c r="CX2145" s="1379">
        <v>1</v>
      </c>
    </row>
    <row r="2146" spans="91:102" ht="21" customHeight="1" x14ac:dyDescent="0.25">
      <c r="CM2146" s="1377"/>
      <c r="CN2146" s="1388" t="s">
        <v>12849</v>
      </c>
      <c r="CO2146" s="1388" t="s">
        <v>8134</v>
      </c>
      <c r="CP2146" s="1388" t="s">
        <v>8106</v>
      </c>
      <c r="CQ2146" s="1388" t="s">
        <v>12850</v>
      </c>
      <c r="CR2146" s="1388" t="s">
        <v>12850</v>
      </c>
      <c r="CS2146" s="1388" t="s">
        <v>8108</v>
      </c>
      <c r="CT2146" s="1388" t="s">
        <v>12824</v>
      </c>
      <c r="CU2146" s="1388" t="s">
        <v>8110</v>
      </c>
      <c r="CV2146" s="1389" t="s">
        <v>8111</v>
      </c>
      <c r="CX2146" s="1379">
        <v>1</v>
      </c>
    </row>
    <row r="2147" spans="91:102" ht="21" customHeight="1" x14ac:dyDescent="0.25">
      <c r="CM2147" s="1377"/>
      <c r="CN2147" s="1388" t="s">
        <v>12851</v>
      </c>
      <c r="CO2147" s="1388" t="s">
        <v>8134</v>
      </c>
      <c r="CP2147" s="1388" t="s">
        <v>8741</v>
      </c>
      <c r="CQ2147" s="1388" t="s">
        <v>8670</v>
      </c>
      <c r="CR2147" s="1388" t="s">
        <v>8670</v>
      </c>
      <c r="CS2147" s="1388" t="s">
        <v>8108</v>
      </c>
      <c r="CT2147" s="1388" t="s">
        <v>12852</v>
      </c>
      <c r="CU2147" s="1388" t="s">
        <v>8110</v>
      </c>
      <c r="CV2147" s="1389" t="s">
        <v>8111</v>
      </c>
      <c r="CX2147" s="1379">
        <v>1</v>
      </c>
    </row>
    <row r="2148" spans="91:102" ht="21" customHeight="1" x14ac:dyDescent="0.25">
      <c r="CM2148" s="1377"/>
      <c r="CN2148" s="1388" t="s">
        <v>12853</v>
      </c>
      <c r="CO2148" s="1388" t="s">
        <v>8134</v>
      </c>
      <c r="CP2148" s="1388" t="s">
        <v>8741</v>
      </c>
      <c r="CQ2148" s="1388" t="s">
        <v>8722</v>
      </c>
      <c r="CR2148" s="1388" t="s">
        <v>8722</v>
      </c>
      <c r="CS2148" s="1388" t="s">
        <v>8108</v>
      </c>
      <c r="CT2148" s="1388" t="s">
        <v>12852</v>
      </c>
      <c r="CU2148" s="1388" t="s">
        <v>8110</v>
      </c>
      <c r="CV2148" s="1389" t="s">
        <v>8111</v>
      </c>
      <c r="CX2148" s="1379">
        <v>1</v>
      </c>
    </row>
    <row r="2149" spans="91:102" ht="21" customHeight="1" x14ac:dyDescent="0.25">
      <c r="CM2149" s="1377"/>
      <c r="CN2149" s="1388" t="s">
        <v>12854</v>
      </c>
      <c r="CO2149" s="1388" t="s">
        <v>8134</v>
      </c>
      <c r="CP2149" s="1388" t="s">
        <v>8741</v>
      </c>
      <c r="CQ2149" s="1388" t="s">
        <v>8728</v>
      </c>
      <c r="CR2149" s="1388" t="s">
        <v>8729</v>
      </c>
      <c r="CS2149" s="1388" t="s">
        <v>8108</v>
      </c>
      <c r="CT2149" s="1388" t="s">
        <v>12852</v>
      </c>
      <c r="CU2149" s="1388" t="s">
        <v>8110</v>
      </c>
      <c r="CV2149" s="1389" t="s">
        <v>8111</v>
      </c>
      <c r="CX2149" s="1379">
        <v>1</v>
      </c>
    </row>
    <row r="2150" spans="91:102" ht="21" customHeight="1" x14ac:dyDescent="0.25">
      <c r="CM2150" s="1377"/>
      <c r="CN2150" s="1388" t="s">
        <v>12855</v>
      </c>
      <c r="CO2150" s="1388" t="s">
        <v>8134</v>
      </c>
      <c r="CP2150" s="1388" t="s">
        <v>8741</v>
      </c>
      <c r="CQ2150" s="1388" t="s">
        <v>12856</v>
      </c>
      <c r="CR2150" s="1388" t="s">
        <v>12857</v>
      </c>
      <c r="CS2150" s="1388" t="s">
        <v>8108</v>
      </c>
      <c r="CT2150" s="1388" t="s">
        <v>12852</v>
      </c>
      <c r="CU2150" s="1388" t="s">
        <v>8110</v>
      </c>
      <c r="CV2150" s="1389" t="s">
        <v>8111</v>
      </c>
      <c r="CX2150" s="1379">
        <v>1</v>
      </c>
    </row>
    <row r="2151" spans="91:102" ht="21" customHeight="1" x14ac:dyDescent="0.25">
      <c r="CM2151" s="1377"/>
      <c r="CN2151" s="1388" t="s">
        <v>12858</v>
      </c>
      <c r="CO2151" s="1388" t="s">
        <v>8134</v>
      </c>
      <c r="CP2151" s="1388" t="s">
        <v>8741</v>
      </c>
      <c r="CQ2151" s="1388" t="s">
        <v>11341</v>
      </c>
      <c r="CR2151" s="1388" t="s">
        <v>11342</v>
      </c>
      <c r="CS2151" s="1388" t="s">
        <v>8108</v>
      </c>
      <c r="CT2151" s="1388" t="s">
        <v>12852</v>
      </c>
      <c r="CU2151" s="1388" t="s">
        <v>8110</v>
      </c>
      <c r="CV2151" s="1389" t="s">
        <v>8111</v>
      </c>
      <c r="CX2151" s="1379">
        <v>1</v>
      </c>
    </row>
    <row r="2152" spans="91:102" ht="21" customHeight="1" x14ac:dyDescent="0.25">
      <c r="CM2152" s="1377"/>
      <c r="CN2152" s="1388" t="s">
        <v>12859</v>
      </c>
      <c r="CO2152" s="1388" t="s">
        <v>8134</v>
      </c>
      <c r="CP2152" s="1388" t="s">
        <v>8741</v>
      </c>
      <c r="CQ2152" s="1388" t="s">
        <v>12860</v>
      </c>
      <c r="CR2152" s="1388" t="s">
        <v>12861</v>
      </c>
      <c r="CS2152" s="1388" t="s">
        <v>8108</v>
      </c>
      <c r="CT2152" s="1388" t="s">
        <v>12852</v>
      </c>
      <c r="CU2152" s="1388" t="s">
        <v>8110</v>
      </c>
      <c r="CV2152" s="1389" t="s">
        <v>8111</v>
      </c>
      <c r="CX2152" s="1379">
        <v>1</v>
      </c>
    </row>
    <row r="2153" spans="91:102" ht="21" customHeight="1" x14ac:dyDescent="0.25">
      <c r="CM2153" s="1377"/>
      <c r="CN2153" s="1388" t="s">
        <v>12862</v>
      </c>
      <c r="CO2153" s="1388" t="s">
        <v>8135</v>
      </c>
      <c r="CP2153" s="1388" t="s">
        <v>8106</v>
      </c>
      <c r="CQ2153" s="1388" t="s">
        <v>12863</v>
      </c>
      <c r="CR2153" s="1388" t="s">
        <v>12863</v>
      </c>
      <c r="CS2153" s="1388" t="s">
        <v>8788</v>
      </c>
      <c r="CT2153" s="1388" t="s">
        <v>8789</v>
      </c>
      <c r="CU2153" s="1388" t="s">
        <v>8790</v>
      </c>
      <c r="CV2153" s="1389" t="s">
        <v>12864</v>
      </c>
      <c r="CX2153" s="1379">
        <v>1</v>
      </c>
    </row>
    <row r="2154" spans="91:102" ht="21" customHeight="1" x14ac:dyDescent="0.25">
      <c r="CM2154" s="1377"/>
      <c r="CN2154" s="1388" t="s">
        <v>12865</v>
      </c>
      <c r="CO2154" s="1388" t="s">
        <v>8135</v>
      </c>
      <c r="CP2154" s="1388" t="s">
        <v>8106</v>
      </c>
      <c r="CQ2154" s="1388" t="s">
        <v>12866</v>
      </c>
      <c r="CR2154" s="1388" t="s">
        <v>12866</v>
      </c>
      <c r="CS2154" s="1388" t="s">
        <v>8788</v>
      </c>
      <c r="CT2154" s="1388" t="s">
        <v>8789</v>
      </c>
      <c r="CU2154" s="1388" t="s">
        <v>8790</v>
      </c>
      <c r="CV2154" s="1389" t="s">
        <v>12864</v>
      </c>
      <c r="CX2154" s="1379">
        <v>1</v>
      </c>
    </row>
    <row r="2155" spans="91:102" ht="21" customHeight="1" x14ac:dyDescent="0.25">
      <c r="CM2155" s="1377"/>
      <c r="CN2155" s="1388" t="s">
        <v>12867</v>
      </c>
      <c r="CO2155" s="1388" t="s">
        <v>8135</v>
      </c>
      <c r="CP2155" s="1388" t="s">
        <v>8106</v>
      </c>
      <c r="CQ2155" s="1388" t="s">
        <v>12868</v>
      </c>
      <c r="CR2155" s="1388" t="s">
        <v>12868</v>
      </c>
      <c r="CS2155" s="1388" t="s">
        <v>8788</v>
      </c>
      <c r="CT2155" s="1388" t="s">
        <v>8789</v>
      </c>
      <c r="CU2155" s="1388" t="s">
        <v>8790</v>
      </c>
      <c r="CV2155" s="1389" t="s">
        <v>12864</v>
      </c>
      <c r="CX2155" s="1379">
        <v>1</v>
      </c>
    </row>
    <row r="2156" spans="91:102" ht="21" customHeight="1" x14ac:dyDescent="0.25">
      <c r="CM2156" s="1377"/>
      <c r="CN2156" s="1388" t="s">
        <v>12869</v>
      </c>
      <c r="CO2156" s="1388" t="s">
        <v>8135</v>
      </c>
      <c r="CP2156" s="1388" t="s">
        <v>8106</v>
      </c>
      <c r="CQ2156" s="1388" t="s">
        <v>12395</v>
      </c>
      <c r="CR2156" s="1388" t="s">
        <v>12395</v>
      </c>
      <c r="CS2156" s="1388" t="s">
        <v>8788</v>
      </c>
      <c r="CT2156" s="1388" t="s">
        <v>8789</v>
      </c>
      <c r="CU2156" s="1388" t="s">
        <v>8790</v>
      </c>
      <c r="CV2156" s="1389" t="s">
        <v>12864</v>
      </c>
      <c r="CX2156" s="1379">
        <v>1</v>
      </c>
    </row>
    <row r="2157" spans="91:102" ht="21" customHeight="1" x14ac:dyDescent="0.25">
      <c r="CM2157" s="1377"/>
      <c r="CN2157" s="1388" t="s">
        <v>12870</v>
      </c>
      <c r="CO2157" s="1388" t="s">
        <v>8135</v>
      </c>
      <c r="CP2157" s="1388" t="s">
        <v>8106</v>
      </c>
      <c r="CQ2157" s="1388" t="s">
        <v>12871</v>
      </c>
      <c r="CR2157" s="1388" t="s">
        <v>12871</v>
      </c>
      <c r="CS2157" s="1388" t="s">
        <v>8788</v>
      </c>
      <c r="CT2157" s="1388" t="s">
        <v>8789</v>
      </c>
      <c r="CU2157" s="1388" t="s">
        <v>8790</v>
      </c>
      <c r="CV2157" s="1389" t="s">
        <v>12864</v>
      </c>
      <c r="CX2157" s="1379">
        <v>1</v>
      </c>
    </row>
    <row r="2158" spans="91:102" ht="21" customHeight="1" x14ac:dyDescent="0.25">
      <c r="CM2158" s="1377"/>
      <c r="CN2158" s="1388" t="s">
        <v>12872</v>
      </c>
      <c r="CO2158" s="1388" t="s">
        <v>8135</v>
      </c>
      <c r="CP2158" s="1388" t="s">
        <v>8106</v>
      </c>
      <c r="CQ2158" s="1388" t="s">
        <v>12397</v>
      </c>
      <c r="CR2158" s="1388" t="s">
        <v>12397</v>
      </c>
      <c r="CS2158" s="1388" t="s">
        <v>8194</v>
      </c>
      <c r="CT2158" s="1388" t="s">
        <v>12873</v>
      </c>
      <c r="CU2158" s="1388" t="s">
        <v>8110</v>
      </c>
      <c r="CV2158" s="1389" t="s">
        <v>8196</v>
      </c>
      <c r="CX2158" s="1379">
        <v>1</v>
      </c>
    </row>
    <row r="2159" spans="91:102" ht="21" customHeight="1" x14ac:dyDescent="0.25">
      <c r="CM2159" s="1377"/>
      <c r="CN2159" s="1388" t="s">
        <v>12874</v>
      </c>
      <c r="CO2159" s="1388" t="s">
        <v>8135</v>
      </c>
      <c r="CP2159" s="1388" t="s">
        <v>8106</v>
      </c>
      <c r="CQ2159" s="1388" t="s">
        <v>12875</v>
      </c>
      <c r="CR2159" s="1388" t="s">
        <v>12875</v>
      </c>
      <c r="CS2159" s="1388" t="s">
        <v>8788</v>
      </c>
      <c r="CT2159" s="1388" t="s">
        <v>8789</v>
      </c>
      <c r="CU2159" s="1388" t="s">
        <v>8790</v>
      </c>
      <c r="CV2159" s="1389" t="s">
        <v>12864</v>
      </c>
      <c r="CX2159" s="1379">
        <v>1</v>
      </c>
    </row>
    <row r="2160" spans="91:102" ht="21" customHeight="1" x14ac:dyDescent="0.25">
      <c r="CM2160" s="1377"/>
      <c r="CN2160" s="1388" t="s">
        <v>12876</v>
      </c>
      <c r="CO2160" s="1388" t="s">
        <v>8135</v>
      </c>
      <c r="CP2160" s="1388" t="s">
        <v>8106</v>
      </c>
      <c r="CQ2160" s="1388" t="s">
        <v>12877</v>
      </c>
      <c r="CR2160" s="1388" t="s">
        <v>12877</v>
      </c>
      <c r="CS2160" s="1388" t="s">
        <v>8788</v>
      </c>
      <c r="CT2160" s="1388" t="s">
        <v>8789</v>
      </c>
      <c r="CU2160" s="1388" t="s">
        <v>8790</v>
      </c>
      <c r="CV2160" s="1389" t="s">
        <v>12864</v>
      </c>
      <c r="CX2160" s="1379">
        <v>1</v>
      </c>
    </row>
    <row r="2161" spans="91:102" ht="21" customHeight="1" x14ac:dyDescent="0.25">
      <c r="CM2161" s="1377"/>
      <c r="CN2161" s="1388" t="s">
        <v>12878</v>
      </c>
      <c r="CO2161" s="1388" t="s">
        <v>8135</v>
      </c>
      <c r="CP2161" s="1388" t="s">
        <v>8106</v>
      </c>
      <c r="CQ2161" s="1388" t="s">
        <v>12879</v>
      </c>
      <c r="CR2161" s="1388" t="s">
        <v>12879</v>
      </c>
      <c r="CS2161" s="1388" t="s">
        <v>8788</v>
      </c>
      <c r="CT2161" s="1388" t="s">
        <v>8789</v>
      </c>
      <c r="CU2161" s="1388" t="s">
        <v>8790</v>
      </c>
      <c r="CV2161" s="1389" t="s">
        <v>12864</v>
      </c>
      <c r="CX2161" s="1379">
        <v>1</v>
      </c>
    </row>
    <row r="2162" spans="91:102" ht="21" customHeight="1" x14ac:dyDescent="0.25">
      <c r="CM2162" s="1377"/>
      <c r="CN2162" s="1388" t="s">
        <v>12880</v>
      </c>
      <c r="CO2162" s="1388" t="s">
        <v>8135</v>
      </c>
      <c r="CP2162" s="1388" t="s">
        <v>8106</v>
      </c>
      <c r="CQ2162" s="1388" t="s">
        <v>12881</v>
      </c>
      <c r="CR2162" s="1388" t="s">
        <v>12881</v>
      </c>
      <c r="CS2162" s="1388" t="s">
        <v>8788</v>
      </c>
      <c r="CT2162" s="1388" t="s">
        <v>8789</v>
      </c>
      <c r="CU2162" s="1388" t="s">
        <v>8790</v>
      </c>
      <c r="CV2162" s="1389" t="s">
        <v>12864</v>
      </c>
      <c r="CX2162" s="1379">
        <v>1</v>
      </c>
    </row>
    <row r="2163" spans="91:102" ht="21" customHeight="1" x14ac:dyDescent="0.25">
      <c r="CM2163" s="1377"/>
      <c r="CN2163" s="1388" t="s">
        <v>12882</v>
      </c>
      <c r="CO2163" s="1388" t="s">
        <v>8135</v>
      </c>
      <c r="CP2163" s="1388" t="s">
        <v>8106</v>
      </c>
      <c r="CQ2163" s="1388" t="s">
        <v>12883</v>
      </c>
      <c r="CR2163" s="1388" t="s">
        <v>12883</v>
      </c>
      <c r="CS2163" s="1388" t="s">
        <v>8788</v>
      </c>
      <c r="CT2163" s="1388" t="s">
        <v>8789</v>
      </c>
      <c r="CU2163" s="1388" t="s">
        <v>8790</v>
      </c>
      <c r="CV2163" s="1389" t="s">
        <v>12864</v>
      </c>
      <c r="CX2163" s="1379">
        <v>1</v>
      </c>
    </row>
    <row r="2164" spans="91:102" ht="21" customHeight="1" x14ac:dyDescent="0.25">
      <c r="CM2164" s="1377"/>
      <c r="CN2164" s="1388" t="s">
        <v>12884</v>
      </c>
      <c r="CO2164" s="1388" t="s">
        <v>8135</v>
      </c>
      <c r="CP2164" s="1388" t="s">
        <v>8106</v>
      </c>
      <c r="CQ2164" s="1388" t="s">
        <v>12885</v>
      </c>
      <c r="CR2164" s="1388" t="s">
        <v>12885</v>
      </c>
      <c r="CS2164" s="1388" t="s">
        <v>8788</v>
      </c>
      <c r="CT2164" s="1388" t="s">
        <v>8789</v>
      </c>
      <c r="CU2164" s="1388" t="s">
        <v>8790</v>
      </c>
      <c r="CV2164" s="1389" t="s">
        <v>12864</v>
      </c>
      <c r="CX2164" s="1379">
        <v>1</v>
      </c>
    </row>
    <row r="2165" spans="91:102" ht="21" customHeight="1" x14ac:dyDescent="0.25">
      <c r="CM2165" s="1377"/>
      <c r="CN2165" s="1388" t="s">
        <v>12886</v>
      </c>
      <c r="CO2165" s="1388" t="s">
        <v>8135</v>
      </c>
      <c r="CP2165" s="1388" t="s">
        <v>8106</v>
      </c>
      <c r="CQ2165" s="1388" t="s">
        <v>12887</v>
      </c>
      <c r="CR2165" s="1388" t="s">
        <v>12887</v>
      </c>
      <c r="CS2165" s="1388" t="s">
        <v>8788</v>
      </c>
      <c r="CT2165" s="1388" t="s">
        <v>8789</v>
      </c>
      <c r="CU2165" s="1388" t="s">
        <v>8790</v>
      </c>
      <c r="CV2165" s="1389" t="s">
        <v>12864</v>
      </c>
      <c r="CX2165" s="1379">
        <v>1</v>
      </c>
    </row>
    <row r="2166" spans="91:102" ht="21" customHeight="1" x14ac:dyDescent="0.25">
      <c r="CM2166" s="1377"/>
      <c r="CN2166" s="1388" t="s">
        <v>12888</v>
      </c>
      <c r="CO2166" s="1388" t="s">
        <v>8135</v>
      </c>
      <c r="CP2166" s="1388" t="s">
        <v>8106</v>
      </c>
      <c r="CQ2166" s="1388" t="s">
        <v>12889</v>
      </c>
      <c r="CR2166" s="1388" t="s">
        <v>12889</v>
      </c>
      <c r="CS2166" s="1388" t="s">
        <v>8788</v>
      </c>
      <c r="CT2166" s="1388" t="s">
        <v>8789</v>
      </c>
      <c r="CU2166" s="1388" t="s">
        <v>8790</v>
      </c>
      <c r="CV2166" s="1389" t="s">
        <v>12864</v>
      </c>
      <c r="CX2166" s="1379">
        <v>1</v>
      </c>
    </row>
    <row r="2167" spans="91:102" ht="21" customHeight="1" x14ac:dyDescent="0.25">
      <c r="CM2167" s="1377"/>
      <c r="CN2167" s="1388" t="s">
        <v>12890</v>
      </c>
      <c r="CO2167" s="1388" t="s">
        <v>8135</v>
      </c>
      <c r="CP2167" s="1388" t="s">
        <v>8106</v>
      </c>
      <c r="CQ2167" s="1388" t="s">
        <v>12891</v>
      </c>
      <c r="CR2167" s="1388" t="s">
        <v>12891</v>
      </c>
      <c r="CS2167" s="1388" t="s">
        <v>8108</v>
      </c>
      <c r="CT2167" s="1388" t="s">
        <v>12892</v>
      </c>
      <c r="CU2167" s="1388" t="s">
        <v>8110</v>
      </c>
      <c r="CV2167" s="1389" t="s">
        <v>8111</v>
      </c>
      <c r="CX2167" s="1379">
        <v>1</v>
      </c>
    </row>
    <row r="2168" spans="91:102" ht="21" customHeight="1" x14ac:dyDescent="0.25">
      <c r="CM2168" s="1377"/>
      <c r="CN2168" s="1388" t="s">
        <v>12893</v>
      </c>
      <c r="CO2168" s="1388" t="s">
        <v>8135</v>
      </c>
      <c r="CP2168" s="1388" t="s">
        <v>8106</v>
      </c>
      <c r="CQ2168" s="1388" t="s">
        <v>12894</v>
      </c>
      <c r="CR2168" s="1388" t="s">
        <v>12894</v>
      </c>
      <c r="CS2168" s="1388" t="s">
        <v>8788</v>
      </c>
      <c r="CT2168" s="1388" t="s">
        <v>8789</v>
      </c>
      <c r="CU2168" s="1388" t="s">
        <v>8790</v>
      </c>
      <c r="CV2168" s="1389" t="s">
        <v>12864</v>
      </c>
      <c r="CX2168" s="1379">
        <v>1</v>
      </c>
    </row>
    <row r="2169" spans="91:102" ht="21" customHeight="1" x14ac:dyDescent="0.25">
      <c r="CM2169" s="1377"/>
      <c r="CN2169" s="1388" t="s">
        <v>12895</v>
      </c>
      <c r="CO2169" s="1388" t="s">
        <v>8135</v>
      </c>
      <c r="CP2169" s="1388" t="s">
        <v>8106</v>
      </c>
      <c r="CQ2169" s="1388" t="s">
        <v>12896</v>
      </c>
      <c r="CR2169" s="1388" t="s">
        <v>12896</v>
      </c>
      <c r="CS2169" s="1388" t="s">
        <v>8788</v>
      </c>
      <c r="CT2169" s="1388" t="s">
        <v>8789</v>
      </c>
      <c r="CU2169" s="1388" t="s">
        <v>8790</v>
      </c>
      <c r="CV2169" s="1389" t="s">
        <v>12864</v>
      </c>
      <c r="CX2169" s="1379">
        <v>1</v>
      </c>
    </row>
    <row r="2170" spans="91:102" ht="21" customHeight="1" x14ac:dyDescent="0.25">
      <c r="CM2170" s="1377"/>
      <c r="CN2170" s="1388" t="s">
        <v>12897</v>
      </c>
      <c r="CO2170" s="1388" t="s">
        <v>8135</v>
      </c>
      <c r="CP2170" s="1388" t="s">
        <v>8106</v>
      </c>
      <c r="CQ2170" s="1388" t="s">
        <v>12898</v>
      </c>
      <c r="CR2170" s="1388" t="s">
        <v>12898</v>
      </c>
      <c r="CS2170" s="1388" t="s">
        <v>8108</v>
      </c>
      <c r="CT2170" s="1388" t="s">
        <v>12892</v>
      </c>
      <c r="CU2170" s="1388" t="s">
        <v>8110</v>
      </c>
      <c r="CV2170" s="1389" t="s">
        <v>8111</v>
      </c>
      <c r="CX2170" s="1379">
        <v>1</v>
      </c>
    </row>
    <row r="2171" spans="91:102" ht="21" customHeight="1" x14ac:dyDescent="0.25">
      <c r="CM2171" s="1377"/>
      <c r="CN2171" s="1388" t="s">
        <v>12899</v>
      </c>
      <c r="CO2171" s="1388" t="s">
        <v>8135</v>
      </c>
      <c r="CP2171" s="1388" t="s">
        <v>8106</v>
      </c>
      <c r="CQ2171" s="1388" t="s">
        <v>12900</v>
      </c>
      <c r="CR2171" s="1388" t="s">
        <v>12900</v>
      </c>
      <c r="CS2171" s="1388" t="s">
        <v>8788</v>
      </c>
      <c r="CT2171" s="1388" t="s">
        <v>8789</v>
      </c>
      <c r="CU2171" s="1388" t="s">
        <v>8790</v>
      </c>
      <c r="CV2171" s="1389" t="s">
        <v>12864</v>
      </c>
      <c r="CX2171" s="1379">
        <v>1</v>
      </c>
    </row>
    <row r="2172" spans="91:102" ht="21" customHeight="1" x14ac:dyDescent="0.25">
      <c r="CM2172" s="1377"/>
      <c r="CN2172" s="1388" t="s">
        <v>12901</v>
      </c>
      <c r="CO2172" s="1388" t="s">
        <v>8135</v>
      </c>
      <c r="CP2172" s="1388" t="s">
        <v>8106</v>
      </c>
      <c r="CQ2172" s="1388" t="s">
        <v>12902</v>
      </c>
      <c r="CR2172" s="1388" t="s">
        <v>12902</v>
      </c>
      <c r="CS2172" s="1388" t="s">
        <v>8788</v>
      </c>
      <c r="CT2172" s="1388" t="s">
        <v>8789</v>
      </c>
      <c r="CU2172" s="1388" t="s">
        <v>8790</v>
      </c>
      <c r="CV2172" s="1389" t="s">
        <v>12864</v>
      </c>
      <c r="CX2172" s="1379">
        <v>1</v>
      </c>
    </row>
    <row r="2173" spans="91:102" ht="21" customHeight="1" x14ac:dyDescent="0.25">
      <c r="CM2173" s="1377"/>
      <c r="CN2173" s="1388" t="s">
        <v>12903</v>
      </c>
      <c r="CO2173" s="1388" t="s">
        <v>8135</v>
      </c>
      <c r="CP2173" s="1388" t="s">
        <v>8106</v>
      </c>
      <c r="CQ2173" s="1388" t="s">
        <v>12904</v>
      </c>
      <c r="CR2173" s="1388" t="s">
        <v>12904</v>
      </c>
      <c r="CS2173" s="1388" t="s">
        <v>8108</v>
      </c>
      <c r="CT2173" s="1388" t="s">
        <v>12892</v>
      </c>
      <c r="CU2173" s="1388" t="s">
        <v>8110</v>
      </c>
      <c r="CV2173" s="1389" t="s">
        <v>8111</v>
      </c>
      <c r="CX2173" s="1379">
        <v>1</v>
      </c>
    </row>
    <row r="2174" spans="91:102" ht="21" customHeight="1" x14ac:dyDescent="0.25">
      <c r="CM2174" s="1377"/>
      <c r="CN2174" s="1388" t="s">
        <v>12905</v>
      </c>
      <c r="CO2174" s="1388" t="s">
        <v>8135</v>
      </c>
      <c r="CP2174" s="1388" t="s">
        <v>8106</v>
      </c>
      <c r="CQ2174" s="1388" t="s">
        <v>12906</v>
      </c>
      <c r="CR2174" s="1388" t="s">
        <v>12906</v>
      </c>
      <c r="CS2174" s="1388" t="s">
        <v>8788</v>
      </c>
      <c r="CT2174" s="1388" t="s">
        <v>8789</v>
      </c>
      <c r="CU2174" s="1388" t="s">
        <v>8790</v>
      </c>
      <c r="CV2174" s="1389" t="s">
        <v>12864</v>
      </c>
      <c r="CX2174" s="1379">
        <v>1</v>
      </c>
    </row>
    <row r="2175" spans="91:102" ht="21" customHeight="1" x14ac:dyDescent="0.25">
      <c r="CM2175" s="1377"/>
      <c r="CN2175" s="1388" t="s">
        <v>12907</v>
      </c>
      <c r="CO2175" s="1388" t="s">
        <v>8135</v>
      </c>
      <c r="CP2175" s="1388" t="s">
        <v>8106</v>
      </c>
      <c r="CQ2175" s="1388" t="s">
        <v>12908</v>
      </c>
      <c r="CR2175" s="1388" t="s">
        <v>12908</v>
      </c>
      <c r="CS2175" s="1388" t="s">
        <v>8788</v>
      </c>
      <c r="CT2175" s="1388" t="s">
        <v>8789</v>
      </c>
      <c r="CU2175" s="1388" t="s">
        <v>8790</v>
      </c>
      <c r="CV2175" s="1389" t="s">
        <v>12864</v>
      </c>
      <c r="CX2175" s="1379">
        <v>1</v>
      </c>
    </row>
    <row r="2176" spans="91:102" ht="21" customHeight="1" x14ac:dyDescent="0.25">
      <c r="CM2176" s="1377"/>
      <c r="CN2176" s="1388" t="s">
        <v>12909</v>
      </c>
      <c r="CO2176" s="1388" t="s">
        <v>8135</v>
      </c>
      <c r="CP2176" s="1388" t="s">
        <v>8106</v>
      </c>
      <c r="CQ2176" s="1388" t="s">
        <v>12910</v>
      </c>
      <c r="CR2176" s="1388" t="s">
        <v>12910</v>
      </c>
      <c r="CS2176" s="1388" t="s">
        <v>8108</v>
      </c>
      <c r="CT2176" s="1388" t="s">
        <v>12892</v>
      </c>
      <c r="CU2176" s="1388" t="s">
        <v>8110</v>
      </c>
      <c r="CV2176" s="1389" t="s">
        <v>8111</v>
      </c>
      <c r="CX2176" s="1379">
        <v>1</v>
      </c>
    </row>
    <row r="2177" spans="91:102" ht="21" customHeight="1" x14ac:dyDescent="0.25">
      <c r="CM2177" s="1377"/>
      <c r="CN2177" s="1388" t="s">
        <v>12911</v>
      </c>
      <c r="CO2177" s="1388" t="s">
        <v>8135</v>
      </c>
      <c r="CP2177" s="1388" t="s">
        <v>8106</v>
      </c>
      <c r="CQ2177" s="1388" t="s">
        <v>12912</v>
      </c>
      <c r="CR2177" s="1388" t="s">
        <v>12912</v>
      </c>
      <c r="CS2177" s="1388" t="s">
        <v>8788</v>
      </c>
      <c r="CT2177" s="1388" t="s">
        <v>8789</v>
      </c>
      <c r="CU2177" s="1388" t="s">
        <v>8790</v>
      </c>
      <c r="CV2177" s="1389" t="s">
        <v>12864</v>
      </c>
      <c r="CX2177" s="1379">
        <v>1</v>
      </c>
    </row>
    <row r="2178" spans="91:102" ht="21" customHeight="1" x14ac:dyDescent="0.25">
      <c r="CM2178" s="1377"/>
      <c r="CN2178" s="1388" t="s">
        <v>12913</v>
      </c>
      <c r="CO2178" s="1388" t="s">
        <v>8135</v>
      </c>
      <c r="CP2178" s="1388" t="s">
        <v>8106</v>
      </c>
      <c r="CQ2178" s="1388" t="s">
        <v>12914</v>
      </c>
      <c r="CR2178" s="1388" t="s">
        <v>12914</v>
      </c>
      <c r="CS2178" s="1388" t="s">
        <v>8788</v>
      </c>
      <c r="CT2178" s="1388" t="s">
        <v>8789</v>
      </c>
      <c r="CU2178" s="1388" t="s">
        <v>8790</v>
      </c>
      <c r="CV2178" s="1389" t="s">
        <v>12864</v>
      </c>
      <c r="CX2178" s="1379">
        <v>1</v>
      </c>
    </row>
    <row r="2179" spans="91:102" ht="21" customHeight="1" x14ac:dyDescent="0.25">
      <c r="CM2179" s="1377"/>
      <c r="CN2179" s="1388" t="s">
        <v>12915</v>
      </c>
      <c r="CO2179" s="1388" t="s">
        <v>8135</v>
      </c>
      <c r="CP2179" s="1388" t="s">
        <v>8106</v>
      </c>
      <c r="CQ2179" s="1388" t="s">
        <v>12916</v>
      </c>
      <c r="CR2179" s="1388" t="s">
        <v>12916</v>
      </c>
      <c r="CS2179" s="1388" t="s">
        <v>8788</v>
      </c>
      <c r="CT2179" s="1388" t="s">
        <v>8789</v>
      </c>
      <c r="CU2179" s="1388" t="s">
        <v>8790</v>
      </c>
      <c r="CV2179" s="1389" t="s">
        <v>12864</v>
      </c>
      <c r="CX2179" s="1379">
        <v>1</v>
      </c>
    </row>
    <row r="2180" spans="91:102" ht="21" customHeight="1" x14ac:dyDescent="0.25">
      <c r="CM2180" s="1377"/>
      <c r="CN2180" s="1388" t="s">
        <v>12917</v>
      </c>
      <c r="CO2180" s="1388" t="s">
        <v>8135</v>
      </c>
      <c r="CP2180" s="1388" t="s">
        <v>8106</v>
      </c>
      <c r="CQ2180" s="1388" t="s">
        <v>12918</v>
      </c>
      <c r="CR2180" s="1388" t="s">
        <v>12918</v>
      </c>
      <c r="CS2180" s="1388" t="s">
        <v>8788</v>
      </c>
      <c r="CT2180" s="1388" t="s">
        <v>8789</v>
      </c>
      <c r="CU2180" s="1388" t="s">
        <v>8790</v>
      </c>
      <c r="CV2180" s="1389" t="s">
        <v>12864</v>
      </c>
      <c r="CX2180" s="1379">
        <v>1</v>
      </c>
    </row>
    <row r="2181" spans="91:102" ht="21" customHeight="1" x14ac:dyDescent="0.25">
      <c r="CM2181" s="1377"/>
      <c r="CN2181" s="1388" t="s">
        <v>12919</v>
      </c>
      <c r="CO2181" s="1388" t="s">
        <v>8135</v>
      </c>
      <c r="CP2181" s="1388" t="s">
        <v>8106</v>
      </c>
      <c r="CQ2181" s="1388" t="s">
        <v>12920</v>
      </c>
      <c r="CR2181" s="1388" t="s">
        <v>12920</v>
      </c>
      <c r="CS2181" s="1388" t="s">
        <v>8788</v>
      </c>
      <c r="CT2181" s="1388" t="s">
        <v>8789</v>
      </c>
      <c r="CU2181" s="1388" t="s">
        <v>8790</v>
      </c>
      <c r="CV2181" s="1389" t="s">
        <v>12864</v>
      </c>
      <c r="CX2181" s="1379">
        <v>1</v>
      </c>
    </row>
    <row r="2182" spans="91:102" ht="21" customHeight="1" x14ac:dyDescent="0.25">
      <c r="CM2182" s="1377"/>
      <c r="CN2182" s="1388" t="s">
        <v>12921</v>
      </c>
      <c r="CO2182" s="1388" t="s">
        <v>8135</v>
      </c>
      <c r="CP2182" s="1388" t="s">
        <v>8106</v>
      </c>
      <c r="CQ2182" s="1388" t="s">
        <v>12922</v>
      </c>
      <c r="CR2182" s="1388" t="s">
        <v>12922</v>
      </c>
      <c r="CS2182" s="1388" t="s">
        <v>8788</v>
      </c>
      <c r="CT2182" s="1388" t="s">
        <v>8789</v>
      </c>
      <c r="CU2182" s="1388" t="s">
        <v>8790</v>
      </c>
      <c r="CV2182" s="1389" t="s">
        <v>12864</v>
      </c>
      <c r="CX2182" s="1379">
        <v>1</v>
      </c>
    </row>
    <row r="2183" spans="91:102" ht="21" customHeight="1" x14ac:dyDescent="0.25">
      <c r="CM2183" s="1377"/>
      <c r="CN2183" s="1388" t="s">
        <v>12923</v>
      </c>
      <c r="CO2183" s="1388" t="s">
        <v>8135</v>
      </c>
      <c r="CP2183" s="1388" t="s">
        <v>8106</v>
      </c>
      <c r="CQ2183" s="1388" t="s">
        <v>12924</v>
      </c>
      <c r="CR2183" s="1388" t="s">
        <v>12924</v>
      </c>
      <c r="CS2183" s="1388" t="s">
        <v>8788</v>
      </c>
      <c r="CT2183" s="1388" t="s">
        <v>8789</v>
      </c>
      <c r="CU2183" s="1388" t="s">
        <v>8790</v>
      </c>
      <c r="CV2183" s="1389" t="s">
        <v>12864</v>
      </c>
      <c r="CX2183" s="1379">
        <v>1</v>
      </c>
    </row>
    <row r="2184" spans="91:102" ht="21" customHeight="1" x14ac:dyDescent="0.25">
      <c r="CM2184" s="1377"/>
      <c r="CN2184" s="1388" t="s">
        <v>12925</v>
      </c>
      <c r="CO2184" s="1388" t="s">
        <v>8135</v>
      </c>
      <c r="CP2184" s="1388" t="s">
        <v>8106</v>
      </c>
      <c r="CQ2184" s="1388" t="s">
        <v>12926</v>
      </c>
      <c r="CR2184" s="1388" t="s">
        <v>12926</v>
      </c>
      <c r="CS2184" s="1388" t="s">
        <v>8788</v>
      </c>
      <c r="CT2184" s="1388" t="s">
        <v>8789</v>
      </c>
      <c r="CU2184" s="1388" t="s">
        <v>8790</v>
      </c>
      <c r="CV2184" s="1389" t="s">
        <v>12864</v>
      </c>
      <c r="CX2184" s="1379">
        <v>1</v>
      </c>
    </row>
    <row r="2185" spans="91:102" ht="21" customHeight="1" x14ac:dyDescent="0.25">
      <c r="CM2185" s="1377"/>
      <c r="CN2185" s="1388" t="s">
        <v>12927</v>
      </c>
      <c r="CO2185" s="1388" t="s">
        <v>8135</v>
      </c>
      <c r="CP2185" s="1388" t="s">
        <v>8106</v>
      </c>
      <c r="CQ2185" s="1388" t="s">
        <v>12928</v>
      </c>
      <c r="CR2185" s="1388" t="s">
        <v>12928</v>
      </c>
      <c r="CS2185" s="1388" t="s">
        <v>8788</v>
      </c>
      <c r="CT2185" s="1388" t="s">
        <v>8789</v>
      </c>
      <c r="CU2185" s="1388" t="s">
        <v>8790</v>
      </c>
      <c r="CV2185" s="1389" t="s">
        <v>12864</v>
      </c>
      <c r="CX2185" s="1379">
        <v>1</v>
      </c>
    </row>
    <row r="2186" spans="91:102" ht="21" customHeight="1" x14ac:dyDescent="0.25">
      <c r="CM2186" s="1377"/>
      <c r="CN2186" s="1388" t="s">
        <v>12929</v>
      </c>
      <c r="CO2186" s="1388" t="s">
        <v>8135</v>
      </c>
      <c r="CP2186" s="1388" t="s">
        <v>8106</v>
      </c>
      <c r="CQ2186" s="1388" t="s">
        <v>12930</v>
      </c>
      <c r="CR2186" s="1388" t="s">
        <v>12930</v>
      </c>
      <c r="CS2186" s="1388" t="s">
        <v>8788</v>
      </c>
      <c r="CT2186" s="1388" t="s">
        <v>8789</v>
      </c>
      <c r="CU2186" s="1388" t="s">
        <v>8790</v>
      </c>
      <c r="CV2186" s="1389" t="s">
        <v>12864</v>
      </c>
      <c r="CX2186" s="1379">
        <v>1</v>
      </c>
    </row>
    <row r="2187" spans="91:102" ht="21" customHeight="1" x14ac:dyDescent="0.25">
      <c r="CM2187" s="1377"/>
      <c r="CN2187" s="1388" t="s">
        <v>12931</v>
      </c>
      <c r="CO2187" s="1388" t="s">
        <v>8135</v>
      </c>
      <c r="CP2187" s="1388" t="s">
        <v>8106</v>
      </c>
      <c r="CQ2187" s="1388" t="s">
        <v>12932</v>
      </c>
      <c r="CR2187" s="1388" t="s">
        <v>12932</v>
      </c>
      <c r="CS2187" s="1388" t="s">
        <v>8788</v>
      </c>
      <c r="CT2187" s="1388" t="s">
        <v>8789</v>
      </c>
      <c r="CU2187" s="1388" t="s">
        <v>8790</v>
      </c>
      <c r="CV2187" s="1389" t="s">
        <v>12864</v>
      </c>
      <c r="CX2187" s="1379">
        <v>1</v>
      </c>
    </row>
    <row r="2188" spans="91:102" ht="21" customHeight="1" x14ac:dyDescent="0.25">
      <c r="CM2188" s="1377"/>
      <c r="CN2188" s="1388" t="s">
        <v>12933</v>
      </c>
      <c r="CO2188" s="1388" t="s">
        <v>8135</v>
      </c>
      <c r="CP2188" s="1388" t="s">
        <v>8106</v>
      </c>
      <c r="CQ2188" s="1388" t="s">
        <v>12934</v>
      </c>
      <c r="CR2188" s="1388" t="s">
        <v>12934</v>
      </c>
      <c r="CS2188" s="1388" t="s">
        <v>8788</v>
      </c>
      <c r="CT2188" s="1388" t="s">
        <v>8789</v>
      </c>
      <c r="CU2188" s="1388" t="s">
        <v>8790</v>
      </c>
      <c r="CV2188" s="1389" t="s">
        <v>12864</v>
      </c>
      <c r="CX2188" s="1379">
        <v>1</v>
      </c>
    </row>
    <row r="2189" spans="91:102" ht="21" customHeight="1" x14ac:dyDescent="0.25">
      <c r="CM2189" s="1377"/>
      <c r="CN2189" s="1388" t="s">
        <v>12935</v>
      </c>
      <c r="CO2189" s="1388" t="s">
        <v>8135</v>
      </c>
      <c r="CP2189" s="1388" t="s">
        <v>8106</v>
      </c>
      <c r="CQ2189" s="1388" t="s">
        <v>12936</v>
      </c>
      <c r="CR2189" s="1388" t="s">
        <v>12936</v>
      </c>
      <c r="CS2189" s="1388" t="s">
        <v>8108</v>
      </c>
      <c r="CT2189" s="1388" t="s">
        <v>12892</v>
      </c>
      <c r="CU2189" s="1388" t="s">
        <v>8110</v>
      </c>
      <c r="CV2189" s="1389" t="s">
        <v>8111</v>
      </c>
      <c r="CX2189" s="1379">
        <v>1</v>
      </c>
    </row>
    <row r="2190" spans="91:102" ht="21" customHeight="1" x14ac:dyDescent="0.25">
      <c r="CM2190" s="1377"/>
      <c r="CN2190" s="1388" t="s">
        <v>12937</v>
      </c>
      <c r="CO2190" s="1388" t="s">
        <v>8135</v>
      </c>
      <c r="CP2190" s="1388" t="s">
        <v>8106</v>
      </c>
      <c r="CQ2190" s="1388" t="s">
        <v>12938</v>
      </c>
      <c r="CR2190" s="1388" t="s">
        <v>12938</v>
      </c>
      <c r="CS2190" s="1388" t="s">
        <v>8788</v>
      </c>
      <c r="CT2190" s="1388" t="s">
        <v>8789</v>
      </c>
      <c r="CU2190" s="1388" t="s">
        <v>8790</v>
      </c>
      <c r="CV2190" s="1389" t="s">
        <v>12864</v>
      </c>
      <c r="CX2190" s="1379">
        <v>1</v>
      </c>
    </row>
    <row r="2191" spans="91:102" ht="21" customHeight="1" x14ac:dyDescent="0.25">
      <c r="CM2191" s="1377"/>
      <c r="CN2191" s="1388" t="s">
        <v>12939</v>
      </c>
      <c r="CO2191" s="1388" t="s">
        <v>8135</v>
      </c>
      <c r="CP2191" s="1388" t="s">
        <v>8106</v>
      </c>
      <c r="CQ2191" s="1388" t="s">
        <v>12940</v>
      </c>
      <c r="CR2191" s="1388" t="s">
        <v>12940</v>
      </c>
      <c r="CS2191" s="1388" t="s">
        <v>8788</v>
      </c>
      <c r="CT2191" s="1388" t="s">
        <v>8789</v>
      </c>
      <c r="CU2191" s="1388" t="s">
        <v>8790</v>
      </c>
      <c r="CV2191" s="1389" t="s">
        <v>12864</v>
      </c>
      <c r="CX2191" s="1379">
        <v>1</v>
      </c>
    </row>
    <row r="2192" spans="91:102" ht="21" customHeight="1" x14ac:dyDescent="0.25">
      <c r="CM2192" s="1377"/>
      <c r="CN2192" s="1388" t="s">
        <v>12941</v>
      </c>
      <c r="CO2192" s="1388" t="s">
        <v>8135</v>
      </c>
      <c r="CP2192" s="1388" t="s">
        <v>8106</v>
      </c>
      <c r="CQ2192" s="1388" t="s">
        <v>12942</v>
      </c>
      <c r="CR2192" s="1388" t="s">
        <v>12942</v>
      </c>
      <c r="CS2192" s="1388" t="s">
        <v>8788</v>
      </c>
      <c r="CT2192" s="1388" t="s">
        <v>8789</v>
      </c>
      <c r="CU2192" s="1388" t="s">
        <v>8790</v>
      </c>
      <c r="CV2192" s="1389" t="s">
        <v>12864</v>
      </c>
      <c r="CX2192" s="1379">
        <v>1</v>
      </c>
    </row>
    <row r="2193" spans="91:102" ht="21" customHeight="1" x14ac:dyDescent="0.25">
      <c r="CM2193" s="1377"/>
      <c r="CN2193" s="1388" t="s">
        <v>12943</v>
      </c>
      <c r="CO2193" s="1388" t="s">
        <v>8135</v>
      </c>
      <c r="CP2193" s="1388" t="s">
        <v>8106</v>
      </c>
      <c r="CQ2193" s="1388" t="s">
        <v>12944</v>
      </c>
      <c r="CR2193" s="1388" t="s">
        <v>12944</v>
      </c>
      <c r="CS2193" s="1388" t="s">
        <v>8788</v>
      </c>
      <c r="CT2193" s="1388" t="s">
        <v>8789</v>
      </c>
      <c r="CU2193" s="1388" t="s">
        <v>8790</v>
      </c>
      <c r="CV2193" s="1389" t="s">
        <v>12864</v>
      </c>
      <c r="CX2193" s="1379">
        <v>1</v>
      </c>
    </row>
    <row r="2194" spans="91:102" ht="21" customHeight="1" x14ac:dyDescent="0.25">
      <c r="CM2194" s="1377"/>
      <c r="CN2194" s="1388" t="s">
        <v>12945</v>
      </c>
      <c r="CO2194" s="1388" t="s">
        <v>8135</v>
      </c>
      <c r="CP2194" s="1388" t="s">
        <v>8106</v>
      </c>
      <c r="CQ2194" s="1388" t="s">
        <v>12946</v>
      </c>
      <c r="CR2194" s="1388" t="s">
        <v>12946</v>
      </c>
      <c r="CS2194" s="1388" t="s">
        <v>8788</v>
      </c>
      <c r="CT2194" s="1388" t="s">
        <v>8789</v>
      </c>
      <c r="CU2194" s="1388" t="s">
        <v>8790</v>
      </c>
      <c r="CV2194" s="1389" t="s">
        <v>12864</v>
      </c>
      <c r="CX2194" s="1379">
        <v>1</v>
      </c>
    </row>
    <row r="2195" spans="91:102" ht="21" customHeight="1" x14ac:dyDescent="0.25">
      <c r="CM2195" s="1377"/>
      <c r="CN2195" s="1388" t="s">
        <v>12947</v>
      </c>
      <c r="CO2195" s="1388" t="s">
        <v>8135</v>
      </c>
      <c r="CP2195" s="1388" t="s">
        <v>8106</v>
      </c>
      <c r="CQ2195" s="1388" t="s">
        <v>12948</v>
      </c>
      <c r="CR2195" s="1388" t="s">
        <v>12948</v>
      </c>
      <c r="CS2195" s="1388" t="s">
        <v>8788</v>
      </c>
      <c r="CT2195" s="1388" t="s">
        <v>8789</v>
      </c>
      <c r="CU2195" s="1388" t="s">
        <v>8790</v>
      </c>
      <c r="CV2195" s="1389" t="s">
        <v>12864</v>
      </c>
      <c r="CX2195" s="1379">
        <v>1</v>
      </c>
    </row>
    <row r="2196" spans="91:102" ht="21" customHeight="1" x14ac:dyDescent="0.25">
      <c r="CM2196" s="1377"/>
      <c r="CN2196" s="1388" t="s">
        <v>12949</v>
      </c>
      <c r="CO2196" s="1388" t="s">
        <v>8135</v>
      </c>
      <c r="CP2196" s="1388" t="s">
        <v>8106</v>
      </c>
      <c r="CQ2196" s="1388" t="s">
        <v>12950</v>
      </c>
      <c r="CR2196" s="1388" t="s">
        <v>12950</v>
      </c>
      <c r="CS2196" s="1388" t="s">
        <v>8788</v>
      </c>
      <c r="CT2196" s="1388" t="s">
        <v>8789</v>
      </c>
      <c r="CU2196" s="1388" t="s">
        <v>8790</v>
      </c>
      <c r="CV2196" s="1389" t="s">
        <v>12864</v>
      </c>
      <c r="CX2196" s="1379">
        <v>1</v>
      </c>
    </row>
    <row r="2197" spans="91:102" ht="21" customHeight="1" x14ac:dyDescent="0.25">
      <c r="CM2197" s="1377"/>
      <c r="CN2197" s="1388" t="s">
        <v>12951</v>
      </c>
      <c r="CO2197" s="1388" t="s">
        <v>8135</v>
      </c>
      <c r="CP2197" s="1388" t="s">
        <v>8106</v>
      </c>
      <c r="CQ2197" s="1388" t="s">
        <v>12952</v>
      </c>
      <c r="CR2197" s="1388" t="s">
        <v>12952</v>
      </c>
      <c r="CS2197" s="1388" t="s">
        <v>8194</v>
      </c>
      <c r="CT2197" s="1388" t="s">
        <v>8195</v>
      </c>
      <c r="CU2197" s="1388" t="s">
        <v>8110</v>
      </c>
      <c r="CV2197" s="1389" t="s">
        <v>8196</v>
      </c>
      <c r="CX2197" s="1379">
        <v>1</v>
      </c>
    </row>
    <row r="2198" spans="91:102" ht="21" customHeight="1" x14ac:dyDescent="0.25">
      <c r="CM2198" s="1377"/>
      <c r="CN2198" s="1388" t="s">
        <v>12953</v>
      </c>
      <c r="CO2198" s="1388" t="s">
        <v>8135</v>
      </c>
      <c r="CP2198" s="1388" t="s">
        <v>8106</v>
      </c>
      <c r="CQ2198" s="1388" t="s">
        <v>12954</v>
      </c>
      <c r="CR2198" s="1388" t="s">
        <v>12954</v>
      </c>
      <c r="CS2198" s="1388" t="s">
        <v>8788</v>
      </c>
      <c r="CT2198" s="1388" t="s">
        <v>8789</v>
      </c>
      <c r="CU2198" s="1388" t="s">
        <v>8790</v>
      </c>
      <c r="CV2198" s="1389" t="s">
        <v>12864</v>
      </c>
      <c r="CX2198" s="1379">
        <v>1</v>
      </c>
    </row>
    <row r="2199" spans="91:102" ht="21" customHeight="1" x14ac:dyDescent="0.25">
      <c r="CM2199" s="1377"/>
      <c r="CN2199" s="1388" t="s">
        <v>12955</v>
      </c>
      <c r="CO2199" s="1388" t="s">
        <v>8135</v>
      </c>
      <c r="CP2199" s="1388" t="s">
        <v>8106</v>
      </c>
      <c r="CQ2199" s="1388" t="s">
        <v>12956</v>
      </c>
      <c r="CR2199" s="1388" t="s">
        <v>12956</v>
      </c>
      <c r="CS2199" s="1388" t="s">
        <v>8788</v>
      </c>
      <c r="CT2199" s="1388" t="s">
        <v>8789</v>
      </c>
      <c r="CU2199" s="1388" t="s">
        <v>8790</v>
      </c>
      <c r="CV2199" s="1389" t="s">
        <v>12864</v>
      </c>
      <c r="CX2199" s="1379">
        <v>1</v>
      </c>
    </row>
    <row r="2200" spans="91:102" ht="21" customHeight="1" x14ac:dyDescent="0.25">
      <c r="CM2200" s="1377"/>
      <c r="CN2200" s="1388" t="s">
        <v>12957</v>
      </c>
      <c r="CO2200" s="1388" t="s">
        <v>8135</v>
      </c>
      <c r="CP2200" s="1388" t="s">
        <v>8106</v>
      </c>
      <c r="CQ2200" s="1388" t="s">
        <v>12958</v>
      </c>
      <c r="CR2200" s="1388" t="s">
        <v>12958</v>
      </c>
      <c r="CS2200" s="1388" t="s">
        <v>8788</v>
      </c>
      <c r="CT2200" s="1388" t="s">
        <v>8789</v>
      </c>
      <c r="CU2200" s="1388" t="s">
        <v>8790</v>
      </c>
      <c r="CV2200" s="1389" t="s">
        <v>12864</v>
      </c>
      <c r="CX2200" s="1379">
        <v>1</v>
      </c>
    </row>
    <row r="2201" spans="91:102" ht="21" customHeight="1" x14ac:dyDescent="0.25">
      <c r="CM2201" s="1377"/>
      <c r="CN2201" s="1388" t="s">
        <v>12959</v>
      </c>
      <c r="CO2201" s="1388" t="s">
        <v>8135</v>
      </c>
      <c r="CP2201" s="1388" t="s">
        <v>8106</v>
      </c>
      <c r="CQ2201" s="1388" t="s">
        <v>12960</v>
      </c>
      <c r="CR2201" s="1388" t="s">
        <v>12960</v>
      </c>
      <c r="CS2201" s="1388" t="s">
        <v>8788</v>
      </c>
      <c r="CT2201" s="1388" t="s">
        <v>8789</v>
      </c>
      <c r="CU2201" s="1388" t="s">
        <v>8790</v>
      </c>
      <c r="CV2201" s="1389" t="s">
        <v>12864</v>
      </c>
      <c r="CX2201" s="1379">
        <v>1</v>
      </c>
    </row>
    <row r="2202" spans="91:102" ht="21" customHeight="1" x14ac:dyDescent="0.25">
      <c r="CM2202" s="1377"/>
      <c r="CN2202" s="1388" t="s">
        <v>12961</v>
      </c>
      <c r="CO2202" s="1388" t="s">
        <v>8135</v>
      </c>
      <c r="CP2202" s="1388" t="s">
        <v>8106</v>
      </c>
      <c r="CQ2202" s="1388" t="s">
        <v>12962</v>
      </c>
      <c r="CR2202" s="1388" t="s">
        <v>12962</v>
      </c>
      <c r="CS2202" s="1388" t="s">
        <v>8788</v>
      </c>
      <c r="CT2202" s="1388" t="s">
        <v>8789</v>
      </c>
      <c r="CU2202" s="1388" t="s">
        <v>8790</v>
      </c>
      <c r="CV2202" s="1389" t="s">
        <v>12864</v>
      </c>
      <c r="CX2202" s="1379">
        <v>1</v>
      </c>
    </row>
    <row r="2203" spans="91:102" ht="21" customHeight="1" x14ac:dyDescent="0.25">
      <c r="CM2203" s="1377"/>
      <c r="CN2203" s="1388" t="s">
        <v>12963</v>
      </c>
      <c r="CO2203" s="1388" t="s">
        <v>8135</v>
      </c>
      <c r="CP2203" s="1388" t="s">
        <v>8106</v>
      </c>
      <c r="CQ2203" s="1388" t="s">
        <v>12964</v>
      </c>
      <c r="CR2203" s="1388" t="s">
        <v>12964</v>
      </c>
      <c r="CS2203" s="1388" t="s">
        <v>8788</v>
      </c>
      <c r="CT2203" s="1388" t="s">
        <v>8789</v>
      </c>
      <c r="CU2203" s="1388" t="s">
        <v>8790</v>
      </c>
      <c r="CV2203" s="1389" t="s">
        <v>12864</v>
      </c>
      <c r="CX2203" s="1379">
        <v>1</v>
      </c>
    </row>
    <row r="2204" spans="91:102" ht="21" customHeight="1" x14ac:dyDescent="0.25">
      <c r="CM2204" s="1377"/>
      <c r="CN2204" s="1388" t="s">
        <v>12965</v>
      </c>
      <c r="CO2204" s="1388" t="s">
        <v>8135</v>
      </c>
      <c r="CP2204" s="1388" t="s">
        <v>8106</v>
      </c>
      <c r="CQ2204" s="1388" t="s">
        <v>12966</v>
      </c>
      <c r="CR2204" s="1388" t="s">
        <v>12966</v>
      </c>
      <c r="CS2204" s="1388" t="s">
        <v>8108</v>
      </c>
      <c r="CT2204" s="1388" t="s">
        <v>12892</v>
      </c>
      <c r="CU2204" s="1388" t="s">
        <v>8110</v>
      </c>
      <c r="CV2204" s="1389" t="s">
        <v>8111</v>
      </c>
      <c r="CX2204" s="1379">
        <v>1</v>
      </c>
    </row>
    <row r="2205" spans="91:102" ht="21" customHeight="1" x14ac:dyDescent="0.25">
      <c r="CM2205" s="1377"/>
      <c r="CN2205" s="1388" t="s">
        <v>12967</v>
      </c>
      <c r="CO2205" s="1388" t="s">
        <v>8135</v>
      </c>
      <c r="CP2205" s="1388" t="s">
        <v>8106</v>
      </c>
      <c r="CQ2205" s="1388" t="s">
        <v>12968</v>
      </c>
      <c r="CR2205" s="1388" t="s">
        <v>12968</v>
      </c>
      <c r="CS2205" s="1388" t="s">
        <v>8108</v>
      </c>
      <c r="CT2205" s="1388" t="s">
        <v>12892</v>
      </c>
      <c r="CU2205" s="1388" t="s">
        <v>8110</v>
      </c>
      <c r="CV2205" s="1389" t="s">
        <v>8111</v>
      </c>
      <c r="CX2205" s="1379">
        <v>1</v>
      </c>
    </row>
    <row r="2206" spans="91:102" ht="21" customHeight="1" x14ac:dyDescent="0.25">
      <c r="CM2206" s="1377"/>
      <c r="CN2206" s="1388" t="s">
        <v>12969</v>
      </c>
      <c r="CO2206" s="1388" t="s">
        <v>8135</v>
      </c>
      <c r="CP2206" s="1388" t="s">
        <v>8106</v>
      </c>
      <c r="CQ2206" s="1388" t="s">
        <v>2609</v>
      </c>
      <c r="CR2206" s="1388" t="s">
        <v>2609</v>
      </c>
      <c r="CS2206" s="1388" t="s">
        <v>8108</v>
      </c>
      <c r="CT2206" s="1388" t="s">
        <v>12892</v>
      </c>
      <c r="CU2206" s="1388" t="s">
        <v>8110</v>
      </c>
      <c r="CV2206" s="1389" t="s">
        <v>8111</v>
      </c>
      <c r="CX2206" s="1379">
        <v>1</v>
      </c>
    </row>
    <row r="2207" spans="91:102" ht="21" customHeight="1" x14ac:dyDescent="0.25">
      <c r="CM2207" s="1377"/>
      <c r="CN2207" s="1388" t="s">
        <v>12970</v>
      </c>
      <c r="CO2207" s="1388" t="s">
        <v>8135</v>
      </c>
      <c r="CP2207" s="1388" t="s">
        <v>8106</v>
      </c>
      <c r="CQ2207" s="1388" t="s">
        <v>12971</v>
      </c>
      <c r="CR2207" s="1388" t="s">
        <v>12971</v>
      </c>
      <c r="CS2207" s="1388" t="s">
        <v>8108</v>
      </c>
      <c r="CT2207" s="1388" t="s">
        <v>12892</v>
      </c>
      <c r="CU2207" s="1388" t="s">
        <v>8110</v>
      </c>
      <c r="CV2207" s="1389" t="s">
        <v>8111</v>
      </c>
      <c r="CX2207" s="1379">
        <v>1</v>
      </c>
    </row>
    <row r="2208" spans="91:102" ht="21" customHeight="1" x14ac:dyDescent="0.25">
      <c r="CM2208" s="1377"/>
      <c r="CN2208" s="1388" t="s">
        <v>12972</v>
      </c>
      <c r="CO2208" s="1388" t="s">
        <v>8135</v>
      </c>
      <c r="CP2208" s="1388" t="s">
        <v>8106</v>
      </c>
      <c r="CQ2208" s="1388" t="s">
        <v>12973</v>
      </c>
      <c r="CR2208" s="1388" t="s">
        <v>12973</v>
      </c>
      <c r="CS2208" s="1388" t="s">
        <v>8108</v>
      </c>
      <c r="CT2208" s="1388" t="s">
        <v>12892</v>
      </c>
      <c r="CU2208" s="1388" t="s">
        <v>8110</v>
      </c>
      <c r="CV2208" s="1389" t="s">
        <v>8111</v>
      </c>
      <c r="CX2208" s="1379">
        <v>1</v>
      </c>
    </row>
    <row r="2209" spans="91:102" ht="21" customHeight="1" x14ac:dyDescent="0.25">
      <c r="CM2209" s="1377"/>
      <c r="CN2209" s="1388" t="s">
        <v>12974</v>
      </c>
      <c r="CO2209" s="1388" t="s">
        <v>8135</v>
      </c>
      <c r="CP2209" s="1388" t="s">
        <v>8106</v>
      </c>
      <c r="CQ2209" s="1388" t="s">
        <v>12975</v>
      </c>
      <c r="CR2209" s="1388" t="s">
        <v>12975</v>
      </c>
      <c r="CS2209" s="1388" t="s">
        <v>8788</v>
      </c>
      <c r="CT2209" s="1388" t="s">
        <v>8789</v>
      </c>
      <c r="CU2209" s="1388" t="s">
        <v>8790</v>
      </c>
      <c r="CV2209" s="1389" t="s">
        <v>12864</v>
      </c>
      <c r="CX2209" s="1379">
        <v>1</v>
      </c>
    </row>
    <row r="2210" spans="91:102" ht="21" customHeight="1" x14ac:dyDescent="0.25">
      <c r="CM2210" s="1377"/>
      <c r="CN2210" s="1388" t="s">
        <v>12976</v>
      </c>
      <c r="CO2210" s="1388" t="s">
        <v>8135</v>
      </c>
      <c r="CP2210" s="1388" t="s">
        <v>8106</v>
      </c>
      <c r="CQ2210" s="1388" t="s">
        <v>12977</v>
      </c>
      <c r="CR2210" s="1388" t="s">
        <v>12977</v>
      </c>
      <c r="CS2210" s="1388" t="s">
        <v>8788</v>
      </c>
      <c r="CT2210" s="1388" t="s">
        <v>8789</v>
      </c>
      <c r="CU2210" s="1388" t="s">
        <v>8790</v>
      </c>
      <c r="CV2210" s="1389" t="s">
        <v>12864</v>
      </c>
      <c r="CX2210" s="1379">
        <v>1</v>
      </c>
    </row>
    <row r="2211" spans="91:102" ht="21" customHeight="1" x14ac:dyDescent="0.25">
      <c r="CM2211" s="1377"/>
      <c r="CN2211" s="1388" t="s">
        <v>12978</v>
      </c>
      <c r="CO2211" s="1388" t="s">
        <v>8135</v>
      </c>
      <c r="CP2211" s="1388" t="s">
        <v>8106</v>
      </c>
      <c r="CQ2211" s="1388" t="s">
        <v>12979</v>
      </c>
      <c r="CR2211" s="1388" t="s">
        <v>12979</v>
      </c>
      <c r="CS2211" s="1388" t="s">
        <v>8108</v>
      </c>
      <c r="CT2211" s="1388" t="s">
        <v>12892</v>
      </c>
      <c r="CU2211" s="1388" t="s">
        <v>8110</v>
      </c>
      <c r="CV2211" s="1389" t="s">
        <v>8111</v>
      </c>
      <c r="CX2211" s="1379">
        <v>1</v>
      </c>
    </row>
    <row r="2212" spans="91:102" ht="21" customHeight="1" x14ac:dyDescent="0.25">
      <c r="CM2212" s="1377"/>
      <c r="CN2212" s="1388" t="s">
        <v>12980</v>
      </c>
      <c r="CO2212" s="1388" t="s">
        <v>8135</v>
      </c>
      <c r="CP2212" s="1388" t="s">
        <v>8106</v>
      </c>
      <c r="CQ2212" s="1388" t="s">
        <v>12981</v>
      </c>
      <c r="CR2212" s="1388" t="s">
        <v>12981</v>
      </c>
      <c r="CS2212" s="1388" t="s">
        <v>8788</v>
      </c>
      <c r="CT2212" s="1388" t="s">
        <v>8789</v>
      </c>
      <c r="CU2212" s="1388" t="s">
        <v>8790</v>
      </c>
      <c r="CV2212" s="1389" t="s">
        <v>12864</v>
      </c>
      <c r="CX2212" s="1379">
        <v>1</v>
      </c>
    </row>
    <row r="2213" spans="91:102" ht="21" customHeight="1" x14ac:dyDescent="0.25">
      <c r="CM2213" s="1377"/>
      <c r="CN2213" s="1388" t="s">
        <v>12982</v>
      </c>
      <c r="CO2213" s="1388" t="s">
        <v>8135</v>
      </c>
      <c r="CP2213" s="1388" t="s">
        <v>8106</v>
      </c>
      <c r="CQ2213" s="1388" t="s">
        <v>12983</v>
      </c>
      <c r="CR2213" s="1388" t="s">
        <v>12983</v>
      </c>
      <c r="CS2213" s="1388" t="s">
        <v>8194</v>
      </c>
      <c r="CT2213" s="1388" t="s">
        <v>8195</v>
      </c>
      <c r="CU2213" s="1388" t="s">
        <v>8110</v>
      </c>
      <c r="CV2213" s="1389" t="s">
        <v>8196</v>
      </c>
      <c r="CX2213" s="1379">
        <v>1</v>
      </c>
    </row>
    <row r="2214" spans="91:102" ht="21" customHeight="1" x14ac:dyDescent="0.25">
      <c r="CM2214" s="1377"/>
      <c r="CN2214" s="1388" t="s">
        <v>12984</v>
      </c>
      <c r="CO2214" s="1388" t="s">
        <v>8135</v>
      </c>
      <c r="CP2214" s="1388" t="s">
        <v>8106</v>
      </c>
      <c r="CQ2214" s="1388" t="s">
        <v>12985</v>
      </c>
      <c r="CR2214" s="1388" t="s">
        <v>12985</v>
      </c>
      <c r="CS2214" s="1388" t="s">
        <v>8788</v>
      </c>
      <c r="CT2214" s="1388" t="s">
        <v>8789</v>
      </c>
      <c r="CU2214" s="1388" t="s">
        <v>8790</v>
      </c>
      <c r="CV2214" s="1389" t="s">
        <v>12864</v>
      </c>
      <c r="CX2214" s="1379">
        <v>1</v>
      </c>
    </row>
    <row r="2215" spans="91:102" ht="21" customHeight="1" x14ac:dyDescent="0.25">
      <c r="CM2215" s="1377"/>
      <c r="CN2215" s="1388" t="s">
        <v>12986</v>
      </c>
      <c r="CO2215" s="1388" t="s">
        <v>8135</v>
      </c>
      <c r="CP2215" s="1388" t="s">
        <v>8106</v>
      </c>
      <c r="CQ2215" s="1388" t="s">
        <v>12987</v>
      </c>
      <c r="CR2215" s="1388" t="s">
        <v>12987</v>
      </c>
      <c r="CS2215" s="1388" t="s">
        <v>8788</v>
      </c>
      <c r="CT2215" s="1388" t="s">
        <v>8789</v>
      </c>
      <c r="CU2215" s="1388" t="s">
        <v>8790</v>
      </c>
      <c r="CV2215" s="1389" t="s">
        <v>12864</v>
      </c>
      <c r="CX2215" s="1379">
        <v>1</v>
      </c>
    </row>
    <row r="2216" spans="91:102" ht="21" customHeight="1" x14ac:dyDescent="0.25">
      <c r="CM2216" s="1377"/>
      <c r="CN2216" s="1388" t="s">
        <v>12988</v>
      </c>
      <c r="CO2216" s="1388" t="s">
        <v>8135</v>
      </c>
      <c r="CP2216" s="1388" t="s">
        <v>8106</v>
      </c>
      <c r="CQ2216" s="1388" t="s">
        <v>12989</v>
      </c>
      <c r="CR2216" s="1388" t="s">
        <v>12989</v>
      </c>
      <c r="CS2216" s="1388" t="s">
        <v>8788</v>
      </c>
      <c r="CT2216" s="1388" t="s">
        <v>8789</v>
      </c>
      <c r="CU2216" s="1388" t="s">
        <v>8790</v>
      </c>
      <c r="CV2216" s="1389" t="s">
        <v>12864</v>
      </c>
      <c r="CX2216" s="1379">
        <v>1</v>
      </c>
    </row>
    <row r="2217" spans="91:102" ht="21" customHeight="1" x14ac:dyDescent="0.25">
      <c r="CM2217" s="1377"/>
      <c r="CN2217" s="1388" t="s">
        <v>12990</v>
      </c>
      <c r="CO2217" s="1388" t="s">
        <v>8135</v>
      </c>
      <c r="CP2217" s="1388" t="s">
        <v>8106</v>
      </c>
      <c r="CQ2217" s="1388" t="s">
        <v>12991</v>
      </c>
      <c r="CR2217" s="1388" t="s">
        <v>12991</v>
      </c>
      <c r="CS2217" s="1388" t="s">
        <v>8788</v>
      </c>
      <c r="CT2217" s="1388" t="s">
        <v>8789</v>
      </c>
      <c r="CU2217" s="1388" t="s">
        <v>8790</v>
      </c>
      <c r="CV2217" s="1389" t="s">
        <v>12864</v>
      </c>
      <c r="CX2217" s="1379">
        <v>1</v>
      </c>
    </row>
    <row r="2218" spans="91:102" ht="21" customHeight="1" x14ac:dyDescent="0.25">
      <c r="CM2218" s="1377"/>
      <c r="CN2218" s="1388" t="s">
        <v>12992</v>
      </c>
      <c r="CO2218" s="1388" t="s">
        <v>8135</v>
      </c>
      <c r="CP2218" s="1388" t="s">
        <v>8106</v>
      </c>
      <c r="CQ2218" s="1388" t="s">
        <v>12993</v>
      </c>
      <c r="CR2218" s="1388" t="s">
        <v>12993</v>
      </c>
      <c r="CS2218" s="1388" t="s">
        <v>8788</v>
      </c>
      <c r="CT2218" s="1388" t="s">
        <v>8789</v>
      </c>
      <c r="CU2218" s="1388" t="s">
        <v>8790</v>
      </c>
      <c r="CV2218" s="1389" t="s">
        <v>12864</v>
      </c>
      <c r="CX2218" s="1379">
        <v>1</v>
      </c>
    </row>
    <row r="2219" spans="91:102" ht="21" customHeight="1" x14ac:dyDescent="0.25">
      <c r="CM2219" s="1377"/>
      <c r="CN2219" s="1388" t="s">
        <v>12994</v>
      </c>
      <c r="CO2219" s="1388" t="s">
        <v>8135</v>
      </c>
      <c r="CP2219" s="1388" t="s">
        <v>8106</v>
      </c>
      <c r="CQ2219" s="1388" t="s">
        <v>12995</v>
      </c>
      <c r="CR2219" s="1388" t="s">
        <v>12995</v>
      </c>
      <c r="CS2219" s="1388" t="s">
        <v>8788</v>
      </c>
      <c r="CT2219" s="1388" t="s">
        <v>8789</v>
      </c>
      <c r="CU2219" s="1388" t="s">
        <v>8790</v>
      </c>
      <c r="CV2219" s="1389" t="s">
        <v>12864</v>
      </c>
      <c r="CX2219" s="1379">
        <v>1</v>
      </c>
    </row>
    <row r="2220" spans="91:102" ht="21" customHeight="1" x14ac:dyDescent="0.25">
      <c r="CM2220" s="1377"/>
      <c r="CN2220" s="1388" t="s">
        <v>12996</v>
      </c>
      <c r="CO2220" s="1388" t="s">
        <v>8135</v>
      </c>
      <c r="CP2220" s="1388" t="s">
        <v>8106</v>
      </c>
      <c r="CQ2220" s="1388" t="s">
        <v>12997</v>
      </c>
      <c r="CR2220" s="1388" t="s">
        <v>12997</v>
      </c>
      <c r="CS2220" s="1388" t="s">
        <v>8788</v>
      </c>
      <c r="CT2220" s="1388" t="s">
        <v>8789</v>
      </c>
      <c r="CU2220" s="1388" t="s">
        <v>8790</v>
      </c>
      <c r="CV2220" s="1389" t="s">
        <v>12864</v>
      </c>
      <c r="CX2220" s="1379">
        <v>1</v>
      </c>
    </row>
    <row r="2221" spans="91:102" ht="21" customHeight="1" x14ac:dyDescent="0.25">
      <c r="CM2221" s="1377"/>
      <c r="CN2221" s="1388" t="s">
        <v>12998</v>
      </c>
      <c r="CO2221" s="1388" t="s">
        <v>8135</v>
      </c>
      <c r="CP2221" s="1388" t="s">
        <v>8106</v>
      </c>
      <c r="CQ2221" s="1388" t="s">
        <v>12999</v>
      </c>
      <c r="CR2221" s="1388" t="s">
        <v>12999</v>
      </c>
      <c r="CS2221" s="1388" t="s">
        <v>8788</v>
      </c>
      <c r="CT2221" s="1388" t="s">
        <v>8789</v>
      </c>
      <c r="CU2221" s="1388" t="s">
        <v>8790</v>
      </c>
      <c r="CV2221" s="1389" t="s">
        <v>12864</v>
      </c>
      <c r="CX2221" s="1379">
        <v>1</v>
      </c>
    </row>
    <row r="2222" spans="91:102" ht="21" customHeight="1" x14ac:dyDescent="0.25">
      <c r="CM2222" s="1377"/>
      <c r="CN2222" s="1388" t="s">
        <v>13000</v>
      </c>
      <c r="CO2222" s="1388" t="s">
        <v>8135</v>
      </c>
      <c r="CP2222" s="1388" t="s">
        <v>8106</v>
      </c>
      <c r="CQ2222" s="1388" t="s">
        <v>13001</v>
      </c>
      <c r="CR2222" s="1388" t="s">
        <v>13001</v>
      </c>
      <c r="CS2222" s="1388" t="s">
        <v>8788</v>
      </c>
      <c r="CT2222" s="1388" t="s">
        <v>8789</v>
      </c>
      <c r="CU2222" s="1388" t="s">
        <v>8790</v>
      </c>
      <c r="CV2222" s="1389" t="s">
        <v>12864</v>
      </c>
      <c r="CX2222" s="1379">
        <v>1</v>
      </c>
    </row>
    <row r="2223" spans="91:102" ht="21" customHeight="1" x14ac:dyDescent="0.25">
      <c r="CM2223" s="1377"/>
      <c r="CN2223" s="1388" t="s">
        <v>13002</v>
      </c>
      <c r="CO2223" s="1388" t="s">
        <v>8135</v>
      </c>
      <c r="CP2223" s="1388" t="s">
        <v>8106</v>
      </c>
      <c r="CQ2223" s="1388" t="s">
        <v>13003</v>
      </c>
      <c r="CR2223" s="1388" t="s">
        <v>13003</v>
      </c>
      <c r="CS2223" s="1388" t="s">
        <v>8788</v>
      </c>
      <c r="CT2223" s="1388" t="s">
        <v>8789</v>
      </c>
      <c r="CU2223" s="1388" t="s">
        <v>8790</v>
      </c>
      <c r="CV2223" s="1389" t="s">
        <v>12864</v>
      </c>
      <c r="CX2223" s="1379">
        <v>1</v>
      </c>
    </row>
    <row r="2224" spans="91:102" ht="21" customHeight="1" x14ac:dyDescent="0.25">
      <c r="CM2224" s="1377"/>
      <c r="CN2224" s="1388" t="s">
        <v>13004</v>
      </c>
      <c r="CO2224" s="1388" t="s">
        <v>8135</v>
      </c>
      <c r="CP2224" s="1388" t="s">
        <v>8106</v>
      </c>
      <c r="CQ2224" s="1388" t="s">
        <v>13005</v>
      </c>
      <c r="CR2224" s="1388" t="s">
        <v>13005</v>
      </c>
      <c r="CS2224" s="1388" t="s">
        <v>8788</v>
      </c>
      <c r="CT2224" s="1388" t="s">
        <v>8789</v>
      </c>
      <c r="CU2224" s="1388" t="s">
        <v>8790</v>
      </c>
      <c r="CV2224" s="1389" t="s">
        <v>12864</v>
      </c>
      <c r="CX2224" s="1379">
        <v>1</v>
      </c>
    </row>
    <row r="2225" spans="91:102" ht="21" customHeight="1" x14ac:dyDescent="0.25">
      <c r="CM2225" s="1377"/>
      <c r="CN2225" s="1388" t="s">
        <v>13006</v>
      </c>
      <c r="CO2225" s="1388" t="s">
        <v>8135</v>
      </c>
      <c r="CP2225" s="1388" t="s">
        <v>8106</v>
      </c>
      <c r="CQ2225" s="1388" t="s">
        <v>13007</v>
      </c>
      <c r="CR2225" s="1388" t="s">
        <v>13007</v>
      </c>
      <c r="CS2225" s="1388" t="s">
        <v>8788</v>
      </c>
      <c r="CT2225" s="1388" t="s">
        <v>8789</v>
      </c>
      <c r="CU2225" s="1388" t="s">
        <v>8790</v>
      </c>
      <c r="CV2225" s="1389" t="s">
        <v>12864</v>
      </c>
      <c r="CX2225" s="1379">
        <v>1</v>
      </c>
    </row>
    <row r="2226" spans="91:102" ht="21" customHeight="1" x14ac:dyDescent="0.25">
      <c r="CM2226" s="1377"/>
      <c r="CN2226" s="1388" t="s">
        <v>13008</v>
      </c>
      <c r="CO2226" s="1388" t="s">
        <v>8135</v>
      </c>
      <c r="CP2226" s="1388" t="s">
        <v>8106</v>
      </c>
      <c r="CQ2226" s="1388" t="s">
        <v>13009</v>
      </c>
      <c r="CR2226" s="1388" t="s">
        <v>13009</v>
      </c>
      <c r="CS2226" s="1388" t="s">
        <v>8788</v>
      </c>
      <c r="CT2226" s="1388" t="s">
        <v>8789</v>
      </c>
      <c r="CU2226" s="1388" t="s">
        <v>8790</v>
      </c>
      <c r="CV2226" s="1389" t="s">
        <v>12864</v>
      </c>
      <c r="CX2226" s="1379">
        <v>1</v>
      </c>
    </row>
    <row r="2227" spans="91:102" ht="21" customHeight="1" x14ac:dyDescent="0.25">
      <c r="CM2227" s="1377"/>
      <c r="CN2227" s="1388" t="s">
        <v>13010</v>
      </c>
      <c r="CO2227" s="1388" t="s">
        <v>8135</v>
      </c>
      <c r="CP2227" s="1388" t="s">
        <v>8106</v>
      </c>
      <c r="CQ2227" s="1388" t="s">
        <v>13011</v>
      </c>
      <c r="CR2227" s="1388" t="s">
        <v>13011</v>
      </c>
      <c r="CS2227" s="1388" t="s">
        <v>8788</v>
      </c>
      <c r="CT2227" s="1388" t="s">
        <v>8789</v>
      </c>
      <c r="CU2227" s="1388" t="s">
        <v>8790</v>
      </c>
      <c r="CV2227" s="1389" t="s">
        <v>12864</v>
      </c>
      <c r="CX2227" s="1379">
        <v>1</v>
      </c>
    </row>
    <row r="2228" spans="91:102" ht="21" customHeight="1" x14ac:dyDescent="0.25">
      <c r="CM2228" s="1377"/>
      <c r="CN2228" s="1388" t="s">
        <v>13012</v>
      </c>
      <c r="CO2228" s="1388" t="s">
        <v>8135</v>
      </c>
      <c r="CP2228" s="1388" t="s">
        <v>8106</v>
      </c>
      <c r="CQ2228" s="1388" t="s">
        <v>13013</v>
      </c>
      <c r="CR2228" s="1388" t="s">
        <v>13013</v>
      </c>
      <c r="CS2228" s="1388" t="s">
        <v>8788</v>
      </c>
      <c r="CT2228" s="1388" t="s">
        <v>8789</v>
      </c>
      <c r="CU2228" s="1388" t="s">
        <v>8790</v>
      </c>
      <c r="CV2228" s="1389" t="s">
        <v>12864</v>
      </c>
      <c r="CX2228" s="1379">
        <v>1</v>
      </c>
    </row>
    <row r="2229" spans="91:102" ht="21" customHeight="1" x14ac:dyDescent="0.25">
      <c r="CM2229" s="1377"/>
      <c r="CN2229" s="1388" t="s">
        <v>13014</v>
      </c>
      <c r="CO2229" s="1388" t="s">
        <v>8135</v>
      </c>
      <c r="CP2229" s="1388" t="s">
        <v>8106</v>
      </c>
      <c r="CQ2229" s="1388" t="s">
        <v>13015</v>
      </c>
      <c r="CR2229" s="1388" t="s">
        <v>13015</v>
      </c>
      <c r="CS2229" s="1388" t="s">
        <v>8788</v>
      </c>
      <c r="CT2229" s="1388" t="s">
        <v>8789</v>
      </c>
      <c r="CU2229" s="1388" t="s">
        <v>8790</v>
      </c>
      <c r="CV2229" s="1389" t="s">
        <v>12864</v>
      </c>
      <c r="CX2229" s="1379">
        <v>1</v>
      </c>
    </row>
    <row r="2230" spans="91:102" ht="21" customHeight="1" x14ac:dyDescent="0.25">
      <c r="CM2230" s="1377"/>
      <c r="CN2230" s="1388" t="s">
        <v>13016</v>
      </c>
      <c r="CO2230" s="1388" t="s">
        <v>8135</v>
      </c>
      <c r="CP2230" s="1388" t="s">
        <v>8106</v>
      </c>
      <c r="CQ2230" s="1388" t="s">
        <v>13017</v>
      </c>
      <c r="CR2230" s="1388" t="s">
        <v>13017</v>
      </c>
      <c r="CS2230" s="1388" t="s">
        <v>8788</v>
      </c>
      <c r="CT2230" s="1388" t="s">
        <v>8789</v>
      </c>
      <c r="CU2230" s="1388" t="s">
        <v>8790</v>
      </c>
      <c r="CV2230" s="1389" t="s">
        <v>12864</v>
      </c>
      <c r="CX2230" s="1379">
        <v>1</v>
      </c>
    </row>
    <row r="2231" spans="91:102" ht="21" customHeight="1" x14ac:dyDescent="0.25">
      <c r="CM2231" s="1377"/>
      <c r="CN2231" s="1388" t="s">
        <v>13018</v>
      </c>
      <c r="CO2231" s="1388" t="s">
        <v>8135</v>
      </c>
      <c r="CP2231" s="1388" t="s">
        <v>8106</v>
      </c>
      <c r="CQ2231" s="1388" t="s">
        <v>13019</v>
      </c>
      <c r="CR2231" s="1388" t="s">
        <v>13019</v>
      </c>
      <c r="CS2231" s="1388" t="s">
        <v>8788</v>
      </c>
      <c r="CT2231" s="1388" t="s">
        <v>8789</v>
      </c>
      <c r="CU2231" s="1388" t="s">
        <v>8790</v>
      </c>
      <c r="CV2231" s="1389" t="s">
        <v>12864</v>
      </c>
      <c r="CX2231" s="1379">
        <v>1</v>
      </c>
    </row>
    <row r="2232" spans="91:102" ht="21" customHeight="1" x14ac:dyDescent="0.25">
      <c r="CM2232" s="1377"/>
      <c r="CN2232" s="1388" t="s">
        <v>13020</v>
      </c>
      <c r="CO2232" s="1388" t="s">
        <v>8135</v>
      </c>
      <c r="CP2232" s="1388" t="s">
        <v>8106</v>
      </c>
      <c r="CQ2232" s="1388" t="s">
        <v>13021</v>
      </c>
      <c r="CR2232" s="1388" t="s">
        <v>13021</v>
      </c>
      <c r="CS2232" s="1388" t="s">
        <v>8788</v>
      </c>
      <c r="CT2232" s="1388" t="s">
        <v>8789</v>
      </c>
      <c r="CU2232" s="1388" t="s">
        <v>8790</v>
      </c>
      <c r="CV2232" s="1389" t="s">
        <v>12864</v>
      </c>
      <c r="CX2232" s="1379">
        <v>1</v>
      </c>
    </row>
    <row r="2233" spans="91:102" ht="21" customHeight="1" x14ac:dyDescent="0.25">
      <c r="CM2233" s="1377"/>
      <c r="CN2233" s="1388" t="s">
        <v>13022</v>
      </c>
      <c r="CO2233" s="1388" t="s">
        <v>8135</v>
      </c>
      <c r="CP2233" s="1388" t="s">
        <v>8106</v>
      </c>
      <c r="CQ2233" s="1388" t="s">
        <v>13023</v>
      </c>
      <c r="CR2233" s="1388" t="s">
        <v>13023</v>
      </c>
      <c r="CS2233" s="1388" t="s">
        <v>8788</v>
      </c>
      <c r="CT2233" s="1388" t="s">
        <v>8789</v>
      </c>
      <c r="CU2233" s="1388" t="s">
        <v>8790</v>
      </c>
      <c r="CV2233" s="1389" t="s">
        <v>12864</v>
      </c>
      <c r="CX2233" s="1379">
        <v>1</v>
      </c>
    </row>
    <row r="2234" spans="91:102" ht="21" customHeight="1" x14ac:dyDescent="0.25">
      <c r="CM2234" s="1377"/>
      <c r="CN2234" s="1388" t="s">
        <v>13024</v>
      </c>
      <c r="CO2234" s="1388" t="s">
        <v>8135</v>
      </c>
      <c r="CP2234" s="1388" t="s">
        <v>8106</v>
      </c>
      <c r="CQ2234" s="1388" t="s">
        <v>13025</v>
      </c>
      <c r="CR2234" s="1388" t="s">
        <v>13025</v>
      </c>
      <c r="CS2234" s="1388" t="s">
        <v>8108</v>
      </c>
      <c r="CT2234" s="1388" t="s">
        <v>12892</v>
      </c>
      <c r="CU2234" s="1388" t="s">
        <v>8110</v>
      </c>
      <c r="CV2234" s="1389" t="s">
        <v>8111</v>
      </c>
      <c r="CX2234" s="1379">
        <v>1</v>
      </c>
    </row>
    <row r="2235" spans="91:102" ht="21" customHeight="1" x14ac:dyDescent="0.25">
      <c r="CM2235" s="1377"/>
      <c r="CN2235" s="1388" t="s">
        <v>13026</v>
      </c>
      <c r="CO2235" s="1388" t="s">
        <v>8135</v>
      </c>
      <c r="CP2235" s="1388" t="s">
        <v>8106</v>
      </c>
      <c r="CQ2235" s="1388" t="s">
        <v>13027</v>
      </c>
      <c r="CR2235" s="1388" t="s">
        <v>13027</v>
      </c>
      <c r="CS2235" s="1388" t="s">
        <v>8108</v>
      </c>
      <c r="CT2235" s="1388" t="s">
        <v>12892</v>
      </c>
      <c r="CU2235" s="1388" t="s">
        <v>8110</v>
      </c>
      <c r="CV2235" s="1389" t="s">
        <v>8111</v>
      </c>
      <c r="CX2235" s="1379">
        <v>1</v>
      </c>
    </row>
    <row r="2236" spans="91:102" ht="21" customHeight="1" x14ac:dyDescent="0.25">
      <c r="CM2236" s="1377"/>
      <c r="CN2236" s="1388" t="s">
        <v>13028</v>
      </c>
      <c r="CO2236" s="1388" t="s">
        <v>8135</v>
      </c>
      <c r="CP2236" s="1388" t="s">
        <v>8106</v>
      </c>
      <c r="CQ2236" s="1388" t="s">
        <v>13029</v>
      </c>
      <c r="CR2236" s="1388" t="s">
        <v>13029</v>
      </c>
      <c r="CS2236" s="1388" t="s">
        <v>8108</v>
      </c>
      <c r="CT2236" s="1388" t="s">
        <v>12892</v>
      </c>
      <c r="CU2236" s="1388" t="s">
        <v>8110</v>
      </c>
      <c r="CV2236" s="1389" t="s">
        <v>8111</v>
      </c>
      <c r="CX2236" s="1379">
        <v>1</v>
      </c>
    </row>
    <row r="2237" spans="91:102" ht="21" customHeight="1" x14ac:dyDescent="0.25">
      <c r="CM2237" s="1377"/>
      <c r="CN2237" s="1388" t="s">
        <v>13030</v>
      </c>
      <c r="CO2237" s="1388" t="s">
        <v>8135</v>
      </c>
      <c r="CP2237" s="1388" t="s">
        <v>8106</v>
      </c>
      <c r="CQ2237" s="1388" t="s">
        <v>13031</v>
      </c>
      <c r="CR2237" s="1388" t="s">
        <v>13031</v>
      </c>
      <c r="CS2237" s="1388" t="s">
        <v>8108</v>
      </c>
      <c r="CT2237" s="1388" t="s">
        <v>12892</v>
      </c>
      <c r="CU2237" s="1388" t="s">
        <v>8110</v>
      </c>
      <c r="CV2237" s="1389" t="s">
        <v>8111</v>
      </c>
      <c r="CX2237" s="1379">
        <v>1</v>
      </c>
    </row>
    <row r="2238" spans="91:102" ht="21" customHeight="1" x14ac:dyDescent="0.25">
      <c r="CM2238" s="1377"/>
      <c r="CN2238" s="1388" t="s">
        <v>13032</v>
      </c>
      <c r="CO2238" s="1388" t="s">
        <v>8135</v>
      </c>
      <c r="CP2238" s="1388" t="s">
        <v>8106</v>
      </c>
      <c r="CQ2238" s="1388" t="s">
        <v>13033</v>
      </c>
      <c r="CR2238" s="1388" t="s">
        <v>13034</v>
      </c>
      <c r="CS2238" s="1388" t="s">
        <v>8108</v>
      </c>
      <c r="CT2238" s="1388" t="s">
        <v>12892</v>
      </c>
      <c r="CU2238" s="1388" t="s">
        <v>8110</v>
      </c>
      <c r="CV2238" s="1389" t="s">
        <v>8111</v>
      </c>
      <c r="CX2238" s="1379">
        <v>1</v>
      </c>
    </row>
    <row r="2239" spans="91:102" ht="21" customHeight="1" x14ac:dyDescent="0.25">
      <c r="CM2239" s="1377"/>
      <c r="CN2239" s="1388" t="s">
        <v>13035</v>
      </c>
      <c r="CO2239" s="1388" t="s">
        <v>8135</v>
      </c>
      <c r="CP2239" s="1388" t="s">
        <v>8106</v>
      </c>
      <c r="CQ2239" s="1388" t="s">
        <v>13036</v>
      </c>
      <c r="CR2239" s="1388" t="s">
        <v>13036</v>
      </c>
      <c r="CS2239" s="1388" t="s">
        <v>8788</v>
      </c>
      <c r="CT2239" s="1388" t="s">
        <v>8789</v>
      </c>
      <c r="CU2239" s="1388" t="s">
        <v>8790</v>
      </c>
      <c r="CV2239" s="1389" t="s">
        <v>12864</v>
      </c>
      <c r="CX2239" s="1379">
        <v>1</v>
      </c>
    </row>
    <row r="2240" spans="91:102" ht="21" customHeight="1" x14ac:dyDescent="0.25">
      <c r="CM2240" s="1377"/>
      <c r="CN2240" s="1388" t="s">
        <v>13037</v>
      </c>
      <c r="CO2240" s="1388" t="s">
        <v>8135</v>
      </c>
      <c r="CP2240" s="1388" t="s">
        <v>8106</v>
      </c>
      <c r="CQ2240" s="1388" t="s">
        <v>13038</v>
      </c>
      <c r="CR2240" s="1388" t="s">
        <v>13038</v>
      </c>
      <c r="CS2240" s="1388" t="s">
        <v>8788</v>
      </c>
      <c r="CT2240" s="1388" t="s">
        <v>8789</v>
      </c>
      <c r="CU2240" s="1388" t="s">
        <v>8790</v>
      </c>
      <c r="CV2240" s="1389" t="s">
        <v>12864</v>
      </c>
      <c r="CX2240" s="1379">
        <v>1</v>
      </c>
    </row>
    <row r="2241" spans="91:102" ht="21" customHeight="1" x14ac:dyDescent="0.25">
      <c r="CM2241" s="1377"/>
      <c r="CN2241" s="1388" t="s">
        <v>13039</v>
      </c>
      <c r="CO2241" s="1388" t="s">
        <v>8135</v>
      </c>
      <c r="CP2241" s="1388" t="s">
        <v>8106</v>
      </c>
      <c r="CQ2241" s="1388" t="s">
        <v>13040</v>
      </c>
      <c r="CR2241" s="1388" t="s">
        <v>13040</v>
      </c>
      <c r="CS2241" s="1388" t="s">
        <v>8788</v>
      </c>
      <c r="CT2241" s="1388" t="s">
        <v>8789</v>
      </c>
      <c r="CU2241" s="1388" t="s">
        <v>8790</v>
      </c>
      <c r="CV2241" s="1389" t="s">
        <v>12864</v>
      </c>
      <c r="CX2241" s="1379">
        <v>1</v>
      </c>
    </row>
    <row r="2242" spans="91:102" ht="21" customHeight="1" x14ac:dyDescent="0.25">
      <c r="CM2242" s="1377"/>
      <c r="CN2242" s="1388" t="s">
        <v>13041</v>
      </c>
      <c r="CO2242" s="1388" t="s">
        <v>8135</v>
      </c>
      <c r="CP2242" s="1388" t="s">
        <v>8106</v>
      </c>
      <c r="CQ2242" s="1388" t="s">
        <v>13042</v>
      </c>
      <c r="CR2242" s="1388" t="s">
        <v>13042</v>
      </c>
      <c r="CS2242" s="1388" t="s">
        <v>8108</v>
      </c>
      <c r="CT2242" s="1388" t="s">
        <v>12892</v>
      </c>
      <c r="CU2242" s="1388" t="s">
        <v>8110</v>
      </c>
      <c r="CV2242" s="1389" t="s">
        <v>8111</v>
      </c>
      <c r="CX2242" s="1379">
        <v>1</v>
      </c>
    </row>
    <row r="2243" spans="91:102" ht="21" customHeight="1" x14ac:dyDescent="0.25">
      <c r="CM2243" s="1377"/>
      <c r="CN2243" s="1388" t="s">
        <v>13043</v>
      </c>
      <c r="CO2243" s="1388" t="s">
        <v>8135</v>
      </c>
      <c r="CP2243" s="1388" t="s">
        <v>8106</v>
      </c>
      <c r="CQ2243" s="1388" t="s">
        <v>13044</v>
      </c>
      <c r="CR2243" s="1388" t="s">
        <v>13044</v>
      </c>
      <c r="CS2243" s="1388" t="s">
        <v>8108</v>
      </c>
      <c r="CT2243" s="1388" t="s">
        <v>12892</v>
      </c>
      <c r="CU2243" s="1388" t="s">
        <v>8110</v>
      </c>
      <c r="CV2243" s="1389" t="s">
        <v>8111</v>
      </c>
      <c r="CX2243" s="1379">
        <v>1</v>
      </c>
    </row>
    <row r="2244" spans="91:102" ht="21" customHeight="1" x14ac:dyDescent="0.25">
      <c r="CM2244" s="1377"/>
      <c r="CN2244" s="1388" t="s">
        <v>13045</v>
      </c>
      <c r="CO2244" s="1388" t="s">
        <v>8135</v>
      </c>
      <c r="CP2244" s="1388" t="s">
        <v>8106</v>
      </c>
      <c r="CQ2244" s="1388" t="s">
        <v>13046</v>
      </c>
      <c r="CR2244" s="1388" t="s">
        <v>13046</v>
      </c>
      <c r="CS2244" s="1388" t="s">
        <v>8788</v>
      </c>
      <c r="CT2244" s="1388" t="s">
        <v>8789</v>
      </c>
      <c r="CU2244" s="1388" t="s">
        <v>8790</v>
      </c>
      <c r="CV2244" s="1389" t="s">
        <v>12864</v>
      </c>
      <c r="CX2244" s="1379">
        <v>1</v>
      </c>
    </row>
    <row r="2245" spans="91:102" ht="21" customHeight="1" x14ac:dyDescent="0.25">
      <c r="CM2245" s="1377"/>
      <c r="CN2245" s="1388" t="s">
        <v>13047</v>
      </c>
      <c r="CO2245" s="1388" t="s">
        <v>8135</v>
      </c>
      <c r="CP2245" s="1388" t="s">
        <v>8106</v>
      </c>
      <c r="CQ2245" s="1388" t="s">
        <v>13048</v>
      </c>
      <c r="CR2245" s="1388" t="s">
        <v>13048</v>
      </c>
      <c r="CS2245" s="1388" t="s">
        <v>8788</v>
      </c>
      <c r="CT2245" s="1388" t="s">
        <v>8789</v>
      </c>
      <c r="CU2245" s="1388" t="s">
        <v>8790</v>
      </c>
      <c r="CV2245" s="1389" t="s">
        <v>12864</v>
      </c>
      <c r="CX2245" s="1379">
        <v>1</v>
      </c>
    </row>
    <row r="2246" spans="91:102" ht="21" customHeight="1" x14ac:dyDescent="0.25">
      <c r="CM2246" s="1377"/>
      <c r="CN2246" s="1388" t="s">
        <v>13049</v>
      </c>
      <c r="CO2246" s="1388" t="s">
        <v>8135</v>
      </c>
      <c r="CP2246" s="1388" t="s">
        <v>8106</v>
      </c>
      <c r="CQ2246" s="1388" t="s">
        <v>13050</v>
      </c>
      <c r="CR2246" s="1388" t="s">
        <v>13050</v>
      </c>
      <c r="CS2246" s="1388" t="s">
        <v>8788</v>
      </c>
      <c r="CT2246" s="1388" t="s">
        <v>8789</v>
      </c>
      <c r="CU2246" s="1388" t="s">
        <v>8790</v>
      </c>
      <c r="CV2246" s="1389" t="s">
        <v>12864</v>
      </c>
      <c r="CX2246" s="1379">
        <v>1</v>
      </c>
    </row>
    <row r="2247" spans="91:102" ht="21" customHeight="1" x14ac:dyDescent="0.25">
      <c r="CM2247" s="1377"/>
      <c r="CN2247" s="1388" t="s">
        <v>13051</v>
      </c>
      <c r="CO2247" s="1388" t="s">
        <v>8135</v>
      </c>
      <c r="CP2247" s="1388" t="s">
        <v>8106</v>
      </c>
      <c r="CQ2247" s="1388" t="s">
        <v>13052</v>
      </c>
      <c r="CR2247" s="1388" t="s">
        <v>13052</v>
      </c>
      <c r="CS2247" s="1388" t="s">
        <v>8788</v>
      </c>
      <c r="CT2247" s="1388" t="s">
        <v>8789</v>
      </c>
      <c r="CU2247" s="1388" t="s">
        <v>8790</v>
      </c>
      <c r="CV2247" s="1389" t="s">
        <v>12864</v>
      </c>
      <c r="CX2247" s="1379">
        <v>1</v>
      </c>
    </row>
    <row r="2248" spans="91:102" ht="21" customHeight="1" x14ac:dyDescent="0.25">
      <c r="CM2248" s="1377"/>
      <c r="CN2248" s="1388" t="s">
        <v>13053</v>
      </c>
      <c r="CO2248" s="1388" t="s">
        <v>8135</v>
      </c>
      <c r="CP2248" s="1388" t="s">
        <v>8106</v>
      </c>
      <c r="CQ2248" s="1388" t="s">
        <v>13054</v>
      </c>
      <c r="CR2248" s="1388" t="s">
        <v>13054</v>
      </c>
      <c r="CS2248" s="1388" t="s">
        <v>8788</v>
      </c>
      <c r="CT2248" s="1388" t="s">
        <v>8789</v>
      </c>
      <c r="CU2248" s="1388" t="s">
        <v>8790</v>
      </c>
      <c r="CV2248" s="1389" t="s">
        <v>12864</v>
      </c>
      <c r="CX2248" s="1379">
        <v>1</v>
      </c>
    </row>
    <row r="2249" spans="91:102" ht="21" customHeight="1" x14ac:dyDescent="0.25">
      <c r="CM2249" s="1377"/>
      <c r="CN2249" s="1388" t="s">
        <v>13055</v>
      </c>
      <c r="CO2249" s="1388" t="s">
        <v>8135</v>
      </c>
      <c r="CP2249" s="1388" t="s">
        <v>8106</v>
      </c>
      <c r="CQ2249" s="1388" t="s">
        <v>13056</v>
      </c>
      <c r="CR2249" s="1388" t="s">
        <v>13057</v>
      </c>
      <c r="CS2249" s="1388" t="s">
        <v>8108</v>
      </c>
      <c r="CT2249" s="1388" t="s">
        <v>12892</v>
      </c>
      <c r="CU2249" s="1388" t="s">
        <v>8110</v>
      </c>
      <c r="CV2249" s="1389" t="s">
        <v>8111</v>
      </c>
      <c r="CX2249" s="1379">
        <v>1</v>
      </c>
    </row>
    <row r="2250" spans="91:102" ht="21" customHeight="1" x14ac:dyDescent="0.25">
      <c r="CM2250" s="1377"/>
      <c r="CN2250" s="1388" t="s">
        <v>13058</v>
      </c>
      <c r="CO2250" s="1388" t="s">
        <v>8135</v>
      </c>
      <c r="CP2250" s="1388" t="s">
        <v>8106</v>
      </c>
      <c r="CQ2250" s="1388" t="s">
        <v>13059</v>
      </c>
      <c r="CR2250" s="1388" t="s">
        <v>13059</v>
      </c>
      <c r="CS2250" s="1388" t="s">
        <v>8788</v>
      </c>
      <c r="CT2250" s="1388" t="s">
        <v>8789</v>
      </c>
      <c r="CU2250" s="1388" t="s">
        <v>8790</v>
      </c>
      <c r="CV2250" s="1389" t="s">
        <v>12864</v>
      </c>
      <c r="CX2250" s="1379">
        <v>1</v>
      </c>
    </row>
    <row r="2251" spans="91:102" ht="21" customHeight="1" x14ac:dyDescent="0.25">
      <c r="CM2251" s="1377"/>
      <c r="CN2251" s="1388" t="s">
        <v>13060</v>
      </c>
      <c r="CO2251" s="1388" t="s">
        <v>8135</v>
      </c>
      <c r="CP2251" s="1388" t="s">
        <v>8106</v>
      </c>
      <c r="CQ2251" s="1388" t="s">
        <v>13061</v>
      </c>
      <c r="CR2251" s="1388" t="s">
        <v>13061</v>
      </c>
      <c r="CS2251" s="1388" t="s">
        <v>8788</v>
      </c>
      <c r="CT2251" s="1388" t="s">
        <v>8789</v>
      </c>
      <c r="CU2251" s="1388" t="s">
        <v>8790</v>
      </c>
      <c r="CV2251" s="1389" t="s">
        <v>12864</v>
      </c>
      <c r="CX2251" s="1379">
        <v>1</v>
      </c>
    </row>
    <row r="2252" spans="91:102" ht="21" customHeight="1" x14ac:dyDescent="0.25">
      <c r="CM2252" s="1377"/>
      <c r="CN2252" s="1388" t="s">
        <v>13062</v>
      </c>
      <c r="CO2252" s="1388" t="s">
        <v>8135</v>
      </c>
      <c r="CP2252" s="1388" t="s">
        <v>8106</v>
      </c>
      <c r="CQ2252" s="1388" t="s">
        <v>13063</v>
      </c>
      <c r="CR2252" s="1388" t="s">
        <v>13063</v>
      </c>
      <c r="CS2252" s="1388" t="s">
        <v>8788</v>
      </c>
      <c r="CT2252" s="1388" t="s">
        <v>8789</v>
      </c>
      <c r="CU2252" s="1388" t="s">
        <v>8790</v>
      </c>
      <c r="CV2252" s="1389" t="s">
        <v>12864</v>
      </c>
      <c r="CX2252" s="1379">
        <v>1</v>
      </c>
    </row>
    <row r="2253" spans="91:102" ht="21" customHeight="1" x14ac:dyDescent="0.25">
      <c r="CM2253" s="1377"/>
      <c r="CN2253" s="1388" t="s">
        <v>13064</v>
      </c>
      <c r="CO2253" s="1388" t="s">
        <v>8135</v>
      </c>
      <c r="CP2253" s="1388" t="s">
        <v>8106</v>
      </c>
      <c r="CQ2253" s="1388" t="s">
        <v>13065</v>
      </c>
      <c r="CR2253" s="1388" t="s">
        <v>13065</v>
      </c>
      <c r="CS2253" s="1388" t="s">
        <v>8788</v>
      </c>
      <c r="CT2253" s="1388" t="s">
        <v>8789</v>
      </c>
      <c r="CU2253" s="1388" t="s">
        <v>8790</v>
      </c>
      <c r="CV2253" s="1389" t="s">
        <v>12864</v>
      </c>
      <c r="CX2253" s="1379">
        <v>1</v>
      </c>
    </row>
    <row r="2254" spans="91:102" ht="21" customHeight="1" x14ac:dyDescent="0.25">
      <c r="CM2254" s="1377"/>
      <c r="CN2254" s="1388" t="s">
        <v>13066</v>
      </c>
      <c r="CO2254" s="1388" t="s">
        <v>8135</v>
      </c>
      <c r="CP2254" s="1388" t="s">
        <v>8106</v>
      </c>
      <c r="CQ2254" s="1388" t="s">
        <v>13067</v>
      </c>
      <c r="CR2254" s="1388" t="s">
        <v>13067</v>
      </c>
      <c r="CS2254" s="1388" t="s">
        <v>8788</v>
      </c>
      <c r="CT2254" s="1388" t="s">
        <v>8789</v>
      </c>
      <c r="CU2254" s="1388" t="s">
        <v>8790</v>
      </c>
      <c r="CV2254" s="1389" t="s">
        <v>12864</v>
      </c>
      <c r="CX2254" s="1379">
        <v>1</v>
      </c>
    </row>
    <row r="2255" spans="91:102" ht="21" customHeight="1" x14ac:dyDescent="0.25">
      <c r="CM2255" s="1377"/>
      <c r="CN2255" s="1388" t="s">
        <v>13068</v>
      </c>
      <c r="CO2255" s="1388" t="s">
        <v>8135</v>
      </c>
      <c r="CP2255" s="1388" t="s">
        <v>8106</v>
      </c>
      <c r="CQ2255" s="1388" t="s">
        <v>13069</v>
      </c>
      <c r="CR2255" s="1388" t="s">
        <v>13069</v>
      </c>
      <c r="CS2255" s="1388" t="s">
        <v>8788</v>
      </c>
      <c r="CT2255" s="1388" t="s">
        <v>8789</v>
      </c>
      <c r="CU2255" s="1388" t="s">
        <v>8790</v>
      </c>
      <c r="CV2255" s="1389" t="s">
        <v>12864</v>
      </c>
      <c r="CX2255" s="1379">
        <v>1</v>
      </c>
    </row>
    <row r="2256" spans="91:102" ht="21" customHeight="1" x14ac:dyDescent="0.25">
      <c r="CM2256" s="1377"/>
      <c r="CN2256" s="1388" t="s">
        <v>13070</v>
      </c>
      <c r="CO2256" s="1388" t="s">
        <v>8135</v>
      </c>
      <c r="CP2256" s="1388" t="s">
        <v>8106</v>
      </c>
      <c r="CQ2256" s="1388" t="s">
        <v>13071</v>
      </c>
      <c r="CR2256" s="1388" t="s">
        <v>13071</v>
      </c>
      <c r="CS2256" s="1388" t="s">
        <v>8788</v>
      </c>
      <c r="CT2256" s="1388" t="s">
        <v>8789</v>
      </c>
      <c r="CU2256" s="1388" t="s">
        <v>8790</v>
      </c>
      <c r="CV2256" s="1389" t="s">
        <v>12864</v>
      </c>
      <c r="CX2256" s="1379">
        <v>1</v>
      </c>
    </row>
    <row r="2257" spans="91:102" ht="21" customHeight="1" x14ac:dyDescent="0.25">
      <c r="CM2257" s="1377"/>
      <c r="CN2257" s="1388" t="s">
        <v>13072</v>
      </c>
      <c r="CO2257" s="1388" t="s">
        <v>8135</v>
      </c>
      <c r="CP2257" s="1388" t="s">
        <v>8106</v>
      </c>
      <c r="CQ2257" s="1388" t="s">
        <v>13073</v>
      </c>
      <c r="CR2257" s="1388" t="s">
        <v>13073</v>
      </c>
      <c r="CS2257" s="1388" t="s">
        <v>8788</v>
      </c>
      <c r="CT2257" s="1388" t="s">
        <v>8789</v>
      </c>
      <c r="CU2257" s="1388" t="s">
        <v>8790</v>
      </c>
      <c r="CV2257" s="1389" t="s">
        <v>12864</v>
      </c>
      <c r="CX2257" s="1379">
        <v>1</v>
      </c>
    </row>
    <row r="2258" spans="91:102" ht="21" customHeight="1" x14ac:dyDescent="0.25">
      <c r="CM2258" s="1377"/>
      <c r="CN2258" s="1388" t="s">
        <v>13074</v>
      </c>
      <c r="CO2258" s="1388" t="s">
        <v>8135</v>
      </c>
      <c r="CP2258" s="1388" t="s">
        <v>8106</v>
      </c>
      <c r="CQ2258" s="1388" t="s">
        <v>13075</v>
      </c>
      <c r="CR2258" s="1388" t="s">
        <v>13075</v>
      </c>
      <c r="CS2258" s="1388" t="s">
        <v>8788</v>
      </c>
      <c r="CT2258" s="1388" t="s">
        <v>8789</v>
      </c>
      <c r="CU2258" s="1388" t="s">
        <v>8790</v>
      </c>
      <c r="CV2258" s="1389" t="s">
        <v>12864</v>
      </c>
      <c r="CX2258" s="1379">
        <v>1</v>
      </c>
    </row>
    <row r="2259" spans="91:102" ht="21" customHeight="1" x14ac:dyDescent="0.25">
      <c r="CM2259" s="1377"/>
      <c r="CN2259" s="1388" t="s">
        <v>13076</v>
      </c>
      <c r="CO2259" s="1388" t="s">
        <v>8135</v>
      </c>
      <c r="CP2259" s="1388" t="s">
        <v>8106</v>
      </c>
      <c r="CQ2259" s="1388" t="s">
        <v>13077</v>
      </c>
      <c r="CR2259" s="1388" t="s">
        <v>13077</v>
      </c>
      <c r="CS2259" s="1388" t="s">
        <v>8788</v>
      </c>
      <c r="CT2259" s="1388" t="s">
        <v>8789</v>
      </c>
      <c r="CU2259" s="1388" t="s">
        <v>8790</v>
      </c>
      <c r="CV2259" s="1389" t="s">
        <v>12864</v>
      </c>
      <c r="CX2259" s="1379">
        <v>1</v>
      </c>
    </row>
    <row r="2260" spans="91:102" ht="21" customHeight="1" x14ac:dyDescent="0.25">
      <c r="CM2260" s="1377"/>
      <c r="CN2260" s="1388" t="s">
        <v>13078</v>
      </c>
      <c r="CO2260" s="1388" t="s">
        <v>8135</v>
      </c>
      <c r="CP2260" s="1388" t="s">
        <v>8106</v>
      </c>
      <c r="CQ2260" s="1388" t="s">
        <v>13079</v>
      </c>
      <c r="CR2260" s="1388" t="s">
        <v>13079</v>
      </c>
      <c r="CS2260" s="1388" t="s">
        <v>8788</v>
      </c>
      <c r="CT2260" s="1388" t="s">
        <v>8789</v>
      </c>
      <c r="CU2260" s="1388" t="s">
        <v>8790</v>
      </c>
      <c r="CV2260" s="1389" t="s">
        <v>12864</v>
      </c>
      <c r="CX2260" s="1379">
        <v>1</v>
      </c>
    </row>
    <row r="2261" spans="91:102" ht="21" customHeight="1" x14ac:dyDescent="0.25">
      <c r="CM2261" s="1377"/>
      <c r="CN2261" s="1388" t="s">
        <v>13080</v>
      </c>
      <c r="CO2261" s="1388" t="s">
        <v>8135</v>
      </c>
      <c r="CP2261" s="1388" t="s">
        <v>8106</v>
      </c>
      <c r="CQ2261" s="1388" t="s">
        <v>13081</v>
      </c>
      <c r="CR2261" s="1388" t="s">
        <v>13082</v>
      </c>
      <c r="CS2261" s="1388" t="s">
        <v>8108</v>
      </c>
      <c r="CT2261" s="1388" t="s">
        <v>12892</v>
      </c>
      <c r="CU2261" s="1388" t="s">
        <v>8110</v>
      </c>
      <c r="CV2261" s="1389" t="s">
        <v>8111</v>
      </c>
      <c r="CX2261" s="1379">
        <v>1</v>
      </c>
    </row>
    <row r="2262" spans="91:102" ht="21" customHeight="1" x14ac:dyDescent="0.25">
      <c r="CM2262" s="1377"/>
      <c r="CN2262" s="1388" t="s">
        <v>13083</v>
      </c>
      <c r="CO2262" s="1388" t="s">
        <v>8135</v>
      </c>
      <c r="CP2262" s="1388" t="s">
        <v>8106</v>
      </c>
      <c r="CQ2262" s="1388" t="s">
        <v>13084</v>
      </c>
      <c r="CR2262" s="1388" t="s">
        <v>13084</v>
      </c>
      <c r="CS2262" s="1388" t="s">
        <v>8788</v>
      </c>
      <c r="CT2262" s="1388" t="s">
        <v>8789</v>
      </c>
      <c r="CU2262" s="1388" t="s">
        <v>8790</v>
      </c>
      <c r="CV2262" s="1389" t="s">
        <v>12864</v>
      </c>
      <c r="CX2262" s="1379">
        <v>1</v>
      </c>
    </row>
    <row r="2263" spans="91:102" ht="21" customHeight="1" x14ac:dyDescent="0.25">
      <c r="CM2263" s="1377"/>
      <c r="CN2263" s="1388" t="s">
        <v>13085</v>
      </c>
      <c r="CO2263" s="1388" t="s">
        <v>8135</v>
      </c>
      <c r="CP2263" s="1388" t="s">
        <v>8106</v>
      </c>
      <c r="CQ2263" s="1388" t="s">
        <v>13086</v>
      </c>
      <c r="CR2263" s="1388" t="s">
        <v>13086</v>
      </c>
      <c r="CS2263" s="1388" t="s">
        <v>8788</v>
      </c>
      <c r="CT2263" s="1388" t="s">
        <v>8789</v>
      </c>
      <c r="CU2263" s="1388" t="s">
        <v>8790</v>
      </c>
      <c r="CV2263" s="1389" t="s">
        <v>12864</v>
      </c>
      <c r="CX2263" s="1379">
        <v>1</v>
      </c>
    </row>
    <row r="2264" spans="91:102" ht="21" customHeight="1" x14ac:dyDescent="0.25">
      <c r="CM2264" s="1377"/>
      <c r="CN2264" s="1388" t="s">
        <v>13087</v>
      </c>
      <c r="CO2264" s="1388" t="s">
        <v>8135</v>
      </c>
      <c r="CP2264" s="1388" t="s">
        <v>8106</v>
      </c>
      <c r="CQ2264" s="1388" t="s">
        <v>13088</v>
      </c>
      <c r="CR2264" s="1388" t="s">
        <v>13088</v>
      </c>
      <c r="CS2264" s="1388" t="s">
        <v>8108</v>
      </c>
      <c r="CT2264" s="1388" t="s">
        <v>12892</v>
      </c>
      <c r="CU2264" s="1388" t="s">
        <v>8110</v>
      </c>
      <c r="CV2264" s="1389" t="s">
        <v>8111</v>
      </c>
      <c r="CX2264" s="1379">
        <v>1</v>
      </c>
    </row>
    <row r="2265" spans="91:102" ht="21" customHeight="1" x14ac:dyDescent="0.25">
      <c r="CM2265" s="1377"/>
      <c r="CN2265" s="1388" t="s">
        <v>13089</v>
      </c>
      <c r="CO2265" s="1388" t="s">
        <v>8135</v>
      </c>
      <c r="CP2265" s="1388" t="s">
        <v>8106</v>
      </c>
      <c r="CQ2265" s="1388" t="s">
        <v>13090</v>
      </c>
      <c r="CR2265" s="1388" t="s">
        <v>13090</v>
      </c>
      <c r="CS2265" s="1388" t="s">
        <v>8788</v>
      </c>
      <c r="CT2265" s="1388" t="s">
        <v>8789</v>
      </c>
      <c r="CU2265" s="1388" t="s">
        <v>8790</v>
      </c>
      <c r="CV2265" s="1389" t="s">
        <v>12864</v>
      </c>
      <c r="CX2265" s="1379">
        <v>1</v>
      </c>
    </row>
    <row r="2266" spans="91:102" ht="21" customHeight="1" x14ac:dyDescent="0.25">
      <c r="CM2266" s="1377"/>
      <c r="CN2266" s="1388" t="s">
        <v>13091</v>
      </c>
      <c r="CO2266" s="1388" t="s">
        <v>8135</v>
      </c>
      <c r="CP2266" s="1388" t="s">
        <v>8106</v>
      </c>
      <c r="CQ2266" s="1388" t="s">
        <v>13092</v>
      </c>
      <c r="CR2266" s="1388" t="s">
        <v>13092</v>
      </c>
      <c r="CS2266" s="1388" t="s">
        <v>8788</v>
      </c>
      <c r="CT2266" s="1388" t="s">
        <v>8789</v>
      </c>
      <c r="CU2266" s="1388" t="s">
        <v>8790</v>
      </c>
      <c r="CV2266" s="1389" t="s">
        <v>12864</v>
      </c>
      <c r="CX2266" s="1379">
        <v>1</v>
      </c>
    </row>
    <row r="2267" spans="91:102" ht="21" customHeight="1" x14ac:dyDescent="0.25">
      <c r="CM2267" s="1377"/>
      <c r="CN2267" s="1388" t="s">
        <v>13093</v>
      </c>
      <c r="CO2267" s="1388" t="s">
        <v>8135</v>
      </c>
      <c r="CP2267" s="1388" t="s">
        <v>8106</v>
      </c>
      <c r="CQ2267" s="1388" t="s">
        <v>13094</v>
      </c>
      <c r="CR2267" s="1388" t="s">
        <v>13094</v>
      </c>
      <c r="CS2267" s="1388" t="s">
        <v>8788</v>
      </c>
      <c r="CT2267" s="1388" t="s">
        <v>8789</v>
      </c>
      <c r="CU2267" s="1388" t="s">
        <v>8790</v>
      </c>
      <c r="CV2267" s="1389" t="s">
        <v>12864</v>
      </c>
      <c r="CX2267" s="1379">
        <v>1</v>
      </c>
    </row>
    <row r="2268" spans="91:102" ht="21" customHeight="1" x14ac:dyDescent="0.25">
      <c r="CM2268" s="1377"/>
      <c r="CN2268" s="1388" t="s">
        <v>13095</v>
      </c>
      <c r="CO2268" s="1388" t="s">
        <v>8135</v>
      </c>
      <c r="CP2268" s="1388" t="s">
        <v>8106</v>
      </c>
      <c r="CQ2268" s="1388" t="s">
        <v>13096</v>
      </c>
      <c r="CR2268" s="1388" t="s">
        <v>13096</v>
      </c>
      <c r="CS2268" s="1388" t="s">
        <v>8788</v>
      </c>
      <c r="CT2268" s="1388" t="s">
        <v>8789</v>
      </c>
      <c r="CU2268" s="1388" t="s">
        <v>8790</v>
      </c>
      <c r="CV2268" s="1389" t="s">
        <v>12864</v>
      </c>
      <c r="CX2268" s="1379">
        <v>1</v>
      </c>
    </row>
    <row r="2269" spans="91:102" ht="21" customHeight="1" x14ac:dyDescent="0.25">
      <c r="CM2269" s="1377"/>
      <c r="CN2269" s="1388" t="s">
        <v>13097</v>
      </c>
      <c r="CO2269" s="1388" t="s">
        <v>8135</v>
      </c>
      <c r="CP2269" s="1388" t="s">
        <v>8106</v>
      </c>
      <c r="CQ2269" s="1388" t="s">
        <v>13098</v>
      </c>
      <c r="CR2269" s="1388" t="s">
        <v>13098</v>
      </c>
      <c r="CS2269" s="1388" t="s">
        <v>8788</v>
      </c>
      <c r="CT2269" s="1388" t="s">
        <v>8789</v>
      </c>
      <c r="CU2269" s="1388" t="s">
        <v>8790</v>
      </c>
      <c r="CV2269" s="1389" t="s">
        <v>12864</v>
      </c>
      <c r="CX2269" s="1379">
        <v>1</v>
      </c>
    </row>
    <row r="2270" spans="91:102" ht="21" customHeight="1" x14ac:dyDescent="0.25">
      <c r="CM2270" s="1377"/>
      <c r="CN2270" s="1388" t="s">
        <v>13099</v>
      </c>
      <c r="CO2270" s="1388" t="s">
        <v>8135</v>
      </c>
      <c r="CP2270" s="1388" t="s">
        <v>8106</v>
      </c>
      <c r="CQ2270" s="1388" t="s">
        <v>13100</v>
      </c>
      <c r="CR2270" s="1388" t="s">
        <v>13100</v>
      </c>
      <c r="CS2270" s="1388" t="s">
        <v>8788</v>
      </c>
      <c r="CT2270" s="1388" t="s">
        <v>8789</v>
      </c>
      <c r="CU2270" s="1388" t="s">
        <v>8790</v>
      </c>
      <c r="CV2270" s="1389" t="s">
        <v>12864</v>
      </c>
      <c r="CX2270" s="1379">
        <v>1</v>
      </c>
    </row>
    <row r="2271" spans="91:102" ht="21" customHeight="1" x14ac:dyDescent="0.25">
      <c r="CM2271" s="1377"/>
      <c r="CN2271" s="1388" t="s">
        <v>13101</v>
      </c>
      <c r="CO2271" s="1388" t="s">
        <v>8135</v>
      </c>
      <c r="CP2271" s="1388" t="s">
        <v>8106</v>
      </c>
      <c r="CQ2271" s="1388" t="s">
        <v>13102</v>
      </c>
      <c r="CR2271" s="1388" t="s">
        <v>13102</v>
      </c>
      <c r="CS2271" s="1388" t="s">
        <v>8788</v>
      </c>
      <c r="CT2271" s="1388" t="s">
        <v>8789</v>
      </c>
      <c r="CU2271" s="1388" t="s">
        <v>8790</v>
      </c>
      <c r="CV2271" s="1389" t="s">
        <v>12864</v>
      </c>
      <c r="CX2271" s="1379">
        <v>1</v>
      </c>
    </row>
    <row r="2272" spans="91:102" ht="21" customHeight="1" x14ac:dyDescent="0.25">
      <c r="CM2272" s="1377"/>
      <c r="CN2272" s="1388" t="s">
        <v>13103</v>
      </c>
      <c r="CO2272" s="1388" t="s">
        <v>8135</v>
      </c>
      <c r="CP2272" s="1388" t="s">
        <v>8106</v>
      </c>
      <c r="CQ2272" s="1388" t="s">
        <v>13104</v>
      </c>
      <c r="CR2272" s="1388" t="s">
        <v>13104</v>
      </c>
      <c r="CS2272" s="1388" t="s">
        <v>8788</v>
      </c>
      <c r="CT2272" s="1388" t="s">
        <v>8789</v>
      </c>
      <c r="CU2272" s="1388" t="s">
        <v>8790</v>
      </c>
      <c r="CV2272" s="1389" t="s">
        <v>12864</v>
      </c>
      <c r="CX2272" s="1379">
        <v>1</v>
      </c>
    </row>
    <row r="2273" spans="91:102" ht="21" customHeight="1" x14ac:dyDescent="0.25">
      <c r="CM2273" s="1377"/>
      <c r="CN2273" s="1388" t="s">
        <v>13105</v>
      </c>
      <c r="CO2273" s="1388" t="s">
        <v>8135</v>
      </c>
      <c r="CP2273" s="1388" t="s">
        <v>8106</v>
      </c>
      <c r="CQ2273" s="1388" t="s">
        <v>13106</v>
      </c>
      <c r="CR2273" s="1388" t="s">
        <v>13106</v>
      </c>
      <c r="CS2273" s="1388" t="s">
        <v>8788</v>
      </c>
      <c r="CT2273" s="1388" t="s">
        <v>8789</v>
      </c>
      <c r="CU2273" s="1388" t="s">
        <v>8790</v>
      </c>
      <c r="CV2273" s="1389" t="s">
        <v>12864</v>
      </c>
      <c r="CX2273" s="1379">
        <v>1</v>
      </c>
    </row>
    <row r="2274" spans="91:102" ht="21" customHeight="1" x14ac:dyDescent="0.25">
      <c r="CM2274" s="1377"/>
      <c r="CN2274" s="1388" t="s">
        <v>13107</v>
      </c>
      <c r="CO2274" s="1388" t="s">
        <v>8135</v>
      </c>
      <c r="CP2274" s="1388" t="s">
        <v>8106</v>
      </c>
      <c r="CQ2274" s="1388" t="s">
        <v>13108</v>
      </c>
      <c r="CR2274" s="1388" t="s">
        <v>13108</v>
      </c>
      <c r="CS2274" s="1388" t="s">
        <v>8788</v>
      </c>
      <c r="CT2274" s="1388" t="s">
        <v>8789</v>
      </c>
      <c r="CU2274" s="1388" t="s">
        <v>8790</v>
      </c>
      <c r="CV2274" s="1389" t="s">
        <v>12864</v>
      </c>
      <c r="CX2274" s="1379">
        <v>1</v>
      </c>
    </row>
    <row r="2275" spans="91:102" ht="21" customHeight="1" x14ac:dyDescent="0.25">
      <c r="CM2275" s="1377"/>
      <c r="CN2275" s="1388" t="s">
        <v>13109</v>
      </c>
      <c r="CO2275" s="1388" t="s">
        <v>8135</v>
      </c>
      <c r="CP2275" s="1388" t="s">
        <v>8106</v>
      </c>
      <c r="CQ2275" s="1388" t="s">
        <v>13110</v>
      </c>
      <c r="CR2275" s="1388" t="s">
        <v>13110</v>
      </c>
      <c r="CS2275" s="1388" t="s">
        <v>8788</v>
      </c>
      <c r="CT2275" s="1388" t="s">
        <v>8789</v>
      </c>
      <c r="CU2275" s="1388" t="s">
        <v>8790</v>
      </c>
      <c r="CV2275" s="1389" t="s">
        <v>12864</v>
      </c>
      <c r="CX2275" s="1379">
        <v>1</v>
      </c>
    </row>
    <row r="2276" spans="91:102" ht="21" customHeight="1" x14ac:dyDescent="0.25">
      <c r="CM2276" s="1377"/>
      <c r="CN2276" s="1388" t="s">
        <v>13111</v>
      </c>
      <c r="CO2276" s="1388" t="s">
        <v>8135</v>
      </c>
      <c r="CP2276" s="1388" t="s">
        <v>8106</v>
      </c>
      <c r="CQ2276" s="1388" t="s">
        <v>13112</v>
      </c>
      <c r="CR2276" s="1388" t="s">
        <v>13112</v>
      </c>
      <c r="CS2276" s="1388" t="s">
        <v>8788</v>
      </c>
      <c r="CT2276" s="1388" t="s">
        <v>8789</v>
      </c>
      <c r="CU2276" s="1388" t="s">
        <v>8790</v>
      </c>
      <c r="CV2276" s="1389" t="s">
        <v>12864</v>
      </c>
      <c r="CX2276" s="1379">
        <v>1</v>
      </c>
    </row>
    <row r="2277" spans="91:102" ht="21" customHeight="1" x14ac:dyDescent="0.25">
      <c r="CM2277" s="1377"/>
      <c r="CN2277" s="1388" t="s">
        <v>13113</v>
      </c>
      <c r="CO2277" s="1388" t="s">
        <v>8135</v>
      </c>
      <c r="CP2277" s="1388" t="s">
        <v>8106</v>
      </c>
      <c r="CQ2277" s="1388" t="s">
        <v>13114</v>
      </c>
      <c r="CR2277" s="1388" t="s">
        <v>13114</v>
      </c>
      <c r="CS2277" s="1388" t="s">
        <v>8788</v>
      </c>
      <c r="CT2277" s="1388" t="s">
        <v>8789</v>
      </c>
      <c r="CU2277" s="1388" t="s">
        <v>8790</v>
      </c>
      <c r="CV2277" s="1389" t="s">
        <v>12864</v>
      </c>
      <c r="CX2277" s="1379">
        <v>1</v>
      </c>
    </row>
    <row r="2278" spans="91:102" ht="21" customHeight="1" x14ac:dyDescent="0.25">
      <c r="CM2278" s="1377"/>
      <c r="CN2278" s="1388" t="s">
        <v>13115</v>
      </c>
      <c r="CO2278" s="1388" t="s">
        <v>8135</v>
      </c>
      <c r="CP2278" s="1388" t="s">
        <v>8106</v>
      </c>
      <c r="CQ2278" s="1388" t="s">
        <v>13116</v>
      </c>
      <c r="CR2278" s="1388" t="s">
        <v>13116</v>
      </c>
      <c r="CS2278" s="1388" t="s">
        <v>8194</v>
      </c>
      <c r="CT2278" s="1388" t="s">
        <v>8195</v>
      </c>
      <c r="CU2278" s="1388" t="s">
        <v>8110</v>
      </c>
      <c r="CV2278" s="1389" t="s">
        <v>8196</v>
      </c>
      <c r="CX2278" s="1379">
        <v>1</v>
      </c>
    </row>
    <row r="2279" spans="91:102" ht="21" customHeight="1" x14ac:dyDescent="0.25">
      <c r="CM2279" s="1377"/>
      <c r="CN2279" s="1388" t="s">
        <v>13117</v>
      </c>
      <c r="CO2279" s="1388" t="s">
        <v>8135</v>
      </c>
      <c r="CP2279" s="1388" t="s">
        <v>8106</v>
      </c>
      <c r="CQ2279" s="1388" t="s">
        <v>13118</v>
      </c>
      <c r="CR2279" s="1388" t="s">
        <v>13118</v>
      </c>
      <c r="CS2279" s="1388" t="s">
        <v>8194</v>
      </c>
      <c r="CT2279" s="1388" t="s">
        <v>8195</v>
      </c>
      <c r="CU2279" s="1388" t="s">
        <v>8110</v>
      </c>
      <c r="CV2279" s="1389" t="s">
        <v>8196</v>
      </c>
      <c r="CX2279" s="1379">
        <v>1</v>
      </c>
    </row>
    <row r="2280" spans="91:102" ht="21" customHeight="1" x14ac:dyDescent="0.25">
      <c r="CM2280" s="1377"/>
      <c r="CN2280" s="1388" t="s">
        <v>13119</v>
      </c>
      <c r="CO2280" s="1388" t="s">
        <v>8135</v>
      </c>
      <c r="CP2280" s="1388" t="s">
        <v>8106</v>
      </c>
      <c r="CQ2280" s="1388" t="s">
        <v>13120</v>
      </c>
      <c r="CR2280" s="1388" t="s">
        <v>13120</v>
      </c>
      <c r="CS2280" s="1388" t="s">
        <v>8108</v>
      </c>
      <c r="CT2280" s="1388" t="s">
        <v>12892</v>
      </c>
      <c r="CU2280" s="1388" t="s">
        <v>8110</v>
      </c>
      <c r="CV2280" s="1389" t="s">
        <v>8111</v>
      </c>
      <c r="CX2280" s="1379">
        <v>1</v>
      </c>
    </row>
    <row r="2281" spans="91:102" ht="21" customHeight="1" x14ac:dyDescent="0.25">
      <c r="CM2281" s="1377"/>
      <c r="CN2281" s="1388" t="s">
        <v>13121</v>
      </c>
      <c r="CO2281" s="1388" t="s">
        <v>8135</v>
      </c>
      <c r="CP2281" s="1388" t="s">
        <v>8106</v>
      </c>
      <c r="CQ2281" s="1388" t="s">
        <v>13122</v>
      </c>
      <c r="CR2281" s="1388" t="s">
        <v>13122</v>
      </c>
      <c r="CS2281" s="1388" t="s">
        <v>8108</v>
      </c>
      <c r="CT2281" s="1388" t="s">
        <v>12892</v>
      </c>
      <c r="CU2281" s="1388" t="s">
        <v>8110</v>
      </c>
      <c r="CV2281" s="1389" t="s">
        <v>8111</v>
      </c>
      <c r="CX2281" s="1379">
        <v>1</v>
      </c>
    </row>
    <row r="2282" spans="91:102" ht="21" customHeight="1" x14ac:dyDescent="0.25">
      <c r="CM2282" s="1377"/>
      <c r="CN2282" s="1388" t="s">
        <v>13123</v>
      </c>
      <c r="CO2282" s="1388" t="s">
        <v>8135</v>
      </c>
      <c r="CP2282" s="1388" t="s">
        <v>8106</v>
      </c>
      <c r="CQ2282" s="1388" t="s">
        <v>13124</v>
      </c>
      <c r="CR2282" s="1388" t="s">
        <v>13124</v>
      </c>
      <c r="CS2282" s="1388" t="s">
        <v>8788</v>
      </c>
      <c r="CT2282" s="1388" t="s">
        <v>8789</v>
      </c>
      <c r="CU2282" s="1388" t="s">
        <v>8790</v>
      </c>
      <c r="CV2282" s="1389" t="s">
        <v>12864</v>
      </c>
      <c r="CX2282" s="1379">
        <v>1</v>
      </c>
    </row>
    <row r="2283" spans="91:102" ht="21" customHeight="1" x14ac:dyDescent="0.25">
      <c r="CM2283" s="1377"/>
      <c r="CN2283" s="1388" t="s">
        <v>13125</v>
      </c>
      <c r="CO2283" s="1388" t="s">
        <v>8135</v>
      </c>
      <c r="CP2283" s="1388" t="s">
        <v>8106</v>
      </c>
      <c r="CQ2283" s="1388" t="s">
        <v>13126</v>
      </c>
      <c r="CR2283" s="1388" t="s">
        <v>13126</v>
      </c>
      <c r="CS2283" s="1388" t="s">
        <v>8788</v>
      </c>
      <c r="CT2283" s="1388" t="s">
        <v>8789</v>
      </c>
      <c r="CU2283" s="1388" t="s">
        <v>8790</v>
      </c>
      <c r="CV2283" s="1389" t="s">
        <v>12864</v>
      </c>
      <c r="CX2283" s="1379">
        <v>1</v>
      </c>
    </row>
    <row r="2284" spans="91:102" ht="21" customHeight="1" x14ac:dyDescent="0.25">
      <c r="CM2284" s="1377"/>
      <c r="CN2284" s="1388" t="s">
        <v>13127</v>
      </c>
      <c r="CO2284" s="1388" t="s">
        <v>8135</v>
      </c>
      <c r="CP2284" s="1388" t="s">
        <v>8106</v>
      </c>
      <c r="CQ2284" s="1388" t="s">
        <v>13128</v>
      </c>
      <c r="CR2284" s="1388" t="s">
        <v>13128</v>
      </c>
      <c r="CS2284" s="1388" t="s">
        <v>8788</v>
      </c>
      <c r="CT2284" s="1388" t="s">
        <v>8789</v>
      </c>
      <c r="CU2284" s="1388" t="s">
        <v>8790</v>
      </c>
      <c r="CV2284" s="1389" t="s">
        <v>12864</v>
      </c>
      <c r="CX2284" s="1379">
        <v>1</v>
      </c>
    </row>
    <row r="2285" spans="91:102" ht="21" customHeight="1" x14ac:dyDescent="0.25">
      <c r="CM2285" s="1377"/>
      <c r="CN2285" s="1388" t="s">
        <v>13129</v>
      </c>
      <c r="CO2285" s="1388" t="s">
        <v>8135</v>
      </c>
      <c r="CP2285" s="1388" t="s">
        <v>8106</v>
      </c>
      <c r="CQ2285" s="1388" t="s">
        <v>13130</v>
      </c>
      <c r="CR2285" s="1388" t="s">
        <v>13130</v>
      </c>
      <c r="CS2285" s="1388" t="s">
        <v>8788</v>
      </c>
      <c r="CT2285" s="1388" t="s">
        <v>8789</v>
      </c>
      <c r="CU2285" s="1388" t="s">
        <v>8790</v>
      </c>
      <c r="CV2285" s="1389" t="s">
        <v>12864</v>
      </c>
      <c r="CX2285" s="1379">
        <v>1</v>
      </c>
    </row>
    <row r="2286" spans="91:102" ht="21" customHeight="1" x14ac:dyDescent="0.25">
      <c r="CM2286" s="1377"/>
      <c r="CN2286" s="1388" t="s">
        <v>13131</v>
      </c>
      <c r="CO2286" s="1388" t="s">
        <v>8135</v>
      </c>
      <c r="CP2286" s="1388" t="s">
        <v>8106</v>
      </c>
      <c r="CQ2286" s="1388" t="s">
        <v>13132</v>
      </c>
      <c r="CR2286" s="1388" t="s">
        <v>13132</v>
      </c>
      <c r="CS2286" s="1388" t="s">
        <v>8788</v>
      </c>
      <c r="CT2286" s="1388" t="s">
        <v>8789</v>
      </c>
      <c r="CU2286" s="1388" t="s">
        <v>8790</v>
      </c>
      <c r="CV2286" s="1389" t="s">
        <v>12864</v>
      </c>
      <c r="CX2286" s="1379">
        <v>1</v>
      </c>
    </row>
    <row r="2287" spans="91:102" ht="21" customHeight="1" x14ac:dyDescent="0.25">
      <c r="CM2287" s="1377"/>
      <c r="CN2287" s="1388" t="s">
        <v>13133</v>
      </c>
      <c r="CO2287" s="1388" t="s">
        <v>8135</v>
      </c>
      <c r="CP2287" s="1388" t="s">
        <v>8106</v>
      </c>
      <c r="CQ2287" s="1388" t="s">
        <v>13134</v>
      </c>
      <c r="CR2287" s="1388" t="s">
        <v>13134</v>
      </c>
      <c r="CS2287" s="1388" t="s">
        <v>8788</v>
      </c>
      <c r="CT2287" s="1388" t="s">
        <v>8789</v>
      </c>
      <c r="CU2287" s="1388" t="s">
        <v>8790</v>
      </c>
      <c r="CV2287" s="1389" t="s">
        <v>12864</v>
      </c>
      <c r="CX2287" s="1379">
        <v>1</v>
      </c>
    </row>
    <row r="2288" spans="91:102" ht="21" customHeight="1" x14ac:dyDescent="0.25">
      <c r="CM2288" s="1377"/>
      <c r="CN2288" s="1388" t="s">
        <v>13135</v>
      </c>
      <c r="CO2288" s="1388" t="s">
        <v>8135</v>
      </c>
      <c r="CP2288" s="1388" t="s">
        <v>8106</v>
      </c>
      <c r="CQ2288" s="1388" t="s">
        <v>13136</v>
      </c>
      <c r="CR2288" s="1388" t="s">
        <v>13136</v>
      </c>
      <c r="CS2288" s="1388" t="s">
        <v>8788</v>
      </c>
      <c r="CT2288" s="1388" t="s">
        <v>8789</v>
      </c>
      <c r="CU2288" s="1388" t="s">
        <v>8790</v>
      </c>
      <c r="CV2288" s="1389" t="s">
        <v>12864</v>
      </c>
      <c r="CX2288" s="1379">
        <v>1</v>
      </c>
    </row>
    <row r="2289" spans="91:102" ht="21" customHeight="1" x14ac:dyDescent="0.25">
      <c r="CM2289" s="1377"/>
      <c r="CN2289" s="1388" t="s">
        <v>13137</v>
      </c>
      <c r="CO2289" s="1388" t="s">
        <v>8135</v>
      </c>
      <c r="CP2289" s="1388" t="s">
        <v>8106</v>
      </c>
      <c r="CQ2289" s="1388" t="s">
        <v>13138</v>
      </c>
      <c r="CR2289" s="1388" t="s">
        <v>13138</v>
      </c>
      <c r="CS2289" s="1388" t="s">
        <v>8788</v>
      </c>
      <c r="CT2289" s="1388" t="s">
        <v>8789</v>
      </c>
      <c r="CU2289" s="1388" t="s">
        <v>8790</v>
      </c>
      <c r="CV2289" s="1389" t="s">
        <v>12864</v>
      </c>
      <c r="CX2289" s="1379">
        <v>1</v>
      </c>
    </row>
    <row r="2290" spans="91:102" ht="21" customHeight="1" x14ac:dyDescent="0.25">
      <c r="CM2290" s="1377"/>
      <c r="CN2290" s="1388" t="s">
        <v>13139</v>
      </c>
      <c r="CO2290" s="1388" t="s">
        <v>8135</v>
      </c>
      <c r="CP2290" s="1388" t="s">
        <v>8106</v>
      </c>
      <c r="CQ2290" s="1388" t="s">
        <v>13140</v>
      </c>
      <c r="CR2290" s="1388" t="s">
        <v>13140</v>
      </c>
      <c r="CS2290" s="1388" t="s">
        <v>8788</v>
      </c>
      <c r="CT2290" s="1388" t="s">
        <v>8789</v>
      </c>
      <c r="CU2290" s="1388" t="s">
        <v>8790</v>
      </c>
      <c r="CV2290" s="1389" t="s">
        <v>12864</v>
      </c>
      <c r="CX2290" s="1379">
        <v>1</v>
      </c>
    </row>
    <row r="2291" spans="91:102" ht="21" customHeight="1" x14ac:dyDescent="0.25">
      <c r="CM2291" s="1377"/>
      <c r="CN2291" s="1388" t="s">
        <v>13141</v>
      </c>
      <c r="CO2291" s="1388" t="s">
        <v>8135</v>
      </c>
      <c r="CP2291" s="1388" t="s">
        <v>8106</v>
      </c>
      <c r="CQ2291" s="1388" t="s">
        <v>13142</v>
      </c>
      <c r="CR2291" s="1388" t="s">
        <v>13142</v>
      </c>
      <c r="CS2291" s="1388" t="s">
        <v>8788</v>
      </c>
      <c r="CT2291" s="1388" t="s">
        <v>8789</v>
      </c>
      <c r="CU2291" s="1388" t="s">
        <v>8790</v>
      </c>
      <c r="CV2291" s="1389" t="s">
        <v>12864</v>
      </c>
      <c r="CX2291" s="1379">
        <v>1</v>
      </c>
    </row>
    <row r="2292" spans="91:102" ht="21" customHeight="1" x14ac:dyDescent="0.25">
      <c r="CM2292" s="1377"/>
      <c r="CN2292" s="1388" t="s">
        <v>13143</v>
      </c>
      <c r="CO2292" s="1388" t="s">
        <v>8135</v>
      </c>
      <c r="CP2292" s="1388" t="s">
        <v>8106</v>
      </c>
      <c r="CQ2292" s="1388" t="s">
        <v>13144</v>
      </c>
      <c r="CR2292" s="1388" t="s">
        <v>13144</v>
      </c>
      <c r="CS2292" s="1388" t="s">
        <v>8788</v>
      </c>
      <c r="CT2292" s="1388" t="s">
        <v>8789</v>
      </c>
      <c r="CU2292" s="1388" t="s">
        <v>8790</v>
      </c>
      <c r="CV2292" s="1389" t="s">
        <v>12864</v>
      </c>
      <c r="CX2292" s="1379">
        <v>1</v>
      </c>
    </row>
    <row r="2293" spans="91:102" ht="21" customHeight="1" x14ac:dyDescent="0.25">
      <c r="CM2293" s="1377"/>
      <c r="CN2293" s="1388" t="s">
        <v>13145</v>
      </c>
      <c r="CO2293" s="1388" t="s">
        <v>8135</v>
      </c>
      <c r="CP2293" s="1388" t="s">
        <v>8106</v>
      </c>
      <c r="CQ2293" s="1388" t="s">
        <v>2608</v>
      </c>
      <c r="CR2293" s="1388" t="s">
        <v>2608</v>
      </c>
      <c r="CS2293" s="1388" t="s">
        <v>8108</v>
      </c>
      <c r="CT2293" s="1388" t="s">
        <v>12892</v>
      </c>
      <c r="CU2293" s="1388" t="s">
        <v>8110</v>
      </c>
      <c r="CV2293" s="1389" t="s">
        <v>8111</v>
      </c>
      <c r="CX2293" s="1379">
        <v>1</v>
      </c>
    </row>
    <row r="2294" spans="91:102" ht="21" customHeight="1" x14ac:dyDescent="0.25">
      <c r="CM2294" s="1377"/>
      <c r="CN2294" s="1388" t="s">
        <v>13146</v>
      </c>
      <c r="CO2294" s="1388" t="s">
        <v>8135</v>
      </c>
      <c r="CP2294" s="1388" t="s">
        <v>8106</v>
      </c>
      <c r="CQ2294" s="1388" t="s">
        <v>13147</v>
      </c>
      <c r="CR2294" s="1388" t="s">
        <v>13147</v>
      </c>
      <c r="CS2294" s="1388" t="s">
        <v>8788</v>
      </c>
      <c r="CT2294" s="1388" t="s">
        <v>8789</v>
      </c>
      <c r="CU2294" s="1388" t="s">
        <v>8790</v>
      </c>
      <c r="CV2294" s="1389" t="s">
        <v>12864</v>
      </c>
      <c r="CX2294" s="1379">
        <v>1</v>
      </c>
    </row>
    <row r="2295" spans="91:102" ht="21" customHeight="1" x14ac:dyDescent="0.25">
      <c r="CM2295" s="1377"/>
      <c r="CN2295" s="1388" t="s">
        <v>13148</v>
      </c>
      <c r="CO2295" s="1388" t="s">
        <v>8135</v>
      </c>
      <c r="CP2295" s="1388" t="s">
        <v>8106</v>
      </c>
      <c r="CQ2295" s="1388" t="s">
        <v>13149</v>
      </c>
      <c r="CR2295" s="1388" t="s">
        <v>13149</v>
      </c>
      <c r="CS2295" s="1388" t="s">
        <v>8194</v>
      </c>
      <c r="CT2295" s="1388" t="s">
        <v>8195</v>
      </c>
      <c r="CU2295" s="1388" t="s">
        <v>8110</v>
      </c>
      <c r="CV2295" s="1389" t="s">
        <v>8196</v>
      </c>
      <c r="CX2295" s="1379">
        <v>1</v>
      </c>
    </row>
    <row r="2296" spans="91:102" ht="21" customHeight="1" x14ac:dyDescent="0.25">
      <c r="CM2296" s="1377"/>
      <c r="CN2296" s="1388" t="s">
        <v>13150</v>
      </c>
      <c r="CO2296" s="1388" t="s">
        <v>8135</v>
      </c>
      <c r="CP2296" s="1388" t="s">
        <v>8106</v>
      </c>
      <c r="CQ2296" s="1388" t="s">
        <v>13151</v>
      </c>
      <c r="CR2296" s="1388" t="s">
        <v>13151</v>
      </c>
      <c r="CS2296" s="1388" t="s">
        <v>8194</v>
      </c>
      <c r="CT2296" s="1388" t="s">
        <v>8195</v>
      </c>
      <c r="CU2296" s="1388" t="s">
        <v>8110</v>
      </c>
      <c r="CV2296" s="1389" t="s">
        <v>8196</v>
      </c>
      <c r="CX2296" s="1379">
        <v>1</v>
      </c>
    </row>
    <row r="2297" spans="91:102" ht="21" customHeight="1" x14ac:dyDescent="0.25">
      <c r="CM2297" s="1377"/>
      <c r="CN2297" s="1388" t="s">
        <v>13152</v>
      </c>
      <c r="CO2297" s="1388" t="s">
        <v>8135</v>
      </c>
      <c r="CP2297" s="1388" t="s">
        <v>8106</v>
      </c>
      <c r="CQ2297" s="1388" t="s">
        <v>13153</v>
      </c>
      <c r="CR2297" s="1388" t="s">
        <v>13153</v>
      </c>
      <c r="CS2297" s="1388" t="s">
        <v>8788</v>
      </c>
      <c r="CT2297" s="1388" t="s">
        <v>8789</v>
      </c>
      <c r="CU2297" s="1388" t="s">
        <v>8790</v>
      </c>
      <c r="CV2297" s="1389" t="s">
        <v>12864</v>
      </c>
      <c r="CX2297" s="1379">
        <v>1</v>
      </c>
    </row>
    <row r="2298" spans="91:102" ht="21" customHeight="1" x14ac:dyDescent="0.25">
      <c r="CM2298" s="1377"/>
      <c r="CN2298" s="1388" t="s">
        <v>13154</v>
      </c>
      <c r="CO2298" s="1388" t="s">
        <v>8135</v>
      </c>
      <c r="CP2298" s="1388" t="s">
        <v>8106</v>
      </c>
      <c r="CQ2298" s="1388" t="s">
        <v>13155</v>
      </c>
      <c r="CR2298" s="1388" t="s">
        <v>13155</v>
      </c>
      <c r="CS2298" s="1388" t="s">
        <v>8788</v>
      </c>
      <c r="CT2298" s="1388" t="s">
        <v>8789</v>
      </c>
      <c r="CU2298" s="1388" t="s">
        <v>8790</v>
      </c>
      <c r="CV2298" s="1389" t="s">
        <v>12864</v>
      </c>
      <c r="CX2298" s="1379">
        <v>1</v>
      </c>
    </row>
    <row r="2299" spans="91:102" ht="21" customHeight="1" x14ac:dyDescent="0.25">
      <c r="CM2299" s="1377"/>
      <c r="CN2299" s="1388" t="s">
        <v>13156</v>
      </c>
      <c r="CO2299" s="1388" t="s">
        <v>8135</v>
      </c>
      <c r="CP2299" s="1388" t="s">
        <v>8106</v>
      </c>
      <c r="CQ2299" s="1388" t="s">
        <v>13157</v>
      </c>
      <c r="CR2299" s="1388" t="s">
        <v>13157</v>
      </c>
      <c r="CS2299" s="1388" t="s">
        <v>8788</v>
      </c>
      <c r="CT2299" s="1388" t="s">
        <v>8789</v>
      </c>
      <c r="CU2299" s="1388" t="s">
        <v>8790</v>
      </c>
      <c r="CV2299" s="1389" t="s">
        <v>12864</v>
      </c>
      <c r="CX2299" s="1379">
        <v>1</v>
      </c>
    </row>
    <row r="2300" spans="91:102" ht="21" customHeight="1" x14ac:dyDescent="0.25">
      <c r="CM2300" s="1377"/>
      <c r="CN2300" s="1388" t="s">
        <v>13158</v>
      </c>
      <c r="CO2300" s="1388" t="s">
        <v>8135</v>
      </c>
      <c r="CP2300" s="1388" t="s">
        <v>8106</v>
      </c>
      <c r="CQ2300" s="1388" t="s">
        <v>13159</v>
      </c>
      <c r="CR2300" s="1388" t="s">
        <v>13159</v>
      </c>
      <c r="CS2300" s="1388" t="s">
        <v>8788</v>
      </c>
      <c r="CT2300" s="1388" t="s">
        <v>8789</v>
      </c>
      <c r="CU2300" s="1388" t="s">
        <v>8790</v>
      </c>
      <c r="CV2300" s="1389" t="s">
        <v>12864</v>
      </c>
      <c r="CX2300" s="1379">
        <v>1</v>
      </c>
    </row>
    <row r="2301" spans="91:102" ht="21" customHeight="1" x14ac:dyDescent="0.25">
      <c r="CM2301" s="1377"/>
      <c r="CN2301" s="1388" t="s">
        <v>13160</v>
      </c>
      <c r="CO2301" s="1388" t="s">
        <v>8135</v>
      </c>
      <c r="CP2301" s="1388" t="s">
        <v>8106</v>
      </c>
      <c r="CQ2301" s="1388" t="s">
        <v>13161</v>
      </c>
      <c r="CR2301" s="1388" t="s">
        <v>13161</v>
      </c>
      <c r="CS2301" s="1388" t="s">
        <v>8788</v>
      </c>
      <c r="CT2301" s="1388" t="s">
        <v>8789</v>
      </c>
      <c r="CU2301" s="1388" t="s">
        <v>8790</v>
      </c>
      <c r="CV2301" s="1389" t="s">
        <v>12864</v>
      </c>
      <c r="CX2301" s="1379">
        <v>1</v>
      </c>
    </row>
    <row r="2302" spans="91:102" ht="21" customHeight="1" x14ac:dyDescent="0.25">
      <c r="CM2302" s="1377"/>
      <c r="CN2302" s="1388" t="s">
        <v>13162</v>
      </c>
      <c r="CO2302" s="1388" t="s">
        <v>8135</v>
      </c>
      <c r="CP2302" s="1388" t="s">
        <v>8106</v>
      </c>
      <c r="CQ2302" s="1388" t="s">
        <v>12429</v>
      </c>
      <c r="CR2302" s="1388" t="s">
        <v>12429</v>
      </c>
      <c r="CS2302" s="1388" t="s">
        <v>8108</v>
      </c>
      <c r="CT2302" s="1388" t="s">
        <v>12892</v>
      </c>
      <c r="CU2302" s="1388" t="s">
        <v>8110</v>
      </c>
      <c r="CV2302" s="1389" t="s">
        <v>8111</v>
      </c>
      <c r="CX2302" s="1379">
        <v>1</v>
      </c>
    </row>
    <row r="2303" spans="91:102" ht="21" customHeight="1" x14ac:dyDescent="0.25">
      <c r="CM2303" s="1377"/>
      <c r="CN2303" s="1388" t="s">
        <v>13163</v>
      </c>
      <c r="CO2303" s="1388" t="s">
        <v>8135</v>
      </c>
      <c r="CP2303" s="1388" t="s">
        <v>8106</v>
      </c>
      <c r="CQ2303" s="1388" t="s">
        <v>12431</v>
      </c>
      <c r="CR2303" s="1388" t="s">
        <v>12431</v>
      </c>
      <c r="CS2303" s="1388" t="s">
        <v>8108</v>
      </c>
      <c r="CT2303" s="1388" t="s">
        <v>12892</v>
      </c>
      <c r="CU2303" s="1388" t="s">
        <v>8110</v>
      </c>
      <c r="CV2303" s="1389" t="s">
        <v>8111</v>
      </c>
      <c r="CX2303" s="1379">
        <v>1</v>
      </c>
    </row>
    <row r="2304" spans="91:102" ht="21" customHeight="1" x14ac:dyDescent="0.25">
      <c r="CM2304" s="1377"/>
      <c r="CN2304" s="1388" t="s">
        <v>13164</v>
      </c>
      <c r="CO2304" s="1388" t="s">
        <v>8135</v>
      </c>
      <c r="CP2304" s="1388" t="s">
        <v>8106</v>
      </c>
      <c r="CQ2304" s="1388" t="s">
        <v>13165</v>
      </c>
      <c r="CR2304" s="1388" t="s">
        <v>13165</v>
      </c>
      <c r="CS2304" s="1388" t="s">
        <v>8108</v>
      </c>
      <c r="CT2304" s="1388" t="s">
        <v>12892</v>
      </c>
      <c r="CU2304" s="1388" t="s">
        <v>8110</v>
      </c>
      <c r="CV2304" s="1389" t="s">
        <v>8111</v>
      </c>
      <c r="CX2304" s="1379">
        <v>1</v>
      </c>
    </row>
    <row r="2305" spans="91:102" ht="21" customHeight="1" x14ac:dyDescent="0.25">
      <c r="CM2305" s="1377"/>
      <c r="CN2305" s="1388" t="s">
        <v>13166</v>
      </c>
      <c r="CO2305" s="1388" t="s">
        <v>8135</v>
      </c>
      <c r="CP2305" s="1388" t="s">
        <v>8106</v>
      </c>
      <c r="CQ2305" s="1388" t="s">
        <v>13167</v>
      </c>
      <c r="CR2305" s="1388" t="s">
        <v>13167</v>
      </c>
      <c r="CS2305" s="1388" t="s">
        <v>8788</v>
      </c>
      <c r="CT2305" s="1388" t="s">
        <v>8789</v>
      </c>
      <c r="CU2305" s="1388" t="s">
        <v>8790</v>
      </c>
      <c r="CV2305" s="1389" t="s">
        <v>12864</v>
      </c>
      <c r="CX2305" s="1379">
        <v>1</v>
      </c>
    </row>
    <row r="2306" spans="91:102" ht="21" customHeight="1" x14ac:dyDescent="0.25">
      <c r="CM2306" s="1377"/>
      <c r="CN2306" s="1388" t="s">
        <v>13168</v>
      </c>
      <c r="CO2306" s="1388" t="s">
        <v>8135</v>
      </c>
      <c r="CP2306" s="1388" t="s">
        <v>8106</v>
      </c>
      <c r="CQ2306" s="1388" t="s">
        <v>13169</v>
      </c>
      <c r="CR2306" s="1388" t="s">
        <v>13169</v>
      </c>
      <c r="CS2306" s="1388" t="s">
        <v>8788</v>
      </c>
      <c r="CT2306" s="1388" t="s">
        <v>8789</v>
      </c>
      <c r="CU2306" s="1388" t="s">
        <v>8790</v>
      </c>
      <c r="CV2306" s="1389" t="s">
        <v>12864</v>
      </c>
      <c r="CX2306" s="1379">
        <v>1</v>
      </c>
    </row>
    <row r="2307" spans="91:102" ht="21" customHeight="1" x14ac:dyDescent="0.25">
      <c r="CM2307" s="1377"/>
      <c r="CN2307" s="1388" t="s">
        <v>13170</v>
      </c>
      <c r="CO2307" s="1388" t="s">
        <v>8135</v>
      </c>
      <c r="CP2307" s="1388" t="s">
        <v>8106</v>
      </c>
      <c r="CQ2307" s="1388" t="s">
        <v>13171</v>
      </c>
      <c r="CR2307" s="1388" t="s">
        <v>13171</v>
      </c>
      <c r="CS2307" s="1388" t="s">
        <v>8788</v>
      </c>
      <c r="CT2307" s="1388" t="s">
        <v>8789</v>
      </c>
      <c r="CU2307" s="1388" t="s">
        <v>8790</v>
      </c>
      <c r="CV2307" s="1389" t="s">
        <v>12864</v>
      </c>
      <c r="CX2307" s="1379">
        <v>1</v>
      </c>
    </row>
    <row r="2308" spans="91:102" ht="21" customHeight="1" x14ac:dyDescent="0.25">
      <c r="CM2308" s="1377"/>
      <c r="CN2308" s="1388" t="s">
        <v>13172</v>
      </c>
      <c r="CO2308" s="1388" t="s">
        <v>8135</v>
      </c>
      <c r="CP2308" s="1388" t="s">
        <v>8106</v>
      </c>
      <c r="CQ2308" s="1388" t="s">
        <v>13173</v>
      </c>
      <c r="CR2308" s="1388" t="s">
        <v>13173</v>
      </c>
      <c r="CS2308" s="1388" t="s">
        <v>8788</v>
      </c>
      <c r="CT2308" s="1388" t="s">
        <v>8789</v>
      </c>
      <c r="CU2308" s="1388" t="s">
        <v>8790</v>
      </c>
      <c r="CV2308" s="1389" t="s">
        <v>12864</v>
      </c>
      <c r="CX2308" s="1379">
        <v>1</v>
      </c>
    </row>
    <row r="2309" spans="91:102" ht="21" customHeight="1" x14ac:dyDescent="0.25">
      <c r="CM2309" s="1377"/>
      <c r="CN2309" s="1388" t="s">
        <v>13174</v>
      </c>
      <c r="CO2309" s="1388" t="s">
        <v>8135</v>
      </c>
      <c r="CP2309" s="1388" t="s">
        <v>8106</v>
      </c>
      <c r="CQ2309" s="1388" t="s">
        <v>13175</v>
      </c>
      <c r="CR2309" s="1388" t="s">
        <v>13175</v>
      </c>
      <c r="CS2309" s="1388" t="s">
        <v>8788</v>
      </c>
      <c r="CT2309" s="1388" t="s">
        <v>8789</v>
      </c>
      <c r="CU2309" s="1388" t="s">
        <v>8790</v>
      </c>
      <c r="CV2309" s="1389" t="s">
        <v>12864</v>
      </c>
      <c r="CX2309" s="1379">
        <v>1</v>
      </c>
    </row>
    <row r="2310" spans="91:102" ht="21" customHeight="1" x14ac:dyDescent="0.25">
      <c r="CM2310" s="1377"/>
      <c r="CN2310" s="1388" t="s">
        <v>13176</v>
      </c>
      <c r="CO2310" s="1388" t="s">
        <v>8135</v>
      </c>
      <c r="CP2310" s="1388" t="s">
        <v>8106</v>
      </c>
      <c r="CQ2310" s="1388" t="s">
        <v>13177</v>
      </c>
      <c r="CR2310" s="1388" t="s">
        <v>13177</v>
      </c>
      <c r="CS2310" s="1388" t="s">
        <v>8108</v>
      </c>
      <c r="CT2310" s="1388" t="s">
        <v>12892</v>
      </c>
      <c r="CU2310" s="1388" t="s">
        <v>8110</v>
      </c>
      <c r="CV2310" s="1389" t="s">
        <v>8111</v>
      </c>
      <c r="CX2310" s="1379">
        <v>1</v>
      </c>
    </row>
    <row r="2311" spans="91:102" ht="21" customHeight="1" x14ac:dyDescent="0.25">
      <c r="CM2311" s="1377"/>
      <c r="CN2311" s="1388" t="s">
        <v>13178</v>
      </c>
      <c r="CO2311" s="1388" t="s">
        <v>8135</v>
      </c>
      <c r="CP2311" s="1388" t="s">
        <v>8106</v>
      </c>
      <c r="CQ2311" s="1388" t="s">
        <v>13179</v>
      </c>
      <c r="CR2311" s="1388" t="s">
        <v>13179</v>
      </c>
      <c r="CS2311" s="1388" t="s">
        <v>8788</v>
      </c>
      <c r="CT2311" s="1388" t="s">
        <v>8789</v>
      </c>
      <c r="CU2311" s="1388" t="s">
        <v>8790</v>
      </c>
      <c r="CV2311" s="1389" t="s">
        <v>12864</v>
      </c>
      <c r="CX2311" s="1379">
        <v>1</v>
      </c>
    </row>
    <row r="2312" spans="91:102" ht="21" customHeight="1" x14ac:dyDescent="0.25">
      <c r="CM2312" s="1377"/>
      <c r="CN2312" s="1388" t="s">
        <v>13180</v>
      </c>
      <c r="CO2312" s="1388" t="s">
        <v>8135</v>
      </c>
      <c r="CP2312" s="1388" t="s">
        <v>8106</v>
      </c>
      <c r="CQ2312" s="1388" t="s">
        <v>13181</v>
      </c>
      <c r="CR2312" s="1388" t="s">
        <v>13181</v>
      </c>
      <c r="CS2312" s="1388" t="s">
        <v>8788</v>
      </c>
      <c r="CT2312" s="1388" t="s">
        <v>8789</v>
      </c>
      <c r="CU2312" s="1388" t="s">
        <v>8790</v>
      </c>
      <c r="CV2312" s="1389" t="s">
        <v>12864</v>
      </c>
      <c r="CX2312" s="1379">
        <v>1</v>
      </c>
    </row>
    <row r="2313" spans="91:102" ht="21" customHeight="1" x14ac:dyDescent="0.25">
      <c r="CM2313" s="1377"/>
      <c r="CN2313" s="1388" t="s">
        <v>13182</v>
      </c>
      <c r="CO2313" s="1388" t="s">
        <v>8135</v>
      </c>
      <c r="CP2313" s="1388" t="s">
        <v>8106</v>
      </c>
      <c r="CQ2313" s="1388" t="s">
        <v>13183</v>
      </c>
      <c r="CR2313" s="1388" t="s">
        <v>13183</v>
      </c>
      <c r="CS2313" s="1388" t="s">
        <v>8194</v>
      </c>
      <c r="CT2313" s="1388" t="s">
        <v>8195</v>
      </c>
      <c r="CU2313" s="1388" t="s">
        <v>8110</v>
      </c>
      <c r="CV2313" s="1389" t="s">
        <v>8196</v>
      </c>
      <c r="CX2313" s="1379">
        <v>1</v>
      </c>
    </row>
    <row r="2314" spans="91:102" ht="21" customHeight="1" x14ac:dyDescent="0.25">
      <c r="CM2314" s="1377"/>
      <c r="CN2314" s="1388" t="s">
        <v>13184</v>
      </c>
      <c r="CO2314" s="1388" t="s">
        <v>8135</v>
      </c>
      <c r="CP2314" s="1388" t="s">
        <v>8106</v>
      </c>
      <c r="CQ2314" s="1388" t="s">
        <v>13185</v>
      </c>
      <c r="CR2314" s="1388" t="s">
        <v>13185</v>
      </c>
      <c r="CS2314" s="1388" t="s">
        <v>8194</v>
      </c>
      <c r="CT2314" s="1388" t="s">
        <v>8195</v>
      </c>
      <c r="CU2314" s="1388" t="s">
        <v>8110</v>
      </c>
      <c r="CV2314" s="1389" t="s">
        <v>8196</v>
      </c>
      <c r="CX2314" s="1379">
        <v>1</v>
      </c>
    </row>
    <row r="2315" spans="91:102" ht="21" customHeight="1" x14ac:dyDescent="0.25">
      <c r="CM2315" s="1377"/>
      <c r="CN2315" s="1388" t="s">
        <v>13186</v>
      </c>
      <c r="CO2315" s="1388" t="s">
        <v>8135</v>
      </c>
      <c r="CP2315" s="1388" t="s">
        <v>8106</v>
      </c>
      <c r="CQ2315" s="1388" t="s">
        <v>13187</v>
      </c>
      <c r="CR2315" s="1388" t="s">
        <v>13187</v>
      </c>
      <c r="CS2315" s="1388" t="s">
        <v>8788</v>
      </c>
      <c r="CT2315" s="1388" t="s">
        <v>8789</v>
      </c>
      <c r="CU2315" s="1388" t="s">
        <v>8790</v>
      </c>
      <c r="CV2315" s="1389" t="s">
        <v>12864</v>
      </c>
      <c r="CX2315" s="1379">
        <v>1</v>
      </c>
    </row>
    <row r="2316" spans="91:102" ht="21" customHeight="1" x14ac:dyDescent="0.25">
      <c r="CM2316" s="1377"/>
      <c r="CN2316" s="1388" t="s">
        <v>13188</v>
      </c>
      <c r="CO2316" s="1388" t="s">
        <v>8135</v>
      </c>
      <c r="CP2316" s="1388" t="s">
        <v>8106</v>
      </c>
      <c r="CQ2316" s="1388" t="s">
        <v>13189</v>
      </c>
      <c r="CR2316" s="1388" t="s">
        <v>13189</v>
      </c>
      <c r="CS2316" s="1388" t="s">
        <v>8788</v>
      </c>
      <c r="CT2316" s="1388" t="s">
        <v>8789</v>
      </c>
      <c r="CU2316" s="1388" t="s">
        <v>8790</v>
      </c>
      <c r="CV2316" s="1389" t="s">
        <v>12864</v>
      </c>
      <c r="CX2316" s="1379">
        <v>1</v>
      </c>
    </row>
    <row r="2317" spans="91:102" ht="21" customHeight="1" x14ac:dyDescent="0.25">
      <c r="CM2317" s="1377"/>
      <c r="CN2317" s="1388" t="s">
        <v>13190</v>
      </c>
      <c r="CO2317" s="1388" t="s">
        <v>8135</v>
      </c>
      <c r="CP2317" s="1388" t="s">
        <v>8106</v>
      </c>
      <c r="CQ2317" s="1388" t="s">
        <v>13191</v>
      </c>
      <c r="CR2317" s="1388" t="s">
        <v>13191</v>
      </c>
      <c r="CS2317" s="1388" t="s">
        <v>8788</v>
      </c>
      <c r="CT2317" s="1388" t="s">
        <v>8789</v>
      </c>
      <c r="CU2317" s="1388" t="s">
        <v>8790</v>
      </c>
      <c r="CV2317" s="1389" t="s">
        <v>12864</v>
      </c>
      <c r="CX2317" s="1379">
        <v>1</v>
      </c>
    </row>
    <row r="2318" spans="91:102" ht="21" customHeight="1" x14ac:dyDescent="0.25">
      <c r="CM2318" s="1377"/>
      <c r="CN2318" s="1388" t="s">
        <v>13192</v>
      </c>
      <c r="CO2318" s="1388" t="s">
        <v>8135</v>
      </c>
      <c r="CP2318" s="1388" t="s">
        <v>8106</v>
      </c>
      <c r="CQ2318" s="1388" t="s">
        <v>13193</v>
      </c>
      <c r="CR2318" s="1388" t="s">
        <v>13193</v>
      </c>
      <c r="CS2318" s="1388" t="s">
        <v>8788</v>
      </c>
      <c r="CT2318" s="1388" t="s">
        <v>8789</v>
      </c>
      <c r="CU2318" s="1388" t="s">
        <v>8790</v>
      </c>
      <c r="CV2318" s="1389" t="s">
        <v>12864</v>
      </c>
      <c r="CX2318" s="1379">
        <v>1</v>
      </c>
    </row>
    <row r="2319" spans="91:102" ht="21" customHeight="1" x14ac:dyDescent="0.25">
      <c r="CM2319" s="1377"/>
      <c r="CN2319" s="1388" t="s">
        <v>13194</v>
      </c>
      <c r="CO2319" s="1388" t="s">
        <v>8135</v>
      </c>
      <c r="CP2319" s="1388" t="s">
        <v>8106</v>
      </c>
      <c r="CQ2319" s="1388" t="s">
        <v>13195</v>
      </c>
      <c r="CR2319" s="1388" t="s">
        <v>13195</v>
      </c>
      <c r="CS2319" s="1388" t="s">
        <v>8788</v>
      </c>
      <c r="CT2319" s="1388" t="s">
        <v>8789</v>
      </c>
      <c r="CU2319" s="1388" t="s">
        <v>8790</v>
      </c>
      <c r="CV2319" s="1389" t="s">
        <v>12864</v>
      </c>
      <c r="CX2319" s="1379">
        <v>1</v>
      </c>
    </row>
    <row r="2320" spans="91:102" ht="21" customHeight="1" x14ac:dyDescent="0.25">
      <c r="CM2320" s="1377"/>
      <c r="CN2320" s="1388" t="s">
        <v>13196</v>
      </c>
      <c r="CO2320" s="1388" t="s">
        <v>8135</v>
      </c>
      <c r="CP2320" s="1388" t="s">
        <v>8106</v>
      </c>
      <c r="CQ2320" s="1388" t="s">
        <v>13197</v>
      </c>
      <c r="CR2320" s="1388" t="s">
        <v>13197</v>
      </c>
      <c r="CS2320" s="1388" t="s">
        <v>8788</v>
      </c>
      <c r="CT2320" s="1388" t="s">
        <v>8789</v>
      </c>
      <c r="CU2320" s="1388" t="s">
        <v>8790</v>
      </c>
      <c r="CV2320" s="1389" t="s">
        <v>12864</v>
      </c>
      <c r="CX2320" s="1379">
        <v>1</v>
      </c>
    </row>
    <row r="2321" spans="91:102" ht="21" customHeight="1" x14ac:dyDescent="0.25">
      <c r="CM2321" s="1377"/>
      <c r="CN2321" s="1388" t="s">
        <v>13198</v>
      </c>
      <c r="CO2321" s="1388" t="s">
        <v>8135</v>
      </c>
      <c r="CP2321" s="1388" t="s">
        <v>8106</v>
      </c>
      <c r="CQ2321" s="1388" t="s">
        <v>13199</v>
      </c>
      <c r="CR2321" s="1388" t="s">
        <v>13199</v>
      </c>
      <c r="CS2321" s="1388" t="s">
        <v>8788</v>
      </c>
      <c r="CT2321" s="1388" t="s">
        <v>8789</v>
      </c>
      <c r="CU2321" s="1388" t="s">
        <v>8790</v>
      </c>
      <c r="CV2321" s="1389" t="s">
        <v>12864</v>
      </c>
      <c r="CX2321" s="1379">
        <v>1</v>
      </c>
    </row>
    <row r="2322" spans="91:102" ht="21" customHeight="1" x14ac:dyDescent="0.25">
      <c r="CM2322" s="1377"/>
      <c r="CN2322" s="1388" t="s">
        <v>13200</v>
      </c>
      <c r="CO2322" s="1388" t="s">
        <v>8135</v>
      </c>
      <c r="CP2322" s="1388" t="s">
        <v>8106</v>
      </c>
      <c r="CQ2322" s="1388" t="s">
        <v>13201</v>
      </c>
      <c r="CR2322" s="1388" t="s">
        <v>13201</v>
      </c>
      <c r="CS2322" s="1388" t="s">
        <v>8788</v>
      </c>
      <c r="CT2322" s="1388" t="s">
        <v>8789</v>
      </c>
      <c r="CU2322" s="1388" t="s">
        <v>8790</v>
      </c>
      <c r="CV2322" s="1389" t="s">
        <v>12864</v>
      </c>
      <c r="CX2322" s="1379">
        <v>1</v>
      </c>
    </row>
    <row r="2323" spans="91:102" ht="21" customHeight="1" x14ac:dyDescent="0.25">
      <c r="CM2323" s="1377"/>
      <c r="CN2323" s="1388" t="s">
        <v>13202</v>
      </c>
      <c r="CO2323" s="1388" t="s">
        <v>8135</v>
      </c>
      <c r="CP2323" s="1388" t="s">
        <v>8106</v>
      </c>
      <c r="CQ2323" s="1388" t="s">
        <v>13203</v>
      </c>
      <c r="CR2323" s="1388" t="s">
        <v>13203</v>
      </c>
      <c r="CS2323" s="1388" t="s">
        <v>8788</v>
      </c>
      <c r="CT2323" s="1388" t="s">
        <v>8789</v>
      </c>
      <c r="CU2323" s="1388" t="s">
        <v>8790</v>
      </c>
      <c r="CV2323" s="1389" t="s">
        <v>12864</v>
      </c>
      <c r="CX2323" s="1379">
        <v>1</v>
      </c>
    </row>
    <row r="2324" spans="91:102" ht="21" customHeight="1" x14ac:dyDescent="0.25">
      <c r="CM2324" s="1377"/>
      <c r="CN2324" s="1388" t="s">
        <v>13204</v>
      </c>
      <c r="CO2324" s="1388" t="s">
        <v>8135</v>
      </c>
      <c r="CP2324" s="1388" t="s">
        <v>8106</v>
      </c>
      <c r="CQ2324" s="1388" t="s">
        <v>13205</v>
      </c>
      <c r="CR2324" s="1388" t="s">
        <v>13205</v>
      </c>
      <c r="CS2324" s="1388" t="s">
        <v>8108</v>
      </c>
      <c r="CT2324" s="1388" t="s">
        <v>12892</v>
      </c>
      <c r="CU2324" s="1388" t="s">
        <v>8110</v>
      </c>
      <c r="CV2324" s="1389" t="s">
        <v>8111</v>
      </c>
      <c r="CX2324" s="1379">
        <v>1</v>
      </c>
    </row>
    <row r="2325" spans="91:102" ht="21" customHeight="1" x14ac:dyDescent="0.25">
      <c r="CM2325" s="1377"/>
      <c r="CN2325" s="1388" t="s">
        <v>13206</v>
      </c>
      <c r="CO2325" s="1388" t="s">
        <v>8135</v>
      </c>
      <c r="CP2325" s="1388" t="s">
        <v>8106</v>
      </c>
      <c r="CQ2325" s="1388" t="s">
        <v>13207</v>
      </c>
      <c r="CR2325" s="1388" t="s">
        <v>13207</v>
      </c>
      <c r="CS2325" s="1388" t="s">
        <v>8788</v>
      </c>
      <c r="CT2325" s="1388" t="s">
        <v>8789</v>
      </c>
      <c r="CU2325" s="1388" t="s">
        <v>8790</v>
      </c>
      <c r="CV2325" s="1389" t="s">
        <v>12864</v>
      </c>
      <c r="CX2325" s="1379">
        <v>1</v>
      </c>
    </row>
    <row r="2326" spans="91:102" ht="21" customHeight="1" x14ac:dyDescent="0.25">
      <c r="CM2326" s="1377"/>
      <c r="CN2326" s="1388" t="s">
        <v>13208</v>
      </c>
      <c r="CO2326" s="1388" t="s">
        <v>8135</v>
      </c>
      <c r="CP2326" s="1388" t="s">
        <v>8106</v>
      </c>
      <c r="CQ2326" s="1388" t="s">
        <v>13209</v>
      </c>
      <c r="CR2326" s="1388" t="s">
        <v>13209</v>
      </c>
      <c r="CS2326" s="1388" t="s">
        <v>8788</v>
      </c>
      <c r="CT2326" s="1388" t="s">
        <v>8789</v>
      </c>
      <c r="CU2326" s="1388" t="s">
        <v>8790</v>
      </c>
      <c r="CV2326" s="1389" t="s">
        <v>12864</v>
      </c>
      <c r="CX2326" s="1379">
        <v>1</v>
      </c>
    </row>
    <row r="2327" spans="91:102" ht="21" customHeight="1" x14ac:dyDescent="0.25">
      <c r="CM2327" s="1377"/>
      <c r="CN2327" s="1388" t="s">
        <v>13210</v>
      </c>
      <c r="CO2327" s="1388" t="s">
        <v>8135</v>
      </c>
      <c r="CP2327" s="1388" t="s">
        <v>8106</v>
      </c>
      <c r="CQ2327" s="1388" t="s">
        <v>13211</v>
      </c>
      <c r="CR2327" s="1388" t="s">
        <v>13211</v>
      </c>
      <c r="CS2327" s="1388" t="s">
        <v>8788</v>
      </c>
      <c r="CT2327" s="1388" t="s">
        <v>8789</v>
      </c>
      <c r="CU2327" s="1388" t="s">
        <v>8790</v>
      </c>
      <c r="CV2327" s="1389" t="s">
        <v>12864</v>
      </c>
      <c r="CX2327" s="1379">
        <v>1</v>
      </c>
    </row>
    <row r="2328" spans="91:102" ht="21" customHeight="1" x14ac:dyDescent="0.25">
      <c r="CM2328" s="1377"/>
      <c r="CN2328" s="1388" t="s">
        <v>13212</v>
      </c>
      <c r="CO2328" s="1388" t="s">
        <v>8135</v>
      </c>
      <c r="CP2328" s="1388" t="s">
        <v>8106</v>
      </c>
      <c r="CQ2328" s="1388" t="s">
        <v>13213</v>
      </c>
      <c r="CR2328" s="1388" t="s">
        <v>13213</v>
      </c>
      <c r="CS2328" s="1388" t="s">
        <v>8788</v>
      </c>
      <c r="CT2328" s="1388" t="s">
        <v>8789</v>
      </c>
      <c r="CU2328" s="1388" t="s">
        <v>8790</v>
      </c>
      <c r="CV2328" s="1389" t="s">
        <v>12864</v>
      </c>
      <c r="CX2328" s="1379">
        <v>1</v>
      </c>
    </row>
    <row r="2329" spans="91:102" ht="21" customHeight="1" x14ac:dyDescent="0.25">
      <c r="CM2329" s="1377"/>
      <c r="CN2329" s="1388" t="s">
        <v>13214</v>
      </c>
      <c r="CO2329" s="1388" t="s">
        <v>8135</v>
      </c>
      <c r="CP2329" s="1388" t="s">
        <v>8106</v>
      </c>
      <c r="CQ2329" s="1388" t="s">
        <v>13215</v>
      </c>
      <c r="CR2329" s="1388" t="s">
        <v>13216</v>
      </c>
      <c r="CS2329" s="1388" t="s">
        <v>8108</v>
      </c>
      <c r="CT2329" s="1388" t="s">
        <v>12892</v>
      </c>
      <c r="CU2329" s="1388" t="s">
        <v>8110</v>
      </c>
      <c r="CV2329" s="1389" t="s">
        <v>8111</v>
      </c>
      <c r="CX2329" s="1379">
        <v>1</v>
      </c>
    </row>
    <row r="2330" spans="91:102" ht="21" customHeight="1" x14ac:dyDescent="0.25">
      <c r="CM2330" s="1377"/>
      <c r="CN2330" s="1388" t="s">
        <v>13217</v>
      </c>
      <c r="CO2330" s="1388" t="s">
        <v>8135</v>
      </c>
      <c r="CP2330" s="1388" t="s">
        <v>8106</v>
      </c>
      <c r="CQ2330" s="1388" t="s">
        <v>13218</v>
      </c>
      <c r="CR2330" s="1388" t="s">
        <v>13219</v>
      </c>
      <c r="CS2330" s="1388" t="s">
        <v>8108</v>
      </c>
      <c r="CT2330" s="1388" t="s">
        <v>12892</v>
      </c>
      <c r="CU2330" s="1388" t="s">
        <v>8110</v>
      </c>
      <c r="CV2330" s="1389" t="s">
        <v>8111</v>
      </c>
      <c r="CX2330" s="1379">
        <v>1</v>
      </c>
    </row>
    <row r="2331" spans="91:102" ht="21" customHeight="1" x14ac:dyDescent="0.25">
      <c r="CM2331" s="1377"/>
      <c r="CN2331" s="1388" t="s">
        <v>13220</v>
      </c>
      <c r="CO2331" s="1388" t="s">
        <v>8135</v>
      </c>
      <c r="CP2331" s="1388" t="s">
        <v>8106</v>
      </c>
      <c r="CQ2331" s="1388" t="s">
        <v>13221</v>
      </c>
      <c r="CR2331" s="1388" t="s">
        <v>13221</v>
      </c>
      <c r="CS2331" s="1388" t="s">
        <v>8788</v>
      </c>
      <c r="CT2331" s="1388" t="s">
        <v>8789</v>
      </c>
      <c r="CU2331" s="1388" t="s">
        <v>8790</v>
      </c>
      <c r="CV2331" s="1389" t="s">
        <v>12864</v>
      </c>
      <c r="CX2331" s="1379">
        <v>1</v>
      </c>
    </row>
    <row r="2332" spans="91:102" ht="21" customHeight="1" x14ac:dyDescent="0.25">
      <c r="CM2332" s="1377"/>
      <c r="CN2332" s="1388" t="s">
        <v>13222</v>
      </c>
      <c r="CO2332" s="1388" t="s">
        <v>8135</v>
      </c>
      <c r="CP2332" s="1388" t="s">
        <v>8106</v>
      </c>
      <c r="CQ2332" s="1388" t="s">
        <v>13223</v>
      </c>
      <c r="CR2332" s="1388" t="s">
        <v>13223</v>
      </c>
      <c r="CS2332" s="1388" t="s">
        <v>8788</v>
      </c>
      <c r="CT2332" s="1388" t="s">
        <v>8789</v>
      </c>
      <c r="CU2332" s="1388" t="s">
        <v>8790</v>
      </c>
      <c r="CV2332" s="1389" t="s">
        <v>12864</v>
      </c>
      <c r="CX2332" s="1379">
        <v>1</v>
      </c>
    </row>
    <row r="2333" spans="91:102" ht="21" customHeight="1" x14ac:dyDescent="0.25">
      <c r="CM2333" s="1377"/>
      <c r="CN2333" s="1388" t="s">
        <v>13224</v>
      </c>
      <c r="CO2333" s="1388" t="s">
        <v>8135</v>
      </c>
      <c r="CP2333" s="1388" t="s">
        <v>8106</v>
      </c>
      <c r="CQ2333" s="1388" t="s">
        <v>13225</v>
      </c>
      <c r="CR2333" s="1388" t="s">
        <v>13225</v>
      </c>
      <c r="CS2333" s="1388" t="s">
        <v>8788</v>
      </c>
      <c r="CT2333" s="1388" t="s">
        <v>8789</v>
      </c>
      <c r="CU2333" s="1388" t="s">
        <v>8790</v>
      </c>
      <c r="CV2333" s="1389" t="s">
        <v>12864</v>
      </c>
      <c r="CX2333" s="1379">
        <v>1</v>
      </c>
    </row>
    <row r="2334" spans="91:102" ht="21" customHeight="1" x14ac:dyDescent="0.25">
      <c r="CM2334" s="1377"/>
      <c r="CN2334" s="1388" t="s">
        <v>13226</v>
      </c>
      <c r="CO2334" s="1388" t="s">
        <v>8135</v>
      </c>
      <c r="CP2334" s="1388" t="s">
        <v>8106</v>
      </c>
      <c r="CQ2334" s="1388" t="s">
        <v>13227</v>
      </c>
      <c r="CR2334" s="1388" t="s">
        <v>13227</v>
      </c>
      <c r="CS2334" s="1388" t="s">
        <v>8108</v>
      </c>
      <c r="CT2334" s="1388" t="s">
        <v>12892</v>
      </c>
      <c r="CU2334" s="1388" t="s">
        <v>8110</v>
      </c>
      <c r="CV2334" s="1389" t="s">
        <v>8111</v>
      </c>
      <c r="CX2334" s="1379">
        <v>1</v>
      </c>
    </row>
    <row r="2335" spans="91:102" ht="21" customHeight="1" x14ac:dyDescent="0.25">
      <c r="CM2335" s="1377"/>
      <c r="CN2335" s="1388" t="s">
        <v>13228</v>
      </c>
      <c r="CO2335" s="1388" t="s">
        <v>8135</v>
      </c>
      <c r="CP2335" s="1388" t="s">
        <v>8106</v>
      </c>
      <c r="CQ2335" s="1388" t="s">
        <v>13229</v>
      </c>
      <c r="CR2335" s="1388" t="s">
        <v>13229</v>
      </c>
      <c r="CS2335" s="1388" t="s">
        <v>8788</v>
      </c>
      <c r="CT2335" s="1388" t="s">
        <v>8789</v>
      </c>
      <c r="CU2335" s="1388" t="s">
        <v>8790</v>
      </c>
      <c r="CV2335" s="1389" t="s">
        <v>12864</v>
      </c>
      <c r="CX2335" s="1379">
        <v>1</v>
      </c>
    </row>
    <row r="2336" spans="91:102" ht="21" customHeight="1" x14ac:dyDescent="0.25">
      <c r="CM2336" s="1377"/>
      <c r="CN2336" s="1388" t="s">
        <v>13230</v>
      </c>
      <c r="CO2336" s="1388" t="s">
        <v>8135</v>
      </c>
      <c r="CP2336" s="1388" t="s">
        <v>8106</v>
      </c>
      <c r="CQ2336" s="1388" t="s">
        <v>13231</v>
      </c>
      <c r="CR2336" s="1388" t="s">
        <v>13231</v>
      </c>
      <c r="CS2336" s="1388" t="s">
        <v>8788</v>
      </c>
      <c r="CT2336" s="1388" t="s">
        <v>8789</v>
      </c>
      <c r="CU2336" s="1388" t="s">
        <v>8790</v>
      </c>
      <c r="CV2336" s="1389" t="s">
        <v>12864</v>
      </c>
      <c r="CX2336" s="1379">
        <v>1</v>
      </c>
    </row>
    <row r="2337" spans="91:102" ht="21" customHeight="1" x14ac:dyDescent="0.25">
      <c r="CM2337" s="1377"/>
      <c r="CN2337" s="1388" t="s">
        <v>13232</v>
      </c>
      <c r="CO2337" s="1388" t="s">
        <v>8135</v>
      </c>
      <c r="CP2337" s="1388" t="s">
        <v>8106</v>
      </c>
      <c r="CQ2337" s="1388" t="s">
        <v>13233</v>
      </c>
      <c r="CR2337" s="1388" t="s">
        <v>13233</v>
      </c>
      <c r="CS2337" s="1388" t="s">
        <v>8788</v>
      </c>
      <c r="CT2337" s="1388" t="s">
        <v>8789</v>
      </c>
      <c r="CU2337" s="1388" t="s">
        <v>8790</v>
      </c>
      <c r="CV2337" s="1389" t="s">
        <v>12864</v>
      </c>
      <c r="CX2337" s="1379">
        <v>1</v>
      </c>
    </row>
    <row r="2338" spans="91:102" ht="21" customHeight="1" x14ac:dyDescent="0.25">
      <c r="CM2338" s="1377"/>
      <c r="CN2338" s="1388" t="s">
        <v>13234</v>
      </c>
      <c r="CO2338" s="1388" t="s">
        <v>8135</v>
      </c>
      <c r="CP2338" s="1388" t="s">
        <v>8106</v>
      </c>
      <c r="CQ2338" s="1388" t="s">
        <v>13235</v>
      </c>
      <c r="CR2338" s="1388" t="s">
        <v>13235</v>
      </c>
      <c r="CS2338" s="1388" t="s">
        <v>8788</v>
      </c>
      <c r="CT2338" s="1388" t="s">
        <v>8789</v>
      </c>
      <c r="CU2338" s="1388" t="s">
        <v>8790</v>
      </c>
      <c r="CV2338" s="1389" t="s">
        <v>12864</v>
      </c>
      <c r="CX2338" s="1379">
        <v>1</v>
      </c>
    </row>
    <row r="2339" spans="91:102" ht="21" customHeight="1" x14ac:dyDescent="0.25">
      <c r="CM2339" s="1377"/>
      <c r="CN2339" s="1388" t="s">
        <v>13236</v>
      </c>
      <c r="CO2339" s="1388" t="s">
        <v>8135</v>
      </c>
      <c r="CP2339" s="1388" t="s">
        <v>8106</v>
      </c>
      <c r="CQ2339" s="1388" t="s">
        <v>13237</v>
      </c>
      <c r="CR2339" s="1388" t="s">
        <v>13237</v>
      </c>
      <c r="CS2339" s="1388" t="s">
        <v>8788</v>
      </c>
      <c r="CT2339" s="1388" t="s">
        <v>8789</v>
      </c>
      <c r="CU2339" s="1388" t="s">
        <v>8790</v>
      </c>
      <c r="CV2339" s="1389" t="s">
        <v>12864</v>
      </c>
      <c r="CX2339" s="1379">
        <v>1</v>
      </c>
    </row>
    <row r="2340" spans="91:102" ht="21" customHeight="1" x14ac:dyDescent="0.25">
      <c r="CM2340" s="1377"/>
      <c r="CN2340" s="1388" t="s">
        <v>13238</v>
      </c>
      <c r="CO2340" s="1388" t="s">
        <v>8135</v>
      </c>
      <c r="CP2340" s="1388" t="s">
        <v>8106</v>
      </c>
      <c r="CQ2340" s="1388" t="s">
        <v>13239</v>
      </c>
      <c r="CR2340" s="1388" t="s">
        <v>13239</v>
      </c>
      <c r="CS2340" s="1388" t="s">
        <v>8788</v>
      </c>
      <c r="CT2340" s="1388" t="s">
        <v>8789</v>
      </c>
      <c r="CU2340" s="1388" t="s">
        <v>8790</v>
      </c>
      <c r="CV2340" s="1389" t="s">
        <v>12864</v>
      </c>
      <c r="CX2340" s="1379">
        <v>1</v>
      </c>
    </row>
    <row r="2341" spans="91:102" ht="21" customHeight="1" x14ac:dyDescent="0.25">
      <c r="CM2341" s="1377"/>
      <c r="CN2341" s="1388" t="s">
        <v>13240</v>
      </c>
      <c r="CO2341" s="1388" t="s">
        <v>8135</v>
      </c>
      <c r="CP2341" s="1388" t="s">
        <v>8106</v>
      </c>
      <c r="CQ2341" s="1388" t="s">
        <v>13241</v>
      </c>
      <c r="CR2341" s="1388" t="s">
        <v>13241</v>
      </c>
      <c r="CS2341" s="1388" t="s">
        <v>8788</v>
      </c>
      <c r="CT2341" s="1388" t="s">
        <v>8789</v>
      </c>
      <c r="CU2341" s="1388" t="s">
        <v>8790</v>
      </c>
      <c r="CV2341" s="1389" t="s">
        <v>12864</v>
      </c>
      <c r="CX2341" s="1379">
        <v>1</v>
      </c>
    </row>
    <row r="2342" spans="91:102" ht="21" customHeight="1" x14ac:dyDescent="0.25">
      <c r="CM2342" s="1377"/>
      <c r="CN2342" s="1388" t="s">
        <v>13242</v>
      </c>
      <c r="CO2342" s="1388" t="s">
        <v>8135</v>
      </c>
      <c r="CP2342" s="1388" t="s">
        <v>8106</v>
      </c>
      <c r="CQ2342" s="1388" t="s">
        <v>13243</v>
      </c>
      <c r="CR2342" s="1388" t="s">
        <v>13243</v>
      </c>
      <c r="CS2342" s="1388" t="s">
        <v>8788</v>
      </c>
      <c r="CT2342" s="1388" t="s">
        <v>8789</v>
      </c>
      <c r="CU2342" s="1388" t="s">
        <v>8790</v>
      </c>
      <c r="CV2342" s="1389" t="s">
        <v>12864</v>
      </c>
      <c r="CX2342" s="1379">
        <v>1</v>
      </c>
    </row>
    <row r="2343" spans="91:102" ht="21" customHeight="1" x14ac:dyDescent="0.25">
      <c r="CM2343" s="1377"/>
      <c r="CN2343" s="1388" t="s">
        <v>13244</v>
      </c>
      <c r="CO2343" s="1388" t="s">
        <v>8135</v>
      </c>
      <c r="CP2343" s="1388" t="s">
        <v>8106</v>
      </c>
      <c r="CQ2343" s="1388" t="s">
        <v>13245</v>
      </c>
      <c r="CR2343" s="1388" t="s">
        <v>13245</v>
      </c>
      <c r="CS2343" s="1388" t="s">
        <v>8108</v>
      </c>
      <c r="CT2343" s="1388" t="s">
        <v>12892</v>
      </c>
      <c r="CU2343" s="1388" t="s">
        <v>8110</v>
      </c>
      <c r="CV2343" s="1389" t="s">
        <v>8111</v>
      </c>
      <c r="CX2343" s="1379">
        <v>1</v>
      </c>
    </row>
    <row r="2344" spans="91:102" ht="21" customHeight="1" x14ac:dyDescent="0.25">
      <c r="CM2344" s="1377"/>
      <c r="CN2344" s="1388" t="s">
        <v>13246</v>
      </c>
      <c r="CO2344" s="1388" t="s">
        <v>8135</v>
      </c>
      <c r="CP2344" s="1388" t="s">
        <v>8106</v>
      </c>
      <c r="CQ2344" s="1388" t="s">
        <v>13247</v>
      </c>
      <c r="CR2344" s="1388" t="s">
        <v>13247</v>
      </c>
      <c r="CS2344" s="1388" t="s">
        <v>8788</v>
      </c>
      <c r="CT2344" s="1388" t="s">
        <v>8789</v>
      </c>
      <c r="CU2344" s="1388" t="s">
        <v>8790</v>
      </c>
      <c r="CV2344" s="1389" t="s">
        <v>12864</v>
      </c>
      <c r="CX2344" s="1379">
        <v>1</v>
      </c>
    </row>
    <row r="2345" spans="91:102" ht="21" customHeight="1" x14ac:dyDescent="0.25">
      <c r="CM2345" s="1377"/>
      <c r="CN2345" s="1388" t="s">
        <v>13248</v>
      </c>
      <c r="CO2345" s="1388" t="s">
        <v>8135</v>
      </c>
      <c r="CP2345" s="1388" t="s">
        <v>8106</v>
      </c>
      <c r="CQ2345" s="1388" t="s">
        <v>13249</v>
      </c>
      <c r="CR2345" s="1388" t="s">
        <v>13249</v>
      </c>
      <c r="CS2345" s="1388" t="s">
        <v>8788</v>
      </c>
      <c r="CT2345" s="1388" t="s">
        <v>8789</v>
      </c>
      <c r="CU2345" s="1388" t="s">
        <v>8790</v>
      </c>
      <c r="CV2345" s="1389" t="s">
        <v>12864</v>
      </c>
      <c r="CX2345" s="1379">
        <v>1</v>
      </c>
    </row>
    <row r="2346" spans="91:102" ht="21" customHeight="1" x14ac:dyDescent="0.25">
      <c r="CM2346" s="1377"/>
      <c r="CN2346" s="1388" t="s">
        <v>13250</v>
      </c>
      <c r="CO2346" s="1388" t="s">
        <v>8135</v>
      </c>
      <c r="CP2346" s="1388" t="s">
        <v>8106</v>
      </c>
      <c r="CQ2346" s="1388" t="s">
        <v>13251</v>
      </c>
      <c r="CR2346" s="1388" t="s">
        <v>13251</v>
      </c>
      <c r="CS2346" s="1388" t="s">
        <v>8108</v>
      </c>
      <c r="CT2346" s="1388" t="s">
        <v>12892</v>
      </c>
      <c r="CU2346" s="1388" t="s">
        <v>8110</v>
      </c>
      <c r="CV2346" s="1389" t="s">
        <v>8111</v>
      </c>
      <c r="CX2346" s="1379">
        <v>1</v>
      </c>
    </row>
    <row r="2347" spans="91:102" ht="21" customHeight="1" x14ac:dyDescent="0.25">
      <c r="CM2347" s="1377"/>
      <c r="CN2347" s="1388" t="s">
        <v>13252</v>
      </c>
      <c r="CO2347" s="1388" t="s">
        <v>8135</v>
      </c>
      <c r="CP2347" s="1388" t="s">
        <v>8106</v>
      </c>
      <c r="CQ2347" s="1388" t="s">
        <v>13253</v>
      </c>
      <c r="CR2347" s="1388" t="s">
        <v>13253</v>
      </c>
      <c r="CS2347" s="1388" t="s">
        <v>8788</v>
      </c>
      <c r="CT2347" s="1388" t="s">
        <v>8789</v>
      </c>
      <c r="CU2347" s="1388" t="s">
        <v>8790</v>
      </c>
      <c r="CV2347" s="1389" t="s">
        <v>12864</v>
      </c>
      <c r="CX2347" s="1379">
        <v>1</v>
      </c>
    </row>
    <row r="2348" spans="91:102" ht="21" customHeight="1" x14ac:dyDescent="0.25">
      <c r="CM2348" s="1377"/>
      <c r="CN2348" s="1388" t="s">
        <v>13254</v>
      </c>
      <c r="CO2348" s="1388" t="s">
        <v>8135</v>
      </c>
      <c r="CP2348" s="1388" t="s">
        <v>8106</v>
      </c>
      <c r="CQ2348" s="1388" t="s">
        <v>13255</v>
      </c>
      <c r="CR2348" s="1388" t="s">
        <v>13255</v>
      </c>
      <c r="CS2348" s="1388" t="s">
        <v>8788</v>
      </c>
      <c r="CT2348" s="1388" t="s">
        <v>8789</v>
      </c>
      <c r="CU2348" s="1388" t="s">
        <v>8790</v>
      </c>
      <c r="CV2348" s="1389" t="s">
        <v>12864</v>
      </c>
      <c r="CX2348" s="1379">
        <v>1</v>
      </c>
    </row>
    <row r="2349" spans="91:102" ht="21" customHeight="1" x14ac:dyDescent="0.25">
      <c r="CM2349" s="1377"/>
      <c r="CN2349" s="1388" t="s">
        <v>13256</v>
      </c>
      <c r="CO2349" s="1388" t="s">
        <v>8135</v>
      </c>
      <c r="CP2349" s="1388" t="s">
        <v>8106</v>
      </c>
      <c r="CQ2349" s="1388" t="s">
        <v>13257</v>
      </c>
      <c r="CR2349" s="1388" t="s">
        <v>13257</v>
      </c>
      <c r="CS2349" s="1388" t="s">
        <v>8788</v>
      </c>
      <c r="CT2349" s="1388" t="s">
        <v>8789</v>
      </c>
      <c r="CU2349" s="1388" t="s">
        <v>8790</v>
      </c>
      <c r="CV2349" s="1389" t="s">
        <v>12864</v>
      </c>
      <c r="CX2349" s="1379">
        <v>1</v>
      </c>
    </row>
    <row r="2350" spans="91:102" ht="21" customHeight="1" x14ac:dyDescent="0.25">
      <c r="CM2350" s="1377"/>
      <c r="CN2350" s="1388" t="s">
        <v>13258</v>
      </c>
      <c r="CO2350" s="1388" t="s">
        <v>8135</v>
      </c>
      <c r="CP2350" s="1388" t="s">
        <v>8106</v>
      </c>
      <c r="CQ2350" s="1388" t="s">
        <v>13259</v>
      </c>
      <c r="CR2350" s="1388" t="s">
        <v>13259</v>
      </c>
      <c r="CS2350" s="1388" t="s">
        <v>8788</v>
      </c>
      <c r="CT2350" s="1388" t="s">
        <v>8789</v>
      </c>
      <c r="CU2350" s="1388" t="s">
        <v>8790</v>
      </c>
      <c r="CV2350" s="1389" t="s">
        <v>12864</v>
      </c>
      <c r="CX2350" s="1379">
        <v>1</v>
      </c>
    </row>
    <row r="2351" spans="91:102" ht="21" customHeight="1" x14ac:dyDescent="0.25">
      <c r="CM2351" s="1377"/>
      <c r="CN2351" s="1388" t="s">
        <v>13260</v>
      </c>
      <c r="CO2351" s="1388" t="s">
        <v>8135</v>
      </c>
      <c r="CP2351" s="1388" t="s">
        <v>8106</v>
      </c>
      <c r="CQ2351" s="1388" t="s">
        <v>13261</v>
      </c>
      <c r="CR2351" s="1388" t="s">
        <v>13261</v>
      </c>
      <c r="CS2351" s="1388" t="s">
        <v>8788</v>
      </c>
      <c r="CT2351" s="1388" t="s">
        <v>8789</v>
      </c>
      <c r="CU2351" s="1388" t="s">
        <v>8790</v>
      </c>
      <c r="CV2351" s="1389" t="s">
        <v>12864</v>
      </c>
      <c r="CX2351" s="1379">
        <v>1</v>
      </c>
    </row>
    <row r="2352" spans="91:102" ht="21" customHeight="1" x14ac:dyDescent="0.25">
      <c r="CM2352" s="1377"/>
      <c r="CN2352" s="1388" t="s">
        <v>13262</v>
      </c>
      <c r="CO2352" s="1388" t="s">
        <v>8135</v>
      </c>
      <c r="CP2352" s="1388" t="s">
        <v>8106</v>
      </c>
      <c r="CQ2352" s="1388" t="s">
        <v>13263</v>
      </c>
      <c r="CR2352" s="1388" t="s">
        <v>13263</v>
      </c>
      <c r="CS2352" s="1388" t="s">
        <v>8108</v>
      </c>
      <c r="CT2352" s="1388" t="s">
        <v>12892</v>
      </c>
      <c r="CU2352" s="1388" t="s">
        <v>8110</v>
      </c>
      <c r="CV2352" s="1389" t="s">
        <v>8111</v>
      </c>
      <c r="CX2352" s="1379">
        <v>1</v>
      </c>
    </row>
    <row r="2353" spans="91:102" ht="21" customHeight="1" x14ac:dyDescent="0.25">
      <c r="CM2353" s="1377"/>
      <c r="CN2353" s="1388" t="s">
        <v>13264</v>
      </c>
      <c r="CO2353" s="1388" t="s">
        <v>8135</v>
      </c>
      <c r="CP2353" s="1388" t="s">
        <v>8106</v>
      </c>
      <c r="CQ2353" s="1388" t="s">
        <v>13265</v>
      </c>
      <c r="CR2353" s="1388" t="s">
        <v>13265</v>
      </c>
      <c r="CS2353" s="1388" t="s">
        <v>8788</v>
      </c>
      <c r="CT2353" s="1388" t="s">
        <v>8789</v>
      </c>
      <c r="CU2353" s="1388" t="s">
        <v>8790</v>
      </c>
      <c r="CV2353" s="1389" t="s">
        <v>12864</v>
      </c>
      <c r="CX2353" s="1379">
        <v>1</v>
      </c>
    </row>
    <row r="2354" spans="91:102" ht="21" customHeight="1" x14ac:dyDescent="0.25">
      <c r="CM2354" s="1377"/>
      <c r="CN2354" s="1388" t="s">
        <v>13266</v>
      </c>
      <c r="CO2354" s="1388" t="s">
        <v>8135</v>
      </c>
      <c r="CP2354" s="1388" t="s">
        <v>8106</v>
      </c>
      <c r="CQ2354" s="1388" t="s">
        <v>13267</v>
      </c>
      <c r="CR2354" s="1388" t="s">
        <v>13267</v>
      </c>
      <c r="CS2354" s="1388" t="s">
        <v>8108</v>
      </c>
      <c r="CT2354" s="1388" t="s">
        <v>12892</v>
      </c>
      <c r="CU2354" s="1388" t="s">
        <v>8110</v>
      </c>
      <c r="CV2354" s="1389" t="s">
        <v>8111</v>
      </c>
      <c r="CX2354" s="1379">
        <v>1</v>
      </c>
    </row>
    <row r="2355" spans="91:102" ht="21" customHeight="1" x14ac:dyDescent="0.25">
      <c r="CM2355" s="1377"/>
      <c r="CN2355" s="1388" t="s">
        <v>13268</v>
      </c>
      <c r="CO2355" s="1388" t="s">
        <v>8135</v>
      </c>
      <c r="CP2355" s="1388" t="s">
        <v>8106</v>
      </c>
      <c r="CQ2355" s="1388" t="s">
        <v>13269</v>
      </c>
      <c r="CR2355" s="1388" t="s">
        <v>13269</v>
      </c>
      <c r="CS2355" s="1388" t="s">
        <v>8788</v>
      </c>
      <c r="CT2355" s="1388" t="s">
        <v>8789</v>
      </c>
      <c r="CU2355" s="1388" t="s">
        <v>8790</v>
      </c>
      <c r="CV2355" s="1389" t="s">
        <v>12864</v>
      </c>
      <c r="CX2355" s="1379">
        <v>1</v>
      </c>
    </row>
    <row r="2356" spans="91:102" ht="21" customHeight="1" x14ac:dyDescent="0.25">
      <c r="CM2356" s="1377"/>
      <c r="CN2356" s="1388" t="s">
        <v>13270</v>
      </c>
      <c r="CO2356" s="1388" t="s">
        <v>8135</v>
      </c>
      <c r="CP2356" s="1388" t="s">
        <v>8106</v>
      </c>
      <c r="CQ2356" s="1388" t="s">
        <v>13271</v>
      </c>
      <c r="CR2356" s="1388" t="s">
        <v>13272</v>
      </c>
      <c r="CS2356" s="1388" t="s">
        <v>8108</v>
      </c>
      <c r="CT2356" s="1388" t="s">
        <v>12892</v>
      </c>
      <c r="CU2356" s="1388" t="s">
        <v>8110</v>
      </c>
      <c r="CV2356" s="1389" t="s">
        <v>8111</v>
      </c>
      <c r="CX2356" s="1379">
        <v>1</v>
      </c>
    </row>
    <row r="2357" spans="91:102" ht="21" customHeight="1" x14ac:dyDescent="0.25">
      <c r="CM2357" s="1377"/>
      <c r="CN2357" s="1388" t="s">
        <v>13273</v>
      </c>
      <c r="CO2357" s="1388" t="s">
        <v>8135</v>
      </c>
      <c r="CP2357" s="1388" t="s">
        <v>8106</v>
      </c>
      <c r="CQ2357" s="1388" t="s">
        <v>13274</v>
      </c>
      <c r="CR2357" s="1388" t="s">
        <v>13275</v>
      </c>
      <c r="CS2357" s="1388" t="s">
        <v>8108</v>
      </c>
      <c r="CT2357" s="1388" t="s">
        <v>12892</v>
      </c>
      <c r="CU2357" s="1388" t="s">
        <v>8110</v>
      </c>
      <c r="CV2357" s="1389" t="s">
        <v>8111</v>
      </c>
      <c r="CX2357" s="1379">
        <v>1</v>
      </c>
    </row>
    <row r="2358" spans="91:102" ht="21" customHeight="1" x14ac:dyDescent="0.25">
      <c r="CM2358" s="1377"/>
      <c r="CN2358" s="1388" t="s">
        <v>13276</v>
      </c>
      <c r="CO2358" s="1388" t="s">
        <v>8135</v>
      </c>
      <c r="CP2358" s="1388" t="s">
        <v>8106</v>
      </c>
      <c r="CQ2358" s="1388" t="s">
        <v>13277</v>
      </c>
      <c r="CR2358" s="1388" t="s">
        <v>13277</v>
      </c>
      <c r="CS2358" s="1388" t="s">
        <v>8788</v>
      </c>
      <c r="CT2358" s="1388" t="s">
        <v>8789</v>
      </c>
      <c r="CU2358" s="1388" t="s">
        <v>8790</v>
      </c>
      <c r="CV2358" s="1389" t="s">
        <v>12864</v>
      </c>
      <c r="CX2358" s="1379">
        <v>1</v>
      </c>
    </row>
    <row r="2359" spans="91:102" ht="21" customHeight="1" x14ac:dyDescent="0.25">
      <c r="CM2359" s="1377"/>
      <c r="CN2359" s="1388" t="s">
        <v>13278</v>
      </c>
      <c r="CO2359" s="1388" t="s">
        <v>8135</v>
      </c>
      <c r="CP2359" s="1388" t="s">
        <v>8106</v>
      </c>
      <c r="CQ2359" s="1388" t="s">
        <v>13279</v>
      </c>
      <c r="CR2359" s="1388" t="s">
        <v>13279</v>
      </c>
      <c r="CS2359" s="1388" t="s">
        <v>8194</v>
      </c>
      <c r="CT2359" s="1388" t="s">
        <v>8195</v>
      </c>
      <c r="CU2359" s="1388" t="s">
        <v>8110</v>
      </c>
      <c r="CV2359" s="1389" t="s">
        <v>8196</v>
      </c>
      <c r="CX2359" s="1379">
        <v>1</v>
      </c>
    </row>
    <row r="2360" spans="91:102" ht="21" customHeight="1" x14ac:dyDescent="0.25">
      <c r="CM2360" s="1377"/>
      <c r="CN2360" s="1388" t="s">
        <v>13280</v>
      </c>
      <c r="CO2360" s="1388" t="s">
        <v>8135</v>
      </c>
      <c r="CP2360" s="1388" t="s">
        <v>8106</v>
      </c>
      <c r="CQ2360" s="1388" t="s">
        <v>13281</v>
      </c>
      <c r="CR2360" s="1388" t="s">
        <v>13281</v>
      </c>
      <c r="CS2360" s="1388" t="s">
        <v>8194</v>
      </c>
      <c r="CT2360" s="1388" t="s">
        <v>8195</v>
      </c>
      <c r="CU2360" s="1388" t="s">
        <v>8110</v>
      </c>
      <c r="CV2360" s="1389" t="s">
        <v>8196</v>
      </c>
      <c r="CX2360" s="1379">
        <v>1</v>
      </c>
    </row>
    <row r="2361" spans="91:102" ht="21" customHeight="1" x14ac:dyDescent="0.25">
      <c r="CM2361" s="1377"/>
      <c r="CN2361" s="1388" t="s">
        <v>13282</v>
      </c>
      <c r="CO2361" s="1388" t="s">
        <v>8135</v>
      </c>
      <c r="CP2361" s="1388" t="s">
        <v>8106</v>
      </c>
      <c r="CQ2361" s="1388" t="s">
        <v>13283</v>
      </c>
      <c r="CR2361" s="1388" t="s">
        <v>13283</v>
      </c>
      <c r="CS2361" s="1388" t="s">
        <v>8788</v>
      </c>
      <c r="CT2361" s="1388" t="s">
        <v>8789</v>
      </c>
      <c r="CU2361" s="1388" t="s">
        <v>8790</v>
      </c>
      <c r="CV2361" s="1389" t="s">
        <v>12864</v>
      </c>
      <c r="CX2361" s="1379">
        <v>1</v>
      </c>
    </row>
    <row r="2362" spans="91:102" ht="21" customHeight="1" x14ac:dyDescent="0.25">
      <c r="CM2362" s="1377"/>
      <c r="CN2362" s="1388" t="s">
        <v>13284</v>
      </c>
      <c r="CO2362" s="1388" t="s">
        <v>8135</v>
      </c>
      <c r="CP2362" s="1388" t="s">
        <v>8106</v>
      </c>
      <c r="CQ2362" s="1388" t="s">
        <v>13285</v>
      </c>
      <c r="CR2362" s="1388" t="s">
        <v>13285</v>
      </c>
      <c r="CS2362" s="1388" t="s">
        <v>8788</v>
      </c>
      <c r="CT2362" s="1388" t="s">
        <v>8789</v>
      </c>
      <c r="CU2362" s="1388" t="s">
        <v>8790</v>
      </c>
      <c r="CV2362" s="1389" t="s">
        <v>12864</v>
      </c>
      <c r="CX2362" s="1379">
        <v>1</v>
      </c>
    </row>
    <row r="2363" spans="91:102" ht="21" customHeight="1" x14ac:dyDescent="0.25">
      <c r="CM2363" s="1377"/>
      <c r="CN2363" s="1388" t="s">
        <v>13286</v>
      </c>
      <c r="CO2363" s="1388" t="s">
        <v>8135</v>
      </c>
      <c r="CP2363" s="1388" t="s">
        <v>8106</v>
      </c>
      <c r="CQ2363" s="1388" t="s">
        <v>13287</v>
      </c>
      <c r="CR2363" s="1388" t="s">
        <v>13287</v>
      </c>
      <c r="CS2363" s="1388" t="s">
        <v>8788</v>
      </c>
      <c r="CT2363" s="1388" t="s">
        <v>8789</v>
      </c>
      <c r="CU2363" s="1388" t="s">
        <v>8790</v>
      </c>
      <c r="CV2363" s="1389" t="s">
        <v>12864</v>
      </c>
      <c r="CX2363" s="1379">
        <v>1</v>
      </c>
    </row>
    <row r="2364" spans="91:102" ht="21" customHeight="1" x14ac:dyDescent="0.25">
      <c r="CM2364" s="1377"/>
      <c r="CN2364" s="1388" t="s">
        <v>13288</v>
      </c>
      <c r="CO2364" s="1388" t="s">
        <v>8135</v>
      </c>
      <c r="CP2364" s="1388" t="s">
        <v>8106</v>
      </c>
      <c r="CQ2364" s="1388" t="s">
        <v>13289</v>
      </c>
      <c r="CR2364" s="1388" t="s">
        <v>13289</v>
      </c>
      <c r="CS2364" s="1388" t="s">
        <v>8788</v>
      </c>
      <c r="CT2364" s="1388" t="s">
        <v>8789</v>
      </c>
      <c r="CU2364" s="1388" t="s">
        <v>8790</v>
      </c>
      <c r="CV2364" s="1389" t="s">
        <v>12864</v>
      </c>
      <c r="CX2364" s="1379">
        <v>1</v>
      </c>
    </row>
    <row r="2365" spans="91:102" ht="21" customHeight="1" x14ac:dyDescent="0.25">
      <c r="CM2365" s="1377"/>
      <c r="CN2365" s="1388" t="s">
        <v>13290</v>
      </c>
      <c r="CO2365" s="1388" t="s">
        <v>8135</v>
      </c>
      <c r="CP2365" s="1388" t="s">
        <v>8106</v>
      </c>
      <c r="CQ2365" s="1388" t="s">
        <v>13291</v>
      </c>
      <c r="CR2365" s="1388" t="s">
        <v>13291</v>
      </c>
      <c r="CS2365" s="1388" t="s">
        <v>8788</v>
      </c>
      <c r="CT2365" s="1388" t="s">
        <v>8789</v>
      </c>
      <c r="CU2365" s="1388" t="s">
        <v>8790</v>
      </c>
      <c r="CV2365" s="1389" t="s">
        <v>12864</v>
      </c>
      <c r="CX2365" s="1379">
        <v>1</v>
      </c>
    </row>
    <row r="2366" spans="91:102" ht="21" customHeight="1" x14ac:dyDescent="0.25">
      <c r="CM2366" s="1377"/>
      <c r="CN2366" s="1388" t="s">
        <v>13292</v>
      </c>
      <c r="CO2366" s="1388" t="s">
        <v>8135</v>
      </c>
      <c r="CP2366" s="1388" t="s">
        <v>8106</v>
      </c>
      <c r="CQ2366" s="1388" t="s">
        <v>13293</v>
      </c>
      <c r="CR2366" s="1388" t="s">
        <v>13293</v>
      </c>
      <c r="CS2366" s="1388" t="s">
        <v>8788</v>
      </c>
      <c r="CT2366" s="1388" t="s">
        <v>8789</v>
      </c>
      <c r="CU2366" s="1388" t="s">
        <v>8790</v>
      </c>
      <c r="CV2366" s="1389" t="s">
        <v>12864</v>
      </c>
      <c r="CX2366" s="1379">
        <v>1</v>
      </c>
    </row>
    <row r="2367" spans="91:102" ht="21" customHeight="1" x14ac:dyDescent="0.25">
      <c r="CM2367" s="1377"/>
      <c r="CN2367" s="1388" t="s">
        <v>13294</v>
      </c>
      <c r="CO2367" s="1388" t="s">
        <v>8135</v>
      </c>
      <c r="CP2367" s="1388" t="s">
        <v>8106</v>
      </c>
      <c r="CQ2367" s="1388" t="s">
        <v>13295</v>
      </c>
      <c r="CR2367" s="1388" t="s">
        <v>13295</v>
      </c>
      <c r="CS2367" s="1388" t="s">
        <v>8108</v>
      </c>
      <c r="CT2367" s="1388" t="s">
        <v>12892</v>
      </c>
      <c r="CU2367" s="1388" t="s">
        <v>8110</v>
      </c>
      <c r="CV2367" s="1389" t="s">
        <v>8111</v>
      </c>
      <c r="CX2367" s="1379">
        <v>1</v>
      </c>
    </row>
    <row r="2368" spans="91:102" ht="21" customHeight="1" x14ac:dyDescent="0.25">
      <c r="CM2368" s="1377"/>
      <c r="CN2368" s="1388" t="s">
        <v>13296</v>
      </c>
      <c r="CO2368" s="1388" t="s">
        <v>8135</v>
      </c>
      <c r="CP2368" s="1388" t="s">
        <v>8106</v>
      </c>
      <c r="CQ2368" s="1388" t="s">
        <v>13297</v>
      </c>
      <c r="CR2368" s="1388" t="s">
        <v>13297</v>
      </c>
      <c r="CS2368" s="1388" t="s">
        <v>8788</v>
      </c>
      <c r="CT2368" s="1388" t="s">
        <v>8789</v>
      </c>
      <c r="CU2368" s="1388" t="s">
        <v>8790</v>
      </c>
      <c r="CV2368" s="1389" t="s">
        <v>12864</v>
      </c>
      <c r="CX2368" s="1379">
        <v>1</v>
      </c>
    </row>
    <row r="2369" spans="91:102" ht="21" customHeight="1" x14ac:dyDescent="0.25">
      <c r="CM2369" s="1377"/>
      <c r="CN2369" s="1388" t="s">
        <v>13298</v>
      </c>
      <c r="CO2369" s="1388" t="s">
        <v>8135</v>
      </c>
      <c r="CP2369" s="1388" t="s">
        <v>8106</v>
      </c>
      <c r="CQ2369" s="1388" t="s">
        <v>13299</v>
      </c>
      <c r="CR2369" s="1388" t="s">
        <v>13299</v>
      </c>
      <c r="CS2369" s="1388" t="s">
        <v>8788</v>
      </c>
      <c r="CT2369" s="1388" t="s">
        <v>8789</v>
      </c>
      <c r="CU2369" s="1388" t="s">
        <v>8790</v>
      </c>
      <c r="CV2369" s="1389" t="s">
        <v>12864</v>
      </c>
      <c r="CX2369" s="1379">
        <v>1</v>
      </c>
    </row>
    <row r="2370" spans="91:102" ht="21" customHeight="1" x14ac:dyDescent="0.25">
      <c r="CM2370" s="1377"/>
      <c r="CN2370" s="1388" t="s">
        <v>13300</v>
      </c>
      <c r="CO2370" s="1388" t="s">
        <v>8135</v>
      </c>
      <c r="CP2370" s="1388" t="s">
        <v>8106</v>
      </c>
      <c r="CQ2370" s="1388" t="s">
        <v>13301</v>
      </c>
      <c r="CR2370" s="1388" t="s">
        <v>13301</v>
      </c>
      <c r="CS2370" s="1388" t="s">
        <v>8788</v>
      </c>
      <c r="CT2370" s="1388" t="s">
        <v>8789</v>
      </c>
      <c r="CU2370" s="1388" t="s">
        <v>8790</v>
      </c>
      <c r="CV2370" s="1389" t="s">
        <v>12864</v>
      </c>
      <c r="CX2370" s="1379">
        <v>1</v>
      </c>
    </row>
    <row r="2371" spans="91:102" ht="21" customHeight="1" x14ac:dyDescent="0.25">
      <c r="CM2371" s="1377"/>
      <c r="CN2371" s="1388" t="s">
        <v>13302</v>
      </c>
      <c r="CO2371" s="1388" t="s">
        <v>8135</v>
      </c>
      <c r="CP2371" s="1388" t="s">
        <v>8106</v>
      </c>
      <c r="CQ2371" s="1388" t="s">
        <v>13303</v>
      </c>
      <c r="CR2371" s="1388" t="s">
        <v>13303</v>
      </c>
      <c r="CS2371" s="1388" t="s">
        <v>8788</v>
      </c>
      <c r="CT2371" s="1388" t="s">
        <v>8789</v>
      </c>
      <c r="CU2371" s="1388" t="s">
        <v>8790</v>
      </c>
      <c r="CV2371" s="1389" t="s">
        <v>12864</v>
      </c>
      <c r="CX2371" s="1379">
        <v>1</v>
      </c>
    </row>
    <row r="2372" spans="91:102" ht="21" customHeight="1" x14ac:dyDescent="0.25">
      <c r="CM2372" s="1377"/>
      <c r="CN2372" s="1388" t="s">
        <v>13304</v>
      </c>
      <c r="CO2372" s="1388" t="s">
        <v>8135</v>
      </c>
      <c r="CP2372" s="1388" t="s">
        <v>8106</v>
      </c>
      <c r="CQ2372" s="1388" t="s">
        <v>13305</v>
      </c>
      <c r="CR2372" s="1388" t="s">
        <v>13305</v>
      </c>
      <c r="CS2372" s="1388" t="s">
        <v>8788</v>
      </c>
      <c r="CT2372" s="1388" t="s">
        <v>8789</v>
      </c>
      <c r="CU2372" s="1388" t="s">
        <v>8790</v>
      </c>
      <c r="CV2372" s="1389" t="s">
        <v>12864</v>
      </c>
      <c r="CX2372" s="1379">
        <v>1</v>
      </c>
    </row>
    <row r="2373" spans="91:102" ht="21" customHeight="1" x14ac:dyDescent="0.25">
      <c r="CM2373" s="1377"/>
      <c r="CN2373" s="1388" t="s">
        <v>13306</v>
      </c>
      <c r="CO2373" s="1388" t="s">
        <v>8135</v>
      </c>
      <c r="CP2373" s="1388" t="s">
        <v>8106</v>
      </c>
      <c r="CQ2373" s="1388" t="s">
        <v>13307</v>
      </c>
      <c r="CR2373" s="1388" t="s">
        <v>13307</v>
      </c>
      <c r="CS2373" s="1388" t="s">
        <v>8194</v>
      </c>
      <c r="CT2373" s="1388" t="s">
        <v>8195</v>
      </c>
      <c r="CU2373" s="1388" t="s">
        <v>8110</v>
      </c>
      <c r="CV2373" s="1389" t="s">
        <v>8196</v>
      </c>
      <c r="CX2373" s="1379">
        <v>1</v>
      </c>
    </row>
    <row r="2374" spans="91:102" ht="21" customHeight="1" x14ac:dyDescent="0.25">
      <c r="CM2374" s="1377"/>
      <c r="CN2374" s="1388" t="s">
        <v>13308</v>
      </c>
      <c r="CO2374" s="1388" t="s">
        <v>8135</v>
      </c>
      <c r="CP2374" s="1388" t="s">
        <v>8106</v>
      </c>
      <c r="CQ2374" s="1388" t="s">
        <v>13309</v>
      </c>
      <c r="CR2374" s="1388" t="s">
        <v>13309</v>
      </c>
      <c r="CS2374" s="1388" t="s">
        <v>8788</v>
      </c>
      <c r="CT2374" s="1388" t="s">
        <v>8789</v>
      </c>
      <c r="CU2374" s="1388" t="s">
        <v>8790</v>
      </c>
      <c r="CV2374" s="1389" t="s">
        <v>12864</v>
      </c>
      <c r="CX2374" s="1379">
        <v>1</v>
      </c>
    </row>
    <row r="2375" spans="91:102" ht="21" customHeight="1" x14ac:dyDescent="0.25">
      <c r="CM2375" s="1377"/>
      <c r="CN2375" s="1388" t="s">
        <v>13310</v>
      </c>
      <c r="CO2375" s="1388" t="s">
        <v>8135</v>
      </c>
      <c r="CP2375" s="1388" t="s">
        <v>8106</v>
      </c>
      <c r="CQ2375" s="1388" t="s">
        <v>13311</v>
      </c>
      <c r="CR2375" s="1388" t="s">
        <v>13311</v>
      </c>
      <c r="CS2375" s="1388" t="s">
        <v>8788</v>
      </c>
      <c r="CT2375" s="1388" t="s">
        <v>8789</v>
      </c>
      <c r="CU2375" s="1388" t="s">
        <v>8790</v>
      </c>
      <c r="CV2375" s="1389" t="s">
        <v>12864</v>
      </c>
      <c r="CX2375" s="1379">
        <v>1</v>
      </c>
    </row>
    <row r="2376" spans="91:102" ht="21" customHeight="1" x14ac:dyDescent="0.25">
      <c r="CM2376" s="1377"/>
      <c r="CN2376" s="1388" t="s">
        <v>13312</v>
      </c>
      <c r="CO2376" s="1388" t="s">
        <v>8135</v>
      </c>
      <c r="CP2376" s="1388" t="s">
        <v>8106</v>
      </c>
      <c r="CQ2376" s="1388" t="s">
        <v>13313</v>
      </c>
      <c r="CR2376" s="1388" t="s">
        <v>13313</v>
      </c>
      <c r="CS2376" s="1388" t="s">
        <v>8788</v>
      </c>
      <c r="CT2376" s="1388" t="s">
        <v>8789</v>
      </c>
      <c r="CU2376" s="1388" t="s">
        <v>8790</v>
      </c>
      <c r="CV2376" s="1389" t="s">
        <v>12864</v>
      </c>
      <c r="CX2376" s="1379">
        <v>1</v>
      </c>
    </row>
    <row r="2377" spans="91:102" ht="21" customHeight="1" x14ac:dyDescent="0.25">
      <c r="CM2377" s="1377"/>
      <c r="CN2377" s="1388" t="s">
        <v>13314</v>
      </c>
      <c r="CO2377" s="1388" t="s">
        <v>8135</v>
      </c>
      <c r="CP2377" s="1388" t="s">
        <v>8106</v>
      </c>
      <c r="CQ2377" s="1388" t="s">
        <v>13315</v>
      </c>
      <c r="CR2377" s="1388" t="s">
        <v>13315</v>
      </c>
      <c r="CS2377" s="1388" t="s">
        <v>8788</v>
      </c>
      <c r="CT2377" s="1388" t="s">
        <v>8789</v>
      </c>
      <c r="CU2377" s="1388" t="s">
        <v>8790</v>
      </c>
      <c r="CV2377" s="1389" t="s">
        <v>12864</v>
      </c>
      <c r="CX2377" s="1379">
        <v>1</v>
      </c>
    </row>
    <row r="2378" spans="91:102" ht="21" customHeight="1" x14ac:dyDescent="0.25">
      <c r="CM2378" s="1377"/>
      <c r="CN2378" s="1388" t="s">
        <v>13316</v>
      </c>
      <c r="CO2378" s="1388" t="s">
        <v>8135</v>
      </c>
      <c r="CP2378" s="1388" t="s">
        <v>8106</v>
      </c>
      <c r="CQ2378" s="1388" t="s">
        <v>13317</v>
      </c>
      <c r="CR2378" s="1388" t="s">
        <v>13317</v>
      </c>
      <c r="CS2378" s="1388" t="s">
        <v>8108</v>
      </c>
      <c r="CT2378" s="1388" t="s">
        <v>12892</v>
      </c>
      <c r="CU2378" s="1388" t="s">
        <v>8110</v>
      </c>
      <c r="CV2378" s="1389" t="s">
        <v>8111</v>
      </c>
      <c r="CX2378" s="1379">
        <v>1</v>
      </c>
    </row>
    <row r="2379" spans="91:102" ht="21" customHeight="1" x14ac:dyDescent="0.25">
      <c r="CM2379" s="1377"/>
      <c r="CN2379" s="1388" t="s">
        <v>13318</v>
      </c>
      <c r="CO2379" s="1388" t="s">
        <v>8135</v>
      </c>
      <c r="CP2379" s="1388" t="s">
        <v>8106</v>
      </c>
      <c r="CQ2379" s="1388" t="s">
        <v>13319</v>
      </c>
      <c r="CR2379" s="1388" t="s">
        <v>13319</v>
      </c>
      <c r="CS2379" s="1388" t="s">
        <v>8788</v>
      </c>
      <c r="CT2379" s="1388" t="s">
        <v>8789</v>
      </c>
      <c r="CU2379" s="1388" t="s">
        <v>8790</v>
      </c>
      <c r="CV2379" s="1389" t="s">
        <v>12864</v>
      </c>
      <c r="CX2379" s="1379">
        <v>1</v>
      </c>
    </row>
    <row r="2380" spans="91:102" ht="21" customHeight="1" x14ac:dyDescent="0.25">
      <c r="CM2380" s="1377"/>
      <c r="CN2380" s="1388" t="s">
        <v>13320</v>
      </c>
      <c r="CO2380" s="1388" t="s">
        <v>8135</v>
      </c>
      <c r="CP2380" s="1388" t="s">
        <v>8106</v>
      </c>
      <c r="CQ2380" s="1388" t="s">
        <v>13321</v>
      </c>
      <c r="CR2380" s="1388" t="s">
        <v>13321</v>
      </c>
      <c r="CS2380" s="1388" t="s">
        <v>8788</v>
      </c>
      <c r="CT2380" s="1388" t="s">
        <v>8789</v>
      </c>
      <c r="CU2380" s="1388" t="s">
        <v>8790</v>
      </c>
      <c r="CV2380" s="1389" t="s">
        <v>12864</v>
      </c>
      <c r="CX2380" s="1379">
        <v>1</v>
      </c>
    </row>
    <row r="2381" spans="91:102" ht="21" customHeight="1" x14ac:dyDescent="0.25">
      <c r="CM2381" s="1377"/>
      <c r="CN2381" s="1388" t="s">
        <v>13322</v>
      </c>
      <c r="CO2381" s="1388" t="s">
        <v>8135</v>
      </c>
      <c r="CP2381" s="1388" t="s">
        <v>8106</v>
      </c>
      <c r="CQ2381" s="1388" t="s">
        <v>13323</v>
      </c>
      <c r="CR2381" s="1388" t="s">
        <v>13323</v>
      </c>
      <c r="CS2381" s="1388" t="s">
        <v>8788</v>
      </c>
      <c r="CT2381" s="1388" t="s">
        <v>8789</v>
      </c>
      <c r="CU2381" s="1388" t="s">
        <v>8790</v>
      </c>
      <c r="CV2381" s="1389" t="s">
        <v>12864</v>
      </c>
      <c r="CX2381" s="1379">
        <v>1</v>
      </c>
    </row>
    <row r="2382" spans="91:102" ht="21" customHeight="1" x14ac:dyDescent="0.25">
      <c r="CM2382" s="1377"/>
      <c r="CN2382" s="1388" t="s">
        <v>13324</v>
      </c>
      <c r="CO2382" s="1388" t="s">
        <v>8135</v>
      </c>
      <c r="CP2382" s="1388" t="s">
        <v>8106</v>
      </c>
      <c r="CQ2382" s="1388" t="s">
        <v>13325</v>
      </c>
      <c r="CR2382" s="1388" t="s">
        <v>13325</v>
      </c>
      <c r="CS2382" s="1388" t="s">
        <v>8788</v>
      </c>
      <c r="CT2382" s="1388" t="s">
        <v>8789</v>
      </c>
      <c r="CU2382" s="1388" t="s">
        <v>8790</v>
      </c>
      <c r="CV2382" s="1389" t="s">
        <v>12864</v>
      </c>
      <c r="CX2382" s="1379">
        <v>1</v>
      </c>
    </row>
    <row r="2383" spans="91:102" ht="21" customHeight="1" x14ac:dyDescent="0.25">
      <c r="CM2383" s="1377"/>
      <c r="CN2383" s="1388" t="s">
        <v>13326</v>
      </c>
      <c r="CO2383" s="1388" t="s">
        <v>8135</v>
      </c>
      <c r="CP2383" s="1388" t="s">
        <v>8106</v>
      </c>
      <c r="CQ2383" s="1388" t="s">
        <v>13327</v>
      </c>
      <c r="CR2383" s="1388" t="s">
        <v>13327</v>
      </c>
      <c r="CS2383" s="1388" t="s">
        <v>8788</v>
      </c>
      <c r="CT2383" s="1388" t="s">
        <v>8789</v>
      </c>
      <c r="CU2383" s="1388" t="s">
        <v>8790</v>
      </c>
      <c r="CV2383" s="1389" t="s">
        <v>12864</v>
      </c>
      <c r="CX2383" s="1379">
        <v>1</v>
      </c>
    </row>
    <row r="2384" spans="91:102" ht="21" customHeight="1" x14ac:dyDescent="0.25">
      <c r="CM2384" s="1377"/>
      <c r="CN2384" s="1388" t="s">
        <v>13328</v>
      </c>
      <c r="CO2384" s="1388" t="s">
        <v>8135</v>
      </c>
      <c r="CP2384" s="1388" t="s">
        <v>8106</v>
      </c>
      <c r="CQ2384" s="1388" t="s">
        <v>13329</v>
      </c>
      <c r="CR2384" s="1388" t="s">
        <v>13329</v>
      </c>
      <c r="CS2384" s="1388" t="s">
        <v>8788</v>
      </c>
      <c r="CT2384" s="1388" t="s">
        <v>8789</v>
      </c>
      <c r="CU2384" s="1388" t="s">
        <v>8790</v>
      </c>
      <c r="CV2384" s="1389" t="s">
        <v>12864</v>
      </c>
      <c r="CX2384" s="1379">
        <v>1</v>
      </c>
    </row>
    <row r="2385" spans="91:102" ht="21" customHeight="1" x14ac:dyDescent="0.25">
      <c r="CM2385" s="1377"/>
      <c r="CN2385" s="1388" t="s">
        <v>13330</v>
      </c>
      <c r="CO2385" s="1388" t="s">
        <v>8135</v>
      </c>
      <c r="CP2385" s="1388" t="s">
        <v>8106</v>
      </c>
      <c r="CQ2385" s="1388" t="s">
        <v>13331</v>
      </c>
      <c r="CR2385" s="1388" t="s">
        <v>13331</v>
      </c>
      <c r="CS2385" s="1388" t="s">
        <v>8788</v>
      </c>
      <c r="CT2385" s="1388" t="s">
        <v>8789</v>
      </c>
      <c r="CU2385" s="1388" t="s">
        <v>8790</v>
      </c>
      <c r="CV2385" s="1389" t="s">
        <v>12864</v>
      </c>
      <c r="CX2385" s="1379">
        <v>1</v>
      </c>
    </row>
    <row r="2386" spans="91:102" ht="21" customHeight="1" x14ac:dyDescent="0.25">
      <c r="CM2386" s="1377"/>
      <c r="CN2386" s="1388" t="s">
        <v>13332</v>
      </c>
      <c r="CO2386" s="1388" t="s">
        <v>8135</v>
      </c>
      <c r="CP2386" s="1388" t="s">
        <v>8106</v>
      </c>
      <c r="CQ2386" s="1388" t="s">
        <v>13333</v>
      </c>
      <c r="CR2386" s="1388" t="s">
        <v>13333</v>
      </c>
      <c r="CS2386" s="1388" t="s">
        <v>8788</v>
      </c>
      <c r="CT2386" s="1388" t="s">
        <v>8789</v>
      </c>
      <c r="CU2386" s="1388" t="s">
        <v>8790</v>
      </c>
      <c r="CV2386" s="1389" t="s">
        <v>12864</v>
      </c>
      <c r="CX2386" s="1379">
        <v>1</v>
      </c>
    </row>
    <row r="2387" spans="91:102" ht="21" customHeight="1" x14ac:dyDescent="0.25">
      <c r="CM2387" s="1377"/>
      <c r="CN2387" s="1388" t="s">
        <v>13334</v>
      </c>
      <c r="CO2387" s="1388" t="s">
        <v>8135</v>
      </c>
      <c r="CP2387" s="1388" t="s">
        <v>8106</v>
      </c>
      <c r="CQ2387" s="1388" t="s">
        <v>13335</v>
      </c>
      <c r="CR2387" s="1388" t="s">
        <v>13335</v>
      </c>
      <c r="CS2387" s="1388" t="s">
        <v>8788</v>
      </c>
      <c r="CT2387" s="1388" t="s">
        <v>8789</v>
      </c>
      <c r="CU2387" s="1388" t="s">
        <v>8790</v>
      </c>
      <c r="CV2387" s="1389" t="s">
        <v>12864</v>
      </c>
      <c r="CX2387" s="1379">
        <v>1</v>
      </c>
    </row>
    <row r="2388" spans="91:102" ht="21" customHeight="1" x14ac:dyDescent="0.25">
      <c r="CM2388" s="1377"/>
      <c r="CN2388" s="1388" t="s">
        <v>13336</v>
      </c>
      <c r="CO2388" s="1388" t="s">
        <v>8135</v>
      </c>
      <c r="CP2388" s="1388" t="s">
        <v>8106</v>
      </c>
      <c r="CQ2388" s="1388" t="s">
        <v>13337</v>
      </c>
      <c r="CR2388" s="1388" t="s">
        <v>13337</v>
      </c>
      <c r="CS2388" s="1388" t="s">
        <v>8788</v>
      </c>
      <c r="CT2388" s="1388" t="s">
        <v>8789</v>
      </c>
      <c r="CU2388" s="1388" t="s">
        <v>8790</v>
      </c>
      <c r="CV2388" s="1389" t="s">
        <v>12864</v>
      </c>
      <c r="CX2388" s="1379">
        <v>1</v>
      </c>
    </row>
    <row r="2389" spans="91:102" ht="21" customHeight="1" x14ac:dyDescent="0.25">
      <c r="CM2389" s="1377"/>
      <c r="CN2389" s="1388" t="s">
        <v>13338</v>
      </c>
      <c r="CO2389" s="1388" t="s">
        <v>8135</v>
      </c>
      <c r="CP2389" s="1388" t="s">
        <v>8106</v>
      </c>
      <c r="CQ2389" s="1388" t="s">
        <v>13339</v>
      </c>
      <c r="CR2389" s="1388" t="s">
        <v>13339</v>
      </c>
      <c r="CS2389" s="1388" t="s">
        <v>8788</v>
      </c>
      <c r="CT2389" s="1388" t="s">
        <v>8789</v>
      </c>
      <c r="CU2389" s="1388" t="s">
        <v>8790</v>
      </c>
      <c r="CV2389" s="1389" t="s">
        <v>12864</v>
      </c>
      <c r="CX2389" s="1379">
        <v>1</v>
      </c>
    </row>
    <row r="2390" spans="91:102" ht="21" customHeight="1" x14ac:dyDescent="0.25">
      <c r="CM2390" s="1377"/>
      <c r="CN2390" s="1388" t="s">
        <v>13340</v>
      </c>
      <c r="CO2390" s="1388" t="s">
        <v>8135</v>
      </c>
      <c r="CP2390" s="1388" t="s">
        <v>8106</v>
      </c>
      <c r="CQ2390" s="1388" t="s">
        <v>13341</v>
      </c>
      <c r="CR2390" s="1388" t="s">
        <v>13341</v>
      </c>
      <c r="CS2390" s="1388" t="s">
        <v>8788</v>
      </c>
      <c r="CT2390" s="1388" t="s">
        <v>8789</v>
      </c>
      <c r="CU2390" s="1388" t="s">
        <v>8790</v>
      </c>
      <c r="CV2390" s="1389" t="s">
        <v>12864</v>
      </c>
      <c r="CX2390" s="1379">
        <v>1</v>
      </c>
    </row>
    <row r="2391" spans="91:102" ht="21" customHeight="1" x14ac:dyDescent="0.25">
      <c r="CM2391" s="1377"/>
      <c r="CN2391" s="1388" t="s">
        <v>13342</v>
      </c>
      <c r="CO2391" s="1388" t="s">
        <v>8135</v>
      </c>
      <c r="CP2391" s="1388" t="s">
        <v>8106</v>
      </c>
      <c r="CQ2391" s="1388" t="s">
        <v>13343</v>
      </c>
      <c r="CR2391" s="1388" t="s">
        <v>13343</v>
      </c>
      <c r="CS2391" s="1388" t="s">
        <v>8788</v>
      </c>
      <c r="CT2391" s="1388" t="s">
        <v>8789</v>
      </c>
      <c r="CU2391" s="1388" t="s">
        <v>8790</v>
      </c>
      <c r="CV2391" s="1389" t="s">
        <v>12864</v>
      </c>
      <c r="CX2391" s="1379">
        <v>1</v>
      </c>
    </row>
    <row r="2392" spans="91:102" ht="21" customHeight="1" x14ac:dyDescent="0.25">
      <c r="CM2392" s="1377"/>
      <c r="CN2392" s="1388" t="s">
        <v>13344</v>
      </c>
      <c r="CO2392" s="1388" t="s">
        <v>8135</v>
      </c>
      <c r="CP2392" s="1388" t="s">
        <v>8106</v>
      </c>
      <c r="CQ2392" s="1388" t="s">
        <v>13345</v>
      </c>
      <c r="CR2392" s="1388" t="s">
        <v>13345</v>
      </c>
      <c r="CS2392" s="1388" t="s">
        <v>8788</v>
      </c>
      <c r="CT2392" s="1388" t="s">
        <v>8789</v>
      </c>
      <c r="CU2392" s="1388" t="s">
        <v>8790</v>
      </c>
      <c r="CV2392" s="1389" t="s">
        <v>12864</v>
      </c>
      <c r="CX2392" s="1379">
        <v>1</v>
      </c>
    </row>
    <row r="2393" spans="91:102" ht="21" customHeight="1" x14ac:dyDescent="0.25">
      <c r="CM2393" s="1377"/>
      <c r="CN2393" s="1388" t="s">
        <v>13346</v>
      </c>
      <c r="CO2393" s="1388" t="s">
        <v>8135</v>
      </c>
      <c r="CP2393" s="1388" t="s">
        <v>8106</v>
      </c>
      <c r="CQ2393" s="1388" t="s">
        <v>13347</v>
      </c>
      <c r="CR2393" s="1388" t="s">
        <v>13347</v>
      </c>
      <c r="CS2393" s="1388" t="s">
        <v>8194</v>
      </c>
      <c r="CT2393" s="1388" t="s">
        <v>8195</v>
      </c>
      <c r="CU2393" s="1388" t="s">
        <v>8110</v>
      </c>
      <c r="CV2393" s="1389" t="s">
        <v>8196</v>
      </c>
      <c r="CX2393" s="1379">
        <v>1</v>
      </c>
    </row>
    <row r="2394" spans="91:102" ht="21" customHeight="1" x14ac:dyDescent="0.25">
      <c r="CM2394" s="1377"/>
      <c r="CN2394" s="1388" t="s">
        <v>13348</v>
      </c>
      <c r="CO2394" s="1388" t="s">
        <v>8135</v>
      </c>
      <c r="CP2394" s="1388" t="s">
        <v>8106</v>
      </c>
      <c r="CQ2394" s="1388" t="s">
        <v>13349</v>
      </c>
      <c r="CR2394" s="1388" t="s">
        <v>13349</v>
      </c>
      <c r="CS2394" s="1388" t="s">
        <v>8194</v>
      </c>
      <c r="CT2394" s="1388" t="s">
        <v>8195</v>
      </c>
      <c r="CU2394" s="1388" t="s">
        <v>8110</v>
      </c>
      <c r="CV2394" s="1389" t="s">
        <v>8196</v>
      </c>
      <c r="CX2394" s="1379">
        <v>1</v>
      </c>
    </row>
    <row r="2395" spans="91:102" ht="21" customHeight="1" x14ac:dyDescent="0.25">
      <c r="CM2395" s="1377"/>
      <c r="CN2395" s="1388" t="s">
        <v>13350</v>
      </c>
      <c r="CO2395" s="1388" t="s">
        <v>8135</v>
      </c>
      <c r="CP2395" s="1388" t="s">
        <v>8106</v>
      </c>
      <c r="CQ2395" s="1388" t="s">
        <v>13351</v>
      </c>
      <c r="CR2395" s="1388" t="s">
        <v>13351</v>
      </c>
      <c r="CS2395" s="1388" t="s">
        <v>8788</v>
      </c>
      <c r="CT2395" s="1388" t="s">
        <v>8789</v>
      </c>
      <c r="CU2395" s="1388" t="s">
        <v>8790</v>
      </c>
      <c r="CV2395" s="1389" t="s">
        <v>12864</v>
      </c>
      <c r="CX2395" s="1379">
        <v>1</v>
      </c>
    </row>
    <row r="2396" spans="91:102" ht="21" customHeight="1" x14ac:dyDescent="0.25">
      <c r="CM2396" s="1377"/>
      <c r="CN2396" s="1388" t="s">
        <v>13352</v>
      </c>
      <c r="CO2396" s="1388" t="s">
        <v>8135</v>
      </c>
      <c r="CP2396" s="1388" t="s">
        <v>8555</v>
      </c>
      <c r="CQ2396" s="1388" t="s">
        <v>13353</v>
      </c>
      <c r="CR2396" s="1388" t="s">
        <v>13353</v>
      </c>
      <c r="CS2396" s="1388" t="s">
        <v>8108</v>
      </c>
      <c r="CT2396" s="1388" t="s">
        <v>13354</v>
      </c>
      <c r="CU2396" s="1388" t="s">
        <v>8110</v>
      </c>
      <c r="CV2396" s="1389" t="s">
        <v>8111</v>
      </c>
      <c r="CX2396" s="1379">
        <v>1</v>
      </c>
    </row>
    <row r="2397" spans="91:102" ht="21" customHeight="1" x14ac:dyDescent="0.25">
      <c r="CM2397" s="1377"/>
      <c r="CN2397" s="1388" t="s">
        <v>13355</v>
      </c>
      <c r="CO2397" s="1388" t="s">
        <v>8135</v>
      </c>
      <c r="CP2397" s="1388" t="s">
        <v>8555</v>
      </c>
      <c r="CQ2397" s="1388" t="s">
        <v>13356</v>
      </c>
      <c r="CR2397" s="1388" t="s">
        <v>13356</v>
      </c>
      <c r="CS2397" s="1388" t="s">
        <v>8108</v>
      </c>
      <c r="CT2397" s="1388" t="s">
        <v>13354</v>
      </c>
      <c r="CU2397" s="1388" t="s">
        <v>8110</v>
      </c>
      <c r="CV2397" s="1389" t="s">
        <v>8111</v>
      </c>
      <c r="CX2397" s="1379">
        <v>1</v>
      </c>
    </row>
    <row r="2398" spans="91:102" ht="21" customHeight="1" x14ac:dyDescent="0.25">
      <c r="CM2398" s="1377"/>
      <c r="CN2398" s="1388" t="s">
        <v>13357</v>
      </c>
      <c r="CO2398" s="1388" t="s">
        <v>8135</v>
      </c>
      <c r="CP2398" s="1388" t="s">
        <v>8555</v>
      </c>
      <c r="CQ2398" s="1388" t="s">
        <v>13358</v>
      </c>
      <c r="CR2398" s="1388" t="s">
        <v>13358</v>
      </c>
      <c r="CS2398" s="1388" t="s">
        <v>8108</v>
      </c>
      <c r="CT2398" s="1388" t="s">
        <v>13354</v>
      </c>
      <c r="CU2398" s="1388" t="s">
        <v>8110</v>
      </c>
      <c r="CV2398" s="1389" t="s">
        <v>8111</v>
      </c>
      <c r="CX2398" s="1379">
        <v>1</v>
      </c>
    </row>
    <row r="2399" spans="91:102" ht="21" customHeight="1" x14ac:dyDescent="0.25">
      <c r="CM2399" s="1377"/>
      <c r="CN2399" s="1388" t="s">
        <v>13359</v>
      </c>
      <c r="CO2399" s="1388" t="s">
        <v>8135</v>
      </c>
      <c r="CP2399" s="1388" t="s">
        <v>8555</v>
      </c>
      <c r="CQ2399" s="1388" t="s">
        <v>13360</v>
      </c>
      <c r="CR2399" s="1388" t="s">
        <v>13360</v>
      </c>
      <c r="CS2399" s="1388" t="s">
        <v>8108</v>
      </c>
      <c r="CT2399" s="1388" t="s">
        <v>13354</v>
      </c>
      <c r="CU2399" s="1388" t="s">
        <v>8110</v>
      </c>
      <c r="CV2399" s="1389" t="s">
        <v>8111</v>
      </c>
      <c r="CX2399" s="1379">
        <v>1</v>
      </c>
    </row>
    <row r="2400" spans="91:102" ht="21" customHeight="1" x14ac:dyDescent="0.25">
      <c r="CM2400" s="1377"/>
      <c r="CN2400" s="1388" t="s">
        <v>13361</v>
      </c>
      <c r="CO2400" s="1388" t="s">
        <v>8135</v>
      </c>
      <c r="CP2400" s="1388" t="s">
        <v>8555</v>
      </c>
      <c r="CQ2400" s="1388" t="s">
        <v>13362</v>
      </c>
      <c r="CR2400" s="1388" t="s">
        <v>13362</v>
      </c>
      <c r="CS2400" s="1388" t="s">
        <v>8108</v>
      </c>
      <c r="CT2400" s="1388" t="s">
        <v>13354</v>
      </c>
      <c r="CU2400" s="1388" t="s">
        <v>8110</v>
      </c>
      <c r="CV2400" s="1389" t="s">
        <v>8111</v>
      </c>
      <c r="CX2400" s="1379">
        <v>1</v>
      </c>
    </row>
    <row r="2401" spans="91:102" ht="21" customHeight="1" x14ac:dyDescent="0.25">
      <c r="CM2401" s="1377"/>
      <c r="CN2401" s="1388" t="s">
        <v>13363</v>
      </c>
      <c r="CO2401" s="1388" t="s">
        <v>8135</v>
      </c>
      <c r="CP2401" s="1388" t="s">
        <v>8555</v>
      </c>
      <c r="CQ2401" s="1388" t="s">
        <v>13364</v>
      </c>
      <c r="CR2401" s="1388" t="s">
        <v>13364</v>
      </c>
      <c r="CS2401" s="1388" t="s">
        <v>8108</v>
      </c>
      <c r="CT2401" s="1388" t="s">
        <v>13354</v>
      </c>
      <c r="CU2401" s="1388" t="s">
        <v>8110</v>
      </c>
      <c r="CV2401" s="1389" t="s">
        <v>8111</v>
      </c>
      <c r="CX2401" s="1379">
        <v>1</v>
      </c>
    </row>
    <row r="2402" spans="91:102" ht="21" customHeight="1" x14ac:dyDescent="0.25">
      <c r="CM2402" s="1377"/>
      <c r="CN2402" s="1388" t="s">
        <v>13365</v>
      </c>
      <c r="CO2402" s="1388" t="s">
        <v>8135</v>
      </c>
      <c r="CP2402" s="1388" t="s">
        <v>8555</v>
      </c>
      <c r="CQ2402" s="1388" t="s">
        <v>8701</v>
      </c>
      <c r="CR2402" s="1388" t="s">
        <v>8702</v>
      </c>
      <c r="CS2402" s="1388" t="s">
        <v>8194</v>
      </c>
      <c r="CT2402" s="1388" t="s">
        <v>8557</v>
      </c>
      <c r="CU2402" s="1388" t="s">
        <v>8110</v>
      </c>
      <c r="CV2402" s="1389" t="s">
        <v>8196</v>
      </c>
      <c r="CX2402" s="1379">
        <v>1</v>
      </c>
    </row>
    <row r="2403" spans="91:102" ht="21" customHeight="1" x14ac:dyDescent="0.25">
      <c r="CM2403" s="1377"/>
      <c r="CN2403" s="1388" t="s">
        <v>13366</v>
      </c>
      <c r="CO2403" s="1388" t="s">
        <v>8135</v>
      </c>
      <c r="CP2403" s="1388" t="s">
        <v>8555</v>
      </c>
      <c r="CQ2403" s="1388" t="s">
        <v>8704</v>
      </c>
      <c r="CR2403" s="1388" t="s">
        <v>8705</v>
      </c>
      <c r="CS2403" s="1388" t="s">
        <v>8108</v>
      </c>
      <c r="CT2403" s="1388" t="s">
        <v>13354</v>
      </c>
      <c r="CU2403" s="1388" t="s">
        <v>8110</v>
      </c>
      <c r="CV2403" s="1389" t="s">
        <v>8111</v>
      </c>
      <c r="CX2403" s="1379">
        <v>1</v>
      </c>
    </row>
    <row r="2404" spans="91:102" ht="21" customHeight="1" x14ac:dyDescent="0.25">
      <c r="CM2404" s="1377"/>
      <c r="CN2404" s="1388" t="s">
        <v>13367</v>
      </c>
      <c r="CO2404" s="1388" t="s">
        <v>8135</v>
      </c>
      <c r="CP2404" s="1388" t="s">
        <v>8555</v>
      </c>
      <c r="CQ2404" s="1388" t="s">
        <v>8707</v>
      </c>
      <c r="CR2404" s="1388" t="s">
        <v>8708</v>
      </c>
      <c r="CS2404" s="1388" t="s">
        <v>8108</v>
      </c>
      <c r="CT2404" s="1388" t="s">
        <v>13354</v>
      </c>
      <c r="CU2404" s="1388" t="s">
        <v>8110</v>
      </c>
      <c r="CV2404" s="1389" t="s">
        <v>8111</v>
      </c>
      <c r="CX2404" s="1379">
        <v>1</v>
      </c>
    </row>
    <row r="2405" spans="91:102" ht="21" customHeight="1" x14ac:dyDescent="0.25">
      <c r="CM2405" s="1377"/>
      <c r="CN2405" s="1388" t="s">
        <v>13368</v>
      </c>
      <c r="CO2405" s="1388" t="s">
        <v>8135</v>
      </c>
      <c r="CP2405" s="1388" t="s">
        <v>8555</v>
      </c>
      <c r="CQ2405" s="1388" t="s">
        <v>8710</v>
      </c>
      <c r="CR2405" s="1388" t="s">
        <v>8711</v>
      </c>
      <c r="CS2405" s="1388" t="s">
        <v>8194</v>
      </c>
      <c r="CT2405" s="1388" t="s">
        <v>8557</v>
      </c>
      <c r="CU2405" s="1388" t="s">
        <v>8110</v>
      </c>
      <c r="CV2405" s="1389" t="s">
        <v>8196</v>
      </c>
      <c r="CX2405" s="1379">
        <v>1</v>
      </c>
    </row>
    <row r="2406" spans="91:102" ht="21" customHeight="1" x14ac:dyDescent="0.25">
      <c r="CM2406" s="1377"/>
      <c r="CN2406" s="1388" t="s">
        <v>13369</v>
      </c>
      <c r="CO2406" s="1388" t="s">
        <v>8135</v>
      </c>
      <c r="CP2406" s="1388" t="s">
        <v>8555</v>
      </c>
      <c r="CQ2406" s="1388" t="s">
        <v>8713</v>
      </c>
      <c r="CR2406" s="1388" t="s">
        <v>8714</v>
      </c>
      <c r="CS2406" s="1388" t="s">
        <v>8194</v>
      </c>
      <c r="CT2406" s="1388" t="s">
        <v>8557</v>
      </c>
      <c r="CU2406" s="1388" t="s">
        <v>8110</v>
      </c>
      <c r="CV2406" s="1389" t="s">
        <v>8196</v>
      </c>
      <c r="CX2406" s="1379">
        <v>1</v>
      </c>
    </row>
    <row r="2407" spans="91:102" ht="21" customHeight="1" x14ac:dyDescent="0.25">
      <c r="CM2407" s="1377"/>
      <c r="CN2407" s="1388" t="s">
        <v>13370</v>
      </c>
      <c r="CO2407" s="1388" t="s">
        <v>8135</v>
      </c>
      <c r="CP2407" s="1388" t="s">
        <v>8555</v>
      </c>
      <c r="CQ2407" s="1388" t="s">
        <v>8716</v>
      </c>
      <c r="CR2407" s="1388" t="s">
        <v>8717</v>
      </c>
      <c r="CS2407" s="1388" t="s">
        <v>8194</v>
      </c>
      <c r="CT2407" s="1388" t="s">
        <v>8557</v>
      </c>
      <c r="CU2407" s="1388" t="s">
        <v>8110</v>
      </c>
      <c r="CV2407" s="1389" t="s">
        <v>8196</v>
      </c>
      <c r="CX2407" s="1379">
        <v>1</v>
      </c>
    </row>
    <row r="2408" spans="91:102" ht="21" customHeight="1" x14ac:dyDescent="0.25">
      <c r="CM2408" s="1377"/>
      <c r="CN2408" s="1388" t="s">
        <v>13371</v>
      </c>
      <c r="CO2408" s="1388" t="s">
        <v>8135</v>
      </c>
      <c r="CP2408" s="1388" t="s">
        <v>8555</v>
      </c>
      <c r="CQ2408" s="1388" t="s">
        <v>8719</v>
      </c>
      <c r="CR2408" s="1388" t="s">
        <v>8720</v>
      </c>
      <c r="CS2408" s="1388" t="s">
        <v>8108</v>
      </c>
      <c r="CT2408" s="1388" t="s">
        <v>13354</v>
      </c>
      <c r="CU2408" s="1388" t="s">
        <v>8110</v>
      </c>
      <c r="CV2408" s="1389" t="s">
        <v>8111</v>
      </c>
      <c r="CX2408" s="1379">
        <v>1</v>
      </c>
    </row>
    <row r="2409" spans="91:102" ht="21" customHeight="1" x14ac:dyDescent="0.25">
      <c r="CM2409" s="1377"/>
      <c r="CN2409" s="1388" t="s">
        <v>13372</v>
      </c>
      <c r="CO2409" s="1388" t="s">
        <v>8135</v>
      </c>
      <c r="CP2409" s="1388" t="s">
        <v>8555</v>
      </c>
      <c r="CQ2409" s="1388" t="s">
        <v>13373</v>
      </c>
      <c r="CR2409" s="1388" t="s">
        <v>13373</v>
      </c>
      <c r="CS2409" s="1388" t="s">
        <v>8108</v>
      </c>
      <c r="CT2409" s="1388" t="s">
        <v>13354</v>
      </c>
      <c r="CU2409" s="1388" t="s">
        <v>8110</v>
      </c>
      <c r="CV2409" s="1389" t="s">
        <v>8111</v>
      </c>
      <c r="CX2409" s="1379">
        <v>1</v>
      </c>
    </row>
    <row r="2410" spans="91:102" ht="21" customHeight="1" x14ac:dyDescent="0.25">
      <c r="CM2410" s="1377"/>
      <c r="CN2410" s="1388" t="s">
        <v>13374</v>
      </c>
      <c r="CO2410" s="1388" t="s">
        <v>8135</v>
      </c>
      <c r="CP2410" s="1388" t="s">
        <v>8555</v>
      </c>
      <c r="CQ2410" s="1388" t="s">
        <v>13375</v>
      </c>
      <c r="CR2410" s="1388" t="s">
        <v>13376</v>
      </c>
      <c r="CS2410" s="1388" t="s">
        <v>8108</v>
      </c>
      <c r="CT2410" s="1388" t="s">
        <v>13354</v>
      </c>
      <c r="CU2410" s="1388" t="s">
        <v>8110</v>
      </c>
      <c r="CV2410" s="1389" t="s">
        <v>8111</v>
      </c>
      <c r="CX2410" s="1379">
        <v>1</v>
      </c>
    </row>
    <row r="2411" spans="91:102" ht="21" customHeight="1" x14ac:dyDescent="0.25">
      <c r="CM2411" s="1377"/>
      <c r="CN2411" s="1388" t="s">
        <v>13377</v>
      </c>
      <c r="CO2411" s="1388" t="s">
        <v>8135</v>
      </c>
      <c r="CP2411" s="1388" t="s">
        <v>8555</v>
      </c>
      <c r="CQ2411" s="1388" t="s">
        <v>13378</v>
      </c>
      <c r="CR2411" s="1388" t="s">
        <v>13378</v>
      </c>
      <c r="CS2411" s="1388" t="s">
        <v>8108</v>
      </c>
      <c r="CT2411" s="1388" t="s">
        <v>13354</v>
      </c>
      <c r="CU2411" s="1388" t="s">
        <v>8110</v>
      </c>
      <c r="CV2411" s="1389" t="s">
        <v>8111</v>
      </c>
      <c r="CX2411" s="1379">
        <v>1</v>
      </c>
    </row>
    <row r="2412" spans="91:102" ht="21" customHeight="1" x14ac:dyDescent="0.25">
      <c r="CM2412" s="1377"/>
      <c r="CN2412" s="1388" t="s">
        <v>13379</v>
      </c>
      <c r="CO2412" s="1388" t="s">
        <v>8135</v>
      </c>
      <c r="CP2412" s="1388" t="s">
        <v>8741</v>
      </c>
      <c r="CQ2412" s="1388" t="s">
        <v>11166</v>
      </c>
      <c r="CR2412" s="1388" t="s">
        <v>11166</v>
      </c>
      <c r="CS2412" s="1388" t="s">
        <v>8108</v>
      </c>
      <c r="CT2412" s="1388" t="s">
        <v>11164</v>
      </c>
      <c r="CU2412" s="1388" t="s">
        <v>8110</v>
      </c>
      <c r="CV2412" s="1389" t="s">
        <v>8111</v>
      </c>
      <c r="CX2412" s="1379">
        <v>1</v>
      </c>
    </row>
    <row r="2413" spans="91:102" ht="21" customHeight="1" x14ac:dyDescent="0.25">
      <c r="CM2413" s="1377"/>
      <c r="CN2413" s="1388" t="s">
        <v>13380</v>
      </c>
      <c r="CO2413" s="1388" t="s">
        <v>8135</v>
      </c>
      <c r="CP2413" s="1388" t="s">
        <v>8741</v>
      </c>
      <c r="CQ2413" s="1388" t="s">
        <v>11173</v>
      </c>
      <c r="CR2413" s="1388" t="s">
        <v>11173</v>
      </c>
      <c r="CS2413" s="1388" t="s">
        <v>8108</v>
      </c>
      <c r="CT2413" s="1388" t="s">
        <v>11164</v>
      </c>
      <c r="CU2413" s="1388" t="s">
        <v>8110</v>
      </c>
      <c r="CV2413" s="1389" t="s">
        <v>8111</v>
      </c>
      <c r="CX2413" s="1379">
        <v>1</v>
      </c>
    </row>
    <row r="2414" spans="91:102" ht="21" customHeight="1" x14ac:dyDescent="0.25">
      <c r="CM2414" s="1377"/>
      <c r="CN2414" s="1388" t="s">
        <v>13381</v>
      </c>
      <c r="CO2414" s="1388" t="s">
        <v>8135</v>
      </c>
      <c r="CP2414" s="1388" t="s">
        <v>8741</v>
      </c>
      <c r="CQ2414" s="1388" t="s">
        <v>13382</v>
      </c>
      <c r="CR2414" s="1388" t="s">
        <v>13383</v>
      </c>
      <c r="CS2414" s="1388" t="s">
        <v>8108</v>
      </c>
      <c r="CT2414" s="1388" t="s">
        <v>11164</v>
      </c>
      <c r="CU2414" s="1388" t="s">
        <v>8110</v>
      </c>
      <c r="CV2414" s="1389" t="s">
        <v>8111</v>
      </c>
      <c r="CX2414" s="1379">
        <v>1</v>
      </c>
    </row>
    <row r="2415" spans="91:102" ht="21" customHeight="1" x14ac:dyDescent="0.25">
      <c r="CM2415" s="1377"/>
      <c r="CN2415" s="1388" t="s">
        <v>13384</v>
      </c>
      <c r="CO2415" s="1388" t="s">
        <v>8135</v>
      </c>
      <c r="CP2415" s="1388" t="s">
        <v>8741</v>
      </c>
      <c r="CQ2415" s="1388" t="s">
        <v>13385</v>
      </c>
      <c r="CR2415" s="1388" t="s">
        <v>13386</v>
      </c>
      <c r="CS2415" s="1388" t="s">
        <v>8108</v>
      </c>
      <c r="CT2415" s="1388" t="s">
        <v>11164</v>
      </c>
      <c r="CU2415" s="1388" t="s">
        <v>8110</v>
      </c>
      <c r="CV2415" s="1389" t="s">
        <v>8111</v>
      </c>
      <c r="CX2415" s="1379">
        <v>1</v>
      </c>
    </row>
    <row r="2416" spans="91:102" ht="21" customHeight="1" x14ac:dyDescent="0.25">
      <c r="CM2416" s="1377"/>
      <c r="CN2416" s="1388" t="s">
        <v>13387</v>
      </c>
      <c r="CO2416" s="1388" t="s">
        <v>8135</v>
      </c>
      <c r="CP2416" s="1388" t="s">
        <v>8741</v>
      </c>
      <c r="CQ2416" s="1388" t="s">
        <v>10799</v>
      </c>
      <c r="CR2416" s="1388" t="s">
        <v>10799</v>
      </c>
      <c r="CS2416" s="1388" t="s">
        <v>8108</v>
      </c>
      <c r="CT2416" s="1388" t="s">
        <v>11164</v>
      </c>
      <c r="CU2416" s="1388" t="s">
        <v>8110</v>
      </c>
      <c r="CV2416" s="1389" t="s">
        <v>8111</v>
      </c>
      <c r="CX2416" s="1379">
        <v>1</v>
      </c>
    </row>
    <row r="2417" spans="92:102" ht="21" customHeight="1" x14ac:dyDescent="0.25">
      <c r="CN2417" s="1388" t="s">
        <v>13388</v>
      </c>
      <c r="CO2417" s="1388" t="s">
        <v>8105</v>
      </c>
      <c r="CP2417" s="1388" t="s">
        <v>8555</v>
      </c>
      <c r="CQ2417" s="1388" t="s">
        <v>13389</v>
      </c>
      <c r="CR2417" s="1388" t="s">
        <v>13389</v>
      </c>
      <c r="CS2417" s="1388" t="s">
        <v>8108</v>
      </c>
      <c r="CT2417" s="1388" t="s">
        <v>13390</v>
      </c>
      <c r="CU2417" s="1388" t="s">
        <v>8110</v>
      </c>
      <c r="CV2417" s="1389" t="s">
        <v>8196</v>
      </c>
      <c r="CX2417" s="1379">
        <v>1</v>
      </c>
    </row>
    <row r="2418" spans="92:102" ht="21" customHeight="1" x14ac:dyDescent="0.25">
      <c r="CN2418" s="1388" t="s">
        <v>13391</v>
      </c>
      <c r="CO2418" s="1388" t="s">
        <v>8105</v>
      </c>
      <c r="CP2418" s="1388" t="s">
        <v>8106</v>
      </c>
      <c r="CQ2418" s="1388" t="s">
        <v>13392</v>
      </c>
      <c r="CR2418" s="1388" t="s">
        <v>13392</v>
      </c>
      <c r="CS2418" s="1388" t="s">
        <v>13393</v>
      </c>
      <c r="CT2418" s="1388" t="s">
        <v>13394</v>
      </c>
      <c r="CU2418" s="1388" t="s">
        <v>8110</v>
      </c>
      <c r="CV2418" s="1389" t="s">
        <v>8196</v>
      </c>
      <c r="CX2418" s="1379">
        <v>1</v>
      </c>
    </row>
    <row r="2419" spans="92:102" ht="21" customHeight="1" x14ac:dyDescent="0.25">
      <c r="CN2419" s="1388" t="s">
        <v>13395</v>
      </c>
      <c r="CO2419" s="1388" t="s">
        <v>8105</v>
      </c>
      <c r="CP2419" s="1388" t="s">
        <v>8106</v>
      </c>
      <c r="CQ2419" s="1388" t="s">
        <v>13396</v>
      </c>
      <c r="CR2419" s="1388" t="s">
        <v>13396</v>
      </c>
      <c r="CS2419" s="1388" t="s">
        <v>13393</v>
      </c>
      <c r="CT2419" s="1388" t="s">
        <v>13397</v>
      </c>
      <c r="CU2419" s="1388" t="s">
        <v>8110</v>
      </c>
      <c r="CV2419" s="1389" t="s">
        <v>8196</v>
      </c>
      <c r="CX2419" s="1379">
        <v>1</v>
      </c>
    </row>
    <row r="2420" spans="92:102" ht="21" customHeight="1" x14ac:dyDescent="0.25">
      <c r="CN2420" s="1388" t="s">
        <v>13398</v>
      </c>
      <c r="CO2420" s="1388" t="s">
        <v>8105</v>
      </c>
      <c r="CP2420" s="1388" t="s">
        <v>8106</v>
      </c>
      <c r="CQ2420" s="1388" t="s">
        <v>13399</v>
      </c>
      <c r="CR2420" s="1388" t="s">
        <v>13399</v>
      </c>
      <c r="CS2420" s="1388" t="s">
        <v>13393</v>
      </c>
      <c r="CT2420" s="1388" t="s">
        <v>13400</v>
      </c>
      <c r="CU2420" s="1388" t="s">
        <v>8110</v>
      </c>
      <c r="CV2420" s="1389" t="s">
        <v>8196</v>
      </c>
      <c r="CX2420" s="1379">
        <v>1</v>
      </c>
    </row>
    <row r="2421" spans="92:102" ht="21" customHeight="1" x14ac:dyDescent="0.25">
      <c r="CN2421" s="1388" t="s">
        <v>13401</v>
      </c>
      <c r="CO2421" s="1388" t="s">
        <v>8125</v>
      </c>
      <c r="CP2421" s="1388" t="s">
        <v>8106</v>
      </c>
      <c r="CQ2421" s="1388" t="s">
        <v>2627</v>
      </c>
      <c r="CR2421" s="1388" t="s">
        <v>2627</v>
      </c>
      <c r="CS2421" s="1388" t="s">
        <v>13393</v>
      </c>
      <c r="CT2421" s="1388" t="s">
        <v>13402</v>
      </c>
      <c r="CU2421" s="1388" t="s">
        <v>8110</v>
      </c>
      <c r="CV2421" s="1389" t="s">
        <v>8196</v>
      </c>
      <c r="CX2421" s="1379">
        <v>1</v>
      </c>
    </row>
    <row r="2422" spans="92:102" ht="21" customHeight="1" x14ac:dyDescent="0.25">
      <c r="CN2422" s="1388" t="s">
        <v>13403</v>
      </c>
      <c r="CO2422" s="1388" t="s">
        <v>8125</v>
      </c>
      <c r="CP2422" s="1388" t="s">
        <v>8106</v>
      </c>
      <c r="CQ2422" s="1388" t="s">
        <v>13404</v>
      </c>
      <c r="CR2422" s="1388" t="s">
        <v>13404</v>
      </c>
      <c r="CS2422" s="1388" t="s">
        <v>13393</v>
      </c>
      <c r="CT2422" s="1388" t="s">
        <v>13405</v>
      </c>
      <c r="CU2422" s="1388" t="s">
        <v>8110</v>
      </c>
      <c r="CV2422" s="1389" t="s">
        <v>8196</v>
      </c>
      <c r="CX2422" s="1379">
        <v>1</v>
      </c>
    </row>
    <row r="2423" spans="92:102" ht="21" customHeight="1" x14ac:dyDescent="0.25">
      <c r="CN2423" s="1388" t="s">
        <v>13406</v>
      </c>
      <c r="CO2423" s="1388" t="s">
        <v>8128</v>
      </c>
      <c r="CP2423" s="1388" t="s">
        <v>8106</v>
      </c>
      <c r="CQ2423" s="1388" t="s">
        <v>13407</v>
      </c>
      <c r="CR2423" s="1388" t="s">
        <v>13407</v>
      </c>
      <c r="CS2423" s="1388" t="s">
        <v>13408</v>
      </c>
      <c r="CT2423" s="1388" t="s">
        <v>13409</v>
      </c>
      <c r="CU2423" s="1388" t="s">
        <v>8110</v>
      </c>
      <c r="CV2423" s="1389" t="s">
        <v>8196</v>
      </c>
      <c r="CX2423" s="1379">
        <v>1</v>
      </c>
    </row>
    <row r="2424" spans="92:102" ht="21" customHeight="1" x14ac:dyDescent="0.25">
      <c r="CN2424" s="1388" t="s">
        <v>13410</v>
      </c>
      <c r="CO2424" s="1388" t="s">
        <v>8128</v>
      </c>
      <c r="CP2424" s="1388" t="s">
        <v>8106</v>
      </c>
      <c r="CQ2424" s="1388" t="s">
        <v>13411</v>
      </c>
      <c r="CR2424" s="1388" t="s">
        <v>13411</v>
      </c>
      <c r="CS2424" s="1388" t="s">
        <v>13408</v>
      </c>
      <c r="CT2424" s="1388" t="s">
        <v>13412</v>
      </c>
      <c r="CU2424" s="1388" t="s">
        <v>8110</v>
      </c>
      <c r="CV2424" s="1389" t="s">
        <v>8196</v>
      </c>
      <c r="CX2424" s="1379">
        <v>1</v>
      </c>
    </row>
    <row r="2425" spans="92:102" ht="21" customHeight="1" x14ac:dyDescent="0.25">
      <c r="CN2425" s="1388"/>
      <c r="CO2425" s="1388"/>
      <c r="CP2425" s="1388"/>
      <c r="CQ2425" s="1388" t="s">
        <v>13413</v>
      </c>
      <c r="CR2425" s="1388" t="s">
        <v>13414</v>
      </c>
      <c r="CS2425" s="1388" t="s">
        <v>8108</v>
      </c>
      <c r="CT2425" s="1388" t="s">
        <v>13415</v>
      </c>
      <c r="CU2425" s="1388" t="s">
        <v>8419</v>
      </c>
      <c r="CV2425" s="1389" t="s">
        <v>8196</v>
      </c>
      <c r="CX2425" s="1379">
        <v>1</v>
      </c>
    </row>
    <row r="2426" spans="92:102" ht="21" customHeight="1" x14ac:dyDescent="0.25">
      <c r="CN2426" s="1388"/>
      <c r="CO2426" s="1388"/>
      <c r="CP2426" s="1388"/>
      <c r="CQ2426" s="1388" t="s">
        <v>13416</v>
      </c>
      <c r="CR2426" s="1388" t="s">
        <v>13417</v>
      </c>
      <c r="CS2426" s="1388" t="s">
        <v>8108</v>
      </c>
      <c r="CT2426" s="1388" t="s">
        <v>13418</v>
      </c>
      <c r="CU2426" s="1388" t="s">
        <v>8419</v>
      </c>
      <c r="CV2426" s="1389" t="s">
        <v>8196</v>
      </c>
      <c r="CX2426" s="1379">
        <v>1</v>
      </c>
    </row>
    <row r="2427" spans="92:102" ht="21" customHeight="1" x14ac:dyDescent="0.25">
      <c r="CN2427" s="1388"/>
      <c r="CO2427" s="1388"/>
      <c r="CP2427" s="1388"/>
      <c r="CQ2427" s="1388" t="s">
        <v>13419</v>
      </c>
      <c r="CR2427" s="1388" t="s">
        <v>13420</v>
      </c>
      <c r="CS2427" s="1388" t="s">
        <v>8108</v>
      </c>
      <c r="CT2427" s="1388" t="s">
        <v>13421</v>
      </c>
      <c r="CU2427" s="1388" t="s">
        <v>8419</v>
      </c>
      <c r="CV2427" s="1389" t="s">
        <v>8196</v>
      </c>
      <c r="CX2427" s="1379">
        <v>1</v>
      </c>
    </row>
    <row r="2428" spans="92:102" ht="21" customHeight="1" x14ac:dyDescent="0.25">
      <c r="CN2428" s="1388"/>
      <c r="CO2428" s="1388"/>
      <c r="CP2428" s="1388"/>
      <c r="CQ2428" s="1388" t="s">
        <v>13422</v>
      </c>
      <c r="CR2428" s="1388" t="s">
        <v>13423</v>
      </c>
      <c r="CS2428" s="1388" t="s">
        <v>8108</v>
      </c>
      <c r="CT2428" s="1388" t="s">
        <v>13418</v>
      </c>
      <c r="CU2428" s="1388" t="s">
        <v>8419</v>
      </c>
      <c r="CV2428" s="1389" t="s">
        <v>8196</v>
      </c>
      <c r="CX2428" s="1379">
        <v>1</v>
      </c>
    </row>
    <row r="2429" spans="92:102" ht="21" customHeight="1" x14ac:dyDescent="0.25">
      <c r="CN2429" s="1388"/>
      <c r="CO2429" s="1388"/>
      <c r="CP2429" s="1388"/>
      <c r="CQ2429" s="1388" t="s">
        <v>13424</v>
      </c>
      <c r="CR2429" s="1388" t="s">
        <v>13425</v>
      </c>
      <c r="CS2429" s="1388" t="s">
        <v>8108</v>
      </c>
      <c r="CT2429" s="1388" t="s">
        <v>13426</v>
      </c>
      <c r="CU2429" s="1388" t="s">
        <v>8419</v>
      </c>
      <c r="CV2429" s="1389" t="s">
        <v>8196</v>
      </c>
      <c r="CX2429" s="1379">
        <v>1</v>
      </c>
    </row>
    <row r="2430" spans="92:102" ht="21" customHeight="1" x14ac:dyDescent="0.25">
      <c r="CN2430" s="1388"/>
      <c r="CO2430" s="1388"/>
      <c r="CP2430" s="1388"/>
      <c r="CQ2430" s="1388" t="s">
        <v>8416</v>
      </c>
      <c r="CR2430" s="1388" t="s">
        <v>13427</v>
      </c>
      <c r="CS2430" s="1388" t="s">
        <v>8108</v>
      </c>
      <c r="CT2430" s="1388" t="s">
        <v>13415</v>
      </c>
      <c r="CU2430" s="1388" t="s">
        <v>8419</v>
      </c>
      <c r="CV2430" s="1389" t="s">
        <v>8196</v>
      </c>
      <c r="CX2430" s="1379">
        <v>1</v>
      </c>
    </row>
    <row r="2431" spans="92:102" ht="21" customHeight="1" x14ac:dyDescent="0.25">
      <c r="CN2431" s="1388"/>
      <c r="CO2431" s="1388"/>
      <c r="CP2431" s="1388"/>
      <c r="CQ2431" s="1388" t="s">
        <v>13428</v>
      </c>
      <c r="CR2431" s="1388" t="s">
        <v>13429</v>
      </c>
      <c r="CS2431" s="1388" t="s">
        <v>8108</v>
      </c>
      <c r="CT2431" s="1388" t="s">
        <v>13418</v>
      </c>
      <c r="CU2431" s="1388" t="s">
        <v>8419</v>
      </c>
      <c r="CV2431" s="1389" t="s">
        <v>8196</v>
      </c>
      <c r="CX2431" s="1379">
        <v>1</v>
      </c>
    </row>
    <row r="2432" spans="92:102" ht="21" customHeight="1" x14ac:dyDescent="0.25">
      <c r="CN2432" s="1388"/>
      <c r="CO2432" s="1388"/>
      <c r="CP2432" s="1388"/>
      <c r="CQ2432" s="1388" t="s">
        <v>13430</v>
      </c>
      <c r="CR2432" s="1388" t="s">
        <v>13431</v>
      </c>
      <c r="CS2432" s="1388" t="s">
        <v>8108</v>
      </c>
      <c r="CT2432" s="1388" t="s">
        <v>13421</v>
      </c>
      <c r="CU2432" s="1388" t="s">
        <v>8419</v>
      </c>
      <c r="CV2432" s="1389" t="s">
        <v>8196</v>
      </c>
      <c r="CX2432" s="1379">
        <v>1</v>
      </c>
    </row>
    <row r="2433" spans="92:102" ht="21" customHeight="1" x14ac:dyDescent="0.25">
      <c r="CN2433" s="1388"/>
      <c r="CO2433" s="1388"/>
      <c r="CP2433" s="1388"/>
      <c r="CQ2433" s="1388" t="s">
        <v>13432</v>
      </c>
      <c r="CR2433" s="1388" t="s">
        <v>13433</v>
      </c>
      <c r="CS2433" s="1388" t="s">
        <v>8108</v>
      </c>
      <c r="CT2433" s="1388" t="s">
        <v>13418</v>
      </c>
      <c r="CU2433" s="1388" t="s">
        <v>8419</v>
      </c>
      <c r="CV2433" s="1389" t="s">
        <v>8196</v>
      </c>
      <c r="CX2433" s="1379">
        <v>1</v>
      </c>
    </row>
    <row r="2434" spans="92:102" ht="21" customHeight="1" x14ac:dyDescent="0.25">
      <c r="CN2434" s="1388"/>
      <c r="CO2434" s="1388"/>
      <c r="CP2434" s="1388"/>
      <c r="CQ2434" s="1388" t="s">
        <v>13434</v>
      </c>
      <c r="CR2434" s="1388" t="s">
        <v>13435</v>
      </c>
      <c r="CS2434" s="1388" t="s">
        <v>8108</v>
      </c>
      <c r="CT2434" s="1388" t="s">
        <v>13415</v>
      </c>
      <c r="CU2434" s="1388" t="s">
        <v>8419</v>
      </c>
      <c r="CV2434" s="1389" t="s">
        <v>8196</v>
      </c>
      <c r="CX2434" s="1379">
        <v>1</v>
      </c>
    </row>
    <row r="2435" spans="92:102" ht="21" customHeight="1" x14ac:dyDescent="0.25">
      <c r="CN2435" s="1388"/>
      <c r="CO2435" s="1388"/>
      <c r="CP2435" s="1388"/>
      <c r="CQ2435" s="1388" t="s">
        <v>13436</v>
      </c>
      <c r="CR2435" s="1388" t="s">
        <v>13437</v>
      </c>
      <c r="CS2435" s="1388" t="s">
        <v>8108</v>
      </c>
      <c r="CT2435" s="1388" t="s">
        <v>13418</v>
      </c>
      <c r="CU2435" s="1388" t="s">
        <v>8419</v>
      </c>
      <c r="CV2435" s="1389" t="s">
        <v>8196</v>
      </c>
      <c r="CX2435" s="1379">
        <v>1</v>
      </c>
    </row>
    <row r="2436" spans="92:102" ht="21" customHeight="1" x14ac:dyDescent="0.25">
      <c r="CN2436" s="1388"/>
      <c r="CO2436" s="1388"/>
      <c r="CP2436" s="1388"/>
      <c r="CQ2436" s="1388" t="s">
        <v>13438</v>
      </c>
      <c r="CR2436" s="1388" t="s">
        <v>13439</v>
      </c>
      <c r="CS2436" s="1388" t="s">
        <v>8108</v>
      </c>
      <c r="CT2436" s="1388" t="s">
        <v>13421</v>
      </c>
      <c r="CU2436" s="1388" t="s">
        <v>8419</v>
      </c>
      <c r="CV2436" s="1389" t="s">
        <v>8196</v>
      </c>
      <c r="CX2436" s="1379">
        <v>1</v>
      </c>
    </row>
    <row r="2437" spans="92:102" ht="21" customHeight="1" x14ac:dyDescent="0.25">
      <c r="CN2437" s="1388"/>
      <c r="CO2437" s="1388"/>
      <c r="CP2437" s="1388"/>
      <c r="CQ2437" s="1388" t="s">
        <v>13440</v>
      </c>
      <c r="CR2437" s="1388" t="s">
        <v>13441</v>
      </c>
      <c r="CS2437" s="1388" t="s">
        <v>8108</v>
      </c>
      <c r="CT2437" s="1388" t="s">
        <v>13418</v>
      </c>
      <c r="CU2437" s="1388" t="s">
        <v>8419</v>
      </c>
      <c r="CV2437" s="1389" t="s">
        <v>8196</v>
      </c>
      <c r="CX2437" s="1379">
        <v>1</v>
      </c>
    </row>
    <row r="2438" spans="92:102" ht="21" customHeight="1" x14ac:dyDescent="0.25">
      <c r="CN2438" s="1388"/>
      <c r="CO2438" s="1388"/>
      <c r="CP2438" s="1388"/>
      <c r="CQ2438" s="1388" t="s">
        <v>12816</v>
      </c>
      <c r="CR2438" s="1388" t="s">
        <v>12816</v>
      </c>
      <c r="CS2438" s="1388" t="s">
        <v>8108</v>
      </c>
      <c r="CT2438" s="1388" t="s">
        <v>13442</v>
      </c>
      <c r="CU2438" s="1388" t="s">
        <v>8559</v>
      </c>
      <c r="CV2438" s="1389" t="s">
        <v>8196</v>
      </c>
      <c r="CX2438" s="1379">
        <v>1</v>
      </c>
    </row>
    <row r="2439" spans="92:102" ht="21" customHeight="1" x14ac:dyDescent="0.25">
      <c r="CN2439" s="1388"/>
      <c r="CO2439" s="1388"/>
      <c r="CP2439" s="1388"/>
      <c r="CQ2439" s="1388" t="s">
        <v>13443</v>
      </c>
      <c r="CR2439" s="1388" t="s">
        <v>13443</v>
      </c>
      <c r="CS2439" s="1388" t="s">
        <v>8108</v>
      </c>
      <c r="CT2439" s="1388" t="s">
        <v>13442</v>
      </c>
      <c r="CU2439" s="1388" t="s">
        <v>8559</v>
      </c>
      <c r="CV2439" s="1389" t="s">
        <v>8196</v>
      </c>
      <c r="CX2439" s="1379">
        <v>1</v>
      </c>
    </row>
    <row r="2440" spans="92:102" ht="21" customHeight="1" x14ac:dyDescent="0.25">
      <c r="CN2440" s="1388"/>
      <c r="CO2440" s="1388"/>
      <c r="CP2440" s="1388"/>
      <c r="CQ2440" s="1388" t="s">
        <v>12803</v>
      </c>
      <c r="CR2440" s="1388" t="s">
        <v>12803</v>
      </c>
      <c r="CS2440" s="1388" t="s">
        <v>8108</v>
      </c>
      <c r="CT2440" s="1388" t="s">
        <v>13444</v>
      </c>
      <c r="CU2440" s="1388" t="s">
        <v>8559</v>
      </c>
      <c r="CV2440" s="1389" t="s">
        <v>8196</v>
      </c>
      <c r="CX2440" s="1379">
        <v>1</v>
      </c>
    </row>
    <row r="2441" spans="92:102" ht="21" customHeight="1" x14ac:dyDescent="0.25">
      <c r="CN2441" s="1388"/>
      <c r="CO2441" s="1388"/>
      <c r="CP2441" s="1388"/>
      <c r="CQ2441" s="1388" t="s">
        <v>12740</v>
      </c>
      <c r="CR2441" s="1388" t="s">
        <v>12740</v>
      </c>
      <c r="CS2441" s="1388" t="s">
        <v>8108</v>
      </c>
      <c r="CT2441" s="1388" t="s">
        <v>13444</v>
      </c>
      <c r="CU2441" s="1388" t="s">
        <v>8559</v>
      </c>
      <c r="CV2441" s="1389" t="s">
        <v>8196</v>
      </c>
      <c r="CX2441" s="1379">
        <v>1</v>
      </c>
    </row>
    <row r="2442" spans="92:102" ht="21" customHeight="1" x14ac:dyDescent="0.25">
      <c r="CN2442" s="1388"/>
      <c r="CO2442" s="1388"/>
      <c r="CP2442" s="1388"/>
      <c r="CQ2442" s="1388" t="s">
        <v>12748</v>
      </c>
      <c r="CR2442" s="1388" t="s">
        <v>12749</v>
      </c>
      <c r="CS2442" s="1388" t="s">
        <v>8108</v>
      </c>
      <c r="CT2442" s="1388" t="s">
        <v>13444</v>
      </c>
      <c r="CU2442" s="1388" t="s">
        <v>8559</v>
      </c>
      <c r="CV2442" s="1389" t="s">
        <v>8196</v>
      </c>
      <c r="CX2442" s="1379">
        <v>1</v>
      </c>
    </row>
    <row r="2443" spans="92:102" ht="21" customHeight="1" x14ac:dyDescent="0.25">
      <c r="CN2443" s="1388"/>
      <c r="CO2443" s="1388"/>
      <c r="CP2443" s="1388"/>
      <c r="CQ2443" s="1388" t="s">
        <v>12736</v>
      </c>
      <c r="CR2443" s="1388" t="s">
        <v>12736</v>
      </c>
      <c r="CS2443" s="1388" t="s">
        <v>8108</v>
      </c>
      <c r="CT2443" s="1388" t="s">
        <v>13444</v>
      </c>
      <c r="CU2443" s="1388" t="s">
        <v>8559</v>
      </c>
      <c r="CV2443" s="1389" t="s">
        <v>8196</v>
      </c>
      <c r="CX2443" s="1379">
        <v>1</v>
      </c>
    </row>
    <row r="2444" spans="92:102" ht="21" customHeight="1" x14ac:dyDescent="0.25">
      <c r="CN2444" s="1388"/>
      <c r="CO2444" s="1388"/>
      <c r="CP2444" s="1388"/>
      <c r="CQ2444" s="1388" t="s">
        <v>12784</v>
      </c>
      <c r="CR2444" s="1388" t="s">
        <v>12784</v>
      </c>
      <c r="CS2444" s="1388" t="s">
        <v>8108</v>
      </c>
      <c r="CT2444" s="1388" t="s">
        <v>13444</v>
      </c>
      <c r="CU2444" s="1388" t="s">
        <v>8559</v>
      </c>
      <c r="CV2444" s="1389" t="s">
        <v>8196</v>
      </c>
      <c r="CX2444" s="1379">
        <v>1</v>
      </c>
    </row>
    <row r="2445" spans="92:102" ht="21" customHeight="1" x14ac:dyDescent="0.25">
      <c r="CN2445" s="1388"/>
      <c r="CO2445" s="1388"/>
      <c r="CP2445" s="1388"/>
      <c r="CQ2445" s="1388" t="s">
        <v>12779</v>
      </c>
      <c r="CR2445" s="1388" t="s">
        <v>12779</v>
      </c>
      <c r="CS2445" s="1388" t="s">
        <v>8108</v>
      </c>
      <c r="CT2445" s="1388" t="s">
        <v>13444</v>
      </c>
      <c r="CU2445" s="1388" t="s">
        <v>8559</v>
      </c>
      <c r="CV2445" s="1389" t="s">
        <v>8196</v>
      </c>
      <c r="CX2445" s="1379">
        <v>1</v>
      </c>
    </row>
    <row r="2446" spans="92:102" ht="21" customHeight="1" x14ac:dyDescent="0.25">
      <c r="CN2446" s="1388"/>
      <c r="CO2446" s="1388"/>
      <c r="CP2446" s="1388"/>
      <c r="CQ2446" s="1388" t="s">
        <v>12795</v>
      </c>
      <c r="CR2446" s="1388" t="s">
        <v>12795</v>
      </c>
      <c r="CS2446" s="1388" t="s">
        <v>8108</v>
      </c>
      <c r="CT2446" s="1388" t="s">
        <v>13444</v>
      </c>
      <c r="CU2446" s="1388" t="s">
        <v>8559</v>
      </c>
      <c r="CV2446" s="1389" t="s">
        <v>8196</v>
      </c>
      <c r="CX2446" s="1379">
        <v>1</v>
      </c>
    </row>
    <row r="2447" spans="92:102" ht="21" customHeight="1" x14ac:dyDescent="0.25">
      <c r="CN2447" s="1388"/>
      <c r="CO2447" s="1388"/>
      <c r="CP2447" s="1388"/>
      <c r="CQ2447" s="1388" t="s">
        <v>12821</v>
      </c>
      <c r="CR2447" s="1388" t="s">
        <v>12822</v>
      </c>
      <c r="CS2447" s="1388" t="s">
        <v>8108</v>
      </c>
      <c r="CT2447" s="1388" t="s">
        <v>13444</v>
      </c>
      <c r="CU2447" s="1388" t="s">
        <v>8559</v>
      </c>
      <c r="CV2447" s="1389" t="s">
        <v>8196</v>
      </c>
      <c r="CX2447" s="1379">
        <v>1</v>
      </c>
    </row>
    <row r="2448" spans="92:102" ht="21" customHeight="1" x14ac:dyDescent="0.25">
      <c r="CN2448" s="1388"/>
      <c r="CO2448" s="1388"/>
      <c r="CP2448" s="1388"/>
      <c r="CQ2448" s="1388" t="s">
        <v>12769</v>
      </c>
      <c r="CR2448" s="1388" t="s">
        <v>12770</v>
      </c>
      <c r="CS2448" s="1388" t="s">
        <v>8108</v>
      </c>
      <c r="CT2448" s="1388" t="s">
        <v>13444</v>
      </c>
      <c r="CU2448" s="1388" t="s">
        <v>8559</v>
      </c>
      <c r="CV2448" s="1389" t="s">
        <v>8196</v>
      </c>
      <c r="CX2448" s="1379">
        <v>1</v>
      </c>
    </row>
    <row r="2449" spans="1:102" ht="21" customHeight="1" x14ac:dyDescent="0.25">
      <c r="CN2449" s="1388"/>
      <c r="CO2449" s="1388"/>
      <c r="CP2449" s="1388"/>
      <c r="CQ2449" s="1388" t="s">
        <v>12801</v>
      </c>
      <c r="CR2449" s="1388" t="s">
        <v>12801</v>
      </c>
      <c r="CS2449" s="1388" t="s">
        <v>8108</v>
      </c>
      <c r="CT2449" s="1388" t="s">
        <v>13444</v>
      </c>
      <c r="CU2449" s="1388" t="s">
        <v>8559</v>
      </c>
      <c r="CV2449" s="1389" t="s">
        <v>8196</v>
      </c>
      <c r="CX2449" s="1379">
        <v>1</v>
      </c>
    </row>
    <row r="2450" spans="1:102" ht="21" customHeight="1" x14ac:dyDescent="0.25">
      <c r="CN2450" s="1388"/>
      <c r="CO2450" s="1388"/>
      <c r="CP2450" s="1388"/>
      <c r="CQ2450" s="1388" t="s">
        <v>12765</v>
      </c>
      <c r="CR2450" s="1388" t="s">
        <v>12765</v>
      </c>
      <c r="CS2450" s="1388" t="s">
        <v>8108</v>
      </c>
      <c r="CT2450" s="1388" t="s">
        <v>13444</v>
      </c>
      <c r="CU2450" s="1388" t="s">
        <v>8559</v>
      </c>
      <c r="CV2450" s="1389" t="s">
        <v>8196</v>
      </c>
      <c r="CX2450" s="1379">
        <v>1</v>
      </c>
    </row>
    <row r="2451" spans="1:102" ht="21" customHeight="1" x14ac:dyDescent="0.25">
      <c r="CN2451" s="1388"/>
      <c r="CO2451" s="1388"/>
      <c r="CP2451" s="1388"/>
      <c r="CQ2451" s="1388" t="s">
        <v>12793</v>
      </c>
      <c r="CR2451" s="1388" t="s">
        <v>12793</v>
      </c>
      <c r="CS2451" s="1388" t="s">
        <v>8108</v>
      </c>
      <c r="CT2451" s="1388" t="s">
        <v>13444</v>
      </c>
      <c r="CU2451" s="1388" t="s">
        <v>8559</v>
      </c>
      <c r="CV2451" s="1389" t="s">
        <v>8196</v>
      </c>
      <c r="CX2451" s="1379">
        <v>1</v>
      </c>
    </row>
    <row r="2452" spans="1:102" ht="21" customHeight="1" x14ac:dyDescent="0.25">
      <c r="CN2452" s="1388"/>
      <c r="CO2452" s="1388"/>
      <c r="CP2452" s="1388"/>
      <c r="CQ2452" s="1388" t="s">
        <v>12799</v>
      </c>
      <c r="CR2452" s="1388" t="s">
        <v>12799</v>
      </c>
      <c r="CS2452" s="1388" t="s">
        <v>8108</v>
      </c>
      <c r="CT2452" s="1388" t="s">
        <v>13444</v>
      </c>
      <c r="CU2452" s="1388" t="s">
        <v>8559</v>
      </c>
      <c r="CV2452" s="1389" t="s">
        <v>8196</v>
      </c>
      <c r="CX2452" s="1379">
        <v>1</v>
      </c>
    </row>
    <row r="2453" spans="1:102" ht="21" customHeight="1" x14ac:dyDescent="0.25">
      <c r="CN2453" s="1445"/>
      <c r="CO2453" s="1445"/>
      <c r="CP2453" s="1445"/>
      <c r="CQ2453" s="1445" t="s">
        <v>12819</v>
      </c>
      <c r="CR2453" s="1445" t="s">
        <v>12819</v>
      </c>
      <c r="CS2453" s="1445" t="s">
        <v>8108</v>
      </c>
      <c r="CT2453" s="1445" t="s">
        <v>13444</v>
      </c>
      <c r="CU2453" s="1445" t="s">
        <v>8559</v>
      </c>
      <c r="CV2453" s="1446" t="s">
        <v>8196</v>
      </c>
      <c r="CX2453" s="1379">
        <v>1</v>
      </c>
    </row>
    <row r="2454" spans="1:102" ht="21" customHeight="1" x14ac:dyDescent="0.25">
      <c r="CP2454" s="1365" t="s">
        <v>8741</v>
      </c>
      <c r="CQ2454" s="1365" t="s">
        <v>13445</v>
      </c>
      <c r="CR2454" s="1365" t="s">
        <v>13445</v>
      </c>
      <c r="CS2454" s="1365" t="s">
        <v>8108</v>
      </c>
      <c r="CT2454" s="1365" t="s">
        <v>13446</v>
      </c>
      <c r="CU2454" s="1365" t="s">
        <v>8110</v>
      </c>
      <c r="CV2454" s="1365" t="s">
        <v>8111</v>
      </c>
      <c r="CX2454" s="1379">
        <v>1</v>
      </c>
    </row>
    <row r="2455" spans="1:102" ht="21" customHeight="1" x14ac:dyDescent="0.25">
      <c r="CO2455" s="1365"/>
      <c r="CP2455" s="1365" t="s">
        <v>9255</v>
      </c>
      <c r="CQ2455" s="1365" t="s">
        <v>13451</v>
      </c>
      <c r="CR2455" s="1365" t="s">
        <v>13451</v>
      </c>
      <c r="CS2455" s="1365" t="s">
        <v>8108</v>
      </c>
      <c r="CT2455" s="1365" t="s">
        <v>13648</v>
      </c>
      <c r="CU2455" s="1365" t="s">
        <v>8419</v>
      </c>
      <c r="CV2455" s="1365" t="s">
        <v>13649</v>
      </c>
      <c r="CX2455" s="1379">
        <v>1</v>
      </c>
    </row>
    <row r="2456" spans="1:102" ht="21" customHeight="1" x14ac:dyDescent="0.25">
      <c r="CX2456" s="1379">
        <v>1</v>
      </c>
    </row>
    <row r="2457" spans="1:102" ht="21" customHeight="1" x14ac:dyDescent="0.25">
      <c r="CX2457" s="1379">
        <v>1</v>
      </c>
    </row>
    <row r="2458" spans="1:102" ht="21" customHeight="1" x14ac:dyDescent="0.25">
      <c r="CX2458" s="1366" t="s">
        <v>6078</v>
      </c>
    </row>
    <row r="2459" spans="1:102" ht="21" customHeight="1" x14ac:dyDescent="0.25">
      <c r="A2459" s="1379">
        <v>1</v>
      </c>
      <c r="B2459" s="1379">
        <v>1</v>
      </c>
      <c r="C2459" s="1379">
        <v>1</v>
      </c>
      <c r="D2459" s="1379">
        <v>1</v>
      </c>
      <c r="E2459" s="1379">
        <v>1</v>
      </c>
      <c r="F2459" s="1379">
        <v>1</v>
      </c>
      <c r="G2459" s="1379">
        <v>1</v>
      </c>
      <c r="H2459" s="1379">
        <v>1</v>
      </c>
      <c r="I2459" s="1379">
        <v>1</v>
      </c>
      <c r="J2459" s="1379">
        <v>1</v>
      </c>
      <c r="K2459" s="1379">
        <v>1</v>
      </c>
      <c r="L2459" s="1379">
        <v>1</v>
      </c>
      <c r="M2459" s="1379">
        <v>1</v>
      </c>
      <c r="N2459" s="1379">
        <v>1</v>
      </c>
      <c r="O2459" s="1379">
        <v>1</v>
      </c>
      <c r="P2459" s="1379">
        <v>1</v>
      </c>
      <c r="Q2459" s="1379">
        <v>1</v>
      </c>
      <c r="R2459" s="1379">
        <v>1</v>
      </c>
      <c r="S2459" s="1379">
        <v>1</v>
      </c>
      <c r="T2459" s="1379">
        <v>1</v>
      </c>
      <c r="U2459" s="1379">
        <v>1</v>
      </c>
      <c r="V2459" s="1379">
        <v>1</v>
      </c>
      <c r="W2459" s="1379">
        <v>1</v>
      </c>
      <c r="X2459" s="1379">
        <v>1</v>
      </c>
      <c r="Y2459" s="1379">
        <v>1</v>
      </c>
      <c r="Z2459" s="1379">
        <v>1</v>
      </c>
      <c r="AA2459" s="1379">
        <v>1</v>
      </c>
      <c r="AB2459" s="1379">
        <v>1</v>
      </c>
      <c r="AC2459" s="1379">
        <v>1</v>
      </c>
      <c r="AD2459" s="1379">
        <v>1</v>
      </c>
      <c r="AE2459" s="1379">
        <v>1</v>
      </c>
      <c r="AF2459" s="1379">
        <v>1</v>
      </c>
      <c r="AG2459" s="1379">
        <v>1</v>
      </c>
      <c r="AH2459" s="1379">
        <v>1</v>
      </c>
      <c r="AI2459" s="1379">
        <v>1</v>
      </c>
      <c r="AJ2459" s="1379">
        <v>1</v>
      </c>
      <c r="AK2459" s="1379">
        <v>1</v>
      </c>
      <c r="AL2459" s="1379">
        <v>1</v>
      </c>
      <c r="AM2459" s="1379">
        <v>1</v>
      </c>
      <c r="AN2459" s="1379">
        <v>1</v>
      </c>
      <c r="AO2459" s="1379">
        <v>1</v>
      </c>
      <c r="AP2459" s="1379">
        <v>1</v>
      </c>
      <c r="AQ2459" s="1379">
        <v>1</v>
      </c>
      <c r="AR2459" s="1379">
        <v>1</v>
      </c>
      <c r="AS2459" s="1379">
        <v>1</v>
      </c>
      <c r="AT2459" s="1379">
        <v>1</v>
      </c>
      <c r="AU2459" s="1379">
        <v>1</v>
      </c>
      <c r="AV2459" s="1379">
        <v>1</v>
      </c>
      <c r="AW2459" s="1379">
        <v>1</v>
      </c>
      <c r="AX2459" s="1379">
        <v>1</v>
      </c>
      <c r="AY2459" s="1379">
        <v>1</v>
      </c>
      <c r="AZ2459" s="1379">
        <v>1</v>
      </c>
      <c r="BA2459" s="1379">
        <v>1</v>
      </c>
      <c r="BB2459" s="1379">
        <v>1</v>
      </c>
      <c r="BC2459" s="1379">
        <v>1</v>
      </c>
      <c r="BD2459" s="1379">
        <v>1</v>
      </c>
      <c r="BE2459" s="1379">
        <v>1</v>
      </c>
      <c r="BF2459" s="1379">
        <v>1</v>
      </c>
      <c r="BG2459" s="1379">
        <v>1</v>
      </c>
      <c r="BH2459" s="1379">
        <v>1</v>
      </c>
      <c r="BI2459" s="1379">
        <v>1</v>
      </c>
      <c r="BJ2459" s="1379">
        <v>1</v>
      </c>
      <c r="BK2459" s="1379">
        <v>1</v>
      </c>
      <c r="BL2459" s="1379">
        <v>1</v>
      </c>
      <c r="BM2459" s="1379">
        <v>1</v>
      </c>
      <c r="BN2459" s="1379">
        <v>1</v>
      </c>
      <c r="BO2459" s="1379">
        <v>1</v>
      </c>
      <c r="BP2459" s="1379">
        <v>1</v>
      </c>
      <c r="BQ2459" s="1379">
        <v>1</v>
      </c>
      <c r="BR2459" s="1379">
        <v>1</v>
      </c>
      <c r="BS2459" s="1379">
        <v>1</v>
      </c>
      <c r="BT2459" s="1379">
        <v>1</v>
      </c>
      <c r="BU2459" s="1379">
        <v>1</v>
      </c>
      <c r="BV2459" s="1379">
        <v>1</v>
      </c>
      <c r="BW2459" s="1379">
        <v>1</v>
      </c>
      <c r="BX2459" s="1379">
        <v>1</v>
      </c>
      <c r="BY2459" s="1379">
        <v>1</v>
      </c>
      <c r="BZ2459" s="1379">
        <v>1</v>
      </c>
      <c r="CA2459" s="1379">
        <v>1</v>
      </c>
      <c r="CB2459" s="1379">
        <v>1</v>
      </c>
      <c r="CC2459" s="1379">
        <v>1</v>
      </c>
      <c r="CD2459" s="1379">
        <v>1</v>
      </c>
      <c r="CE2459" s="1379">
        <v>1</v>
      </c>
      <c r="CF2459" s="1379">
        <v>1</v>
      </c>
      <c r="CG2459" s="1379">
        <v>1</v>
      </c>
      <c r="CH2459" s="1379">
        <v>1</v>
      </c>
      <c r="CI2459" s="1379">
        <v>1</v>
      </c>
      <c r="CJ2459" s="1379">
        <v>1</v>
      </c>
      <c r="CK2459" s="1379">
        <v>1</v>
      </c>
      <c r="CL2459" s="1379">
        <v>1</v>
      </c>
      <c r="CM2459" s="1379">
        <v>1</v>
      </c>
      <c r="CN2459" s="1379">
        <v>1</v>
      </c>
      <c r="CO2459" s="1379">
        <v>1</v>
      </c>
      <c r="CP2459" s="1379">
        <v>1</v>
      </c>
      <c r="CQ2459" s="1379">
        <v>1</v>
      </c>
      <c r="CR2459" s="1379">
        <v>1</v>
      </c>
      <c r="CS2459" s="1379">
        <v>1</v>
      </c>
      <c r="CT2459" s="1379">
        <v>1</v>
      </c>
      <c r="CU2459" s="1379">
        <v>1</v>
      </c>
      <c r="CV2459" s="1379">
        <v>1</v>
      </c>
      <c r="CW2459" s="1379">
        <v>1</v>
      </c>
      <c r="CX2459" s="1342" t="str">
        <f>ADDRESS(ROW(),COLUMN(),4)</f>
        <v>CX2459</v>
      </c>
    </row>
  </sheetData>
  <mergeCells count="7">
    <mergeCell ref="A94:S94"/>
    <mergeCell ref="A1:S1"/>
    <mergeCell ref="A2:S2"/>
    <mergeCell ref="A3:S3"/>
    <mergeCell ref="B5:D5"/>
    <mergeCell ref="A70:S70"/>
    <mergeCell ref="A80:S80"/>
  </mergeCells>
  <conditionalFormatting sqref="E7:R66">
    <cfRule type="expression" dxfId="1" priority="1">
      <formula>E7="X"</formula>
    </cfRule>
    <cfRule type="expression" dxfId="0" priority="2">
      <formula>E7="?"</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6F8B-500A-4A4A-985C-1AEE55CC10F3}">
  <dimension ref="A1:Q297"/>
  <sheetViews>
    <sheetView workbookViewId="0">
      <selection activeCell="A2" sqref="A1:A2"/>
    </sheetView>
  </sheetViews>
  <sheetFormatPr baseColWidth="10" defaultRowHeight="18.75" x14ac:dyDescent="0.3"/>
  <cols>
    <col min="1" max="1" width="9.25" style="1130" customWidth="1"/>
    <col min="2" max="16384" width="11" style="1130"/>
  </cols>
  <sheetData>
    <row r="1" spans="1:17" x14ac:dyDescent="0.3">
      <c r="A1" s="1129"/>
      <c r="B1" s="1129"/>
      <c r="C1" s="1129"/>
      <c r="D1" s="1129"/>
      <c r="E1" s="1129"/>
      <c r="F1" s="1129"/>
      <c r="G1" s="1129"/>
      <c r="H1" s="1129"/>
      <c r="I1" s="1129"/>
      <c r="J1" s="1129"/>
      <c r="K1" s="1129"/>
      <c r="L1" s="1129"/>
      <c r="M1" s="1129"/>
      <c r="N1" s="1129"/>
      <c r="O1" s="1129"/>
      <c r="P1" s="1129"/>
      <c r="Q1" s="1129"/>
    </row>
    <row r="2" spans="1:17" x14ac:dyDescent="0.3">
      <c r="A2" s="1129"/>
      <c r="B2" s="1129"/>
      <c r="C2" s="1129"/>
      <c r="D2" s="1129"/>
      <c r="E2" s="1129"/>
      <c r="F2" s="1129"/>
      <c r="G2" s="1129"/>
      <c r="H2" s="1129"/>
      <c r="I2" s="1129"/>
      <c r="J2" s="1129"/>
      <c r="K2" s="1129"/>
      <c r="L2" s="1129"/>
      <c r="M2" s="1129"/>
      <c r="N2" s="1129"/>
      <c r="O2" s="1129"/>
      <c r="P2" s="1129"/>
      <c r="Q2" s="1129"/>
    </row>
    <row r="3" spans="1:17" ht="23.25" x14ac:dyDescent="0.35">
      <c r="A3" s="1129"/>
      <c r="B3" s="1131" t="s">
        <v>7449</v>
      </c>
      <c r="C3" s="1129"/>
      <c r="D3" s="1129"/>
      <c r="E3" s="1129"/>
      <c r="F3" s="1129"/>
      <c r="G3" s="1129"/>
      <c r="H3" s="1129"/>
      <c r="I3" s="1129"/>
      <c r="J3" s="1129"/>
      <c r="K3" s="1129"/>
      <c r="L3" s="1129"/>
      <c r="M3" s="1129"/>
      <c r="N3" s="1129"/>
      <c r="O3" s="1129"/>
      <c r="P3" s="1129"/>
      <c r="Q3" s="1129"/>
    </row>
    <row r="4" spans="1:17" ht="23.25" x14ac:dyDescent="0.35">
      <c r="A4" s="1129"/>
      <c r="B4" s="1131"/>
      <c r="C4" s="1129"/>
      <c r="D4" s="1129"/>
      <c r="E4" s="1129"/>
      <c r="F4" s="1129"/>
      <c r="G4" s="1129"/>
      <c r="H4" s="1129"/>
      <c r="I4" s="1129"/>
      <c r="J4" s="1129"/>
      <c r="K4" s="1129"/>
      <c r="L4" s="1129"/>
      <c r="M4" s="1129"/>
      <c r="N4" s="1129"/>
      <c r="O4" s="1129"/>
      <c r="P4" s="1129"/>
      <c r="Q4" s="1129"/>
    </row>
    <row r="5" spans="1:17" x14ac:dyDescent="0.3">
      <c r="A5" s="1132" t="s">
        <v>5133</v>
      </c>
      <c r="B5" s="1133" t="s">
        <v>7450</v>
      </c>
    </row>
    <row r="6" spans="1:17" x14ac:dyDescent="0.3">
      <c r="A6" s="1129"/>
      <c r="B6" s="1129"/>
      <c r="C6" s="1129"/>
      <c r="D6" s="1129"/>
      <c r="E6" s="1129"/>
      <c r="F6" s="1129"/>
      <c r="G6" s="1129"/>
      <c r="H6" s="1129"/>
      <c r="I6" s="1129"/>
      <c r="J6" s="1129"/>
    </row>
    <row r="7" spans="1:17" x14ac:dyDescent="0.3">
      <c r="A7" s="1129"/>
      <c r="B7" s="1129" t="s">
        <v>7451</v>
      </c>
      <c r="C7" s="1129"/>
      <c r="D7" s="1129"/>
      <c r="E7" s="1129"/>
      <c r="F7" s="1129"/>
      <c r="G7" s="1129"/>
      <c r="H7" s="1129"/>
      <c r="I7" s="1129"/>
      <c r="J7" s="1129"/>
    </row>
    <row r="8" spans="1:17" x14ac:dyDescent="0.3">
      <c r="A8" s="1129"/>
      <c r="B8" s="1129" t="s">
        <v>7452</v>
      </c>
      <c r="C8" s="1129"/>
      <c r="D8" s="1129"/>
      <c r="E8" s="1129"/>
      <c r="F8" s="1129"/>
      <c r="G8" s="1129"/>
      <c r="H8" s="1129"/>
      <c r="I8" s="1129"/>
      <c r="J8" s="1129"/>
    </row>
    <row r="9" spans="1:17" x14ac:dyDescent="0.3">
      <c r="A9" s="1129"/>
      <c r="B9" s="1129" t="s">
        <v>7453</v>
      </c>
      <c r="C9" s="1129"/>
      <c r="D9" s="1129"/>
      <c r="E9" s="1129"/>
      <c r="F9" s="1129"/>
      <c r="G9" s="1129"/>
      <c r="H9" s="1129"/>
      <c r="I9" s="1129"/>
      <c r="J9" s="1129"/>
    </row>
    <row r="10" spans="1:17" x14ac:dyDescent="0.3">
      <c r="A10" s="1129"/>
      <c r="B10" s="1129"/>
      <c r="C10" s="1129"/>
      <c r="D10" s="1129"/>
      <c r="E10" s="1129"/>
      <c r="F10" s="1129"/>
      <c r="G10" s="1129"/>
      <c r="H10" s="1129"/>
      <c r="I10" s="1129"/>
      <c r="J10" s="1129"/>
    </row>
    <row r="11" spans="1:17" x14ac:dyDescent="0.3">
      <c r="A11" s="1129"/>
      <c r="B11" s="1134" t="s">
        <v>7454</v>
      </c>
      <c r="C11" s="1129"/>
      <c r="D11" s="1129"/>
      <c r="E11" s="1129"/>
      <c r="F11" s="1129"/>
      <c r="G11" s="1129"/>
      <c r="H11" s="1129"/>
      <c r="I11" s="1129"/>
      <c r="J11" s="1129"/>
    </row>
    <row r="12" spans="1:17" x14ac:dyDescent="0.3">
      <c r="A12" s="1129"/>
      <c r="B12" s="1129" t="s">
        <v>7455</v>
      </c>
      <c r="C12" s="1129"/>
      <c r="D12" s="1129"/>
      <c r="E12" s="1129"/>
      <c r="F12" s="1129"/>
      <c r="G12" s="1129"/>
      <c r="H12" s="1129"/>
      <c r="I12" s="1129"/>
      <c r="J12" s="1129"/>
    </row>
    <row r="13" spans="1:17" x14ac:dyDescent="0.3">
      <c r="A13" s="1129"/>
      <c r="B13" s="1129" t="s">
        <v>7456</v>
      </c>
      <c r="C13" s="1129"/>
      <c r="D13" s="1129"/>
      <c r="E13" s="1129"/>
      <c r="F13" s="1129"/>
      <c r="G13" s="1129"/>
      <c r="H13" s="1129"/>
      <c r="I13" s="1129"/>
      <c r="J13" s="1129"/>
    </row>
    <row r="14" spans="1:17" x14ac:dyDescent="0.3">
      <c r="A14" s="1129"/>
      <c r="B14" s="1129" t="s">
        <v>7457</v>
      </c>
      <c r="C14" s="1129"/>
      <c r="D14" s="1129"/>
      <c r="E14" s="1129"/>
      <c r="F14" s="1129"/>
      <c r="G14" s="1129"/>
      <c r="H14" s="1129"/>
      <c r="I14" s="1129"/>
      <c r="J14" s="1129"/>
    </row>
    <row r="15" spans="1:17" x14ac:dyDescent="0.3">
      <c r="A15" s="1129"/>
      <c r="B15" s="1129" t="s">
        <v>7458</v>
      </c>
      <c r="C15" s="1129"/>
      <c r="D15" s="1129"/>
      <c r="E15" s="1129"/>
      <c r="F15" s="1129"/>
      <c r="G15" s="1129"/>
      <c r="H15" s="1129"/>
      <c r="I15" s="1129"/>
      <c r="J15" s="1129"/>
    </row>
    <row r="16" spans="1:17" x14ac:dyDescent="0.3">
      <c r="A16" s="1129"/>
      <c r="B16" s="1129" t="s">
        <v>7459</v>
      </c>
      <c r="C16" s="1129"/>
      <c r="D16" s="1129"/>
      <c r="E16" s="1129"/>
      <c r="F16" s="1129"/>
      <c r="G16" s="1129"/>
      <c r="H16" s="1129"/>
      <c r="I16" s="1129"/>
      <c r="J16" s="1129"/>
    </row>
    <row r="17" spans="1:10" x14ac:dyDescent="0.3">
      <c r="A17" s="1129"/>
      <c r="B17" s="1129" t="s">
        <v>7460</v>
      </c>
      <c r="C17" s="1129"/>
      <c r="D17" s="1129"/>
      <c r="E17" s="1129"/>
      <c r="F17" s="1129"/>
      <c r="G17" s="1129"/>
      <c r="H17" s="1129"/>
      <c r="I17" s="1129"/>
      <c r="J17" s="1129"/>
    </row>
    <row r="18" spans="1:10" x14ac:dyDescent="0.3">
      <c r="A18" s="1129"/>
      <c r="B18" s="1129" t="s">
        <v>7461</v>
      </c>
      <c r="C18" s="1129"/>
      <c r="D18" s="1129"/>
      <c r="E18" s="1129"/>
      <c r="F18" s="1129"/>
      <c r="G18" s="1129"/>
      <c r="H18" s="1129"/>
      <c r="I18" s="1129"/>
      <c r="J18" s="1129"/>
    </row>
    <row r="19" spans="1:10" x14ac:dyDescent="0.3">
      <c r="A19" s="1129"/>
      <c r="B19" s="1129" t="s">
        <v>7462</v>
      </c>
      <c r="C19" s="1129"/>
      <c r="D19" s="1129"/>
      <c r="E19" s="1129"/>
      <c r="F19" s="1129"/>
      <c r="G19" s="1129"/>
      <c r="H19" s="1129"/>
      <c r="I19" s="1129"/>
      <c r="J19" s="1129"/>
    </row>
    <row r="20" spans="1:10" x14ac:dyDescent="0.3">
      <c r="A20" s="1129"/>
      <c r="B20" s="1129" t="s">
        <v>7463</v>
      </c>
      <c r="C20" s="1129"/>
      <c r="D20" s="1129"/>
      <c r="E20" s="1129"/>
      <c r="F20" s="1129"/>
      <c r="G20" s="1129"/>
      <c r="H20" s="1129"/>
      <c r="I20" s="1129"/>
      <c r="J20" s="1129"/>
    </row>
    <row r="21" spans="1:10" x14ac:dyDescent="0.3">
      <c r="A21" s="1129"/>
      <c r="B21" s="1129" t="s">
        <v>7464</v>
      </c>
      <c r="C21" s="1129"/>
      <c r="D21" s="1129"/>
      <c r="E21" s="1129"/>
      <c r="F21" s="1129"/>
      <c r="G21" s="1129"/>
      <c r="H21" s="1129"/>
      <c r="I21" s="1129"/>
      <c r="J21" s="1129"/>
    </row>
    <row r="22" spans="1:10" x14ac:dyDescent="0.3">
      <c r="A22" s="1129"/>
      <c r="B22" s="1129" t="s">
        <v>7465</v>
      </c>
      <c r="C22" s="1129"/>
      <c r="D22" s="1129"/>
      <c r="E22" s="1129"/>
      <c r="F22" s="1129"/>
      <c r="G22" s="1129"/>
      <c r="H22" s="1129"/>
      <c r="I22" s="1129"/>
      <c r="J22" s="1129"/>
    </row>
    <row r="23" spans="1:10" x14ac:dyDescent="0.3">
      <c r="A23" s="1129"/>
      <c r="B23" s="1129" t="s">
        <v>7466</v>
      </c>
      <c r="C23" s="1129"/>
      <c r="D23" s="1129"/>
      <c r="E23" s="1129"/>
      <c r="F23" s="1129"/>
      <c r="G23" s="1129"/>
      <c r="H23" s="1129"/>
      <c r="I23" s="1129"/>
      <c r="J23" s="1129"/>
    </row>
    <row r="24" spans="1:10" x14ac:dyDescent="0.3">
      <c r="A24" s="1129"/>
      <c r="B24" s="1129" t="s">
        <v>7467</v>
      </c>
      <c r="C24" s="1129"/>
      <c r="D24" s="1129"/>
      <c r="E24" s="1129"/>
      <c r="F24" s="1129"/>
      <c r="G24" s="1129"/>
      <c r="H24" s="1129"/>
      <c r="I24" s="1129"/>
      <c r="J24" s="1129"/>
    </row>
    <row r="25" spans="1:10" x14ac:dyDescent="0.3">
      <c r="A25" s="1129"/>
      <c r="B25" s="1129" t="s">
        <v>7468</v>
      </c>
      <c r="C25" s="1129"/>
      <c r="D25" s="1129"/>
      <c r="E25" s="1129"/>
      <c r="F25" s="1129"/>
      <c r="G25" s="1129"/>
      <c r="H25" s="1129"/>
      <c r="I25" s="1129"/>
      <c r="J25" s="1129"/>
    </row>
    <row r="26" spans="1:10" x14ac:dyDescent="0.3">
      <c r="A26" s="1129"/>
      <c r="B26" s="1129" t="s">
        <v>7469</v>
      </c>
      <c r="C26" s="1129"/>
      <c r="D26" s="1129"/>
      <c r="E26" s="1129"/>
      <c r="F26" s="1129"/>
      <c r="G26" s="1129"/>
      <c r="H26" s="1129"/>
      <c r="I26" s="1129"/>
      <c r="J26" s="1129"/>
    </row>
    <row r="27" spans="1:10" x14ac:dyDescent="0.3">
      <c r="A27" s="1129"/>
      <c r="B27" s="1129" t="s">
        <v>7470</v>
      </c>
      <c r="C27" s="1129"/>
      <c r="D27" s="1129"/>
      <c r="E27" s="1129"/>
      <c r="F27" s="1129"/>
      <c r="G27" s="1129"/>
      <c r="H27" s="1129"/>
      <c r="I27" s="1129"/>
      <c r="J27" s="1129"/>
    </row>
    <row r="28" spans="1:10" x14ac:dyDescent="0.3">
      <c r="A28" s="1129"/>
      <c r="B28" s="1129" t="s">
        <v>7471</v>
      </c>
      <c r="C28" s="1129"/>
      <c r="D28" s="1129"/>
      <c r="E28" s="1129"/>
      <c r="F28" s="1129"/>
      <c r="G28" s="1129"/>
      <c r="H28" s="1129"/>
      <c r="I28" s="1129"/>
      <c r="J28" s="1129"/>
    </row>
    <row r="29" spans="1:10" x14ac:dyDescent="0.3">
      <c r="A29" s="1129"/>
      <c r="B29" s="1129"/>
      <c r="C29" s="1129"/>
      <c r="D29" s="1129"/>
      <c r="E29" s="1129"/>
      <c r="F29" s="1129"/>
      <c r="G29" s="1129"/>
      <c r="H29" s="1129"/>
      <c r="I29" s="1129"/>
      <c r="J29" s="1129"/>
    </row>
    <row r="30" spans="1:10" x14ac:dyDescent="0.3">
      <c r="A30" s="1129"/>
      <c r="B30" s="1134" t="s">
        <v>7472</v>
      </c>
      <c r="C30" s="1129"/>
      <c r="D30" s="1129"/>
      <c r="E30" s="1129"/>
      <c r="F30" s="1129"/>
      <c r="G30" s="1129"/>
      <c r="H30" s="1129"/>
      <c r="I30" s="1129"/>
      <c r="J30" s="1129"/>
    </row>
    <row r="31" spans="1:10" x14ac:dyDescent="0.3">
      <c r="A31" s="1129"/>
      <c r="B31" s="1129" t="s">
        <v>7473</v>
      </c>
      <c r="C31" s="1129"/>
      <c r="D31" s="1129"/>
      <c r="E31" s="1129"/>
      <c r="F31" s="1129"/>
      <c r="G31" s="1129"/>
      <c r="H31" s="1129"/>
      <c r="I31" s="1129"/>
      <c r="J31" s="1129"/>
    </row>
    <row r="32" spans="1:10" x14ac:dyDescent="0.3">
      <c r="A32" s="1129"/>
      <c r="B32" s="1129" t="s">
        <v>7474</v>
      </c>
      <c r="C32" s="1129"/>
      <c r="D32" s="1129"/>
      <c r="E32" s="1129"/>
      <c r="F32" s="1129"/>
      <c r="G32" s="1129"/>
      <c r="H32" s="1129"/>
      <c r="I32" s="1129"/>
      <c r="J32" s="1129"/>
    </row>
    <row r="33" spans="1:10" x14ac:dyDescent="0.3">
      <c r="A33" s="1129"/>
      <c r="B33" s="1129" t="s">
        <v>7475</v>
      </c>
      <c r="C33" s="1129"/>
      <c r="D33" s="1129"/>
      <c r="E33" s="1129"/>
      <c r="F33" s="1129"/>
      <c r="G33" s="1129"/>
      <c r="H33" s="1129"/>
      <c r="I33" s="1129"/>
      <c r="J33" s="1129"/>
    </row>
    <row r="34" spans="1:10" x14ac:dyDescent="0.3">
      <c r="A34" s="1129"/>
      <c r="B34" s="1129" t="s">
        <v>7476</v>
      </c>
      <c r="C34" s="1129"/>
      <c r="D34" s="1129"/>
      <c r="E34" s="1129"/>
      <c r="F34" s="1129"/>
      <c r="G34" s="1129"/>
      <c r="H34" s="1129"/>
      <c r="I34" s="1129"/>
      <c r="J34" s="1129"/>
    </row>
    <row r="35" spans="1:10" x14ac:dyDescent="0.3">
      <c r="A35" s="1129"/>
      <c r="B35" s="1129" t="s">
        <v>7477</v>
      </c>
      <c r="C35" s="1129"/>
      <c r="D35" s="1129"/>
      <c r="E35" s="1129"/>
      <c r="F35" s="1129"/>
      <c r="G35" s="1129"/>
      <c r="H35" s="1129"/>
      <c r="I35" s="1129"/>
      <c r="J35" s="1129"/>
    </row>
    <row r="36" spans="1:10" x14ac:dyDescent="0.3">
      <c r="A36" s="1129"/>
      <c r="B36" s="1129" t="s">
        <v>7478</v>
      </c>
      <c r="C36" s="1129"/>
      <c r="D36" s="1129"/>
      <c r="E36" s="1129"/>
      <c r="F36" s="1129"/>
      <c r="G36" s="1129"/>
      <c r="H36" s="1129"/>
      <c r="I36" s="1129"/>
      <c r="J36" s="1129"/>
    </row>
    <row r="37" spans="1:10" x14ac:dyDescent="0.3">
      <c r="A37" s="1129"/>
      <c r="B37" s="1129"/>
      <c r="C37" s="1129"/>
      <c r="D37" s="1129"/>
      <c r="E37" s="1129"/>
      <c r="F37" s="1129"/>
      <c r="G37" s="1129"/>
      <c r="H37" s="1129"/>
      <c r="I37" s="1129"/>
      <c r="J37" s="1129"/>
    </row>
    <row r="38" spans="1:10" x14ac:dyDescent="0.3">
      <c r="A38" s="1129"/>
      <c r="B38" s="1134" t="s">
        <v>7479</v>
      </c>
      <c r="C38" s="1129"/>
      <c r="D38" s="1129"/>
      <c r="E38" s="1129"/>
      <c r="F38" s="1129"/>
      <c r="G38" s="1129"/>
      <c r="H38" s="1129"/>
      <c r="I38" s="1129"/>
      <c r="J38" s="1129"/>
    </row>
    <row r="39" spans="1:10" x14ac:dyDescent="0.3">
      <c r="A39" s="1129"/>
      <c r="B39" s="1129" t="s">
        <v>7480</v>
      </c>
      <c r="C39" s="1129"/>
      <c r="D39" s="1129"/>
      <c r="E39" s="1129"/>
      <c r="F39" s="1129"/>
      <c r="G39" s="1129"/>
      <c r="H39" s="1129"/>
      <c r="I39" s="1129"/>
      <c r="J39" s="1129"/>
    </row>
    <row r="40" spans="1:10" x14ac:dyDescent="0.3">
      <c r="A40" s="1129"/>
      <c r="B40" s="1129" t="s">
        <v>7481</v>
      </c>
      <c r="C40" s="1129"/>
      <c r="D40" s="1129"/>
      <c r="E40" s="1129"/>
      <c r="F40" s="1129"/>
      <c r="G40" s="1129"/>
      <c r="H40" s="1129"/>
      <c r="I40" s="1129"/>
      <c r="J40" s="1129"/>
    </row>
    <row r="41" spans="1:10" x14ac:dyDescent="0.3">
      <c r="A41" s="1129"/>
      <c r="B41" s="1129" t="s">
        <v>7482</v>
      </c>
      <c r="C41" s="1129"/>
      <c r="D41" s="1129"/>
      <c r="E41" s="1129"/>
      <c r="F41" s="1129"/>
      <c r="G41" s="1129"/>
      <c r="H41" s="1129"/>
      <c r="I41" s="1129"/>
      <c r="J41" s="1129"/>
    </row>
    <row r="42" spans="1:10" x14ac:dyDescent="0.3">
      <c r="A42" s="1129"/>
      <c r="B42" s="1129"/>
      <c r="C42" s="1129"/>
      <c r="D42" s="1129"/>
      <c r="E42" s="1129"/>
      <c r="F42" s="1129"/>
      <c r="G42" s="1129"/>
      <c r="H42" s="1129"/>
      <c r="I42" s="1129"/>
      <c r="J42" s="1129"/>
    </row>
    <row r="43" spans="1:10" x14ac:dyDescent="0.3">
      <c r="A43" s="1129"/>
      <c r="B43" s="1129" t="s">
        <v>7483</v>
      </c>
      <c r="C43" s="1129"/>
      <c r="D43" s="1129"/>
      <c r="E43" s="1129"/>
      <c r="F43" s="1129"/>
      <c r="G43" s="1129"/>
      <c r="H43" s="1129"/>
      <c r="I43" s="1129"/>
      <c r="J43" s="1129"/>
    </row>
    <row r="44" spans="1:10" x14ac:dyDescent="0.3">
      <c r="A44" s="1129"/>
      <c r="B44" s="1129" t="s">
        <v>7484</v>
      </c>
      <c r="C44" s="1129"/>
      <c r="D44" s="1129"/>
      <c r="E44" s="1129"/>
      <c r="F44" s="1129"/>
      <c r="G44" s="1129"/>
      <c r="H44" s="1129"/>
      <c r="I44" s="1129"/>
      <c r="J44" s="1129"/>
    </row>
    <row r="45" spans="1:10" x14ac:dyDescent="0.3">
      <c r="A45" s="1129"/>
      <c r="B45" s="1129" t="s">
        <v>7485</v>
      </c>
      <c r="C45" s="1129"/>
      <c r="D45" s="1129"/>
      <c r="E45" s="1129"/>
      <c r="F45" s="1129"/>
      <c r="G45" s="1129"/>
      <c r="H45" s="1129"/>
      <c r="I45" s="1129"/>
      <c r="J45" s="1129"/>
    </row>
    <row r="46" spans="1:10" x14ac:dyDescent="0.3">
      <c r="A46" s="1129"/>
      <c r="B46" s="1129" t="s">
        <v>7486</v>
      </c>
      <c r="C46" s="1129"/>
      <c r="D46" s="1129"/>
      <c r="E46" s="1129"/>
      <c r="F46" s="1129"/>
      <c r="G46" s="1129"/>
      <c r="H46" s="1129"/>
      <c r="I46" s="1129"/>
      <c r="J46" s="1129"/>
    </row>
    <row r="47" spans="1:10" x14ac:dyDescent="0.3">
      <c r="A47" s="1129"/>
      <c r="B47" s="1129" t="s">
        <v>7487</v>
      </c>
      <c r="C47" s="1129"/>
      <c r="D47" s="1129"/>
      <c r="E47" s="1129"/>
      <c r="F47" s="1129"/>
      <c r="G47" s="1129"/>
      <c r="H47" s="1129"/>
      <c r="I47" s="1129"/>
      <c r="J47" s="1129"/>
    </row>
    <row r="48" spans="1:10" x14ac:dyDescent="0.3">
      <c r="A48" s="1129"/>
      <c r="B48" s="1129" t="s">
        <v>7488</v>
      </c>
      <c r="C48" s="1129"/>
      <c r="D48" s="1129"/>
      <c r="E48" s="1129"/>
      <c r="F48" s="1129"/>
      <c r="G48" s="1129"/>
      <c r="H48" s="1129"/>
      <c r="I48" s="1129"/>
      <c r="J48" s="1129"/>
    </row>
    <row r="49" spans="1:10" x14ac:dyDescent="0.3">
      <c r="A49" s="1129"/>
      <c r="B49" s="1129" t="s">
        <v>7489</v>
      </c>
      <c r="C49" s="1129"/>
      <c r="D49" s="1129"/>
      <c r="E49" s="1129"/>
      <c r="F49" s="1129"/>
      <c r="G49" s="1129"/>
      <c r="H49" s="1129"/>
      <c r="I49" s="1129"/>
      <c r="J49" s="1129"/>
    </row>
    <row r="50" spans="1:10" x14ac:dyDescent="0.3">
      <c r="A50" s="1129"/>
      <c r="B50" s="1129"/>
      <c r="C50" s="1129"/>
      <c r="D50" s="1129"/>
      <c r="E50" s="1129"/>
      <c r="F50" s="1129"/>
      <c r="G50" s="1129"/>
      <c r="H50" s="1129"/>
      <c r="I50" s="1129"/>
      <c r="J50" s="1129"/>
    </row>
    <row r="51" spans="1:10" x14ac:dyDescent="0.3">
      <c r="A51" s="1129"/>
      <c r="B51" s="1129" t="s">
        <v>7490</v>
      </c>
      <c r="C51" s="1129"/>
      <c r="D51" s="1129"/>
      <c r="E51" s="1129"/>
      <c r="F51" s="1129"/>
      <c r="G51" s="1129"/>
      <c r="H51" s="1129"/>
      <c r="I51" s="1129"/>
      <c r="J51" s="1129"/>
    </row>
    <row r="52" spans="1:10" x14ac:dyDescent="0.3">
      <c r="A52" s="1129"/>
      <c r="B52" s="1129" t="s">
        <v>7491</v>
      </c>
      <c r="C52" s="1129"/>
      <c r="D52" s="1129"/>
      <c r="E52" s="1129"/>
      <c r="F52" s="1129"/>
      <c r="G52" s="1129"/>
      <c r="H52" s="1129"/>
      <c r="I52" s="1129"/>
      <c r="J52" s="1129"/>
    </row>
    <row r="53" spans="1:10" x14ac:dyDescent="0.3">
      <c r="A53" s="1129"/>
      <c r="B53" s="1129" t="s">
        <v>7492</v>
      </c>
      <c r="C53" s="1129"/>
      <c r="D53" s="1129"/>
      <c r="E53" s="1129"/>
      <c r="F53" s="1129"/>
      <c r="G53" s="1129"/>
      <c r="H53" s="1129"/>
      <c r="I53" s="1129"/>
      <c r="J53" s="1129"/>
    </row>
    <row r="54" spans="1:10" x14ac:dyDescent="0.3">
      <c r="A54" s="1129"/>
      <c r="B54" s="1129" t="s">
        <v>7493</v>
      </c>
      <c r="C54" s="1129"/>
      <c r="D54" s="1129"/>
      <c r="E54" s="1129"/>
      <c r="F54" s="1129"/>
      <c r="G54" s="1129"/>
      <c r="H54" s="1129"/>
      <c r="I54" s="1129"/>
      <c r="J54" s="1129"/>
    </row>
    <row r="55" spans="1:10" x14ac:dyDescent="0.3">
      <c r="A55" s="1129"/>
      <c r="B55" s="1129" t="s">
        <v>7494</v>
      </c>
      <c r="C55" s="1129"/>
      <c r="D55" s="1129"/>
      <c r="E55" s="1129"/>
      <c r="F55" s="1129"/>
      <c r="G55" s="1129"/>
      <c r="H55" s="1129"/>
      <c r="I55" s="1129"/>
      <c r="J55" s="1129"/>
    </row>
    <row r="56" spans="1:10" x14ac:dyDescent="0.3">
      <c r="A56" s="1129"/>
      <c r="B56" s="1129" t="s">
        <v>7495</v>
      </c>
      <c r="C56" s="1129"/>
      <c r="D56" s="1129"/>
      <c r="E56" s="1129"/>
      <c r="F56" s="1129"/>
      <c r="G56" s="1129"/>
      <c r="H56" s="1129"/>
      <c r="I56" s="1129"/>
      <c r="J56" s="1129"/>
    </row>
    <row r="57" spans="1:10" x14ac:dyDescent="0.3">
      <c r="A57" s="1129"/>
      <c r="B57" s="1129" t="s">
        <v>7496</v>
      </c>
      <c r="C57" s="1129"/>
      <c r="D57" s="1129"/>
      <c r="E57" s="1129"/>
      <c r="F57" s="1129"/>
      <c r="G57" s="1129"/>
      <c r="H57" s="1129"/>
      <c r="I57" s="1129"/>
      <c r="J57" s="1129"/>
    </row>
    <row r="58" spans="1:10" x14ac:dyDescent="0.3">
      <c r="A58" s="1129"/>
      <c r="B58" s="1129" t="s">
        <v>7497</v>
      </c>
      <c r="C58" s="1129"/>
      <c r="D58" s="1129"/>
      <c r="E58" s="1129"/>
      <c r="F58" s="1129"/>
      <c r="G58" s="1129"/>
      <c r="H58" s="1129"/>
      <c r="I58" s="1129"/>
      <c r="J58" s="1129"/>
    </row>
    <row r="59" spans="1:10" x14ac:dyDescent="0.3">
      <c r="A59" s="1129"/>
      <c r="B59" s="1129" t="s">
        <v>7498</v>
      </c>
      <c r="C59" s="1129"/>
      <c r="D59" s="1129"/>
      <c r="E59" s="1129"/>
      <c r="F59" s="1129"/>
      <c r="G59" s="1129"/>
      <c r="H59" s="1129"/>
      <c r="I59" s="1129"/>
      <c r="J59" s="1129"/>
    </row>
    <row r="60" spans="1:10" x14ac:dyDescent="0.3">
      <c r="A60" s="1129"/>
      <c r="B60" s="1129" t="s">
        <v>7499</v>
      </c>
      <c r="C60" s="1129"/>
      <c r="D60" s="1129"/>
      <c r="E60" s="1129"/>
      <c r="F60" s="1129"/>
      <c r="G60" s="1129"/>
      <c r="H60" s="1129"/>
      <c r="I60" s="1129"/>
      <c r="J60" s="1129"/>
    </row>
    <row r="61" spans="1:10" x14ac:dyDescent="0.3">
      <c r="A61" s="1129"/>
      <c r="B61" s="1129" t="s">
        <v>7500</v>
      </c>
      <c r="C61" s="1129"/>
      <c r="D61" s="1129"/>
      <c r="E61" s="1129"/>
      <c r="F61" s="1129"/>
      <c r="G61" s="1129"/>
      <c r="H61" s="1129"/>
      <c r="I61" s="1129"/>
      <c r="J61" s="1129"/>
    </row>
    <row r="62" spans="1:10" x14ac:dyDescent="0.3">
      <c r="A62" s="1129"/>
      <c r="B62" s="1129"/>
      <c r="C62" s="1129"/>
      <c r="D62" s="1129"/>
      <c r="E62" s="1129"/>
      <c r="F62" s="1129"/>
      <c r="G62" s="1129"/>
      <c r="H62" s="1129"/>
      <c r="I62" s="1129"/>
      <c r="J62" s="1129"/>
    </row>
    <row r="63" spans="1:10" x14ac:dyDescent="0.3">
      <c r="A63" s="1129"/>
      <c r="B63" s="1129" t="s">
        <v>7501</v>
      </c>
      <c r="C63" s="1129"/>
      <c r="D63" s="1129"/>
      <c r="E63" s="1129"/>
      <c r="F63" s="1129"/>
      <c r="G63" s="1129"/>
      <c r="H63" s="1129"/>
      <c r="I63" s="1129"/>
      <c r="J63" s="1129"/>
    </row>
    <row r="64" spans="1:10" x14ac:dyDescent="0.3">
      <c r="A64" s="1129"/>
      <c r="B64" s="1129" t="s">
        <v>7502</v>
      </c>
      <c r="C64" s="1129"/>
      <c r="D64" s="1129"/>
      <c r="E64" s="1129"/>
      <c r="F64" s="1129"/>
      <c r="G64" s="1129"/>
      <c r="H64" s="1129"/>
      <c r="I64" s="1129"/>
      <c r="J64" s="1129"/>
    </row>
    <row r="65" spans="1:10" x14ac:dyDescent="0.3">
      <c r="A65" s="1129"/>
      <c r="B65" s="1129" t="s">
        <v>7503</v>
      </c>
      <c r="C65" s="1129"/>
      <c r="D65" s="1129"/>
      <c r="E65" s="1129"/>
      <c r="F65" s="1129"/>
      <c r="G65" s="1129"/>
      <c r="H65" s="1129"/>
      <c r="I65" s="1129"/>
      <c r="J65" s="1129"/>
    </row>
    <row r="66" spans="1:10" x14ac:dyDescent="0.3">
      <c r="A66" s="1129"/>
      <c r="B66" s="1129" t="s">
        <v>7504</v>
      </c>
      <c r="C66" s="1129"/>
      <c r="D66" s="1129"/>
      <c r="E66" s="1129"/>
      <c r="F66" s="1129"/>
      <c r="G66" s="1129"/>
      <c r="H66" s="1129"/>
      <c r="I66" s="1129"/>
      <c r="J66" s="1129"/>
    </row>
    <row r="67" spans="1:10" x14ac:dyDescent="0.3">
      <c r="A67" s="1129"/>
      <c r="B67" s="1129" t="s">
        <v>7505</v>
      </c>
      <c r="C67" s="1129"/>
      <c r="D67" s="1129"/>
      <c r="E67" s="1129"/>
      <c r="F67" s="1129"/>
      <c r="G67" s="1129"/>
      <c r="H67" s="1129"/>
      <c r="I67" s="1129"/>
      <c r="J67" s="1129"/>
    </row>
    <row r="68" spans="1:10" x14ac:dyDescent="0.3">
      <c r="A68" s="1129"/>
      <c r="B68" s="1129" t="s">
        <v>7506</v>
      </c>
      <c r="C68" s="1129"/>
      <c r="D68" s="1129"/>
      <c r="E68" s="1129"/>
      <c r="F68" s="1129"/>
      <c r="G68" s="1129"/>
      <c r="H68" s="1129"/>
      <c r="I68" s="1129"/>
      <c r="J68" s="1129"/>
    </row>
    <row r="69" spans="1:10" x14ac:dyDescent="0.3">
      <c r="A69" s="1129"/>
      <c r="B69" s="1129" t="s">
        <v>7507</v>
      </c>
      <c r="C69" s="1129"/>
      <c r="D69" s="1129"/>
      <c r="E69" s="1129"/>
      <c r="F69" s="1129"/>
      <c r="G69" s="1129"/>
      <c r="H69" s="1129"/>
      <c r="I69" s="1129"/>
      <c r="J69" s="1129"/>
    </row>
    <row r="70" spans="1:10" x14ac:dyDescent="0.3">
      <c r="A70" s="1129"/>
      <c r="B70" s="1129" t="s">
        <v>7508</v>
      </c>
      <c r="C70" s="1129"/>
      <c r="D70" s="1129"/>
      <c r="E70" s="1129"/>
      <c r="F70" s="1129"/>
      <c r="G70" s="1129"/>
      <c r="H70" s="1129"/>
      <c r="I70" s="1129"/>
      <c r="J70" s="1129"/>
    </row>
    <row r="71" spans="1:10" x14ac:dyDescent="0.3">
      <c r="A71" s="1129"/>
      <c r="B71" s="1129" t="s">
        <v>7509</v>
      </c>
      <c r="C71" s="1129"/>
      <c r="D71" s="1129"/>
      <c r="E71" s="1129"/>
      <c r="F71" s="1129"/>
      <c r="G71" s="1129"/>
      <c r="H71" s="1129"/>
      <c r="I71" s="1129"/>
      <c r="J71" s="1129"/>
    </row>
    <row r="72" spans="1:10" x14ac:dyDescent="0.3">
      <c r="A72" s="1129"/>
      <c r="B72" s="1129" t="s">
        <v>7510</v>
      </c>
      <c r="C72" s="1129"/>
      <c r="D72" s="1129"/>
      <c r="E72" s="1129"/>
      <c r="F72" s="1129"/>
      <c r="G72" s="1129"/>
      <c r="H72" s="1129"/>
      <c r="I72" s="1129"/>
      <c r="J72" s="1129"/>
    </row>
    <row r="73" spans="1:10" x14ac:dyDescent="0.3">
      <c r="A73" s="1129"/>
      <c r="B73" s="1129" t="s">
        <v>7511</v>
      </c>
      <c r="C73" s="1129"/>
      <c r="D73" s="1129"/>
      <c r="E73" s="1129"/>
      <c r="F73" s="1129"/>
      <c r="G73" s="1129"/>
      <c r="H73" s="1129"/>
      <c r="I73" s="1129"/>
      <c r="J73" s="1129"/>
    </row>
    <row r="74" spans="1:10" x14ac:dyDescent="0.3">
      <c r="A74" s="1129"/>
      <c r="B74" s="1129" t="s">
        <v>7512</v>
      </c>
      <c r="C74" s="1129"/>
      <c r="D74" s="1129"/>
      <c r="E74" s="1129"/>
      <c r="F74" s="1129"/>
      <c r="G74" s="1129"/>
      <c r="H74" s="1129"/>
      <c r="I74" s="1129"/>
      <c r="J74" s="1129"/>
    </row>
    <row r="75" spans="1:10" x14ac:dyDescent="0.3">
      <c r="A75" s="1129"/>
      <c r="B75" s="1129" t="s">
        <v>7513</v>
      </c>
      <c r="C75" s="1129"/>
      <c r="D75" s="1129"/>
      <c r="E75" s="1129"/>
      <c r="F75" s="1129"/>
      <c r="G75" s="1129"/>
      <c r="H75" s="1129"/>
      <c r="I75" s="1129"/>
      <c r="J75" s="1129"/>
    </row>
    <row r="76" spans="1:10" x14ac:dyDescent="0.3">
      <c r="A76" s="1129"/>
      <c r="B76" s="1129"/>
      <c r="C76" s="1129"/>
      <c r="D76" s="1129"/>
      <c r="E76" s="1129"/>
      <c r="F76" s="1129"/>
      <c r="G76" s="1129"/>
      <c r="H76" s="1129"/>
      <c r="I76" s="1129"/>
      <c r="J76" s="1129"/>
    </row>
    <row r="77" spans="1:10" x14ac:dyDescent="0.3">
      <c r="A77" s="1129"/>
      <c r="B77" s="1134" t="s">
        <v>7514</v>
      </c>
      <c r="C77" s="1129"/>
      <c r="D77" s="1129"/>
      <c r="E77" s="1129"/>
      <c r="F77" s="1129"/>
      <c r="G77" s="1129"/>
      <c r="H77" s="1129"/>
      <c r="I77" s="1129"/>
      <c r="J77" s="1129"/>
    </row>
    <row r="78" spans="1:10" x14ac:dyDescent="0.3">
      <c r="A78" s="1129"/>
      <c r="B78" s="1129" t="s">
        <v>7515</v>
      </c>
      <c r="C78" s="1129"/>
      <c r="D78" s="1129"/>
      <c r="E78" s="1129"/>
      <c r="F78" s="1129"/>
      <c r="G78" s="1129"/>
      <c r="H78" s="1129"/>
      <c r="I78" s="1129"/>
      <c r="J78" s="1129"/>
    </row>
    <row r="79" spans="1:10" x14ac:dyDescent="0.3">
      <c r="A79" s="1129"/>
      <c r="B79" s="1129" t="s">
        <v>7516</v>
      </c>
      <c r="C79" s="1129"/>
      <c r="D79" s="1129"/>
      <c r="E79" s="1129"/>
      <c r="F79" s="1129"/>
      <c r="G79" s="1129"/>
      <c r="H79" s="1129"/>
      <c r="I79" s="1129"/>
      <c r="J79" s="1129"/>
    </row>
    <row r="80" spans="1:10" x14ac:dyDescent="0.3">
      <c r="A80" s="1129"/>
      <c r="B80" s="1129" t="s">
        <v>7517</v>
      </c>
      <c r="C80" s="1129"/>
      <c r="D80" s="1129"/>
      <c r="E80" s="1129"/>
      <c r="F80" s="1129"/>
      <c r="G80" s="1129"/>
      <c r="H80" s="1129"/>
      <c r="I80" s="1129"/>
      <c r="J80" s="1129"/>
    </row>
    <row r="81" spans="1:10" x14ac:dyDescent="0.3">
      <c r="A81" s="1129"/>
      <c r="B81" s="1129" t="s">
        <v>7518</v>
      </c>
      <c r="C81" s="1129"/>
      <c r="D81" s="1129"/>
      <c r="E81" s="1129"/>
      <c r="F81" s="1129"/>
      <c r="G81" s="1129"/>
      <c r="H81" s="1129"/>
      <c r="I81" s="1129"/>
      <c r="J81" s="1129"/>
    </row>
    <row r="82" spans="1:10" x14ac:dyDescent="0.3">
      <c r="A82" s="1129"/>
      <c r="B82" s="1129" t="s">
        <v>7519</v>
      </c>
      <c r="C82" s="1129"/>
      <c r="D82" s="1129"/>
      <c r="E82" s="1129"/>
      <c r="F82" s="1129"/>
      <c r="G82" s="1129"/>
      <c r="H82" s="1129"/>
      <c r="I82" s="1129"/>
      <c r="J82" s="1129"/>
    </row>
    <row r="83" spans="1:10" x14ac:dyDescent="0.3">
      <c r="A83" s="1129"/>
      <c r="B83" s="1129"/>
      <c r="C83" s="1129"/>
      <c r="D83" s="1129"/>
      <c r="E83" s="1129"/>
      <c r="F83" s="1129"/>
      <c r="G83" s="1129"/>
      <c r="H83" s="1129"/>
      <c r="I83" s="1129"/>
      <c r="J83" s="1129"/>
    </row>
    <row r="84" spans="1:10" x14ac:dyDescent="0.3">
      <c r="A84" s="1129"/>
      <c r="B84" s="1129" t="s">
        <v>7520</v>
      </c>
      <c r="C84" s="1129"/>
      <c r="D84" s="1129"/>
      <c r="E84" s="1129"/>
      <c r="F84" s="1129"/>
      <c r="G84" s="1129"/>
      <c r="H84" s="1129"/>
      <c r="I84" s="1129"/>
      <c r="J84" s="1129"/>
    </row>
    <row r="85" spans="1:10" x14ac:dyDescent="0.3">
      <c r="A85" s="1129"/>
      <c r="B85" s="1129" t="s">
        <v>7521</v>
      </c>
      <c r="C85" s="1129"/>
      <c r="D85" s="1129"/>
      <c r="E85" s="1129"/>
      <c r="F85" s="1129"/>
      <c r="G85" s="1129"/>
      <c r="H85" s="1129"/>
      <c r="I85" s="1129"/>
      <c r="J85" s="1129"/>
    </row>
    <row r="86" spans="1:10" x14ac:dyDescent="0.3">
      <c r="A86" s="1129"/>
      <c r="B86" s="1129" t="s">
        <v>7522</v>
      </c>
      <c r="C86" s="1129"/>
      <c r="D86" s="1129"/>
      <c r="E86" s="1129"/>
      <c r="F86" s="1129"/>
      <c r="G86" s="1129"/>
      <c r="H86" s="1129"/>
      <c r="I86" s="1129"/>
      <c r="J86" s="1129"/>
    </row>
    <row r="87" spans="1:10" x14ac:dyDescent="0.3">
      <c r="A87" s="1129"/>
      <c r="B87" s="1129" t="s">
        <v>7523</v>
      </c>
      <c r="C87" s="1129"/>
      <c r="D87" s="1129"/>
      <c r="E87" s="1129"/>
      <c r="F87" s="1129"/>
      <c r="G87" s="1129"/>
      <c r="H87" s="1129"/>
      <c r="I87" s="1129"/>
      <c r="J87" s="1129"/>
    </row>
    <row r="88" spans="1:10" x14ac:dyDescent="0.3">
      <c r="A88" s="1129"/>
      <c r="B88" s="1129" t="s">
        <v>7524</v>
      </c>
      <c r="C88" s="1129"/>
      <c r="D88" s="1129"/>
      <c r="E88" s="1129"/>
      <c r="F88" s="1129"/>
      <c r="G88" s="1129"/>
      <c r="H88" s="1129"/>
      <c r="I88" s="1129"/>
      <c r="J88" s="1129"/>
    </row>
    <row r="89" spans="1:10" x14ac:dyDescent="0.3">
      <c r="A89" s="1129"/>
      <c r="B89" s="1129" t="s">
        <v>7525</v>
      </c>
      <c r="C89" s="1129"/>
      <c r="D89" s="1129"/>
      <c r="E89" s="1129"/>
      <c r="F89" s="1129"/>
      <c r="G89" s="1129"/>
      <c r="H89" s="1129"/>
      <c r="I89" s="1129"/>
      <c r="J89" s="1129"/>
    </row>
    <row r="90" spans="1:10" x14ac:dyDescent="0.3">
      <c r="A90" s="1129"/>
      <c r="B90" s="1129" t="s">
        <v>7526</v>
      </c>
      <c r="C90" s="1129"/>
      <c r="D90" s="1129"/>
      <c r="E90" s="1129"/>
      <c r="F90" s="1129"/>
      <c r="G90" s="1129"/>
      <c r="H90" s="1129"/>
      <c r="I90" s="1129"/>
      <c r="J90" s="1129"/>
    </row>
    <row r="91" spans="1:10" x14ac:dyDescent="0.3">
      <c r="A91" s="1129"/>
      <c r="B91" s="1129" t="s">
        <v>7527</v>
      </c>
      <c r="C91" s="1129"/>
      <c r="D91" s="1129"/>
      <c r="E91" s="1129"/>
      <c r="F91" s="1129"/>
      <c r="G91" s="1129"/>
      <c r="H91" s="1129"/>
      <c r="I91" s="1129"/>
      <c r="J91" s="1129"/>
    </row>
    <row r="92" spans="1:10" x14ac:dyDescent="0.3">
      <c r="A92" s="1129"/>
      <c r="B92" s="1129" t="s">
        <v>7528</v>
      </c>
      <c r="C92" s="1129"/>
      <c r="D92" s="1129"/>
      <c r="E92" s="1129"/>
      <c r="F92" s="1129"/>
      <c r="G92" s="1129"/>
      <c r="H92" s="1129"/>
      <c r="I92" s="1129"/>
      <c r="J92" s="1129"/>
    </row>
    <row r="93" spans="1:10" x14ac:dyDescent="0.3">
      <c r="A93" s="1129"/>
      <c r="B93" s="1129" t="s">
        <v>7529</v>
      </c>
      <c r="C93" s="1129"/>
      <c r="D93" s="1129"/>
      <c r="E93" s="1129"/>
      <c r="F93" s="1129"/>
      <c r="G93" s="1129"/>
      <c r="H93" s="1129"/>
      <c r="I93" s="1129"/>
      <c r="J93" s="1129"/>
    </row>
    <row r="94" spans="1:10" x14ac:dyDescent="0.3">
      <c r="A94" s="1129"/>
      <c r="B94" s="1129" t="s">
        <v>7530</v>
      </c>
      <c r="C94" s="1129"/>
      <c r="D94" s="1129"/>
      <c r="E94" s="1129"/>
      <c r="F94" s="1129"/>
      <c r="G94" s="1129"/>
      <c r="H94" s="1129"/>
      <c r="I94" s="1129"/>
      <c r="J94" s="1129"/>
    </row>
    <row r="95" spans="1:10" x14ac:dyDescent="0.3">
      <c r="A95" s="1129"/>
      <c r="B95" s="1129" t="s">
        <v>7531</v>
      </c>
      <c r="C95" s="1129"/>
      <c r="D95" s="1129"/>
      <c r="E95" s="1129"/>
      <c r="F95" s="1129"/>
      <c r="G95" s="1129"/>
      <c r="H95" s="1129"/>
      <c r="I95" s="1129"/>
      <c r="J95" s="1129"/>
    </row>
    <row r="96" spans="1:10" x14ac:dyDescent="0.3">
      <c r="A96" s="1129"/>
      <c r="B96" s="1129" t="s">
        <v>7532</v>
      </c>
      <c r="C96" s="1129"/>
      <c r="D96" s="1129"/>
      <c r="E96" s="1129"/>
      <c r="F96" s="1129"/>
      <c r="G96" s="1129"/>
      <c r="H96" s="1129"/>
      <c r="I96" s="1129"/>
      <c r="J96" s="1129"/>
    </row>
    <row r="97" spans="1:10" x14ac:dyDescent="0.3">
      <c r="A97" s="1129"/>
      <c r="B97" s="1129" t="s">
        <v>7533</v>
      </c>
      <c r="C97" s="1129"/>
      <c r="D97" s="1129"/>
      <c r="E97" s="1129"/>
      <c r="F97" s="1129"/>
      <c r="G97" s="1129"/>
      <c r="H97" s="1129"/>
      <c r="I97" s="1129"/>
      <c r="J97" s="1129"/>
    </row>
    <row r="98" spans="1:10" x14ac:dyDescent="0.3">
      <c r="A98" s="1129"/>
      <c r="B98" s="1129" t="s">
        <v>7534</v>
      </c>
      <c r="C98" s="1129"/>
      <c r="D98" s="1129"/>
      <c r="E98" s="1129"/>
      <c r="F98" s="1129"/>
      <c r="G98" s="1129"/>
      <c r="H98" s="1129"/>
      <c r="I98" s="1129"/>
      <c r="J98" s="1129"/>
    </row>
    <row r="99" spans="1:10" x14ac:dyDescent="0.3">
      <c r="A99" s="1129"/>
      <c r="B99" s="1129" t="s">
        <v>7535</v>
      </c>
      <c r="C99" s="1129"/>
      <c r="D99" s="1129"/>
      <c r="E99" s="1129"/>
      <c r="F99" s="1129"/>
      <c r="G99" s="1129"/>
      <c r="H99" s="1129"/>
      <c r="I99" s="1129"/>
      <c r="J99" s="1129"/>
    </row>
    <row r="100" spans="1:10" x14ac:dyDescent="0.3">
      <c r="A100" s="1129"/>
      <c r="B100" s="1129" t="s">
        <v>7536</v>
      </c>
      <c r="C100" s="1129"/>
      <c r="D100" s="1129"/>
      <c r="E100" s="1129"/>
      <c r="F100" s="1129"/>
      <c r="G100" s="1129"/>
      <c r="H100" s="1129"/>
      <c r="I100" s="1129"/>
      <c r="J100" s="1129"/>
    </row>
    <row r="101" spans="1:10" x14ac:dyDescent="0.3">
      <c r="A101" s="1129"/>
      <c r="B101" s="1129"/>
      <c r="C101" s="1129"/>
      <c r="D101" s="1129"/>
      <c r="E101" s="1129"/>
      <c r="F101" s="1129"/>
      <c r="G101" s="1129"/>
      <c r="H101" s="1129"/>
      <c r="I101" s="1129"/>
      <c r="J101" s="1129"/>
    </row>
    <row r="102" spans="1:10" x14ac:dyDescent="0.3">
      <c r="A102" s="1129"/>
      <c r="B102" s="1134" t="s">
        <v>7537</v>
      </c>
      <c r="C102" s="1129"/>
      <c r="D102" s="1129"/>
      <c r="E102" s="1129"/>
      <c r="F102" s="1129"/>
      <c r="G102" s="1129"/>
      <c r="H102" s="1129"/>
      <c r="I102" s="1129"/>
      <c r="J102" s="1129"/>
    </row>
    <row r="103" spans="1:10" x14ac:dyDescent="0.3">
      <c r="A103" s="1129"/>
      <c r="B103" s="1129" t="s">
        <v>7538</v>
      </c>
      <c r="C103" s="1129"/>
      <c r="D103" s="1129"/>
      <c r="E103" s="1129"/>
      <c r="F103" s="1129"/>
      <c r="G103" s="1129"/>
      <c r="H103" s="1129"/>
      <c r="I103" s="1129"/>
      <c r="J103" s="1129"/>
    </row>
    <row r="104" spans="1:10" x14ac:dyDescent="0.3">
      <c r="A104" s="1129"/>
      <c r="B104" s="1129" t="s">
        <v>7539</v>
      </c>
      <c r="C104" s="1129"/>
      <c r="D104" s="1129"/>
      <c r="E104" s="1129"/>
      <c r="F104" s="1129"/>
      <c r="G104" s="1129"/>
      <c r="H104" s="1129"/>
      <c r="I104" s="1129"/>
      <c r="J104" s="1129"/>
    </row>
    <row r="105" spans="1:10" x14ac:dyDescent="0.3">
      <c r="A105" s="1129"/>
      <c r="B105" s="1129" t="s">
        <v>7540</v>
      </c>
      <c r="C105" s="1129"/>
      <c r="D105" s="1129"/>
      <c r="E105" s="1129"/>
      <c r="F105" s="1129"/>
      <c r="G105" s="1129"/>
      <c r="H105" s="1129"/>
      <c r="I105" s="1129"/>
      <c r="J105" s="1129"/>
    </row>
    <row r="106" spans="1:10" x14ac:dyDescent="0.3">
      <c r="A106" s="1129"/>
      <c r="B106" s="1129" t="s">
        <v>7541</v>
      </c>
      <c r="C106" s="1129"/>
      <c r="D106" s="1129"/>
      <c r="E106" s="1129"/>
      <c r="F106" s="1129"/>
      <c r="G106" s="1129"/>
      <c r="H106" s="1129"/>
      <c r="I106" s="1129"/>
      <c r="J106" s="1129"/>
    </row>
    <row r="107" spans="1:10" x14ac:dyDescent="0.3">
      <c r="A107" s="1129"/>
      <c r="B107" s="1129" t="s">
        <v>7542</v>
      </c>
      <c r="C107" s="1129"/>
      <c r="D107" s="1129"/>
      <c r="E107" s="1129"/>
      <c r="F107" s="1129"/>
      <c r="G107" s="1129"/>
      <c r="H107" s="1129"/>
      <c r="I107" s="1129"/>
      <c r="J107" s="1129"/>
    </row>
    <row r="108" spans="1:10" x14ac:dyDescent="0.3">
      <c r="A108" s="1129"/>
      <c r="B108" s="1129"/>
      <c r="C108" s="1129"/>
      <c r="D108" s="1129"/>
      <c r="E108" s="1129"/>
      <c r="F108" s="1129"/>
      <c r="G108" s="1129"/>
      <c r="H108" s="1129"/>
      <c r="I108" s="1129"/>
      <c r="J108" s="1129"/>
    </row>
    <row r="109" spans="1:10" x14ac:dyDescent="0.3">
      <c r="A109" s="1129"/>
      <c r="B109" s="1129" t="s">
        <v>7543</v>
      </c>
      <c r="C109" s="1129"/>
      <c r="D109" s="1129"/>
      <c r="E109" s="1129"/>
      <c r="F109" s="1129"/>
      <c r="G109" s="1129"/>
      <c r="H109" s="1129"/>
      <c r="I109" s="1129"/>
      <c r="J109" s="1129"/>
    </row>
    <row r="110" spans="1:10" x14ac:dyDescent="0.3">
      <c r="A110" s="1129"/>
      <c r="B110" s="1129" t="s">
        <v>7544</v>
      </c>
      <c r="C110" s="1129"/>
      <c r="D110" s="1129"/>
      <c r="E110" s="1129"/>
      <c r="F110" s="1129"/>
      <c r="G110" s="1129"/>
      <c r="H110" s="1129"/>
      <c r="I110" s="1129"/>
      <c r="J110" s="1129"/>
    </row>
    <row r="111" spans="1:10" x14ac:dyDescent="0.3">
      <c r="A111" s="1129"/>
      <c r="B111" s="1129" t="s">
        <v>7545</v>
      </c>
      <c r="C111" s="1129"/>
      <c r="D111" s="1129"/>
      <c r="E111" s="1129"/>
      <c r="F111" s="1129"/>
      <c r="G111" s="1129"/>
      <c r="H111" s="1129"/>
      <c r="I111" s="1129"/>
      <c r="J111" s="1129"/>
    </row>
    <row r="112" spans="1:10" x14ac:dyDescent="0.3">
      <c r="A112" s="1129"/>
      <c r="B112" s="1129" t="s">
        <v>7546</v>
      </c>
      <c r="C112" s="1129"/>
      <c r="D112" s="1129"/>
      <c r="E112" s="1129"/>
      <c r="F112" s="1129"/>
      <c r="G112" s="1129"/>
      <c r="H112" s="1129"/>
      <c r="I112" s="1129"/>
      <c r="J112" s="1129"/>
    </row>
    <row r="113" spans="1:10" x14ac:dyDescent="0.3">
      <c r="A113" s="1129"/>
      <c r="B113" s="1129" t="s">
        <v>7547</v>
      </c>
      <c r="C113" s="1129"/>
      <c r="D113" s="1129"/>
      <c r="E113" s="1129"/>
      <c r="F113" s="1129"/>
      <c r="G113" s="1129"/>
      <c r="H113" s="1129"/>
      <c r="I113" s="1129"/>
      <c r="J113" s="1129"/>
    </row>
    <row r="114" spans="1:10" x14ac:dyDescent="0.3">
      <c r="A114" s="1129"/>
      <c r="B114" s="1129" t="s">
        <v>7548</v>
      </c>
      <c r="C114" s="1129"/>
      <c r="D114" s="1129"/>
      <c r="E114" s="1129"/>
      <c r="F114" s="1129"/>
      <c r="G114" s="1129"/>
      <c r="H114" s="1129"/>
      <c r="I114" s="1129"/>
      <c r="J114" s="1129"/>
    </row>
    <row r="115" spans="1:10" x14ac:dyDescent="0.3">
      <c r="A115" s="1129"/>
      <c r="B115" s="1129" t="s">
        <v>7549</v>
      </c>
      <c r="C115" s="1129"/>
      <c r="D115" s="1129"/>
      <c r="E115" s="1129"/>
      <c r="F115" s="1129"/>
      <c r="G115" s="1129"/>
      <c r="H115" s="1129"/>
      <c r="I115" s="1129"/>
      <c r="J115" s="1129"/>
    </row>
    <row r="116" spans="1:10" x14ac:dyDescent="0.3">
      <c r="A116" s="1129"/>
      <c r="B116" s="1129" t="s">
        <v>7550</v>
      </c>
      <c r="C116" s="1129"/>
      <c r="D116" s="1129"/>
      <c r="E116" s="1129"/>
      <c r="F116" s="1129"/>
      <c r="G116" s="1129"/>
      <c r="H116" s="1129"/>
      <c r="I116" s="1129"/>
      <c r="J116" s="1129"/>
    </row>
    <row r="117" spans="1:10" x14ac:dyDescent="0.3">
      <c r="A117" s="1129"/>
      <c r="B117" s="1129" t="s">
        <v>7551</v>
      </c>
      <c r="C117" s="1129"/>
      <c r="D117" s="1129"/>
      <c r="E117" s="1129"/>
      <c r="F117" s="1129"/>
      <c r="G117" s="1129"/>
      <c r="H117" s="1129"/>
      <c r="I117" s="1129"/>
      <c r="J117" s="1129"/>
    </row>
    <row r="118" spans="1:10" x14ac:dyDescent="0.3">
      <c r="A118" s="1129"/>
      <c r="B118" s="1129" t="s">
        <v>7552</v>
      </c>
      <c r="C118" s="1129"/>
      <c r="D118" s="1129"/>
      <c r="E118" s="1129"/>
      <c r="F118" s="1129"/>
      <c r="G118" s="1129"/>
      <c r="H118" s="1129"/>
      <c r="I118" s="1129"/>
      <c r="J118" s="1129"/>
    </row>
    <row r="119" spans="1:10" x14ac:dyDescent="0.3">
      <c r="A119" s="1129"/>
      <c r="B119" s="1129" t="s">
        <v>7553</v>
      </c>
      <c r="C119" s="1129"/>
      <c r="D119" s="1129"/>
      <c r="E119" s="1129"/>
      <c r="F119" s="1129"/>
      <c r="G119" s="1129"/>
      <c r="H119" s="1129"/>
      <c r="I119" s="1129"/>
      <c r="J119" s="1129"/>
    </row>
    <row r="120" spans="1:10" x14ac:dyDescent="0.3">
      <c r="A120" s="1129"/>
      <c r="B120" s="1129" t="s">
        <v>7554</v>
      </c>
      <c r="C120" s="1129"/>
      <c r="D120" s="1129"/>
      <c r="E120" s="1129"/>
      <c r="F120" s="1129"/>
      <c r="G120" s="1129"/>
      <c r="H120" s="1129"/>
      <c r="I120" s="1129"/>
      <c r="J120" s="1129"/>
    </row>
    <row r="121" spans="1:10" x14ac:dyDescent="0.3">
      <c r="A121" s="1129"/>
      <c r="B121" s="1129" t="s">
        <v>7555</v>
      </c>
      <c r="C121" s="1129"/>
      <c r="D121" s="1129"/>
      <c r="E121" s="1129"/>
      <c r="F121" s="1129"/>
      <c r="G121" s="1129"/>
      <c r="H121" s="1129"/>
      <c r="I121" s="1129"/>
      <c r="J121" s="1129"/>
    </row>
    <row r="122" spans="1:10" x14ac:dyDescent="0.3">
      <c r="A122" s="1129"/>
      <c r="B122" s="1129"/>
      <c r="C122" s="1129"/>
      <c r="D122" s="1129"/>
      <c r="E122" s="1129"/>
      <c r="F122" s="1129"/>
      <c r="G122" s="1129"/>
      <c r="H122" s="1129"/>
      <c r="I122" s="1129"/>
      <c r="J122" s="1129"/>
    </row>
    <row r="123" spans="1:10" x14ac:dyDescent="0.3">
      <c r="A123" s="1129"/>
      <c r="B123" s="1134" t="s">
        <v>7556</v>
      </c>
      <c r="C123" s="1129"/>
      <c r="D123" s="1129"/>
      <c r="E123" s="1129"/>
      <c r="F123" s="1129"/>
      <c r="G123" s="1129"/>
      <c r="H123" s="1129"/>
      <c r="I123" s="1129"/>
      <c r="J123" s="1129"/>
    </row>
    <row r="124" spans="1:10" x14ac:dyDescent="0.3">
      <c r="A124" s="1129"/>
      <c r="B124" s="1129" t="s">
        <v>7557</v>
      </c>
      <c r="C124" s="1129"/>
      <c r="D124" s="1129"/>
      <c r="E124" s="1129"/>
      <c r="F124" s="1129"/>
      <c r="G124" s="1129"/>
      <c r="H124" s="1129"/>
      <c r="I124" s="1129"/>
      <c r="J124" s="1129"/>
    </row>
    <row r="125" spans="1:10" x14ac:dyDescent="0.3">
      <c r="A125" s="1129"/>
      <c r="B125" s="1129" t="s">
        <v>7558</v>
      </c>
      <c r="C125" s="1129"/>
      <c r="D125" s="1129"/>
      <c r="E125" s="1129"/>
      <c r="F125" s="1129"/>
      <c r="G125" s="1129"/>
      <c r="H125" s="1129"/>
      <c r="I125" s="1129"/>
      <c r="J125" s="1129"/>
    </row>
    <row r="126" spans="1:10" x14ac:dyDescent="0.3">
      <c r="A126" s="1129"/>
      <c r="B126" s="1129" t="s">
        <v>7559</v>
      </c>
      <c r="C126" s="1129"/>
      <c r="D126" s="1129"/>
      <c r="E126" s="1129"/>
      <c r="F126" s="1129"/>
      <c r="G126" s="1129"/>
      <c r="H126" s="1129"/>
      <c r="I126" s="1129"/>
      <c r="J126" s="1129"/>
    </row>
    <row r="127" spans="1:10" x14ac:dyDescent="0.3">
      <c r="A127" s="1129"/>
      <c r="B127" s="1129" t="s">
        <v>7560</v>
      </c>
      <c r="C127" s="1129"/>
      <c r="D127" s="1129"/>
      <c r="E127" s="1129"/>
      <c r="F127" s="1129"/>
      <c r="G127" s="1129"/>
      <c r="H127" s="1129"/>
      <c r="I127" s="1129"/>
      <c r="J127" s="1129"/>
    </row>
    <row r="128" spans="1:10" x14ac:dyDescent="0.3">
      <c r="A128" s="1129"/>
      <c r="B128" s="1129" t="s">
        <v>7561</v>
      </c>
      <c r="C128" s="1129"/>
      <c r="D128" s="1129"/>
      <c r="E128" s="1129"/>
      <c r="F128" s="1129"/>
      <c r="G128" s="1129"/>
      <c r="H128" s="1129"/>
      <c r="I128" s="1129"/>
      <c r="J128" s="1129"/>
    </row>
    <row r="129" spans="1:10" x14ac:dyDescent="0.3">
      <c r="A129" s="1129"/>
      <c r="B129" s="1129" t="s">
        <v>7562</v>
      </c>
      <c r="C129" s="1129"/>
      <c r="D129" s="1129"/>
      <c r="E129" s="1129"/>
      <c r="F129" s="1129"/>
      <c r="G129" s="1129"/>
      <c r="H129" s="1129"/>
      <c r="I129" s="1129"/>
      <c r="J129" s="1129"/>
    </row>
    <row r="130" spans="1:10" x14ac:dyDescent="0.3">
      <c r="A130" s="1129"/>
      <c r="B130" s="1129" t="s">
        <v>7563</v>
      </c>
      <c r="C130" s="1129"/>
      <c r="D130" s="1129"/>
      <c r="E130" s="1129"/>
      <c r="F130" s="1129"/>
      <c r="G130" s="1129"/>
      <c r="H130" s="1129"/>
      <c r="I130" s="1129"/>
      <c r="J130" s="1129"/>
    </row>
    <row r="131" spans="1:10" x14ac:dyDescent="0.3">
      <c r="A131" s="1129"/>
      <c r="B131" s="1129" t="s">
        <v>7564</v>
      </c>
      <c r="C131" s="1129"/>
      <c r="D131" s="1129"/>
      <c r="E131" s="1129"/>
      <c r="F131" s="1129"/>
      <c r="G131" s="1129"/>
      <c r="H131" s="1129"/>
      <c r="I131" s="1129"/>
      <c r="J131" s="1129"/>
    </row>
    <row r="132" spans="1:10" x14ac:dyDescent="0.3">
      <c r="A132" s="1129"/>
      <c r="B132" s="1129" t="s">
        <v>7565</v>
      </c>
      <c r="C132" s="1129"/>
      <c r="D132" s="1129"/>
      <c r="E132" s="1129"/>
      <c r="F132" s="1129"/>
      <c r="G132" s="1129"/>
      <c r="H132" s="1129"/>
      <c r="I132" s="1129"/>
      <c r="J132" s="1129"/>
    </row>
    <row r="133" spans="1:10" x14ac:dyDescent="0.3">
      <c r="A133" s="1129"/>
      <c r="B133" s="1129" t="s">
        <v>7566</v>
      </c>
      <c r="C133" s="1129"/>
      <c r="D133" s="1129"/>
      <c r="E133" s="1129"/>
      <c r="F133" s="1129"/>
      <c r="G133" s="1129"/>
      <c r="H133" s="1129"/>
      <c r="I133" s="1129"/>
      <c r="J133" s="1129"/>
    </row>
    <row r="134" spans="1:10" x14ac:dyDescent="0.3">
      <c r="A134" s="1129"/>
      <c r="B134" s="1129" t="s">
        <v>7567</v>
      </c>
      <c r="C134" s="1129"/>
      <c r="D134" s="1129"/>
      <c r="E134" s="1129"/>
      <c r="F134" s="1129"/>
      <c r="G134" s="1129"/>
      <c r="H134" s="1129"/>
      <c r="I134" s="1129"/>
      <c r="J134" s="1129"/>
    </row>
    <row r="135" spans="1:10" x14ac:dyDescent="0.3">
      <c r="A135" s="1129"/>
      <c r="B135" s="1129" t="s">
        <v>7568</v>
      </c>
      <c r="C135" s="1129"/>
      <c r="D135" s="1129"/>
      <c r="E135" s="1129"/>
      <c r="F135" s="1129"/>
      <c r="G135" s="1129"/>
      <c r="H135" s="1129"/>
      <c r="I135" s="1129"/>
      <c r="J135" s="1129"/>
    </row>
    <row r="136" spans="1:10" x14ac:dyDescent="0.3">
      <c r="A136" s="1129"/>
      <c r="B136" s="1129" t="s">
        <v>7569</v>
      </c>
      <c r="C136" s="1129"/>
      <c r="D136" s="1129"/>
      <c r="E136" s="1129"/>
      <c r="F136" s="1129"/>
      <c r="G136" s="1129"/>
      <c r="H136" s="1129"/>
      <c r="I136" s="1129"/>
      <c r="J136" s="1129"/>
    </row>
    <row r="137" spans="1:10" x14ac:dyDescent="0.3">
      <c r="A137" s="1129"/>
      <c r="B137" s="1129"/>
      <c r="C137" s="1129"/>
      <c r="D137" s="1129"/>
      <c r="E137" s="1129"/>
      <c r="F137" s="1129"/>
      <c r="G137" s="1129"/>
      <c r="H137" s="1129"/>
      <c r="I137" s="1129"/>
      <c r="J137" s="1129"/>
    </row>
    <row r="138" spans="1:10" x14ac:dyDescent="0.3">
      <c r="A138" s="1129"/>
      <c r="B138" s="1134" t="s">
        <v>7537</v>
      </c>
      <c r="C138" s="1129"/>
      <c r="D138" s="1129"/>
      <c r="E138" s="1129"/>
      <c r="F138" s="1129"/>
      <c r="G138" s="1129"/>
      <c r="H138" s="1129"/>
      <c r="I138" s="1129"/>
      <c r="J138" s="1129"/>
    </row>
    <row r="139" spans="1:10" x14ac:dyDescent="0.3">
      <c r="A139" s="1129"/>
      <c r="B139" s="1129" t="s">
        <v>7570</v>
      </c>
      <c r="C139" s="1129"/>
      <c r="D139" s="1129"/>
      <c r="E139" s="1129"/>
      <c r="F139" s="1129"/>
      <c r="G139" s="1129"/>
      <c r="H139" s="1129"/>
      <c r="I139" s="1129"/>
      <c r="J139" s="1129"/>
    </row>
    <row r="140" spans="1:10" x14ac:dyDescent="0.3">
      <c r="A140" s="1129"/>
      <c r="B140" s="1129" t="s">
        <v>7571</v>
      </c>
      <c r="C140" s="1129"/>
      <c r="D140" s="1129"/>
      <c r="E140" s="1129"/>
      <c r="F140" s="1129"/>
      <c r="G140" s="1129"/>
      <c r="H140" s="1129"/>
      <c r="I140" s="1129"/>
      <c r="J140" s="1129"/>
    </row>
    <row r="141" spans="1:10" x14ac:dyDescent="0.3">
      <c r="A141" s="1129"/>
      <c r="B141" s="1129" t="s">
        <v>7572</v>
      </c>
      <c r="C141" s="1129"/>
      <c r="D141" s="1129"/>
      <c r="E141" s="1129"/>
      <c r="F141" s="1129"/>
      <c r="G141" s="1129"/>
      <c r="H141" s="1129"/>
      <c r="I141" s="1129"/>
      <c r="J141" s="1129"/>
    </row>
    <row r="142" spans="1:10" x14ac:dyDescent="0.3">
      <c r="A142" s="1129"/>
      <c r="B142" s="1129" t="s">
        <v>7573</v>
      </c>
      <c r="C142" s="1129"/>
      <c r="D142" s="1129"/>
      <c r="E142" s="1129"/>
      <c r="F142" s="1129"/>
      <c r="G142" s="1129"/>
      <c r="H142" s="1129"/>
      <c r="I142" s="1129"/>
      <c r="J142" s="1129"/>
    </row>
    <row r="143" spans="1:10" x14ac:dyDescent="0.3">
      <c r="A143" s="1129"/>
      <c r="B143" s="1129" t="s">
        <v>7574</v>
      </c>
      <c r="C143" s="1129"/>
      <c r="D143" s="1129"/>
      <c r="E143" s="1129"/>
      <c r="F143" s="1129"/>
      <c r="G143" s="1129"/>
      <c r="H143" s="1129"/>
      <c r="I143" s="1129"/>
      <c r="J143" s="1129"/>
    </row>
    <row r="144" spans="1:10" x14ac:dyDescent="0.3">
      <c r="A144" s="1129"/>
      <c r="B144" s="1129" t="s">
        <v>7575</v>
      </c>
      <c r="C144" s="1129"/>
      <c r="D144" s="1129"/>
      <c r="E144" s="1129"/>
      <c r="F144" s="1129"/>
      <c r="G144" s="1129"/>
      <c r="H144" s="1129"/>
      <c r="I144" s="1129"/>
      <c r="J144" s="1129"/>
    </row>
    <row r="145" spans="1:10" x14ac:dyDescent="0.3">
      <c r="A145" s="1129"/>
      <c r="B145" s="1129"/>
      <c r="C145" s="1129"/>
      <c r="D145" s="1129"/>
      <c r="E145" s="1129"/>
      <c r="F145" s="1129"/>
      <c r="G145" s="1129"/>
      <c r="H145" s="1129"/>
      <c r="I145" s="1129"/>
      <c r="J145" s="1129"/>
    </row>
    <row r="146" spans="1:10" x14ac:dyDescent="0.3">
      <c r="A146" s="1129"/>
      <c r="B146" s="1134" t="s">
        <v>7576</v>
      </c>
      <c r="C146" s="1129"/>
      <c r="D146" s="1129"/>
      <c r="E146" s="1129"/>
      <c r="F146" s="1129"/>
      <c r="G146" s="1129"/>
      <c r="H146" s="1129"/>
      <c r="I146" s="1129"/>
      <c r="J146" s="1129"/>
    </row>
    <row r="147" spans="1:10" x14ac:dyDescent="0.3">
      <c r="A147" s="1129"/>
      <c r="B147" s="1129" t="s">
        <v>7577</v>
      </c>
      <c r="C147" s="1129"/>
      <c r="D147" s="1129"/>
      <c r="E147" s="1129"/>
      <c r="F147" s="1129"/>
      <c r="G147" s="1129"/>
      <c r="H147" s="1129"/>
      <c r="I147" s="1129"/>
      <c r="J147" s="1129"/>
    </row>
    <row r="148" spans="1:10" x14ac:dyDescent="0.3">
      <c r="A148" s="1129"/>
      <c r="B148" s="1129" t="s">
        <v>7578</v>
      </c>
      <c r="C148" s="1129"/>
      <c r="D148" s="1129"/>
      <c r="E148" s="1129"/>
      <c r="F148" s="1129"/>
      <c r="G148" s="1129"/>
      <c r="H148" s="1129"/>
      <c r="I148" s="1129"/>
      <c r="J148" s="1129"/>
    </row>
    <row r="149" spans="1:10" x14ac:dyDescent="0.3">
      <c r="A149" s="1129"/>
      <c r="B149" s="1129" t="s">
        <v>7579</v>
      </c>
      <c r="C149" s="1129"/>
      <c r="D149" s="1129"/>
      <c r="E149" s="1129"/>
      <c r="F149" s="1129"/>
      <c r="G149" s="1129"/>
      <c r="H149" s="1129"/>
      <c r="I149" s="1129"/>
      <c r="J149" s="1129"/>
    </row>
    <row r="150" spans="1:10" x14ac:dyDescent="0.3">
      <c r="A150" s="1129"/>
      <c r="B150" s="1129" t="s">
        <v>7580</v>
      </c>
      <c r="C150" s="1129"/>
      <c r="D150" s="1129"/>
      <c r="E150" s="1129"/>
      <c r="F150" s="1129"/>
      <c r="G150" s="1129"/>
      <c r="H150" s="1129"/>
      <c r="I150" s="1129"/>
      <c r="J150" s="1129"/>
    </row>
    <row r="151" spans="1:10" x14ac:dyDescent="0.3">
      <c r="A151" s="1129"/>
      <c r="B151" s="1129" t="s">
        <v>7581</v>
      </c>
      <c r="C151" s="1129"/>
      <c r="D151" s="1129"/>
      <c r="E151" s="1129"/>
      <c r="F151" s="1129"/>
      <c r="G151" s="1129"/>
      <c r="H151" s="1129"/>
      <c r="I151" s="1129"/>
      <c r="J151" s="1129"/>
    </row>
    <row r="152" spans="1:10" x14ac:dyDescent="0.3">
      <c r="A152" s="1129"/>
      <c r="B152" s="1129" t="s">
        <v>7582</v>
      </c>
      <c r="C152" s="1129"/>
      <c r="D152" s="1129"/>
      <c r="E152" s="1129"/>
      <c r="F152" s="1129"/>
      <c r="G152" s="1129"/>
      <c r="H152" s="1129"/>
      <c r="I152" s="1129"/>
      <c r="J152" s="1129"/>
    </row>
    <row r="153" spans="1:10" x14ac:dyDescent="0.3">
      <c r="A153" s="1129"/>
      <c r="B153" s="1129" t="s">
        <v>7583</v>
      </c>
      <c r="C153" s="1129"/>
      <c r="D153" s="1129"/>
      <c r="E153" s="1129"/>
      <c r="F153" s="1129"/>
      <c r="G153" s="1129"/>
      <c r="H153" s="1129"/>
      <c r="I153" s="1129"/>
      <c r="J153" s="1129"/>
    </row>
    <row r="154" spans="1:10" x14ac:dyDescent="0.3">
      <c r="A154" s="1129"/>
      <c r="B154" s="1129" t="s">
        <v>7584</v>
      </c>
      <c r="C154" s="1129"/>
      <c r="D154" s="1129"/>
      <c r="E154" s="1129"/>
      <c r="F154" s="1129"/>
      <c r="G154" s="1129"/>
      <c r="H154" s="1129"/>
      <c r="I154" s="1129"/>
      <c r="J154" s="1129"/>
    </row>
    <row r="155" spans="1:10" x14ac:dyDescent="0.3">
      <c r="A155" s="1129"/>
      <c r="B155" s="1129" t="s">
        <v>7585</v>
      </c>
      <c r="C155" s="1129"/>
      <c r="D155" s="1129"/>
      <c r="E155" s="1129"/>
      <c r="F155" s="1129"/>
      <c r="G155" s="1129"/>
      <c r="H155" s="1129"/>
      <c r="I155" s="1129"/>
      <c r="J155" s="1129"/>
    </row>
    <row r="156" spans="1:10" x14ac:dyDescent="0.3">
      <c r="A156" s="1129"/>
      <c r="B156" s="1129" t="s">
        <v>7586</v>
      </c>
      <c r="C156" s="1129"/>
      <c r="D156" s="1129"/>
      <c r="E156" s="1129"/>
      <c r="F156" s="1129"/>
      <c r="G156" s="1129"/>
      <c r="H156" s="1129"/>
      <c r="I156" s="1129"/>
      <c r="J156" s="1129"/>
    </row>
    <row r="157" spans="1:10" x14ac:dyDescent="0.3">
      <c r="A157" s="1129"/>
      <c r="B157" s="1129" t="s">
        <v>7587</v>
      </c>
      <c r="C157" s="1129"/>
      <c r="D157" s="1129"/>
      <c r="E157" s="1129"/>
      <c r="F157" s="1129"/>
      <c r="G157" s="1129"/>
      <c r="H157" s="1129"/>
      <c r="I157" s="1129"/>
      <c r="J157" s="1129"/>
    </row>
    <row r="158" spans="1:10" x14ac:dyDescent="0.3">
      <c r="A158" s="1129"/>
      <c r="B158" s="1129" t="s">
        <v>7588</v>
      </c>
      <c r="C158" s="1129"/>
      <c r="D158" s="1129"/>
      <c r="E158" s="1129"/>
      <c r="F158" s="1129"/>
      <c r="G158" s="1129"/>
      <c r="H158" s="1129"/>
      <c r="I158" s="1129"/>
      <c r="J158" s="1129"/>
    </row>
    <row r="159" spans="1:10" x14ac:dyDescent="0.3">
      <c r="A159" s="1129"/>
      <c r="B159" s="1129" t="s">
        <v>7589</v>
      </c>
      <c r="C159" s="1129"/>
      <c r="D159" s="1129"/>
      <c r="E159" s="1129"/>
      <c r="F159" s="1129"/>
      <c r="G159" s="1129"/>
      <c r="H159" s="1129"/>
      <c r="I159" s="1129"/>
      <c r="J159" s="1129"/>
    </row>
    <row r="160" spans="1:10" x14ac:dyDescent="0.3">
      <c r="A160" s="1129"/>
      <c r="B160" s="1129" t="s">
        <v>7590</v>
      </c>
      <c r="C160" s="1129"/>
      <c r="D160" s="1129"/>
      <c r="E160" s="1129"/>
      <c r="F160" s="1129"/>
      <c r="G160" s="1129"/>
      <c r="H160" s="1129"/>
      <c r="I160" s="1129"/>
      <c r="J160" s="1129"/>
    </row>
    <row r="161" spans="1:10" x14ac:dyDescent="0.3">
      <c r="A161" s="1129"/>
      <c r="B161" s="1129"/>
      <c r="C161" s="1129"/>
      <c r="D161" s="1129"/>
      <c r="E161" s="1129"/>
      <c r="F161" s="1129"/>
      <c r="G161" s="1129"/>
      <c r="H161" s="1129"/>
      <c r="I161" s="1129"/>
      <c r="J161" s="1129"/>
    </row>
    <row r="162" spans="1:10" x14ac:dyDescent="0.3">
      <c r="A162" s="1129"/>
      <c r="B162" s="1134" t="s">
        <v>7591</v>
      </c>
      <c r="C162" s="1129"/>
      <c r="D162" s="1129"/>
      <c r="E162" s="1129"/>
      <c r="F162" s="1129"/>
      <c r="G162" s="1129"/>
      <c r="H162" s="1129"/>
      <c r="I162" s="1129"/>
      <c r="J162" s="1129"/>
    </row>
    <row r="163" spans="1:10" x14ac:dyDescent="0.3">
      <c r="A163" s="1129"/>
      <c r="B163" s="1129" t="s">
        <v>7592</v>
      </c>
      <c r="C163" s="1129"/>
      <c r="D163" s="1129"/>
      <c r="E163" s="1129"/>
      <c r="F163" s="1129"/>
      <c r="G163" s="1129"/>
      <c r="H163" s="1129"/>
      <c r="I163" s="1129"/>
      <c r="J163" s="1129"/>
    </row>
    <row r="164" spans="1:10" x14ac:dyDescent="0.3">
      <c r="A164" s="1129"/>
      <c r="B164" s="1129" t="s">
        <v>7593</v>
      </c>
      <c r="C164" s="1129"/>
      <c r="D164" s="1129"/>
      <c r="E164" s="1129"/>
      <c r="F164" s="1129"/>
      <c r="G164" s="1129"/>
      <c r="H164" s="1129"/>
      <c r="I164" s="1129"/>
      <c r="J164" s="1129"/>
    </row>
    <row r="165" spans="1:10" x14ac:dyDescent="0.3">
      <c r="A165" s="1129"/>
      <c r="B165" s="1129" t="s">
        <v>7594</v>
      </c>
      <c r="C165" s="1129"/>
      <c r="D165" s="1129"/>
      <c r="E165" s="1129"/>
      <c r="F165" s="1129"/>
      <c r="G165" s="1129"/>
      <c r="H165" s="1129"/>
      <c r="I165" s="1129"/>
      <c r="J165" s="1129"/>
    </row>
    <row r="166" spans="1:10" x14ac:dyDescent="0.3">
      <c r="A166" s="1129"/>
      <c r="B166" s="1129" t="s">
        <v>7595</v>
      </c>
      <c r="C166" s="1129"/>
      <c r="D166" s="1129"/>
      <c r="E166" s="1129"/>
      <c r="F166" s="1129"/>
      <c r="G166" s="1129"/>
      <c r="H166" s="1129"/>
      <c r="I166" s="1129"/>
      <c r="J166" s="1129"/>
    </row>
    <row r="167" spans="1:10" x14ac:dyDescent="0.3">
      <c r="A167" s="1129"/>
      <c r="B167" s="1129" t="s">
        <v>7596</v>
      </c>
      <c r="C167" s="1129"/>
      <c r="D167" s="1129"/>
      <c r="E167" s="1129"/>
      <c r="F167" s="1129"/>
      <c r="G167" s="1129"/>
      <c r="H167" s="1129"/>
      <c r="I167" s="1129"/>
      <c r="J167" s="1129"/>
    </row>
    <row r="168" spans="1:10" x14ac:dyDescent="0.3">
      <c r="A168" s="1129"/>
      <c r="B168" s="1129" t="s">
        <v>7597</v>
      </c>
      <c r="C168" s="1129"/>
      <c r="D168" s="1129"/>
      <c r="E168" s="1129"/>
      <c r="F168" s="1129"/>
      <c r="G168" s="1129"/>
      <c r="H168" s="1129"/>
      <c r="I168" s="1129"/>
      <c r="J168" s="1129"/>
    </row>
    <row r="169" spans="1:10" x14ac:dyDescent="0.3">
      <c r="A169" s="1129"/>
      <c r="B169" s="1129" t="s">
        <v>7598</v>
      </c>
      <c r="C169" s="1129"/>
      <c r="D169" s="1129"/>
      <c r="E169" s="1129"/>
      <c r="F169" s="1129"/>
      <c r="G169" s="1129"/>
      <c r="H169" s="1129"/>
      <c r="I169" s="1129"/>
      <c r="J169" s="1129"/>
    </row>
    <row r="170" spans="1:10" x14ac:dyDescent="0.3">
      <c r="A170" s="1129"/>
      <c r="B170" s="1134" t="s">
        <v>7537</v>
      </c>
      <c r="C170" s="1129"/>
      <c r="D170" s="1129"/>
      <c r="E170" s="1129"/>
      <c r="F170" s="1129"/>
      <c r="G170" s="1129"/>
      <c r="H170" s="1129"/>
      <c r="I170" s="1129"/>
      <c r="J170" s="1129"/>
    </row>
    <row r="171" spans="1:10" x14ac:dyDescent="0.3">
      <c r="A171" s="1129"/>
      <c r="B171" s="1129" t="s">
        <v>7599</v>
      </c>
      <c r="C171" s="1129"/>
      <c r="D171" s="1129"/>
      <c r="E171" s="1129"/>
      <c r="F171" s="1129"/>
      <c r="G171" s="1129"/>
      <c r="H171" s="1129"/>
      <c r="I171" s="1129"/>
      <c r="J171" s="1129"/>
    </row>
    <row r="172" spans="1:10" x14ac:dyDescent="0.3">
      <c r="A172" s="1129"/>
      <c r="B172" s="1129" t="s">
        <v>7600</v>
      </c>
      <c r="C172" s="1129"/>
      <c r="D172" s="1129"/>
      <c r="E172" s="1129"/>
      <c r="F172" s="1129"/>
      <c r="G172" s="1129"/>
      <c r="H172" s="1129"/>
      <c r="I172" s="1129"/>
      <c r="J172" s="1129"/>
    </row>
    <row r="173" spans="1:10" x14ac:dyDescent="0.3">
      <c r="A173" s="1129"/>
      <c r="B173" s="1129" t="s">
        <v>7601</v>
      </c>
      <c r="C173" s="1129"/>
      <c r="D173" s="1129"/>
      <c r="E173" s="1129"/>
      <c r="F173" s="1129"/>
      <c r="G173" s="1129"/>
      <c r="H173" s="1129"/>
      <c r="I173" s="1129"/>
      <c r="J173" s="1129"/>
    </row>
    <row r="174" spans="1:10" x14ac:dyDescent="0.3">
      <c r="A174" s="1129"/>
      <c r="B174" s="1129" t="s">
        <v>7602</v>
      </c>
      <c r="C174" s="1129"/>
      <c r="D174" s="1129"/>
      <c r="E174" s="1129"/>
      <c r="F174" s="1129"/>
      <c r="G174" s="1129"/>
      <c r="H174" s="1129"/>
      <c r="I174" s="1129"/>
      <c r="J174" s="1129"/>
    </row>
    <row r="175" spans="1:10" x14ac:dyDescent="0.3">
      <c r="A175" s="1129"/>
      <c r="B175" s="1129" t="s">
        <v>7603</v>
      </c>
      <c r="C175" s="1129"/>
      <c r="D175" s="1129"/>
      <c r="E175" s="1129"/>
      <c r="F175" s="1129"/>
      <c r="G175" s="1129"/>
      <c r="H175" s="1129"/>
      <c r="I175" s="1129"/>
      <c r="J175" s="1129"/>
    </row>
    <row r="176" spans="1:10" x14ac:dyDescent="0.3">
      <c r="A176" s="1129"/>
      <c r="B176" s="1129" t="s">
        <v>7604</v>
      </c>
      <c r="C176" s="1129"/>
      <c r="D176" s="1129"/>
      <c r="E176" s="1129"/>
      <c r="F176" s="1129"/>
      <c r="G176" s="1129"/>
      <c r="H176" s="1129"/>
      <c r="I176" s="1129"/>
      <c r="J176" s="1129"/>
    </row>
    <row r="177" spans="1:10" x14ac:dyDescent="0.3">
      <c r="A177" s="1129"/>
      <c r="B177" s="1129"/>
      <c r="C177" s="1129"/>
      <c r="D177" s="1129"/>
      <c r="E177" s="1129"/>
      <c r="F177" s="1129"/>
      <c r="G177" s="1129"/>
      <c r="H177" s="1129"/>
      <c r="I177" s="1129"/>
      <c r="J177" s="1129"/>
    </row>
    <row r="178" spans="1:10" x14ac:dyDescent="0.3">
      <c r="A178" s="1129"/>
      <c r="B178" s="1134" t="s">
        <v>7605</v>
      </c>
      <c r="C178" s="1129"/>
      <c r="D178" s="1129"/>
      <c r="E178" s="1129"/>
      <c r="F178" s="1129"/>
      <c r="G178" s="1129"/>
      <c r="H178" s="1129"/>
      <c r="I178" s="1129"/>
      <c r="J178" s="1129"/>
    </row>
    <row r="179" spans="1:10" x14ac:dyDescent="0.3">
      <c r="A179" s="1129"/>
      <c r="B179" s="1129" t="s">
        <v>7606</v>
      </c>
      <c r="C179" s="1129"/>
      <c r="D179" s="1129"/>
      <c r="E179" s="1129"/>
      <c r="F179" s="1129"/>
      <c r="G179" s="1129"/>
      <c r="H179" s="1129"/>
      <c r="I179" s="1129"/>
      <c r="J179" s="1129"/>
    </row>
    <row r="180" spans="1:10" x14ac:dyDescent="0.3">
      <c r="A180" s="1129"/>
      <c r="B180" s="1129" t="s">
        <v>7607</v>
      </c>
      <c r="C180" s="1129"/>
      <c r="D180" s="1129"/>
      <c r="E180" s="1129"/>
      <c r="F180" s="1129"/>
      <c r="G180" s="1129"/>
      <c r="H180" s="1129"/>
      <c r="I180" s="1129"/>
      <c r="J180" s="1129"/>
    </row>
    <row r="181" spans="1:10" x14ac:dyDescent="0.3">
      <c r="A181" s="1129"/>
      <c r="B181" s="1129" t="s">
        <v>7608</v>
      </c>
      <c r="C181" s="1129"/>
      <c r="D181" s="1129"/>
      <c r="E181" s="1129"/>
      <c r="F181" s="1129"/>
      <c r="G181" s="1129"/>
      <c r="H181" s="1129"/>
      <c r="I181" s="1129"/>
      <c r="J181" s="1129"/>
    </row>
    <row r="182" spans="1:10" x14ac:dyDescent="0.3">
      <c r="A182" s="1129"/>
      <c r="B182" s="1129"/>
      <c r="C182" s="1129"/>
      <c r="D182" s="1129"/>
      <c r="E182" s="1129"/>
      <c r="F182" s="1129"/>
      <c r="G182" s="1129"/>
      <c r="H182" s="1129"/>
      <c r="I182" s="1129"/>
      <c r="J182" s="1129"/>
    </row>
    <row r="183" spans="1:10" x14ac:dyDescent="0.3">
      <c r="A183" s="1129"/>
      <c r="B183" s="1134" t="s">
        <v>7609</v>
      </c>
      <c r="C183" s="1129"/>
      <c r="D183" s="1129"/>
      <c r="E183" s="1129"/>
      <c r="F183" s="1129"/>
      <c r="G183" s="1129"/>
      <c r="H183" s="1129"/>
      <c r="I183" s="1129"/>
      <c r="J183" s="1129"/>
    </row>
    <row r="184" spans="1:10" x14ac:dyDescent="0.3">
      <c r="A184" s="1129"/>
      <c r="B184" s="1129" t="s">
        <v>7610</v>
      </c>
      <c r="C184" s="1129"/>
      <c r="D184" s="1129"/>
      <c r="E184" s="1129"/>
      <c r="F184" s="1129"/>
      <c r="G184" s="1129"/>
      <c r="H184" s="1129"/>
      <c r="I184" s="1129"/>
      <c r="J184" s="1129"/>
    </row>
    <row r="185" spans="1:10" x14ac:dyDescent="0.3">
      <c r="A185" s="1129"/>
      <c r="B185" s="1129" t="s">
        <v>7611</v>
      </c>
      <c r="C185" s="1129"/>
      <c r="D185" s="1129"/>
      <c r="E185" s="1129"/>
      <c r="F185" s="1129"/>
      <c r="G185" s="1129"/>
      <c r="H185" s="1129"/>
      <c r="I185" s="1129"/>
      <c r="J185" s="1129"/>
    </row>
    <row r="186" spans="1:10" x14ac:dyDescent="0.3">
      <c r="A186" s="1129"/>
      <c r="B186" s="1129" t="s">
        <v>7612</v>
      </c>
      <c r="C186" s="1129"/>
      <c r="D186" s="1129"/>
      <c r="E186" s="1129"/>
      <c r="F186" s="1129"/>
      <c r="G186" s="1129"/>
      <c r="H186" s="1129"/>
      <c r="I186" s="1129"/>
      <c r="J186" s="1129"/>
    </row>
    <row r="187" spans="1:10" x14ac:dyDescent="0.3">
      <c r="A187" s="1129"/>
      <c r="B187" s="1129" t="s">
        <v>7537</v>
      </c>
      <c r="C187" s="1129"/>
      <c r="D187" s="1129"/>
      <c r="E187" s="1129"/>
      <c r="F187" s="1129"/>
      <c r="G187" s="1129"/>
      <c r="H187" s="1129"/>
      <c r="I187" s="1129"/>
      <c r="J187" s="1129"/>
    </row>
    <row r="188" spans="1:10" x14ac:dyDescent="0.3">
      <c r="A188" s="1129"/>
      <c r="B188" s="1129" t="s">
        <v>7613</v>
      </c>
      <c r="C188" s="1129"/>
      <c r="D188" s="1129"/>
      <c r="E188" s="1129"/>
      <c r="F188" s="1129"/>
      <c r="G188" s="1129"/>
      <c r="H188" s="1129"/>
      <c r="I188" s="1129"/>
      <c r="J188" s="1129"/>
    </row>
    <row r="189" spans="1:10" x14ac:dyDescent="0.3">
      <c r="A189" s="1129"/>
      <c r="B189" s="1129" t="s">
        <v>7614</v>
      </c>
      <c r="C189" s="1129"/>
      <c r="D189" s="1129"/>
      <c r="E189" s="1129"/>
      <c r="F189" s="1129"/>
      <c r="G189" s="1129"/>
      <c r="H189" s="1129"/>
      <c r="I189" s="1129"/>
      <c r="J189" s="1129"/>
    </row>
    <row r="190" spans="1:10" x14ac:dyDescent="0.3">
      <c r="A190" s="1129"/>
      <c r="B190" s="1129" t="s">
        <v>7615</v>
      </c>
      <c r="C190" s="1129"/>
      <c r="D190" s="1129"/>
      <c r="E190" s="1129"/>
      <c r="F190" s="1129"/>
      <c r="G190" s="1129"/>
      <c r="H190" s="1129"/>
      <c r="I190" s="1129"/>
      <c r="J190" s="1129"/>
    </row>
    <row r="191" spans="1:10" x14ac:dyDescent="0.3">
      <c r="A191" s="1129"/>
      <c r="B191" s="1129" t="s">
        <v>7616</v>
      </c>
      <c r="C191" s="1129"/>
      <c r="D191" s="1129"/>
      <c r="E191" s="1129"/>
      <c r="F191" s="1129"/>
      <c r="G191" s="1129"/>
      <c r="H191" s="1129"/>
      <c r="I191" s="1129"/>
      <c r="J191" s="1129"/>
    </row>
    <row r="192" spans="1:10" x14ac:dyDescent="0.3">
      <c r="A192" s="1129"/>
      <c r="B192" s="1129" t="s">
        <v>7617</v>
      </c>
      <c r="C192" s="1129"/>
      <c r="D192" s="1129"/>
      <c r="E192" s="1129"/>
      <c r="F192" s="1129"/>
      <c r="G192" s="1129"/>
      <c r="H192" s="1129"/>
      <c r="I192" s="1129"/>
      <c r="J192" s="1129"/>
    </row>
    <row r="193" spans="1:10" x14ac:dyDescent="0.3">
      <c r="A193" s="1129"/>
      <c r="B193" s="1129" t="s">
        <v>7618</v>
      </c>
      <c r="C193" s="1129"/>
      <c r="D193" s="1129"/>
      <c r="E193" s="1129"/>
      <c r="F193" s="1129"/>
      <c r="G193" s="1129"/>
      <c r="H193" s="1129"/>
      <c r="I193" s="1129"/>
      <c r="J193" s="1129"/>
    </row>
    <row r="194" spans="1:10" x14ac:dyDescent="0.3">
      <c r="A194" s="1129"/>
      <c r="B194" s="1129" t="s">
        <v>7619</v>
      </c>
      <c r="C194" s="1129"/>
      <c r="D194" s="1129"/>
      <c r="E194" s="1129"/>
      <c r="F194" s="1129"/>
      <c r="G194" s="1129"/>
      <c r="H194" s="1129"/>
      <c r="I194" s="1129"/>
      <c r="J194" s="1129"/>
    </row>
    <row r="195" spans="1:10" x14ac:dyDescent="0.3">
      <c r="A195" s="1129"/>
      <c r="B195" s="1134" t="s">
        <v>7620</v>
      </c>
      <c r="C195" s="1129"/>
      <c r="D195" s="1129"/>
      <c r="E195" s="1129"/>
      <c r="F195" s="1129"/>
      <c r="G195" s="1129"/>
      <c r="H195" s="1129"/>
      <c r="I195" s="1129"/>
      <c r="J195" s="1129"/>
    </row>
    <row r="196" spans="1:10" x14ac:dyDescent="0.3">
      <c r="A196" s="1129"/>
      <c r="B196" s="1129" t="s">
        <v>7621</v>
      </c>
      <c r="C196" s="1129"/>
      <c r="D196" s="1129"/>
      <c r="E196" s="1129"/>
      <c r="F196" s="1129"/>
      <c r="G196" s="1129"/>
      <c r="H196" s="1129"/>
      <c r="I196" s="1129"/>
      <c r="J196" s="1129"/>
    </row>
    <row r="197" spans="1:10" x14ac:dyDescent="0.3">
      <c r="A197" s="1129"/>
      <c r="B197" s="1129" t="s">
        <v>7622</v>
      </c>
      <c r="C197" s="1129"/>
      <c r="D197" s="1129"/>
      <c r="E197" s="1129"/>
      <c r="F197" s="1129"/>
      <c r="G197" s="1129"/>
      <c r="H197" s="1129"/>
      <c r="I197" s="1129"/>
      <c r="J197" s="1129"/>
    </row>
    <row r="198" spans="1:10" x14ac:dyDescent="0.3">
      <c r="A198" s="1129"/>
      <c r="B198" s="1129"/>
      <c r="C198" s="1129"/>
      <c r="D198" s="1129"/>
      <c r="E198" s="1129"/>
      <c r="F198" s="1129"/>
      <c r="G198" s="1129"/>
      <c r="H198" s="1129"/>
      <c r="I198" s="1129"/>
      <c r="J198" s="1129"/>
    </row>
    <row r="199" spans="1:10" x14ac:dyDescent="0.3">
      <c r="A199" s="1129"/>
      <c r="B199" s="1134" t="s">
        <v>7623</v>
      </c>
      <c r="C199" s="1129"/>
      <c r="D199" s="1129"/>
      <c r="E199" s="1129"/>
      <c r="F199" s="1129"/>
      <c r="G199" s="1129"/>
      <c r="H199" s="1129"/>
      <c r="I199" s="1129"/>
      <c r="J199" s="1129"/>
    </row>
    <row r="200" spans="1:10" x14ac:dyDescent="0.3">
      <c r="A200" s="1129"/>
      <c r="B200" s="1129" t="s">
        <v>7624</v>
      </c>
      <c r="C200" s="1129"/>
      <c r="D200" s="1129"/>
      <c r="E200" s="1129"/>
      <c r="F200" s="1129"/>
      <c r="G200" s="1129"/>
      <c r="H200" s="1129"/>
      <c r="I200" s="1129"/>
      <c r="J200" s="1129"/>
    </row>
    <row r="201" spans="1:10" x14ac:dyDescent="0.3">
      <c r="A201" s="1129"/>
      <c r="B201" s="1129" t="s">
        <v>7625</v>
      </c>
      <c r="C201" s="1129"/>
      <c r="D201" s="1129"/>
      <c r="E201" s="1129"/>
      <c r="F201" s="1129"/>
      <c r="G201" s="1129"/>
      <c r="H201" s="1129"/>
      <c r="I201" s="1129"/>
      <c r="J201" s="1129"/>
    </row>
    <row r="202" spans="1:10" x14ac:dyDescent="0.3">
      <c r="A202" s="1129"/>
      <c r="B202" s="1129" t="s">
        <v>7626</v>
      </c>
      <c r="C202" s="1129"/>
      <c r="D202" s="1129"/>
      <c r="E202" s="1129"/>
      <c r="F202" s="1129"/>
      <c r="G202" s="1129"/>
      <c r="H202" s="1129"/>
      <c r="I202" s="1129"/>
      <c r="J202" s="1129"/>
    </row>
    <row r="203" spans="1:10" x14ac:dyDescent="0.3">
      <c r="A203" s="1129"/>
      <c r="B203" s="1129" t="s">
        <v>7627</v>
      </c>
      <c r="C203" s="1129"/>
      <c r="D203" s="1129"/>
      <c r="E203" s="1129"/>
      <c r="F203" s="1129"/>
      <c r="G203" s="1129"/>
      <c r="H203" s="1129"/>
      <c r="I203" s="1129"/>
      <c r="J203" s="1129"/>
    </row>
    <row r="204" spans="1:10" x14ac:dyDescent="0.3">
      <c r="A204" s="1129"/>
      <c r="B204" s="1129" t="s">
        <v>7628</v>
      </c>
      <c r="C204" s="1129"/>
      <c r="D204" s="1129"/>
      <c r="E204" s="1129"/>
      <c r="F204" s="1129"/>
      <c r="G204" s="1129"/>
      <c r="H204" s="1129"/>
      <c r="I204" s="1129"/>
      <c r="J204" s="1129"/>
    </row>
    <row r="205" spans="1:10" x14ac:dyDescent="0.3">
      <c r="A205" s="1129"/>
      <c r="B205" s="1129" t="s">
        <v>7629</v>
      </c>
      <c r="C205" s="1129"/>
      <c r="D205" s="1129"/>
      <c r="E205" s="1129"/>
      <c r="F205" s="1129"/>
      <c r="G205" s="1129"/>
      <c r="H205" s="1129"/>
      <c r="I205" s="1129"/>
      <c r="J205" s="1129"/>
    </row>
    <row r="206" spans="1:10" x14ac:dyDescent="0.3">
      <c r="A206" s="1129"/>
      <c r="B206" s="1129"/>
      <c r="C206" s="1129"/>
      <c r="D206" s="1129"/>
      <c r="E206" s="1129"/>
      <c r="F206" s="1129"/>
      <c r="G206" s="1129"/>
      <c r="H206" s="1129"/>
      <c r="I206" s="1129"/>
      <c r="J206" s="1129"/>
    </row>
    <row r="207" spans="1:10" x14ac:dyDescent="0.3">
      <c r="A207" s="1129"/>
      <c r="B207" s="1129"/>
      <c r="C207" s="1129"/>
      <c r="D207" s="1129"/>
      <c r="E207" s="1129"/>
      <c r="F207" s="1129"/>
      <c r="G207" s="1129"/>
      <c r="H207" s="1129"/>
      <c r="I207" s="1129"/>
      <c r="J207" s="1129"/>
    </row>
    <row r="208" spans="1:10" x14ac:dyDescent="0.3">
      <c r="A208" s="1129"/>
      <c r="B208" s="1129" t="s">
        <v>7630</v>
      </c>
      <c r="C208" s="1129"/>
      <c r="D208" s="1129"/>
      <c r="E208" s="1129"/>
      <c r="F208" s="1129"/>
      <c r="G208" s="1129"/>
      <c r="H208" s="1129"/>
      <c r="I208" s="1129"/>
      <c r="J208" s="1129"/>
    </row>
    <row r="209" spans="1:10" x14ac:dyDescent="0.3">
      <c r="A209" s="1129"/>
      <c r="B209" s="1129" t="s">
        <v>7631</v>
      </c>
      <c r="C209" s="1129"/>
      <c r="D209" s="1129"/>
      <c r="E209" s="1129"/>
      <c r="F209" s="1129"/>
      <c r="G209" s="1129"/>
      <c r="H209" s="1129"/>
      <c r="I209" s="1129"/>
      <c r="J209" s="1129"/>
    </row>
    <row r="210" spans="1:10" x14ac:dyDescent="0.3">
      <c r="A210" s="1129"/>
      <c r="B210" s="1134" t="s">
        <v>7632</v>
      </c>
      <c r="C210" s="1129"/>
      <c r="D210" s="1129"/>
      <c r="E210" s="1129"/>
      <c r="F210" s="1129"/>
      <c r="G210" s="1129"/>
      <c r="H210" s="1129"/>
      <c r="I210" s="1129"/>
      <c r="J210" s="1129"/>
    </row>
    <row r="211" spans="1:10" x14ac:dyDescent="0.3">
      <c r="A211" s="1129"/>
      <c r="B211" s="1129"/>
      <c r="C211" s="1129"/>
      <c r="D211" s="1129"/>
      <c r="E211" s="1129"/>
      <c r="F211" s="1129"/>
      <c r="G211" s="1129"/>
      <c r="H211" s="1129"/>
      <c r="I211" s="1129"/>
      <c r="J211" s="1129"/>
    </row>
    <row r="212" spans="1:10" x14ac:dyDescent="0.3">
      <c r="A212" s="1129"/>
      <c r="B212" s="1129" t="s">
        <v>7454</v>
      </c>
      <c r="C212" s="1129"/>
      <c r="D212" s="1129"/>
      <c r="E212" s="1129"/>
      <c r="F212" s="1129"/>
      <c r="G212" s="1129"/>
      <c r="H212" s="1129"/>
      <c r="I212" s="1129"/>
      <c r="J212" s="1129"/>
    </row>
    <row r="213" spans="1:10" x14ac:dyDescent="0.3">
      <c r="A213" s="1129"/>
      <c r="B213" s="1129" t="s">
        <v>7633</v>
      </c>
      <c r="C213" s="1129"/>
      <c r="D213" s="1129"/>
      <c r="E213" s="1129"/>
      <c r="F213" s="1129"/>
      <c r="G213" s="1129"/>
      <c r="H213" s="1129"/>
      <c r="I213" s="1129"/>
      <c r="J213" s="1129"/>
    </row>
    <row r="214" spans="1:10" x14ac:dyDescent="0.3">
      <c r="A214" s="1129"/>
      <c r="B214" s="1129" t="s">
        <v>7634</v>
      </c>
      <c r="C214" s="1129"/>
      <c r="D214" s="1129"/>
      <c r="E214" s="1129"/>
      <c r="F214" s="1129"/>
      <c r="G214" s="1129"/>
      <c r="H214" s="1129"/>
      <c r="I214" s="1129"/>
      <c r="J214" s="1129"/>
    </row>
    <row r="215" spans="1:10" x14ac:dyDescent="0.3">
      <c r="A215" s="1129"/>
      <c r="B215" s="1129" t="s">
        <v>7635</v>
      </c>
      <c r="C215" s="1129"/>
      <c r="D215" s="1129"/>
      <c r="E215" s="1129"/>
      <c r="F215" s="1129"/>
      <c r="G215" s="1129"/>
      <c r="H215" s="1129"/>
      <c r="I215" s="1129"/>
      <c r="J215" s="1129"/>
    </row>
    <row r="216" spans="1:10" x14ac:dyDescent="0.3">
      <c r="A216" s="1129"/>
      <c r="B216" s="1129" t="s">
        <v>7636</v>
      </c>
      <c r="C216" s="1129"/>
      <c r="D216" s="1129"/>
      <c r="E216" s="1129"/>
      <c r="F216" s="1129"/>
      <c r="G216" s="1129"/>
      <c r="H216" s="1129"/>
      <c r="I216" s="1129"/>
      <c r="J216" s="1129"/>
    </row>
    <row r="217" spans="1:10" x14ac:dyDescent="0.3">
      <c r="A217" s="1129"/>
      <c r="B217" s="1129" t="s">
        <v>7637</v>
      </c>
      <c r="C217" s="1129"/>
      <c r="D217" s="1129"/>
      <c r="E217" s="1129"/>
      <c r="F217" s="1129"/>
      <c r="G217" s="1129"/>
      <c r="H217" s="1129"/>
      <c r="I217" s="1129"/>
      <c r="J217" s="1129"/>
    </row>
    <row r="218" spans="1:10" x14ac:dyDescent="0.3">
      <c r="A218" s="1129"/>
      <c r="B218" s="1129" t="s">
        <v>7638</v>
      </c>
      <c r="C218" s="1129"/>
      <c r="D218" s="1129"/>
      <c r="E218" s="1129"/>
      <c r="F218" s="1129"/>
      <c r="G218" s="1129"/>
      <c r="H218" s="1129"/>
      <c r="I218" s="1129"/>
      <c r="J218" s="1129"/>
    </row>
    <row r="219" spans="1:10" x14ac:dyDescent="0.3">
      <c r="A219" s="1129"/>
      <c r="B219" s="1129" t="s">
        <v>7639</v>
      </c>
      <c r="C219" s="1129"/>
      <c r="D219" s="1129"/>
      <c r="E219" s="1129"/>
      <c r="F219" s="1129"/>
      <c r="G219" s="1129"/>
      <c r="H219" s="1129"/>
      <c r="I219" s="1129"/>
      <c r="J219" s="1129"/>
    </row>
    <row r="220" spans="1:10" x14ac:dyDescent="0.3">
      <c r="A220" s="1129"/>
      <c r="B220" s="1129" t="s">
        <v>7640</v>
      </c>
      <c r="C220" s="1129"/>
      <c r="D220" s="1129"/>
      <c r="E220" s="1129"/>
      <c r="F220" s="1129"/>
      <c r="G220" s="1129"/>
      <c r="H220" s="1129"/>
      <c r="I220" s="1129"/>
      <c r="J220" s="1129"/>
    </row>
    <row r="221" spans="1:10" x14ac:dyDescent="0.3">
      <c r="A221" s="1129"/>
      <c r="B221" s="1129" t="s">
        <v>7641</v>
      </c>
      <c r="C221" s="1129"/>
      <c r="D221" s="1129"/>
      <c r="E221" s="1129"/>
      <c r="F221" s="1129"/>
      <c r="G221" s="1129"/>
      <c r="H221" s="1129"/>
      <c r="I221" s="1129"/>
      <c r="J221" s="1129"/>
    </row>
    <row r="222" spans="1:10" x14ac:dyDescent="0.3">
      <c r="A222" s="1129"/>
      <c r="B222" s="1129" t="s">
        <v>7642</v>
      </c>
      <c r="C222" s="1129"/>
      <c r="D222" s="1129"/>
      <c r="E222" s="1129"/>
      <c r="F222" s="1129"/>
      <c r="G222" s="1129"/>
      <c r="H222" s="1129"/>
      <c r="I222" s="1129"/>
      <c r="J222" s="1129"/>
    </row>
    <row r="223" spans="1:10" x14ac:dyDescent="0.3">
      <c r="A223" s="1129"/>
      <c r="B223" s="1129" t="s">
        <v>7643</v>
      </c>
      <c r="C223" s="1129"/>
      <c r="D223" s="1129"/>
      <c r="E223" s="1129"/>
      <c r="F223" s="1129"/>
      <c r="G223" s="1129"/>
      <c r="H223" s="1129"/>
      <c r="I223" s="1129"/>
      <c r="J223" s="1129"/>
    </row>
    <row r="224" spans="1:10" x14ac:dyDescent="0.3">
      <c r="A224" s="1129"/>
      <c r="B224" s="1129" t="s">
        <v>7644</v>
      </c>
      <c r="C224" s="1129"/>
      <c r="D224" s="1129"/>
      <c r="E224" s="1129"/>
      <c r="F224" s="1129"/>
      <c r="G224" s="1129"/>
      <c r="H224" s="1129"/>
      <c r="I224" s="1129"/>
      <c r="J224" s="1129"/>
    </row>
    <row r="225" spans="1:10" x14ac:dyDescent="0.3">
      <c r="A225" s="1129"/>
      <c r="B225" s="1129" t="s">
        <v>7645</v>
      </c>
      <c r="C225" s="1129"/>
      <c r="D225" s="1129"/>
      <c r="E225" s="1129"/>
      <c r="F225" s="1129"/>
      <c r="G225" s="1129"/>
      <c r="H225" s="1129"/>
      <c r="I225" s="1129"/>
      <c r="J225" s="1129"/>
    </row>
    <row r="226" spans="1:10" x14ac:dyDescent="0.3">
      <c r="A226" s="1129"/>
      <c r="B226" s="1129" t="s">
        <v>7646</v>
      </c>
      <c r="C226" s="1129"/>
      <c r="D226" s="1129"/>
      <c r="E226" s="1129"/>
      <c r="F226" s="1129"/>
      <c r="G226" s="1129"/>
      <c r="H226" s="1129"/>
      <c r="I226" s="1129"/>
      <c r="J226" s="1129"/>
    </row>
    <row r="227" spans="1:10" x14ac:dyDescent="0.3">
      <c r="A227" s="1129"/>
      <c r="B227" s="1129" t="s">
        <v>7647</v>
      </c>
      <c r="C227" s="1129"/>
      <c r="D227" s="1129"/>
      <c r="E227" s="1129"/>
      <c r="F227" s="1129"/>
      <c r="G227" s="1129"/>
      <c r="H227" s="1129"/>
      <c r="I227" s="1129"/>
      <c r="J227" s="1129"/>
    </row>
    <row r="228" spans="1:10" x14ac:dyDescent="0.3">
      <c r="A228" s="1129"/>
      <c r="B228" s="1129" t="s">
        <v>7648</v>
      </c>
      <c r="C228" s="1129"/>
      <c r="D228" s="1129"/>
      <c r="E228" s="1129"/>
      <c r="F228" s="1129"/>
      <c r="G228" s="1129"/>
      <c r="H228" s="1129"/>
      <c r="I228" s="1129"/>
      <c r="J228" s="1129"/>
    </row>
    <row r="229" spans="1:10" x14ac:dyDescent="0.3">
      <c r="A229" s="1129"/>
      <c r="B229" s="1129" t="s">
        <v>7649</v>
      </c>
      <c r="C229" s="1129"/>
      <c r="D229" s="1129"/>
      <c r="E229" s="1129"/>
      <c r="F229" s="1129"/>
      <c r="G229" s="1129"/>
      <c r="H229" s="1129"/>
      <c r="I229" s="1129"/>
      <c r="J229" s="1129"/>
    </row>
    <row r="230" spans="1:10" x14ac:dyDescent="0.3">
      <c r="A230" s="1129"/>
      <c r="B230" s="1129" t="s">
        <v>7650</v>
      </c>
      <c r="C230" s="1129"/>
      <c r="D230" s="1129"/>
      <c r="E230" s="1129"/>
      <c r="F230" s="1129"/>
      <c r="G230" s="1129"/>
      <c r="H230" s="1129"/>
      <c r="I230" s="1129"/>
      <c r="J230" s="1129"/>
    </row>
    <row r="231" spans="1:10" x14ac:dyDescent="0.3">
      <c r="A231" s="1129"/>
      <c r="B231" s="1129" t="s">
        <v>7651</v>
      </c>
      <c r="C231" s="1129"/>
      <c r="D231" s="1129"/>
      <c r="E231" s="1129"/>
      <c r="F231" s="1129"/>
      <c r="G231" s="1129"/>
      <c r="H231" s="1129"/>
      <c r="I231" s="1129"/>
      <c r="J231" s="1129"/>
    </row>
    <row r="232" spans="1:10" x14ac:dyDescent="0.3">
      <c r="A232" s="1129"/>
      <c r="B232" s="1129" t="s">
        <v>7652</v>
      </c>
      <c r="C232" s="1129"/>
      <c r="D232" s="1129"/>
      <c r="E232" s="1129"/>
      <c r="F232" s="1129"/>
      <c r="G232" s="1129"/>
      <c r="H232" s="1129"/>
      <c r="I232" s="1129"/>
      <c r="J232" s="1129"/>
    </row>
    <row r="233" spans="1:10" x14ac:dyDescent="0.3">
      <c r="A233" s="1129"/>
      <c r="B233" s="1129" t="s">
        <v>7653</v>
      </c>
      <c r="C233" s="1129"/>
      <c r="D233" s="1129"/>
      <c r="E233" s="1129"/>
      <c r="F233" s="1129"/>
      <c r="G233" s="1129"/>
      <c r="H233" s="1129"/>
      <c r="I233" s="1129"/>
      <c r="J233" s="1129"/>
    </row>
    <row r="234" spans="1:10" x14ac:dyDescent="0.3">
      <c r="A234" s="1129"/>
      <c r="B234" s="1129"/>
      <c r="C234" s="1129"/>
      <c r="D234" s="1129"/>
      <c r="E234" s="1129"/>
      <c r="F234" s="1129"/>
      <c r="G234" s="1129"/>
      <c r="H234" s="1129"/>
      <c r="I234" s="1129"/>
      <c r="J234" s="1129"/>
    </row>
    <row r="235" spans="1:10" x14ac:dyDescent="0.3">
      <c r="A235" s="1129"/>
      <c r="B235" s="1134" t="s">
        <v>7654</v>
      </c>
      <c r="C235" s="1129"/>
      <c r="D235" s="1129"/>
      <c r="E235" s="1129"/>
      <c r="F235" s="1129"/>
      <c r="G235" s="1129"/>
      <c r="H235" s="1129"/>
      <c r="I235" s="1129"/>
      <c r="J235" s="1129"/>
    </row>
    <row r="236" spans="1:10" x14ac:dyDescent="0.3">
      <c r="A236" s="1129"/>
      <c r="B236" s="1129" t="s">
        <v>7655</v>
      </c>
      <c r="C236" s="1129"/>
      <c r="D236" s="1129"/>
      <c r="E236" s="1129"/>
      <c r="F236" s="1129"/>
      <c r="G236" s="1129"/>
      <c r="H236" s="1129"/>
      <c r="I236" s="1129"/>
      <c r="J236" s="1129"/>
    </row>
    <row r="237" spans="1:10" x14ac:dyDescent="0.3">
      <c r="A237" s="1129"/>
      <c r="B237" s="1129" t="s">
        <v>7656</v>
      </c>
      <c r="C237" s="1129"/>
      <c r="D237" s="1129"/>
      <c r="E237" s="1129"/>
      <c r="F237" s="1129"/>
      <c r="G237" s="1129"/>
      <c r="H237" s="1129"/>
      <c r="I237" s="1129"/>
      <c r="J237" s="1129"/>
    </row>
    <row r="238" spans="1:10" x14ac:dyDescent="0.3">
      <c r="A238" s="1129"/>
      <c r="B238" s="1129" t="s">
        <v>7657</v>
      </c>
      <c r="C238" s="1129"/>
      <c r="D238" s="1129"/>
      <c r="E238" s="1129"/>
      <c r="F238" s="1129"/>
      <c r="G238" s="1129"/>
      <c r="H238" s="1129"/>
      <c r="I238" s="1129"/>
      <c r="J238" s="1129"/>
    </row>
    <row r="239" spans="1:10" x14ac:dyDescent="0.3">
      <c r="A239" s="1129"/>
      <c r="B239" s="1129" t="s">
        <v>7658</v>
      </c>
      <c r="C239" s="1129"/>
      <c r="D239" s="1129"/>
      <c r="E239" s="1129"/>
      <c r="F239" s="1129"/>
      <c r="G239" s="1129"/>
      <c r="H239" s="1129"/>
      <c r="I239" s="1129"/>
      <c r="J239" s="1129"/>
    </row>
    <row r="240" spans="1:10" x14ac:dyDescent="0.3">
      <c r="A240" s="1129"/>
      <c r="B240" s="1129" t="s">
        <v>7659</v>
      </c>
      <c r="C240" s="1129"/>
      <c r="D240" s="1129"/>
      <c r="E240" s="1129"/>
      <c r="F240" s="1129"/>
      <c r="G240" s="1129"/>
      <c r="H240" s="1129"/>
      <c r="I240" s="1129"/>
      <c r="J240" s="1129"/>
    </row>
    <row r="241" spans="1:10" x14ac:dyDescent="0.3">
      <c r="A241" s="1129"/>
      <c r="B241" s="1129" t="s">
        <v>7660</v>
      </c>
      <c r="C241" s="1129"/>
      <c r="D241" s="1129"/>
      <c r="E241" s="1129"/>
      <c r="F241" s="1129"/>
      <c r="G241" s="1129"/>
      <c r="H241" s="1129"/>
      <c r="I241" s="1129"/>
      <c r="J241" s="1129"/>
    </row>
    <row r="242" spans="1:10" x14ac:dyDescent="0.3">
      <c r="A242" s="1129"/>
      <c r="B242" s="1129" t="s">
        <v>7499</v>
      </c>
      <c r="C242" s="1129"/>
      <c r="D242" s="1129"/>
      <c r="E242" s="1129"/>
      <c r="F242" s="1129"/>
      <c r="G242" s="1129"/>
      <c r="H242" s="1129"/>
      <c r="I242" s="1129"/>
      <c r="J242" s="1129"/>
    </row>
    <row r="243" spans="1:10" x14ac:dyDescent="0.3">
      <c r="A243" s="1129"/>
      <c r="B243" s="1129" t="s">
        <v>7661</v>
      </c>
      <c r="C243" s="1129"/>
      <c r="D243" s="1129"/>
      <c r="E243" s="1129"/>
      <c r="F243" s="1129"/>
      <c r="G243" s="1129"/>
      <c r="H243" s="1129"/>
      <c r="I243" s="1129"/>
      <c r="J243" s="1129"/>
    </row>
    <row r="244" spans="1:10" x14ac:dyDescent="0.3">
      <c r="A244" s="1129"/>
      <c r="B244" s="1129" t="s">
        <v>7662</v>
      </c>
      <c r="C244" s="1129"/>
      <c r="D244" s="1129"/>
      <c r="E244" s="1129"/>
      <c r="F244" s="1129"/>
      <c r="G244" s="1129"/>
      <c r="H244" s="1129"/>
      <c r="I244" s="1129"/>
      <c r="J244" s="1129"/>
    </row>
    <row r="245" spans="1:10" x14ac:dyDescent="0.3">
      <c r="A245" s="1129"/>
      <c r="B245" s="1129"/>
      <c r="C245" s="1129"/>
      <c r="D245" s="1129"/>
      <c r="E245" s="1129"/>
      <c r="F245" s="1129"/>
      <c r="G245" s="1129"/>
      <c r="H245" s="1129"/>
      <c r="I245" s="1129"/>
      <c r="J245" s="1129"/>
    </row>
    <row r="246" spans="1:10" x14ac:dyDescent="0.3">
      <c r="A246" s="1129"/>
      <c r="B246" s="1134" t="s">
        <v>7663</v>
      </c>
      <c r="C246" s="1129"/>
      <c r="D246" s="1129"/>
      <c r="E246" s="1129"/>
      <c r="F246" s="1129"/>
      <c r="G246" s="1129"/>
      <c r="H246" s="1129"/>
      <c r="I246" s="1129"/>
      <c r="J246" s="1129"/>
    </row>
    <row r="247" spans="1:10" x14ac:dyDescent="0.3">
      <c r="A247" s="1129"/>
      <c r="B247" s="1129" t="s">
        <v>7664</v>
      </c>
      <c r="C247" s="1129"/>
      <c r="D247" s="1129"/>
      <c r="E247" s="1129"/>
      <c r="F247" s="1129"/>
      <c r="G247" s="1129"/>
      <c r="H247" s="1129"/>
      <c r="I247" s="1129"/>
      <c r="J247" s="1129"/>
    </row>
    <row r="248" spans="1:10" x14ac:dyDescent="0.3">
      <c r="A248" s="1129"/>
      <c r="B248" s="1129" t="s">
        <v>7665</v>
      </c>
      <c r="C248" s="1129"/>
      <c r="D248" s="1129"/>
      <c r="E248" s="1129"/>
      <c r="F248" s="1129"/>
      <c r="G248" s="1129"/>
      <c r="H248" s="1129"/>
      <c r="I248" s="1129"/>
      <c r="J248" s="1129"/>
    </row>
    <row r="249" spans="1:10" x14ac:dyDescent="0.3">
      <c r="A249" s="1129"/>
      <c r="B249" s="1129" t="s">
        <v>7666</v>
      </c>
      <c r="C249" s="1129"/>
      <c r="D249" s="1129"/>
      <c r="E249" s="1129"/>
      <c r="F249" s="1129"/>
      <c r="G249" s="1129"/>
      <c r="H249" s="1129"/>
      <c r="I249" s="1129"/>
      <c r="J249" s="1129"/>
    </row>
    <row r="250" spans="1:10" x14ac:dyDescent="0.3">
      <c r="A250" s="1129"/>
      <c r="B250" s="1129" t="s">
        <v>7667</v>
      </c>
      <c r="C250" s="1129"/>
      <c r="D250" s="1129"/>
      <c r="E250" s="1129"/>
      <c r="F250" s="1129"/>
      <c r="G250" s="1129"/>
      <c r="H250" s="1129"/>
      <c r="I250" s="1129"/>
      <c r="J250" s="1129"/>
    </row>
    <row r="251" spans="1:10" x14ac:dyDescent="0.3">
      <c r="A251" s="1129"/>
      <c r="B251" s="1129" t="s">
        <v>7668</v>
      </c>
      <c r="C251" s="1129"/>
      <c r="D251" s="1129"/>
      <c r="E251" s="1129"/>
      <c r="F251" s="1129"/>
      <c r="G251" s="1129"/>
      <c r="H251" s="1129"/>
      <c r="I251" s="1129"/>
      <c r="J251" s="1129"/>
    </row>
    <row r="252" spans="1:10" x14ac:dyDescent="0.3">
      <c r="A252" s="1129"/>
      <c r="B252" s="1129" t="s">
        <v>7669</v>
      </c>
      <c r="C252" s="1129"/>
      <c r="D252" s="1129"/>
      <c r="E252" s="1129"/>
      <c r="F252" s="1129"/>
      <c r="G252" s="1129"/>
      <c r="H252" s="1129"/>
      <c r="I252" s="1129"/>
      <c r="J252" s="1129"/>
    </row>
    <row r="253" spans="1:10" x14ac:dyDescent="0.3">
      <c r="A253" s="1129"/>
      <c r="B253" s="1129" t="s">
        <v>7670</v>
      </c>
      <c r="C253" s="1129"/>
      <c r="D253" s="1129"/>
      <c r="E253" s="1129"/>
      <c r="F253" s="1129"/>
      <c r="G253" s="1129"/>
      <c r="H253" s="1129"/>
      <c r="I253" s="1129"/>
      <c r="J253" s="1129"/>
    </row>
    <row r="254" spans="1:10" x14ac:dyDescent="0.3">
      <c r="A254" s="1129"/>
      <c r="B254" s="1129" t="s">
        <v>7671</v>
      </c>
      <c r="C254" s="1129"/>
      <c r="D254" s="1129"/>
      <c r="E254" s="1129"/>
      <c r="F254" s="1129"/>
      <c r="G254" s="1129"/>
      <c r="H254" s="1129"/>
      <c r="I254" s="1129"/>
      <c r="J254" s="1129"/>
    </row>
    <row r="255" spans="1:10" x14ac:dyDescent="0.3">
      <c r="A255" s="1129"/>
      <c r="B255" s="1129"/>
      <c r="C255" s="1129"/>
      <c r="D255" s="1129"/>
      <c r="E255" s="1129"/>
      <c r="F255" s="1129"/>
      <c r="G255" s="1129"/>
      <c r="H255" s="1129"/>
      <c r="I255" s="1129"/>
      <c r="J255" s="1129"/>
    </row>
    <row r="256" spans="1:10" x14ac:dyDescent="0.3">
      <c r="A256" s="1129"/>
      <c r="B256" s="1134" t="s">
        <v>7537</v>
      </c>
      <c r="C256" s="1129"/>
      <c r="D256" s="1129"/>
      <c r="E256" s="1129"/>
      <c r="F256" s="1129"/>
      <c r="G256" s="1129"/>
      <c r="H256" s="1129"/>
      <c r="I256" s="1129"/>
      <c r="J256" s="1129"/>
    </row>
    <row r="257" spans="1:10" x14ac:dyDescent="0.3">
      <c r="A257" s="1129"/>
      <c r="B257" s="1129" t="s">
        <v>7672</v>
      </c>
      <c r="C257" s="1129"/>
      <c r="D257" s="1129"/>
      <c r="E257" s="1129"/>
      <c r="F257" s="1129"/>
      <c r="G257" s="1129"/>
      <c r="H257" s="1129"/>
      <c r="I257" s="1129"/>
      <c r="J257" s="1129"/>
    </row>
    <row r="258" spans="1:10" x14ac:dyDescent="0.3">
      <c r="A258" s="1129"/>
      <c r="B258" s="1129" t="s">
        <v>7673</v>
      </c>
      <c r="C258" s="1129"/>
      <c r="D258" s="1129"/>
      <c r="E258" s="1129"/>
      <c r="F258" s="1129"/>
      <c r="G258" s="1129"/>
      <c r="H258" s="1129"/>
      <c r="I258" s="1129"/>
      <c r="J258" s="1129"/>
    </row>
    <row r="259" spans="1:10" x14ac:dyDescent="0.3">
      <c r="A259" s="1129"/>
      <c r="B259" s="1129" t="s">
        <v>7674</v>
      </c>
      <c r="C259" s="1129"/>
      <c r="D259" s="1129"/>
      <c r="E259" s="1129"/>
      <c r="F259" s="1129"/>
      <c r="G259" s="1129"/>
      <c r="H259" s="1129"/>
      <c r="I259" s="1129"/>
      <c r="J259" s="1129"/>
    </row>
    <row r="260" spans="1:10" x14ac:dyDescent="0.3">
      <c r="A260" s="1129"/>
      <c r="B260" s="1129" t="s">
        <v>7675</v>
      </c>
      <c r="C260" s="1129"/>
      <c r="D260" s="1129"/>
      <c r="E260" s="1129"/>
      <c r="F260" s="1129"/>
      <c r="G260" s="1129"/>
      <c r="H260" s="1129"/>
      <c r="I260" s="1129"/>
      <c r="J260" s="1129"/>
    </row>
    <row r="261" spans="1:10" x14ac:dyDescent="0.3">
      <c r="A261" s="1129"/>
      <c r="B261" s="1129" t="s">
        <v>7676</v>
      </c>
      <c r="C261" s="1129"/>
      <c r="D261" s="1129"/>
      <c r="E261" s="1129"/>
      <c r="F261" s="1129"/>
      <c r="G261" s="1129"/>
      <c r="H261" s="1129"/>
      <c r="I261" s="1129"/>
      <c r="J261" s="1129"/>
    </row>
    <row r="262" spans="1:10" x14ac:dyDescent="0.3">
      <c r="A262" s="1129"/>
      <c r="B262" s="1129" t="s">
        <v>7677</v>
      </c>
      <c r="C262" s="1129"/>
      <c r="D262" s="1129"/>
      <c r="E262" s="1129"/>
      <c r="F262" s="1129"/>
      <c r="G262" s="1129"/>
      <c r="H262" s="1129"/>
      <c r="I262" s="1129"/>
      <c r="J262" s="1129"/>
    </row>
    <row r="263" spans="1:10" x14ac:dyDescent="0.3">
      <c r="A263" s="1129"/>
      <c r="B263" s="1129" t="s">
        <v>7678</v>
      </c>
      <c r="C263" s="1129"/>
      <c r="D263" s="1129"/>
      <c r="E263" s="1129"/>
      <c r="F263" s="1129"/>
      <c r="G263" s="1129"/>
      <c r="H263" s="1129"/>
      <c r="I263" s="1129"/>
      <c r="J263" s="1129"/>
    </row>
    <row r="264" spans="1:10" x14ac:dyDescent="0.3">
      <c r="A264" s="1129"/>
      <c r="B264" s="1129"/>
      <c r="C264" s="1129"/>
      <c r="D264" s="1129"/>
      <c r="E264" s="1129"/>
      <c r="F264" s="1129"/>
      <c r="G264" s="1129"/>
      <c r="H264" s="1129"/>
      <c r="I264" s="1129"/>
      <c r="J264" s="1129"/>
    </row>
    <row r="265" spans="1:10" x14ac:dyDescent="0.3">
      <c r="A265" s="1129"/>
      <c r="B265" s="1134" t="s">
        <v>7679</v>
      </c>
      <c r="C265" s="1129"/>
      <c r="D265" s="1129"/>
      <c r="E265" s="1129"/>
      <c r="F265" s="1129"/>
      <c r="G265" s="1129"/>
      <c r="H265" s="1129"/>
      <c r="I265" s="1129"/>
      <c r="J265" s="1129"/>
    </row>
    <row r="266" spans="1:10" x14ac:dyDescent="0.3">
      <c r="A266" s="1129"/>
      <c r="B266" s="1129" t="s">
        <v>7680</v>
      </c>
      <c r="C266" s="1129"/>
      <c r="D266" s="1129"/>
      <c r="E266" s="1129"/>
      <c r="F266" s="1129"/>
      <c r="G266" s="1129"/>
      <c r="H266" s="1129"/>
      <c r="I266" s="1129"/>
      <c r="J266" s="1129"/>
    </row>
    <row r="267" spans="1:10" x14ac:dyDescent="0.3">
      <c r="A267" s="1129"/>
      <c r="B267" s="1129" t="s">
        <v>7681</v>
      </c>
      <c r="C267" s="1129"/>
      <c r="D267" s="1129"/>
      <c r="E267" s="1129"/>
      <c r="F267" s="1129"/>
      <c r="G267" s="1129"/>
      <c r="H267" s="1129"/>
      <c r="I267" s="1129"/>
      <c r="J267" s="1129"/>
    </row>
    <row r="268" spans="1:10" x14ac:dyDescent="0.3">
      <c r="A268" s="1129"/>
      <c r="B268" s="1129" t="s">
        <v>7682</v>
      </c>
      <c r="C268" s="1129"/>
      <c r="D268" s="1129"/>
      <c r="E268" s="1129"/>
      <c r="F268" s="1129"/>
      <c r="G268" s="1129"/>
      <c r="H268" s="1129"/>
      <c r="I268" s="1129"/>
      <c r="J268" s="1129"/>
    </row>
    <row r="269" spans="1:10" x14ac:dyDescent="0.3">
      <c r="A269" s="1129"/>
      <c r="B269" s="1129" t="s">
        <v>7683</v>
      </c>
      <c r="C269" s="1129"/>
      <c r="D269" s="1129"/>
      <c r="E269" s="1129"/>
      <c r="F269" s="1129"/>
      <c r="G269" s="1129"/>
      <c r="H269" s="1129"/>
      <c r="I269" s="1129"/>
      <c r="J269" s="1129"/>
    </row>
    <row r="270" spans="1:10" x14ac:dyDescent="0.3">
      <c r="A270" s="1129"/>
      <c r="B270" s="1129" t="s">
        <v>7684</v>
      </c>
      <c r="C270" s="1129"/>
      <c r="D270" s="1129"/>
      <c r="E270" s="1129"/>
      <c r="F270" s="1129"/>
      <c r="G270" s="1129"/>
      <c r="H270" s="1129"/>
      <c r="I270" s="1129"/>
      <c r="J270" s="1129"/>
    </row>
    <row r="271" spans="1:10" x14ac:dyDescent="0.3">
      <c r="A271" s="1129"/>
      <c r="B271" s="1129" t="s">
        <v>7685</v>
      </c>
      <c r="C271" s="1129"/>
      <c r="D271" s="1129"/>
      <c r="E271" s="1129"/>
      <c r="F271" s="1129"/>
      <c r="G271" s="1129"/>
      <c r="H271" s="1129"/>
      <c r="I271" s="1129"/>
      <c r="J271" s="1129"/>
    </row>
    <row r="272" spans="1:10" x14ac:dyDescent="0.3">
      <c r="A272" s="1129"/>
      <c r="B272" s="1129" t="s">
        <v>7686</v>
      </c>
      <c r="C272" s="1129"/>
      <c r="D272" s="1129"/>
      <c r="E272" s="1129"/>
      <c r="F272" s="1129"/>
      <c r="G272" s="1129"/>
      <c r="H272" s="1129"/>
      <c r="I272" s="1129"/>
      <c r="J272" s="1129"/>
    </row>
    <row r="273" spans="1:10" x14ac:dyDescent="0.3">
      <c r="A273" s="1129"/>
      <c r="B273" s="1129" t="s">
        <v>7687</v>
      </c>
      <c r="C273" s="1129"/>
      <c r="D273" s="1129"/>
      <c r="E273" s="1129"/>
      <c r="F273" s="1129"/>
      <c r="G273" s="1129"/>
      <c r="H273" s="1129"/>
      <c r="I273" s="1129"/>
      <c r="J273" s="1129"/>
    </row>
    <row r="274" spans="1:10" x14ac:dyDescent="0.3">
      <c r="A274" s="1129"/>
      <c r="B274" s="1129" t="s">
        <v>7688</v>
      </c>
      <c r="C274" s="1129"/>
      <c r="D274" s="1129"/>
      <c r="E274" s="1129"/>
      <c r="F274" s="1129"/>
      <c r="G274" s="1129"/>
      <c r="H274" s="1129"/>
      <c r="I274" s="1129"/>
      <c r="J274" s="1129"/>
    </row>
    <row r="275" spans="1:10" x14ac:dyDescent="0.3">
      <c r="A275" s="1129"/>
      <c r="B275" s="1129" t="s">
        <v>7689</v>
      </c>
      <c r="C275" s="1129"/>
      <c r="D275" s="1129"/>
      <c r="E275" s="1129"/>
      <c r="F275" s="1129"/>
      <c r="G275" s="1129"/>
      <c r="H275" s="1129"/>
      <c r="I275" s="1129"/>
      <c r="J275" s="1129"/>
    </row>
    <row r="276" spans="1:10" x14ac:dyDescent="0.3">
      <c r="A276" s="1129"/>
      <c r="B276" s="1129" t="s">
        <v>7690</v>
      </c>
      <c r="C276" s="1129"/>
      <c r="D276" s="1129"/>
      <c r="E276" s="1129"/>
      <c r="F276" s="1129"/>
      <c r="G276" s="1129"/>
      <c r="H276" s="1129"/>
      <c r="I276" s="1129"/>
      <c r="J276" s="1129"/>
    </row>
    <row r="277" spans="1:10" x14ac:dyDescent="0.3">
      <c r="A277" s="1129"/>
      <c r="B277" s="1129" t="s">
        <v>7691</v>
      </c>
      <c r="C277" s="1129"/>
      <c r="D277" s="1129"/>
      <c r="E277" s="1129"/>
      <c r="F277" s="1129"/>
      <c r="G277" s="1129"/>
      <c r="H277" s="1129"/>
      <c r="I277" s="1129"/>
      <c r="J277" s="1129"/>
    </row>
    <row r="278" spans="1:10" x14ac:dyDescent="0.3">
      <c r="A278" s="1129"/>
      <c r="B278" s="1129" t="s">
        <v>7692</v>
      </c>
      <c r="C278" s="1129"/>
      <c r="D278" s="1129"/>
      <c r="E278" s="1129"/>
      <c r="F278" s="1129"/>
      <c r="G278" s="1129"/>
      <c r="H278" s="1129"/>
      <c r="I278" s="1129"/>
      <c r="J278" s="1129"/>
    </row>
    <row r="279" spans="1:10" x14ac:dyDescent="0.3">
      <c r="A279" s="1129"/>
      <c r="B279" s="1129" t="s">
        <v>7693</v>
      </c>
      <c r="C279" s="1129"/>
      <c r="D279" s="1129"/>
      <c r="E279" s="1129"/>
      <c r="F279" s="1129"/>
      <c r="G279" s="1129"/>
      <c r="H279" s="1129"/>
      <c r="I279" s="1129"/>
      <c r="J279" s="1129"/>
    </row>
    <row r="280" spans="1:10" x14ac:dyDescent="0.3">
      <c r="A280" s="1129"/>
      <c r="B280" s="1129"/>
      <c r="C280" s="1129"/>
      <c r="D280" s="1129"/>
      <c r="E280" s="1129"/>
      <c r="F280" s="1129"/>
      <c r="G280" s="1129"/>
      <c r="H280" s="1129"/>
      <c r="I280" s="1129"/>
      <c r="J280" s="1129"/>
    </row>
    <row r="281" spans="1:10" x14ac:dyDescent="0.3">
      <c r="A281" s="1129"/>
      <c r="B281" s="1134" t="s">
        <v>7694</v>
      </c>
      <c r="C281" s="1129"/>
      <c r="D281" s="1129"/>
      <c r="E281" s="1129"/>
      <c r="F281" s="1129"/>
      <c r="G281" s="1129"/>
      <c r="H281" s="1129"/>
      <c r="I281" s="1129"/>
      <c r="J281" s="1129"/>
    </row>
    <row r="282" spans="1:10" x14ac:dyDescent="0.3">
      <c r="A282" s="1129"/>
      <c r="B282" s="1129" t="s">
        <v>7695</v>
      </c>
      <c r="C282" s="1129"/>
      <c r="D282" s="1129"/>
      <c r="E282" s="1129"/>
      <c r="F282" s="1129"/>
      <c r="G282" s="1129"/>
      <c r="H282" s="1129"/>
      <c r="I282" s="1129"/>
      <c r="J282" s="1129"/>
    </row>
    <row r="283" spans="1:10" x14ac:dyDescent="0.3">
      <c r="A283" s="1129"/>
      <c r="B283" s="1129" t="s">
        <v>7696</v>
      </c>
      <c r="C283" s="1129"/>
      <c r="D283" s="1129"/>
      <c r="E283" s="1129"/>
      <c r="F283" s="1129"/>
      <c r="G283" s="1129"/>
      <c r="H283" s="1129"/>
      <c r="I283" s="1129"/>
      <c r="J283" s="1129"/>
    </row>
    <row r="284" spans="1:10" x14ac:dyDescent="0.3">
      <c r="A284" s="1129"/>
      <c r="B284" s="1129" t="s">
        <v>7697</v>
      </c>
      <c r="C284" s="1129"/>
      <c r="D284" s="1129"/>
      <c r="E284" s="1129"/>
      <c r="F284" s="1129"/>
      <c r="G284" s="1129"/>
      <c r="H284" s="1129"/>
      <c r="I284" s="1129"/>
      <c r="J284" s="1129"/>
    </row>
    <row r="285" spans="1:10" x14ac:dyDescent="0.3">
      <c r="A285" s="1129"/>
      <c r="B285" s="1129" t="s">
        <v>7698</v>
      </c>
      <c r="C285" s="1129"/>
      <c r="D285" s="1129"/>
      <c r="E285" s="1129"/>
      <c r="F285" s="1129"/>
      <c r="G285" s="1129"/>
      <c r="H285" s="1129"/>
      <c r="I285" s="1129"/>
      <c r="J285" s="1129"/>
    </row>
    <row r="286" spans="1:10" x14ac:dyDescent="0.3">
      <c r="A286" s="1129"/>
      <c r="B286" s="1129" t="s">
        <v>7699</v>
      </c>
      <c r="C286" s="1129"/>
      <c r="D286" s="1129"/>
      <c r="E286" s="1129"/>
      <c r="F286" s="1129"/>
      <c r="G286" s="1129"/>
      <c r="H286" s="1129"/>
      <c r="I286" s="1129"/>
      <c r="J286" s="1129"/>
    </row>
    <row r="287" spans="1:10" x14ac:dyDescent="0.3">
      <c r="A287" s="1129"/>
      <c r="B287" s="1129" t="s">
        <v>7700</v>
      </c>
      <c r="C287" s="1129"/>
      <c r="D287" s="1129"/>
      <c r="E287" s="1129"/>
      <c r="F287" s="1129"/>
      <c r="G287" s="1129"/>
      <c r="H287" s="1129"/>
      <c r="I287" s="1129"/>
      <c r="J287" s="1129"/>
    </row>
    <row r="288" spans="1:10" x14ac:dyDescent="0.3">
      <c r="A288" s="1129"/>
      <c r="B288" s="1129" t="s">
        <v>7701</v>
      </c>
      <c r="C288" s="1129"/>
      <c r="D288" s="1129"/>
      <c r="E288" s="1129"/>
      <c r="F288" s="1129"/>
      <c r="G288" s="1129"/>
      <c r="H288" s="1129"/>
      <c r="I288" s="1129"/>
      <c r="J288" s="1129"/>
    </row>
    <row r="289" spans="1:10" x14ac:dyDescent="0.3">
      <c r="A289" s="1129"/>
      <c r="B289" s="1129" t="s">
        <v>7702</v>
      </c>
      <c r="C289" s="1129"/>
      <c r="D289" s="1129"/>
      <c r="E289" s="1129"/>
      <c r="F289" s="1129"/>
      <c r="G289" s="1129"/>
      <c r="H289" s="1129"/>
      <c r="I289" s="1129"/>
      <c r="J289" s="1129"/>
    </row>
    <row r="290" spans="1:10" x14ac:dyDescent="0.3">
      <c r="A290" s="1129"/>
      <c r="B290" s="1129" t="s">
        <v>7703</v>
      </c>
      <c r="C290" s="1129"/>
      <c r="D290" s="1129"/>
      <c r="E290" s="1129"/>
      <c r="F290" s="1129"/>
      <c r="G290" s="1129"/>
      <c r="H290" s="1129"/>
      <c r="I290" s="1129"/>
      <c r="J290" s="1129"/>
    </row>
    <row r="291" spans="1:10" x14ac:dyDescent="0.3">
      <c r="A291" s="1129"/>
      <c r="B291" s="1129" t="s">
        <v>7704</v>
      </c>
      <c r="C291" s="1129"/>
      <c r="D291" s="1129"/>
      <c r="E291" s="1129"/>
      <c r="F291" s="1129"/>
      <c r="G291" s="1129"/>
      <c r="H291" s="1129"/>
      <c r="I291" s="1129"/>
      <c r="J291" s="1129"/>
    </row>
    <row r="292" spans="1:10" x14ac:dyDescent="0.3">
      <c r="A292" s="1129"/>
      <c r="B292" s="1129" t="s">
        <v>7705</v>
      </c>
      <c r="C292" s="1129"/>
      <c r="D292" s="1129"/>
      <c r="E292" s="1129"/>
      <c r="F292" s="1129"/>
      <c r="G292" s="1129"/>
      <c r="H292" s="1129"/>
      <c r="I292" s="1129"/>
      <c r="J292" s="1129"/>
    </row>
    <row r="293" spans="1:10" x14ac:dyDescent="0.3">
      <c r="A293" s="1129"/>
      <c r="B293" s="1129" t="s">
        <v>7706</v>
      </c>
      <c r="C293" s="1129"/>
      <c r="D293" s="1129"/>
      <c r="E293" s="1129"/>
      <c r="F293" s="1129"/>
      <c r="G293" s="1129"/>
      <c r="H293" s="1129"/>
      <c r="I293" s="1129"/>
      <c r="J293" s="1129"/>
    </row>
    <row r="294" spans="1:10" x14ac:dyDescent="0.3">
      <c r="A294" s="1129"/>
      <c r="B294" s="1129" t="s">
        <v>7707</v>
      </c>
      <c r="C294" s="1129"/>
      <c r="D294" s="1129"/>
      <c r="E294" s="1129"/>
      <c r="F294" s="1129"/>
      <c r="G294" s="1129"/>
      <c r="H294" s="1129"/>
      <c r="I294" s="1129"/>
      <c r="J294" s="1129"/>
    </row>
    <row r="295" spans="1:10" x14ac:dyDescent="0.3">
      <c r="A295" s="1129"/>
      <c r="B295" s="1129" t="s">
        <v>7708</v>
      </c>
      <c r="C295" s="1129"/>
      <c r="D295" s="1129"/>
      <c r="E295" s="1129"/>
      <c r="F295" s="1129"/>
      <c r="G295" s="1129"/>
      <c r="H295" s="1129"/>
      <c r="I295" s="1129"/>
      <c r="J295" s="1129"/>
    </row>
    <row r="296" spans="1:10" x14ac:dyDescent="0.3">
      <c r="A296" s="1129"/>
      <c r="B296" s="1129" t="s">
        <v>7709</v>
      </c>
      <c r="C296" s="1129"/>
      <c r="D296" s="1129"/>
      <c r="E296" s="1129"/>
      <c r="F296" s="1129"/>
      <c r="G296" s="1129"/>
      <c r="H296" s="1129"/>
      <c r="I296" s="1129"/>
      <c r="J296" s="1129"/>
    </row>
    <row r="297" spans="1:10" x14ac:dyDescent="0.3">
      <c r="A297" s="1129"/>
      <c r="B297" s="1129"/>
      <c r="C297" s="1129"/>
      <c r="D297" s="1129"/>
      <c r="E297" s="1129"/>
      <c r="F297" s="1129"/>
      <c r="G297" s="1129"/>
      <c r="H297" s="1129"/>
      <c r="I297" s="1129"/>
      <c r="J297" s="1129"/>
    </row>
  </sheetData>
  <hyperlinks>
    <hyperlink ref="B5" r:id="rId1" xr:uid="{766CAD7A-F7FE-4AB0-B013-DDF840B04C4D}"/>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7"/>
  <sheetViews>
    <sheetView topLeftCell="A4" workbookViewId="0">
      <selection activeCell="H11" sqref="H11"/>
    </sheetView>
  </sheetViews>
  <sheetFormatPr baseColWidth="10" defaultColWidth="9" defaultRowHeight="15" x14ac:dyDescent="0.25"/>
  <cols>
    <col min="1" max="1" width="28.75" style="59" customWidth="1"/>
    <col min="2" max="2" width="97" style="59" customWidth="1"/>
    <col min="3" max="3" width="14" style="59" customWidth="1"/>
    <col min="4" max="4" width="12" style="73" customWidth="1"/>
    <col min="5" max="16384" width="9" style="59"/>
  </cols>
  <sheetData>
    <row r="1" spans="1:6" ht="24" customHeight="1" x14ac:dyDescent="0.25">
      <c r="A1" s="65" t="s">
        <v>4754</v>
      </c>
      <c r="B1" s="58"/>
      <c r="C1" s="58"/>
      <c r="D1" s="58"/>
    </row>
    <row r="2" spans="1:6" ht="24" customHeight="1" x14ac:dyDescent="0.25">
      <c r="A2" s="64" t="s">
        <v>4737</v>
      </c>
      <c r="B2" s="60"/>
      <c r="C2" s="60"/>
      <c r="D2" s="68"/>
    </row>
    <row r="3" spans="1:6" ht="39.950000000000003" customHeight="1" x14ac:dyDescent="0.25">
      <c r="A3" s="61"/>
      <c r="B3" s="61"/>
      <c r="C3" s="61"/>
      <c r="D3" s="69"/>
    </row>
    <row r="4" spans="1:6" ht="39.950000000000003" customHeight="1" x14ac:dyDescent="0.25">
      <c r="A4" s="67" t="s">
        <v>4738</v>
      </c>
      <c r="B4" s="67"/>
      <c r="C4" s="67"/>
      <c r="D4" s="71"/>
      <c r="F4" s="1136" t="s">
        <v>4830</v>
      </c>
    </row>
    <row r="5" spans="1:6" ht="39.950000000000003" customHeight="1" x14ac:dyDescent="0.25">
      <c r="A5" s="62" t="s">
        <v>4739</v>
      </c>
      <c r="B5" s="62" t="s">
        <v>4740</v>
      </c>
      <c r="C5" s="62" t="s">
        <v>4741</v>
      </c>
      <c r="D5" s="62" t="s">
        <v>4755</v>
      </c>
    </row>
    <row r="6" spans="1:6" ht="50.1" customHeight="1" x14ac:dyDescent="0.25">
      <c r="A6" s="66" t="s">
        <v>4742</v>
      </c>
      <c r="B6" s="154" t="s">
        <v>4743</v>
      </c>
      <c r="C6" s="72" t="s">
        <v>4744</v>
      </c>
      <c r="D6" s="72">
        <v>140</v>
      </c>
    </row>
    <row r="7" spans="1:6" ht="50.1" customHeight="1" x14ac:dyDescent="0.25">
      <c r="A7" s="66" t="s">
        <v>4745</v>
      </c>
      <c r="B7" s="154" t="s">
        <v>4757</v>
      </c>
      <c r="C7" s="72" t="s">
        <v>4746</v>
      </c>
      <c r="D7" s="72">
        <v>140</v>
      </c>
    </row>
    <row r="8" spans="1:6" ht="50.1" customHeight="1" x14ac:dyDescent="0.25">
      <c r="A8" s="66" t="s">
        <v>4747</v>
      </c>
      <c r="B8" s="154" t="s">
        <v>4758</v>
      </c>
      <c r="C8" s="72" t="s">
        <v>4746</v>
      </c>
      <c r="D8" s="72">
        <v>140</v>
      </c>
    </row>
    <row r="9" spans="1:6" ht="50.1" customHeight="1" x14ac:dyDescent="0.25">
      <c r="A9" s="66" t="s">
        <v>4748</v>
      </c>
      <c r="B9" s="154" t="s">
        <v>4759</v>
      </c>
      <c r="C9" s="72" t="s">
        <v>4749</v>
      </c>
      <c r="D9" s="72">
        <v>140</v>
      </c>
    </row>
    <row r="10" spans="1:6" ht="50.1" customHeight="1" x14ac:dyDescent="0.25">
      <c r="A10" s="66" t="s">
        <v>4750</v>
      </c>
      <c r="B10" s="154" t="s">
        <v>4760</v>
      </c>
      <c r="C10" s="72" t="s">
        <v>4746</v>
      </c>
      <c r="D10" s="72">
        <v>140</v>
      </c>
    </row>
    <row r="11" spans="1:6" ht="50.1" customHeight="1" x14ac:dyDescent="0.25">
      <c r="A11" s="66" t="s">
        <v>4751</v>
      </c>
      <c r="B11" s="154" t="s">
        <v>4761</v>
      </c>
      <c r="C11" s="72" t="s">
        <v>4746</v>
      </c>
      <c r="D11" s="72">
        <v>146</v>
      </c>
    </row>
    <row r="12" spans="1:6" ht="50.1" customHeight="1" x14ac:dyDescent="0.25">
      <c r="A12" s="66" t="s">
        <v>4752</v>
      </c>
      <c r="B12" s="154" t="s">
        <v>4763</v>
      </c>
      <c r="C12" s="72" t="s">
        <v>4746</v>
      </c>
      <c r="D12" s="72">
        <v>140</v>
      </c>
    </row>
    <row r="13" spans="1:6" ht="50.1" customHeight="1" x14ac:dyDescent="0.25">
      <c r="A13" s="66" t="s">
        <v>4753</v>
      </c>
      <c r="B13" s="154" t="s">
        <v>4762</v>
      </c>
      <c r="C13" s="72" t="s">
        <v>4749</v>
      </c>
      <c r="D13" s="72">
        <v>140</v>
      </c>
    </row>
    <row r="14" spans="1:6" ht="39.950000000000003" customHeight="1" x14ac:dyDescent="0.25">
      <c r="A14" s="63"/>
      <c r="B14" s="63"/>
      <c r="C14" s="63"/>
      <c r="D14" s="70"/>
    </row>
    <row r="15" spans="1:6" ht="39.950000000000003" customHeight="1" x14ac:dyDescent="0.25">
      <c r="A15" s="61"/>
      <c r="B15" s="61"/>
      <c r="C15" s="61"/>
      <c r="D15" s="69"/>
    </row>
    <row r="16" spans="1:6" ht="39.950000000000003" customHeight="1" x14ac:dyDescent="0.25">
      <c r="A16" s="61"/>
      <c r="B16" s="61"/>
      <c r="C16" s="61"/>
      <c r="D16" s="69"/>
    </row>
    <row r="17" spans="1:4" ht="39.950000000000003" customHeight="1" x14ac:dyDescent="0.25">
      <c r="A17" s="61"/>
      <c r="B17" s="61"/>
      <c r="C17" s="61"/>
      <c r="D17" s="6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E047D-D3C8-430F-9003-655A95CF2BF6}">
  <dimension ref="A1:K28"/>
  <sheetViews>
    <sheetView workbookViewId="0">
      <selection activeCell="L6" sqref="L6"/>
    </sheetView>
  </sheetViews>
  <sheetFormatPr baseColWidth="10" defaultColWidth="9" defaultRowHeight="15" x14ac:dyDescent="0.25"/>
  <cols>
    <col min="1" max="1" width="46" style="1113" customWidth="1"/>
    <col min="2" max="2" width="15.25" style="1113" customWidth="1"/>
    <col min="3" max="11" width="15.625" style="1113" customWidth="1"/>
    <col min="12" max="16384" width="9" style="1113"/>
  </cols>
  <sheetData>
    <row r="1" spans="1:11" ht="26.1" customHeight="1" x14ac:dyDescent="0.25">
      <c r="A1" s="1125" t="s">
        <v>7397</v>
      </c>
      <c r="B1" s="1124" t="s">
        <v>7444</v>
      </c>
      <c r="C1" s="1124"/>
      <c r="D1" s="1124"/>
      <c r="E1" s="1124"/>
      <c r="F1" s="1124"/>
      <c r="G1" s="1124"/>
      <c r="H1" s="1124"/>
      <c r="I1" s="1124"/>
      <c r="J1" s="1124"/>
      <c r="K1" s="1124"/>
    </row>
    <row r="2" spans="1:11" ht="26.1" customHeight="1" x14ac:dyDescent="0.25">
      <c r="A2" s="1122" t="s">
        <v>7443</v>
      </c>
      <c r="B2" s="1121" t="s">
        <v>7442</v>
      </c>
      <c r="C2" s="1115"/>
      <c r="D2" s="1115"/>
      <c r="E2" s="1115"/>
      <c r="F2" s="1115"/>
      <c r="G2" s="1115"/>
      <c r="H2" s="1115"/>
      <c r="I2" s="1115"/>
      <c r="J2" s="1115"/>
      <c r="K2" s="1447" t="s">
        <v>4830</v>
      </c>
    </row>
    <row r="3" spans="1:11" ht="42" customHeight="1" x14ac:dyDescent="0.25">
      <c r="A3" s="1122" t="s">
        <v>7441</v>
      </c>
      <c r="B3" s="1121" t="s">
        <v>7440</v>
      </c>
      <c r="C3" s="1115"/>
      <c r="D3" s="1115"/>
      <c r="E3" s="1115"/>
      <c r="F3" s="1115"/>
      <c r="G3" s="1115"/>
      <c r="H3" s="1115"/>
      <c r="I3" s="1115"/>
      <c r="J3" s="1115"/>
      <c r="K3" s="1115"/>
    </row>
    <row r="4" spans="1:11" ht="42" customHeight="1" x14ac:dyDescent="0.25">
      <c r="A4" s="1122" t="s">
        <v>7439</v>
      </c>
      <c r="B4" s="1123">
        <v>161</v>
      </c>
      <c r="C4" s="1115"/>
      <c r="D4" s="1115"/>
      <c r="E4" s="1115"/>
      <c r="F4" s="1115"/>
      <c r="G4" s="1115"/>
      <c r="H4" s="1115"/>
      <c r="I4" s="1115"/>
      <c r="J4" s="1115"/>
      <c r="K4" s="1115"/>
    </row>
    <row r="5" spans="1:11" ht="42" customHeight="1" x14ac:dyDescent="0.25">
      <c r="A5" s="1122" t="s">
        <v>7438</v>
      </c>
      <c r="B5" s="1123">
        <v>124</v>
      </c>
      <c r="C5" s="1115"/>
      <c r="D5" s="1115"/>
      <c r="E5" s="1115"/>
      <c r="F5" s="1115"/>
      <c r="G5" s="1115"/>
      <c r="H5" s="1115"/>
      <c r="I5" s="1115"/>
      <c r="J5" s="1115"/>
      <c r="K5" s="1115"/>
    </row>
    <row r="6" spans="1:11" ht="42" customHeight="1" x14ac:dyDescent="0.25">
      <c r="A6" s="1122" t="s">
        <v>7437</v>
      </c>
      <c r="B6" s="1123">
        <v>10</v>
      </c>
      <c r="C6" s="1115"/>
      <c r="D6" s="1115"/>
      <c r="E6" s="1115"/>
      <c r="F6" s="1115"/>
      <c r="G6" s="1115"/>
      <c r="H6" s="1115"/>
      <c r="I6" s="1115"/>
      <c r="J6" s="1115"/>
      <c r="K6" s="1115"/>
    </row>
    <row r="7" spans="1:11" ht="42" customHeight="1" x14ac:dyDescent="0.25">
      <c r="A7" s="1122" t="s">
        <v>7436</v>
      </c>
      <c r="B7" s="1123">
        <v>19</v>
      </c>
      <c r="C7" s="1115"/>
      <c r="D7" s="1115"/>
      <c r="E7" s="1115"/>
      <c r="F7" s="1115"/>
      <c r="G7" s="1115"/>
      <c r="H7" s="1115"/>
      <c r="I7" s="1115"/>
      <c r="J7" s="1115"/>
      <c r="K7" s="1115"/>
    </row>
    <row r="8" spans="1:11" ht="42" customHeight="1" x14ac:dyDescent="0.25">
      <c r="A8" s="1122" t="s">
        <v>7435</v>
      </c>
      <c r="B8" s="1123">
        <v>2</v>
      </c>
      <c r="C8" s="1115"/>
      <c r="D8" s="1115"/>
      <c r="E8" s="1115"/>
      <c r="F8" s="1115"/>
      <c r="G8" s="1115"/>
      <c r="H8" s="1115"/>
      <c r="I8" s="1115"/>
      <c r="J8" s="1115"/>
      <c r="K8" s="1115"/>
    </row>
    <row r="9" spans="1:11" ht="42" customHeight="1" x14ac:dyDescent="0.25">
      <c r="A9" s="1122" t="s">
        <v>7434</v>
      </c>
      <c r="B9" s="1121" t="s">
        <v>7433</v>
      </c>
      <c r="C9" s="1115"/>
      <c r="D9" s="1115"/>
      <c r="E9" s="1115"/>
      <c r="F9" s="1115"/>
      <c r="G9" s="1115"/>
      <c r="H9" s="1115"/>
      <c r="I9" s="1115"/>
      <c r="J9" s="1115"/>
      <c r="K9" s="1115"/>
    </row>
    <row r="10" spans="1:11" ht="42" customHeight="1" x14ac:dyDescent="0.25">
      <c r="A10" s="1122" t="s">
        <v>5439</v>
      </c>
      <c r="B10" s="1121" t="s">
        <v>7432</v>
      </c>
      <c r="C10" s="1115"/>
      <c r="D10" s="1115"/>
      <c r="E10" s="1115"/>
      <c r="F10" s="1115"/>
      <c r="G10" s="1115"/>
      <c r="H10" s="1115"/>
      <c r="I10" s="1115"/>
      <c r="J10" s="1115"/>
      <c r="K10" s="1115"/>
    </row>
    <row r="11" spans="1:11" ht="42" customHeight="1" x14ac:dyDescent="0.25">
      <c r="A11" s="1122" t="s">
        <v>7431</v>
      </c>
      <c r="B11" s="1121" t="s">
        <v>7430</v>
      </c>
      <c r="C11" s="1115"/>
      <c r="D11" s="1115"/>
      <c r="E11" s="1115"/>
      <c r="F11" s="1115"/>
      <c r="G11" s="1115"/>
      <c r="H11" s="1115"/>
      <c r="I11" s="1115"/>
      <c r="J11" s="1115"/>
      <c r="K11" s="1115"/>
    </row>
    <row r="12" spans="1:11" ht="42" customHeight="1" x14ac:dyDescent="0.25">
      <c r="A12" s="1122" t="s">
        <v>7429</v>
      </c>
      <c r="B12" s="1121" t="s">
        <v>7428</v>
      </c>
      <c r="C12" s="1115"/>
      <c r="D12" s="1115"/>
      <c r="E12" s="1115"/>
      <c r="F12" s="1115"/>
      <c r="G12" s="1115"/>
      <c r="H12" s="1115"/>
      <c r="I12" s="1115"/>
      <c r="J12" s="1115"/>
      <c r="K12" s="1115"/>
    </row>
    <row r="13" spans="1:11" ht="42" customHeight="1" x14ac:dyDescent="0.25">
      <c r="A13" s="1122" t="s">
        <v>7427</v>
      </c>
      <c r="B13" s="1121" t="s">
        <v>7426</v>
      </c>
      <c r="C13" s="1115"/>
      <c r="D13" s="1115"/>
      <c r="E13" s="1115"/>
      <c r="F13" s="1115"/>
      <c r="G13" s="1115"/>
      <c r="H13" s="1115"/>
      <c r="I13" s="1115"/>
      <c r="J13" s="1115"/>
      <c r="K13" s="1115"/>
    </row>
    <row r="14" spans="1:11" ht="21" customHeight="1" x14ac:dyDescent="0.25">
      <c r="A14" s="1115"/>
      <c r="B14" s="1115"/>
      <c r="C14" s="1115"/>
      <c r="D14" s="1115"/>
      <c r="E14" s="1115"/>
      <c r="F14" s="1115"/>
      <c r="G14" s="1115"/>
      <c r="H14" s="1115"/>
      <c r="I14" s="1115"/>
      <c r="J14" s="1115"/>
      <c r="K14" s="1115"/>
    </row>
    <row r="15" spans="1:11" ht="21" customHeight="1" x14ac:dyDescent="0.25">
      <c r="A15" s="1115"/>
      <c r="B15" s="1115"/>
      <c r="C15" s="1115"/>
      <c r="D15" s="1115"/>
      <c r="E15" s="1115"/>
      <c r="F15" s="1115"/>
      <c r="G15" s="1115"/>
      <c r="H15" s="1115"/>
      <c r="I15" s="1115"/>
      <c r="J15" s="1115"/>
      <c r="K15" s="1115"/>
    </row>
    <row r="16" spans="1:11" ht="21" customHeight="1" x14ac:dyDescent="0.25">
      <c r="A16" s="1118" t="s">
        <v>7425</v>
      </c>
      <c r="B16" s="1119" t="s">
        <v>7424</v>
      </c>
      <c r="C16" s="1117"/>
      <c r="D16" s="1115"/>
      <c r="E16" s="1115"/>
      <c r="F16" s="1115"/>
      <c r="G16" s="1115"/>
      <c r="H16" s="1115"/>
      <c r="I16" s="1115"/>
      <c r="J16" s="1115"/>
      <c r="K16" s="1115"/>
    </row>
    <row r="17" spans="1:11" ht="21" customHeight="1" x14ac:dyDescent="0.25">
      <c r="A17" s="1118" t="s">
        <v>7423</v>
      </c>
      <c r="B17" s="1120" t="s">
        <v>7422</v>
      </c>
      <c r="C17" s="1117"/>
      <c r="D17" s="1115"/>
      <c r="E17" s="1115"/>
      <c r="F17" s="1115"/>
      <c r="G17" s="1115"/>
      <c r="H17" s="1115"/>
      <c r="I17" s="1115"/>
      <c r="J17" s="1115"/>
      <c r="K17" s="1115"/>
    </row>
    <row r="18" spans="1:11" ht="21" customHeight="1" x14ac:dyDescent="0.25">
      <c r="A18" s="1118" t="s">
        <v>7421</v>
      </c>
      <c r="B18" s="1119" t="s">
        <v>7420</v>
      </c>
      <c r="C18" s="1117"/>
      <c r="D18" s="1115"/>
      <c r="E18" s="1115"/>
      <c r="F18" s="1115"/>
      <c r="G18" s="1115"/>
      <c r="H18" s="1115"/>
      <c r="I18" s="1115"/>
      <c r="J18" s="1115"/>
      <c r="K18" s="1115"/>
    </row>
    <row r="19" spans="1:11" ht="21" customHeight="1" x14ac:dyDescent="0.25">
      <c r="A19" s="1117"/>
      <c r="B19" s="1117"/>
      <c r="C19" s="1117"/>
      <c r="D19" s="1115"/>
      <c r="E19" s="1115"/>
      <c r="F19" s="1115"/>
      <c r="G19" s="1115"/>
      <c r="H19" s="1115"/>
      <c r="I19" s="1115"/>
      <c r="J19" s="1115"/>
      <c r="K19" s="1115"/>
    </row>
    <row r="20" spans="1:11" ht="21" customHeight="1" x14ac:dyDescent="0.25">
      <c r="A20" s="1118" t="s">
        <v>7419</v>
      </c>
      <c r="B20" s="1117" t="s">
        <v>7418</v>
      </c>
      <c r="C20" s="1115"/>
      <c r="D20" s="1115"/>
      <c r="E20" s="1115"/>
      <c r="F20" s="1115"/>
      <c r="G20" s="1115"/>
      <c r="H20" s="1117" t="s">
        <v>7417</v>
      </c>
      <c r="I20" s="1115"/>
      <c r="J20" s="1115"/>
      <c r="K20" s="1115"/>
    </row>
    <row r="21" spans="1:11" ht="21" customHeight="1" x14ac:dyDescent="0.25">
      <c r="A21" s="1118" t="s">
        <v>7416</v>
      </c>
      <c r="B21" s="1117" t="s">
        <v>7415</v>
      </c>
      <c r="C21" s="1115"/>
      <c r="D21" s="1115"/>
      <c r="E21" s="1115"/>
      <c r="F21" s="1115"/>
      <c r="G21" s="1115"/>
      <c r="H21" s="1117" t="s">
        <v>7414</v>
      </c>
      <c r="I21" s="1115"/>
      <c r="J21" s="1115"/>
      <c r="K21" s="1115"/>
    </row>
    <row r="22" spans="1:11" ht="21" customHeight="1" x14ac:dyDescent="0.25">
      <c r="A22" s="1118" t="s">
        <v>7413</v>
      </c>
      <c r="B22" s="1117" t="s">
        <v>7412</v>
      </c>
      <c r="C22" s="1115"/>
      <c r="D22" s="1115"/>
      <c r="E22" s="1115"/>
      <c r="F22" s="1115"/>
      <c r="G22" s="1115"/>
      <c r="H22" s="1117" t="s">
        <v>7411</v>
      </c>
      <c r="I22" s="1115"/>
      <c r="J22" s="1115"/>
      <c r="K22" s="1115"/>
    </row>
    <row r="23" spans="1:11" ht="21" customHeight="1" x14ac:dyDescent="0.25">
      <c r="A23" s="1118" t="s">
        <v>7410</v>
      </c>
      <c r="B23" s="1117" t="s">
        <v>7409</v>
      </c>
      <c r="C23" s="1115"/>
      <c r="D23" s="1115"/>
      <c r="E23" s="1115"/>
      <c r="F23" s="1115"/>
      <c r="G23" s="1115"/>
      <c r="H23" s="1117" t="s">
        <v>7408</v>
      </c>
      <c r="I23" s="1115"/>
      <c r="J23" s="1115"/>
      <c r="K23" s="1115"/>
    </row>
    <row r="24" spans="1:11" ht="21" customHeight="1" x14ac:dyDescent="0.25">
      <c r="A24" s="1118" t="s">
        <v>7407</v>
      </c>
      <c r="B24" s="1117" t="s">
        <v>7406</v>
      </c>
      <c r="C24" s="1115"/>
      <c r="D24" s="1115"/>
      <c r="E24" s="1115"/>
      <c r="F24" s="1115"/>
      <c r="G24" s="1115"/>
      <c r="H24" s="1117" t="s">
        <v>7405</v>
      </c>
      <c r="I24" s="1115"/>
      <c r="J24" s="1115"/>
      <c r="K24" s="1115"/>
    </row>
    <row r="25" spans="1:11" ht="21" customHeight="1" x14ac:dyDescent="0.25">
      <c r="A25" s="1118" t="s">
        <v>7404</v>
      </c>
      <c r="B25" s="1117" t="s">
        <v>7403</v>
      </c>
      <c r="C25" s="1115"/>
      <c r="D25" s="1115"/>
      <c r="E25" s="1115"/>
      <c r="F25" s="1115"/>
      <c r="G25" s="1115"/>
      <c r="H25" s="1117" t="s">
        <v>7402</v>
      </c>
      <c r="I25" s="1115"/>
      <c r="J25" s="1115"/>
      <c r="K25" s="1115"/>
    </row>
    <row r="26" spans="1:11" ht="38.25" customHeight="1" x14ac:dyDescent="0.25">
      <c r="A26" s="1118" t="s">
        <v>7401</v>
      </c>
      <c r="B26" s="1534" t="s">
        <v>7400</v>
      </c>
      <c r="C26" s="1534"/>
      <c r="D26" s="1534"/>
      <c r="E26" s="1534"/>
      <c r="F26" s="1534"/>
      <c r="G26" s="1534"/>
      <c r="H26" s="1117"/>
      <c r="I26" s="1115"/>
      <c r="J26" s="1115"/>
      <c r="K26" s="1115"/>
    </row>
    <row r="27" spans="1:11" ht="21" customHeight="1" x14ac:dyDescent="0.25">
      <c r="A27" s="1118" t="s">
        <v>7399</v>
      </c>
      <c r="B27" s="1117"/>
      <c r="C27" s="1115"/>
      <c r="D27" s="1115"/>
      <c r="E27" s="1115"/>
      <c r="F27" s="1115"/>
      <c r="G27" s="1115"/>
      <c r="H27" s="1116" t="s">
        <v>7398</v>
      </c>
      <c r="I27" s="1115"/>
      <c r="J27" s="1115"/>
      <c r="K27" s="1115"/>
    </row>
    <row r="28" spans="1:11" ht="15.75" x14ac:dyDescent="0.25">
      <c r="A28" s="1114"/>
      <c r="B28" s="1114"/>
      <c r="C28" s="1114"/>
    </row>
  </sheetData>
  <mergeCells count="1">
    <mergeCell ref="B26:G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BED8A-68DE-47C5-B5AD-09FDB00070EA}">
  <dimension ref="A1:Q200"/>
  <sheetViews>
    <sheetView workbookViewId="0">
      <selection activeCell="A2" sqref="A2"/>
    </sheetView>
  </sheetViews>
  <sheetFormatPr baseColWidth="10" defaultColWidth="9" defaultRowHeight="15" x14ac:dyDescent="0.25"/>
  <cols>
    <col min="1" max="1" width="5" style="196" customWidth="1"/>
    <col min="2" max="5" width="55.625" style="196" customWidth="1"/>
    <col min="6" max="16384" width="9" style="196"/>
  </cols>
  <sheetData>
    <row r="1" spans="1:17" ht="30" customHeight="1" x14ac:dyDescent="0.25">
      <c r="A1" s="1494" t="s">
        <v>5253</v>
      </c>
      <c r="B1" s="1494"/>
      <c r="C1" s="1494"/>
      <c r="D1" s="1494"/>
      <c r="E1" s="1494"/>
      <c r="F1" s="809"/>
      <c r="G1" s="809"/>
      <c r="H1" s="809"/>
      <c r="I1" s="809"/>
      <c r="J1" s="809"/>
      <c r="K1" s="809"/>
      <c r="L1" s="809"/>
      <c r="M1" s="809"/>
      <c r="N1" s="809"/>
      <c r="O1" s="809"/>
      <c r="P1" s="809"/>
      <c r="Q1" s="809"/>
    </row>
    <row r="2" spans="1:17" x14ac:dyDescent="0.25">
      <c r="A2" s="810"/>
      <c r="B2" s="810"/>
      <c r="C2" s="810"/>
      <c r="D2" s="810"/>
      <c r="E2" s="810"/>
      <c r="F2" s="810"/>
      <c r="G2" s="810"/>
      <c r="H2" s="810"/>
      <c r="I2" s="810"/>
      <c r="J2" s="810"/>
      <c r="K2" s="810"/>
      <c r="L2" s="810"/>
      <c r="M2" s="810"/>
      <c r="N2" s="810"/>
      <c r="O2" s="810"/>
      <c r="P2" s="810"/>
      <c r="Q2" s="810"/>
    </row>
    <row r="3" spans="1:17" ht="30" customHeight="1" x14ac:dyDescent="0.25">
      <c r="A3" s="811" t="s">
        <v>5254</v>
      </c>
      <c r="B3" s="811" t="s">
        <v>5255</v>
      </c>
      <c r="C3" s="811" t="s">
        <v>5256</v>
      </c>
      <c r="D3" s="811" t="s">
        <v>5257</v>
      </c>
      <c r="E3" s="811" t="s">
        <v>5258</v>
      </c>
      <c r="F3" s="810"/>
      <c r="G3" s="810"/>
      <c r="H3" s="810"/>
      <c r="I3" s="810"/>
      <c r="J3" s="810"/>
      <c r="K3" s="810"/>
      <c r="L3" s="810"/>
      <c r="M3" s="810"/>
      <c r="N3" s="810"/>
      <c r="O3" s="810"/>
      <c r="P3" s="810"/>
      <c r="Q3" s="810"/>
    </row>
    <row r="4" spans="1:17" ht="50.1" customHeight="1" x14ac:dyDescent="0.25">
      <c r="A4" s="166">
        <v>1</v>
      </c>
      <c r="B4" s="197" t="s">
        <v>5259</v>
      </c>
      <c r="C4" s="197" t="s">
        <v>5260</v>
      </c>
      <c r="D4" s="197" t="s">
        <v>5261</v>
      </c>
      <c r="E4" s="197" t="s">
        <v>5262</v>
      </c>
      <c r="F4" s="810"/>
      <c r="G4" s="810"/>
      <c r="H4" s="810"/>
      <c r="I4" s="810"/>
      <c r="J4" s="810"/>
      <c r="K4" s="810"/>
      <c r="L4" s="810"/>
      <c r="M4" s="810"/>
      <c r="N4" s="810"/>
      <c r="O4" s="810"/>
      <c r="P4" s="810"/>
      <c r="Q4" s="810"/>
    </row>
    <row r="5" spans="1:17" ht="50.1" customHeight="1" x14ac:dyDescent="0.25">
      <c r="A5" s="166">
        <v>2</v>
      </c>
      <c r="B5" s="197" t="s">
        <v>5263</v>
      </c>
      <c r="C5" s="197" t="s">
        <v>5264</v>
      </c>
      <c r="D5" s="197" t="s">
        <v>5265</v>
      </c>
      <c r="E5" s="197" t="s">
        <v>5266</v>
      </c>
      <c r="F5" s="810"/>
      <c r="G5" s="810"/>
      <c r="H5" s="810"/>
      <c r="I5" s="810"/>
      <c r="J5" s="810"/>
      <c r="K5" s="810"/>
      <c r="L5" s="810"/>
      <c r="M5" s="810"/>
      <c r="N5" s="810"/>
      <c r="O5" s="810"/>
      <c r="P5" s="810"/>
      <c r="Q5" s="810"/>
    </row>
    <row r="6" spans="1:17" ht="50.1" customHeight="1" x14ac:dyDescent="0.25">
      <c r="A6" s="166">
        <v>3</v>
      </c>
      <c r="B6" s="197" t="s">
        <v>5267</v>
      </c>
      <c r="C6" s="197" t="s">
        <v>5268</v>
      </c>
      <c r="D6" s="197" t="s">
        <v>5269</v>
      </c>
      <c r="E6" s="197" t="s">
        <v>5270</v>
      </c>
      <c r="F6" s="810"/>
      <c r="G6" s="810"/>
      <c r="H6" s="810"/>
      <c r="I6" s="810"/>
      <c r="J6" s="810"/>
      <c r="K6" s="810"/>
      <c r="L6" s="810"/>
      <c r="M6" s="810"/>
      <c r="N6" s="810"/>
      <c r="O6" s="810"/>
      <c r="P6" s="810"/>
      <c r="Q6" s="810"/>
    </row>
    <row r="7" spans="1:17" ht="50.1" customHeight="1" x14ac:dyDescent="0.25">
      <c r="A7" s="166">
        <v>4</v>
      </c>
      <c r="B7" s="197" t="s">
        <v>5271</v>
      </c>
      <c r="C7" s="197" t="s">
        <v>5272</v>
      </c>
      <c r="D7" s="197" t="s">
        <v>5273</v>
      </c>
      <c r="E7" s="197" t="s">
        <v>5274</v>
      </c>
      <c r="F7" s="810"/>
      <c r="G7" s="810"/>
      <c r="H7" s="810"/>
      <c r="I7" s="810"/>
      <c r="J7" s="810"/>
      <c r="K7" s="810"/>
      <c r="L7" s="810"/>
      <c r="M7" s="810"/>
      <c r="N7" s="810"/>
      <c r="O7" s="810"/>
      <c r="P7" s="810"/>
      <c r="Q7" s="810"/>
    </row>
    <row r="8" spans="1:17" ht="50.1" customHeight="1" x14ac:dyDescent="0.25">
      <c r="A8" s="166">
        <v>5</v>
      </c>
      <c r="B8" s="197" t="s">
        <v>5275</v>
      </c>
      <c r="C8" s="197" t="s">
        <v>5276</v>
      </c>
      <c r="D8" s="197" t="s">
        <v>5277</v>
      </c>
      <c r="E8" s="197" t="s">
        <v>5278</v>
      </c>
      <c r="F8" s="810"/>
      <c r="G8" s="810"/>
      <c r="H8" s="810"/>
      <c r="I8" s="810"/>
      <c r="J8" s="810"/>
      <c r="K8" s="810"/>
      <c r="L8" s="810"/>
      <c r="M8" s="810"/>
      <c r="N8" s="810"/>
      <c r="O8" s="810"/>
      <c r="P8" s="810"/>
      <c r="Q8" s="810"/>
    </row>
    <row r="9" spans="1:17" ht="50.1" customHeight="1" x14ac:dyDescent="0.25">
      <c r="A9" s="166">
        <v>6</v>
      </c>
      <c r="B9" s="197" t="s">
        <v>5279</v>
      </c>
      <c r="C9" s="197" t="s">
        <v>5280</v>
      </c>
      <c r="D9" s="197" t="s">
        <v>5281</v>
      </c>
      <c r="E9" s="197" t="s">
        <v>5282</v>
      </c>
      <c r="F9" s="810"/>
      <c r="G9" s="810"/>
      <c r="H9" s="810"/>
      <c r="I9" s="810"/>
      <c r="J9" s="810"/>
      <c r="K9" s="810"/>
      <c r="L9" s="810"/>
      <c r="M9" s="810"/>
      <c r="N9" s="810"/>
      <c r="O9" s="810"/>
      <c r="P9" s="810"/>
      <c r="Q9" s="810"/>
    </row>
    <row r="10" spans="1:17" ht="50.1" customHeight="1" x14ac:dyDescent="0.25">
      <c r="A10" s="166">
        <v>7</v>
      </c>
      <c r="B10" s="197" t="s">
        <v>5283</v>
      </c>
      <c r="C10" s="197" t="s">
        <v>5284</v>
      </c>
      <c r="D10" s="197" t="s">
        <v>5285</v>
      </c>
      <c r="E10" s="197" t="s">
        <v>5286</v>
      </c>
      <c r="F10" s="810"/>
      <c r="G10" s="810"/>
      <c r="H10" s="810"/>
      <c r="I10" s="810"/>
      <c r="J10" s="810"/>
      <c r="K10" s="810"/>
      <c r="L10" s="810"/>
      <c r="M10" s="810"/>
      <c r="N10" s="810"/>
      <c r="O10" s="810"/>
      <c r="P10" s="810"/>
      <c r="Q10" s="810"/>
    </row>
    <row r="11" spans="1:17" ht="50.1" customHeight="1" x14ac:dyDescent="0.25">
      <c r="A11" s="166">
        <v>8</v>
      </c>
      <c r="B11" s="197" t="s">
        <v>5287</v>
      </c>
      <c r="C11" s="197" t="s">
        <v>5288</v>
      </c>
      <c r="D11" s="197" t="s">
        <v>5289</v>
      </c>
      <c r="E11" s="197" t="s">
        <v>5290</v>
      </c>
      <c r="F11" s="810"/>
      <c r="G11" s="810"/>
      <c r="H11" s="810"/>
      <c r="I11" s="810"/>
      <c r="J11" s="810"/>
      <c r="K11" s="810"/>
      <c r="L11" s="810"/>
      <c r="M11" s="810"/>
      <c r="N11" s="810"/>
      <c r="O11" s="810"/>
      <c r="P11" s="810"/>
      <c r="Q11" s="810"/>
    </row>
    <row r="12" spans="1:17" ht="50.1" customHeight="1" x14ac:dyDescent="0.25">
      <c r="A12" s="166">
        <v>9</v>
      </c>
      <c r="B12" s="197" t="s">
        <v>5291</v>
      </c>
      <c r="C12" s="197" t="s">
        <v>5292</v>
      </c>
      <c r="D12" s="197" t="s">
        <v>5293</v>
      </c>
      <c r="E12" s="197" t="s">
        <v>5294</v>
      </c>
      <c r="F12" s="810"/>
      <c r="G12" s="810"/>
      <c r="H12" s="810"/>
      <c r="I12" s="810"/>
      <c r="J12" s="810"/>
      <c r="K12" s="810"/>
      <c r="L12" s="810"/>
      <c r="M12" s="810"/>
      <c r="N12" s="810"/>
      <c r="O12" s="810"/>
      <c r="P12" s="810"/>
      <c r="Q12" s="810"/>
    </row>
    <row r="13" spans="1:17" ht="50.1" customHeight="1" x14ac:dyDescent="0.25">
      <c r="A13" s="166">
        <v>10</v>
      </c>
      <c r="B13" s="197" t="s">
        <v>5295</v>
      </c>
      <c r="C13" s="197" t="s">
        <v>5296</v>
      </c>
      <c r="D13" s="197" t="s">
        <v>5297</v>
      </c>
      <c r="E13" s="197" t="s">
        <v>5298</v>
      </c>
      <c r="F13" s="810"/>
      <c r="G13" s="810"/>
      <c r="H13" s="810"/>
      <c r="I13" s="810"/>
      <c r="J13" s="810"/>
      <c r="K13" s="810"/>
      <c r="L13" s="810"/>
      <c r="M13" s="810"/>
      <c r="N13" s="810"/>
      <c r="O13" s="810"/>
      <c r="P13" s="810"/>
      <c r="Q13" s="810"/>
    </row>
    <row r="14" spans="1:17" ht="50.1" customHeight="1" x14ac:dyDescent="0.25">
      <c r="A14" s="166">
        <v>11</v>
      </c>
      <c r="B14" s="197" t="s">
        <v>5299</v>
      </c>
      <c r="C14" s="197" t="s">
        <v>5300</v>
      </c>
      <c r="D14" s="197" t="s">
        <v>5301</v>
      </c>
      <c r="E14" s="197" t="s">
        <v>5302</v>
      </c>
      <c r="F14" s="810"/>
      <c r="G14" s="810"/>
      <c r="H14" s="810"/>
      <c r="I14" s="810"/>
      <c r="J14" s="810"/>
      <c r="K14" s="810"/>
      <c r="L14" s="810"/>
      <c r="M14" s="810"/>
      <c r="N14" s="810"/>
      <c r="O14" s="810"/>
      <c r="P14" s="810"/>
      <c r="Q14" s="810"/>
    </row>
    <row r="15" spans="1:17" ht="50.1" customHeight="1" x14ac:dyDescent="0.25">
      <c r="A15" s="166">
        <v>12</v>
      </c>
      <c r="B15" s="197" t="s">
        <v>5303</v>
      </c>
      <c r="C15" s="197" t="s">
        <v>5304</v>
      </c>
      <c r="D15" s="197" t="s">
        <v>5305</v>
      </c>
      <c r="E15" s="197" t="s">
        <v>5306</v>
      </c>
      <c r="F15" s="810"/>
      <c r="G15" s="810"/>
      <c r="H15" s="810"/>
      <c r="I15" s="810"/>
      <c r="J15" s="810"/>
      <c r="K15" s="810"/>
      <c r="L15" s="810"/>
      <c r="M15" s="810"/>
      <c r="N15" s="810"/>
      <c r="O15" s="810"/>
      <c r="P15" s="810"/>
      <c r="Q15" s="810"/>
    </row>
    <row r="16" spans="1:17" ht="50.1" customHeight="1" x14ac:dyDescent="0.25">
      <c r="A16" s="166">
        <v>13</v>
      </c>
      <c r="B16" s="197" t="s">
        <v>5307</v>
      </c>
      <c r="C16" s="197" t="s">
        <v>5308</v>
      </c>
      <c r="D16" s="197" t="s">
        <v>5309</v>
      </c>
      <c r="E16" s="197" t="s">
        <v>5310</v>
      </c>
      <c r="F16" s="810"/>
      <c r="G16" s="810"/>
      <c r="H16" s="810"/>
      <c r="I16" s="810"/>
      <c r="J16" s="810"/>
      <c r="K16" s="810"/>
      <c r="L16" s="810"/>
      <c r="M16" s="810"/>
      <c r="N16" s="810"/>
      <c r="O16" s="810"/>
      <c r="P16" s="810"/>
      <c r="Q16" s="810"/>
    </row>
    <row r="17" spans="1:17" ht="50.1" customHeight="1" x14ac:dyDescent="0.25">
      <c r="A17" s="166">
        <v>14</v>
      </c>
      <c r="B17" s="197" t="s">
        <v>5311</v>
      </c>
      <c r="C17" s="197" t="s">
        <v>5312</v>
      </c>
      <c r="D17" s="197" t="s">
        <v>5313</v>
      </c>
      <c r="E17" s="197" t="s">
        <v>5314</v>
      </c>
      <c r="F17" s="810"/>
      <c r="G17" s="810"/>
      <c r="H17" s="810"/>
      <c r="I17" s="810"/>
      <c r="J17" s="810"/>
      <c r="K17" s="810"/>
      <c r="L17" s="810"/>
      <c r="M17" s="810"/>
      <c r="N17" s="810"/>
      <c r="O17" s="810"/>
      <c r="P17" s="810"/>
      <c r="Q17" s="810"/>
    </row>
    <row r="18" spans="1:17" ht="50.1" customHeight="1" x14ac:dyDescent="0.25">
      <c r="A18" s="166">
        <v>15</v>
      </c>
      <c r="B18" s="197" t="s">
        <v>5315</v>
      </c>
      <c r="C18" s="197" t="s">
        <v>5316</v>
      </c>
      <c r="D18" s="197" t="s">
        <v>5317</v>
      </c>
      <c r="E18" s="197" t="s">
        <v>5318</v>
      </c>
      <c r="F18" s="810"/>
      <c r="G18" s="810"/>
      <c r="H18" s="810"/>
      <c r="I18" s="810"/>
      <c r="J18" s="810"/>
      <c r="K18" s="810"/>
      <c r="L18" s="810"/>
      <c r="M18" s="810"/>
      <c r="N18" s="810"/>
      <c r="O18" s="810"/>
      <c r="P18" s="810"/>
      <c r="Q18" s="810"/>
    </row>
    <row r="19" spans="1:17" ht="50.1" customHeight="1" x14ac:dyDescent="0.25">
      <c r="A19" s="166">
        <v>16</v>
      </c>
      <c r="B19" s="197" t="s">
        <v>5319</v>
      </c>
      <c r="C19" s="197" t="s">
        <v>5320</v>
      </c>
      <c r="D19" s="197" t="s">
        <v>5321</v>
      </c>
      <c r="E19" s="197" t="s">
        <v>5322</v>
      </c>
      <c r="F19" s="810"/>
      <c r="G19" s="810"/>
      <c r="H19" s="810"/>
      <c r="I19" s="810"/>
      <c r="J19" s="810"/>
      <c r="K19" s="810"/>
      <c r="L19" s="810"/>
      <c r="M19" s="810"/>
      <c r="N19" s="810"/>
      <c r="O19" s="810"/>
      <c r="P19" s="810"/>
      <c r="Q19" s="810"/>
    </row>
    <row r="20" spans="1:17" ht="50.1" customHeight="1" x14ac:dyDescent="0.25">
      <c r="A20" s="166">
        <v>17</v>
      </c>
      <c r="B20" s="197" t="s">
        <v>5323</v>
      </c>
      <c r="C20" s="197" t="s">
        <v>5324</v>
      </c>
      <c r="D20" s="197" t="s">
        <v>5325</v>
      </c>
      <c r="E20" s="197" t="s">
        <v>5326</v>
      </c>
      <c r="F20" s="810"/>
      <c r="G20" s="810"/>
      <c r="H20" s="810"/>
      <c r="I20" s="810"/>
      <c r="J20" s="810"/>
      <c r="K20" s="810"/>
      <c r="L20" s="810"/>
      <c r="M20" s="810"/>
      <c r="N20" s="810"/>
      <c r="O20" s="810"/>
      <c r="P20" s="810"/>
      <c r="Q20" s="810"/>
    </row>
    <row r="21" spans="1:17" ht="50.1" customHeight="1" x14ac:dyDescent="0.25">
      <c r="A21" s="166">
        <v>18</v>
      </c>
      <c r="B21" s="197" t="s">
        <v>5327</v>
      </c>
      <c r="C21" s="197" t="s">
        <v>5328</v>
      </c>
      <c r="D21" s="197" t="s">
        <v>5329</v>
      </c>
      <c r="E21" s="197" t="s">
        <v>5330</v>
      </c>
      <c r="F21" s="810"/>
      <c r="G21" s="810"/>
      <c r="H21" s="810"/>
      <c r="I21" s="810"/>
      <c r="J21" s="810"/>
      <c r="K21" s="810"/>
      <c r="L21" s="810"/>
      <c r="M21" s="810"/>
      <c r="N21" s="810"/>
      <c r="O21" s="810"/>
      <c r="P21" s="810"/>
      <c r="Q21" s="810"/>
    </row>
    <row r="22" spans="1:17" ht="50.1" customHeight="1" x14ac:dyDescent="0.25">
      <c r="A22" s="166">
        <v>19</v>
      </c>
      <c r="B22" s="197" t="s">
        <v>5331</v>
      </c>
      <c r="C22" s="197" t="s">
        <v>5332</v>
      </c>
      <c r="D22" s="197" t="s">
        <v>5333</v>
      </c>
      <c r="E22" s="197" t="s">
        <v>5334</v>
      </c>
      <c r="F22" s="810"/>
      <c r="G22" s="810"/>
      <c r="H22" s="810"/>
      <c r="I22" s="810"/>
      <c r="J22" s="810"/>
      <c r="K22" s="810"/>
      <c r="L22" s="810"/>
      <c r="M22" s="810"/>
      <c r="N22" s="810"/>
      <c r="O22" s="810"/>
      <c r="P22" s="810"/>
      <c r="Q22" s="810"/>
    </row>
    <row r="23" spans="1:17" ht="50.1" customHeight="1" x14ac:dyDescent="0.25">
      <c r="A23" s="166">
        <v>20</v>
      </c>
      <c r="B23" s="197" t="s">
        <v>5335</v>
      </c>
      <c r="C23" s="197" t="s">
        <v>5336</v>
      </c>
      <c r="D23" s="197" t="s">
        <v>5337</v>
      </c>
      <c r="E23" s="197" t="s">
        <v>5338</v>
      </c>
      <c r="F23" s="810"/>
      <c r="G23" s="810"/>
      <c r="H23" s="810"/>
      <c r="I23" s="810"/>
      <c r="J23" s="810"/>
      <c r="K23" s="810"/>
      <c r="L23" s="810"/>
      <c r="M23" s="810"/>
      <c r="N23" s="810"/>
      <c r="O23" s="810"/>
      <c r="P23" s="810"/>
      <c r="Q23" s="810"/>
    </row>
    <row r="24" spans="1:17" x14ac:dyDescent="0.25">
      <c r="A24" s="810"/>
      <c r="B24" s="810"/>
      <c r="C24" s="810"/>
      <c r="D24" s="810"/>
      <c r="E24" s="810"/>
      <c r="F24" s="810"/>
      <c r="G24" s="810"/>
      <c r="H24" s="810"/>
      <c r="I24" s="810"/>
      <c r="J24" s="810"/>
      <c r="K24" s="810"/>
      <c r="L24" s="810"/>
      <c r="M24" s="810"/>
      <c r="N24" s="810"/>
      <c r="O24" s="810"/>
      <c r="P24" s="810"/>
      <c r="Q24" s="810"/>
    </row>
    <row r="25" spans="1:17" x14ac:dyDescent="0.25">
      <c r="A25" s="810"/>
      <c r="B25" s="810"/>
      <c r="C25" s="810"/>
      <c r="D25" s="810"/>
      <c r="E25" s="810"/>
      <c r="F25" s="810"/>
      <c r="G25" s="810"/>
      <c r="H25" s="810"/>
      <c r="I25" s="810"/>
      <c r="J25" s="810"/>
      <c r="K25" s="810"/>
      <c r="L25" s="810"/>
      <c r="M25" s="810"/>
      <c r="N25" s="810"/>
      <c r="O25" s="810"/>
      <c r="P25" s="810"/>
      <c r="Q25" s="810"/>
    </row>
    <row r="26" spans="1:17" x14ac:dyDescent="0.25">
      <c r="A26" s="810"/>
      <c r="B26" s="810"/>
      <c r="C26" s="810"/>
      <c r="D26" s="810"/>
      <c r="E26" s="810"/>
      <c r="F26" s="810"/>
      <c r="G26" s="810"/>
      <c r="H26" s="810"/>
      <c r="I26" s="810"/>
      <c r="J26" s="810"/>
      <c r="K26" s="810"/>
      <c r="L26" s="810"/>
      <c r="M26" s="810"/>
      <c r="N26" s="810"/>
      <c r="O26" s="810"/>
      <c r="P26" s="810"/>
      <c r="Q26" s="810"/>
    </row>
    <row r="27" spans="1:17" x14ac:dyDescent="0.25">
      <c r="A27" s="810"/>
      <c r="B27" s="810"/>
      <c r="C27" s="810"/>
      <c r="D27" s="810"/>
      <c r="E27" s="810"/>
      <c r="F27" s="810"/>
      <c r="G27" s="810"/>
      <c r="H27" s="810"/>
      <c r="I27" s="810"/>
      <c r="J27" s="810"/>
      <c r="K27" s="810"/>
      <c r="L27" s="810"/>
      <c r="M27" s="810"/>
      <c r="N27" s="810"/>
      <c r="O27" s="810"/>
      <c r="P27" s="810"/>
      <c r="Q27" s="810"/>
    </row>
    <row r="28" spans="1:17" x14ac:dyDescent="0.25">
      <c r="A28" s="810"/>
      <c r="B28" s="810"/>
      <c r="C28" s="810"/>
      <c r="D28" s="810"/>
      <c r="E28" s="810"/>
      <c r="F28" s="810"/>
      <c r="G28" s="810"/>
      <c r="H28" s="810"/>
      <c r="I28" s="810"/>
      <c r="J28" s="810"/>
      <c r="K28" s="810"/>
      <c r="L28" s="810"/>
      <c r="M28" s="810"/>
      <c r="N28" s="810"/>
      <c r="O28" s="810"/>
      <c r="P28" s="810"/>
      <c r="Q28" s="810"/>
    </row>
    <row r="29" spans="1:17" x14ac:dyDescent="0.25">
      <c r="A29" s="810"/>
      <c r="B29" s="810"/>
      <c r="C29" s="810"/>
      <c r="D29" s="810"/>
      <c r="E29" s="810"/>
      <c r="F29" s="810"/>
      <c r="G29" s="810"/>
      <c r="H29" s="810"/>
      <c r="I29" s="810"/>
      <c r="J29" s="810"/>
      <c r="K29" s="810"/>
      <c r="L29" s="810"/>
      <c r="M29" s="810"/>
      <c r="N29" s="810"/>
      <c r="O29" s="810"/>
      <c r="P29" s="810"/>
      <c r="Q29" s="810"/>
    </row>
    <row r="30" spans="1:17" x14ac:dyDescent="0.25">
      <c r="A30" s="810"/>
      <c r="B30" s="810"/>
      <c r="C30" s="810"/>
      <c r="D30" s="810"/>
      <c r="E30" s="810"/>
      <c r="F30" s="810"/>
      <c r="G30" s="810"/>
      <c r="H30" s="810"/>
      <c r="I30" s="810"/>
      <c r="J30" s="810"/>
      <c r="K30" s="810"/>
      <c r="L30" s="810"/>
      <c r="M30" s="810"/>
      <c r="N30" s="810"/>
      <c r="O30" s="810"/>
      <c r="P30" s="810"/>
      <c r="Q30" s="810"/>
    </row>
    <row r="31" spans="1:17" x14ac:dyDescent="0.25">
      <c r="A31" s="810"/>
      <c r="B31" s="810"/>
      <c r="C31" s="810"/>
      <c r="D31" s="810"/>
      <c r="E31" s="810"/>
      <c r="F31" s="810"/>
      <c r="G31" s="810"/>
      <c r="H31" s="810"/>
      <c r="I31" s="810"/>
      <c r="J31" s="810"/>
      <c r="K31" s="810"/>
      <c r="L31" s="810"/>
      <c r="M31" s="810"/>
      <c r="N31" s="810"/>
      <c r="O31" s="810"/>
      <c r="P31" s="810"/>
      <c r="Q31" s="810"/>
    </row>
    <row r="32" spans="1:17" x14ac:dyDescent="0.25">
      <c r="A32" s="810"/>
      <c r="B32" s="810"/>
      <c r="C32" s="810"/>
      <c r="D32" s="810"/>
      <c r="E32" s="810"/>
      <c r="F32" s="810"/>
      <c r="G32" s="810"/>
      <c r="H32" s="810"/>
      <c r="I32" s="810"/>
      <c r="J32" s="810"/>
      <c r="K32" s="810"/>
      <c r="L32" s="810"/>
      <c r="M32" s="810"/>
      <c r="N32" s="810"/>
      <c r="O32" s="810"/>
      <c r="P32" s="810"/>
      <c r="Q32" s="810"/>
    </row>
    <row r="33" spans="1:17" x14ac:dyDescent="0.25">
      <c r="A33" s="810"/>
      <c r="B33" s="810"/>
      <c r="C33" s="810"/>
      <c r="D33" s="810"/>
      <c r="E33" s="810"/>
      <c r="F33" s="810"/>
      <c r="G33" s="810"/>
      <c r="H33" s="810"/>
      <c r="I33" s="810"/>
      <c r="J33" s="810"/>
      <c r="K33" s="810"/>
      <c r="L33" s="810"/>
      <c r="M33" s="810"/>
      <c r="N33" s="810"/>
      <c r="O33" s="810"/>
      <c r="P33" s="810"/>
      <c r="Q33" s="810"/>
    </row>
    <row r="34" spans="1:17" x14ac:dyDescent="0.25">
      <c r="A34" s="810"/>
      <c r="B34" s="810"/>
      <c r="C34" s="810"/>
      <c r="D34" s="810"/>
      <c r="E34" s="810"/>
      <c r="F34" s="810"/>
      <c r="G34" s="810"/>
      <c r="H34" s="810"/>
      <c r="I34" s="810"/>
      <c r="J34" s="810"/>
      <c r="K34" s="810"/>
      <c r="L34" s="810"/>
      <c r="M34" s="810"/>
      <c r="N34" s="810"/>
      <c r="O34" s="810"/>
      <c r="P34" s="810"/>
      <c r="Q34" s="810"/>
    </row>
    <row r="35" spans="1:17" x14ac:dyDescent="0.25">
      <c r="A35" s="810"/>
      <c r="B35" s="810"/>
      <c r="C35" s="810"/>
      <c r="D35" s="810"/>
      <c r="E35" s="810"/>
      <c r="F35" s="810"/>
      <c r="G35" s="810"/>
      <c r="H35" s="810"/>
      <c r="I35" s="810"/>
      <c r="J35" s="810"/>
      <c r="K35" s="810"/>
      <c r="L35" s="810"/>
      <c r="M35" s="810"/>
      <c r="N35" s="810"/>
      <c r="O35" s="810"/>
      <c r="P35" s="810"/>
      <c r="Q35" s="810"/>
    </row>
    <row r="36" spans="1:17" x14ac:dyDescent="0.25">
      <c r="A36" s="810"/>
      <c r="B36" s="810"/>
      <c r="C36" s="810"/>
      <c r="D36" s="810"/>
      <c r="E36" s="810"/>
      <c r="F36" s="810"/>
      <c r="G36" s="810"/>
      <c r="H36" s="810"/>
      <c r="I36" s="810"/>
      <c r="J36" s="810"/>
      <c r="K36" s="810"/>
      <c r="L36" s="810"/>
      <c r="M36" s="810"/>
      <c r="N36" s="810"/>
      <c r="O36" s="810"/>
      <c r="P36" s="810"/>
      <c r="Q36" s="810"/>
    </row>
    <row r="37" spans="1:17" x14ac:dyDescent="0.25">
      <c r="A37" s="810"/>
      <c r="B37" s="810"/>
      <c r="C37" s="810"/>
      <c r="D37" s="810"/>
      <c r="E37" s="810"/>
      <c r="F37" s="810"/>
      <c r="G37" s="810"/>
      <c r="H37" s="810"/>
      <c r="I37" s="810"/>
      <c r="J37" s="810"/>
      <c r="K37" s="810"/>
      <c r="L37" s="810"/>
      <c r="M37" s="810"/>
      <c r="N37" s="810"/>
      <c r="O37" s="810"/>
      <c r="P37" s="810"/>
      <c r="Q37" s="810"/>
    </row>
    <row r="38" spans="1:17" x14ac:dyDescent="0.25">
      <c r="A38" s="810"/>
      <c r="B38" s="810"/>
      <c r="C38" s="810"/>
      <c r="D38" s="810"/>
      <c r="E38" s="810"/>
      <c r="F38" s="810"/>
      <c r="G38" s="810"/>
      <c r="H38" s="810"/>
      <c r="I38" s="810"/>
      <c r="J38" s="810"/>
      <c r="K38" s="810"/>
      <c r="L38" s="810"/>
      <c r="M38" s="810"/>
      <c r="N38" s="810"/>
      <c r="O38" s="810"/>
      <c r="P38" s="810"/>
      <c r="Q38" s="810"/>
    </row>
    <row r="39" spans="1:17" x14ac:dyDescent="0.25">
      <c r="A39" s="810"/>
      <c r="B39" s="810"/>
      <c r="C39" s="810"/>
      <c r="D39" s="810"/>
      <c r="E39" s="810"/>
      <c r="F39" s="810"/>
      <c r="G39" s="810"/>
      <c r="H39" s="810"/>
      <c r="I39" s="810"/>
      <c r="J39" s="810"/>
      <c r="K39" s="810"/>
      <c r="L39" s="810"/>
      <c r="M39" s="810"/>
      <c r="N39" s="810"/>
      <c r="O39" s="810"/>
      <c r="P39" s="810"/>
      <c r="Q39" s="810"/>
    </row>
    <row r="40" spans="1:17" x14ac:dyDescent="0.25">
      <c r="A40" s="810"/>
      <c r="B40" s="810"/>
      <c r="C40" s="810"/>
      <c r="D40" s="810"/>
      <c r="E40" s="810"/>
      <c r="F40" s="810"/>
      <c r="G40" s="810"/>
      <c r="H40" s="810"/>
      <c r="I40" s="810"/>
      <c r="J40" s="810"/>
      <c r="K40" s="810"/>
      <c r="L40" s="810"/>
      <c r="M40" s="810"/>
      <c r="N40" s="810"/>
      <c r="O40" s="810"/>
      <c r="P40" s="810"/>
      <c r="Q40" s="810"/>
    </row>
    <row r="41" spans="1:17" x14ac:dyDescent="0.25">
      <c r="A41" s="810"/>
      <c r="B41" s="810"/>
      <c r="C41" s="810"/>
      <c r="D41" s="810"/>
      <c r="E41" s="810"/>
      <c r="F41" s="810"/>
      <c r="G41" s="810"/>
      <c r="H41" s="810"/>
      <c r="I41" s="810"/>
      <c r="J41" s="810"/>
      <c r="K41" s="810"/>
      <c r="L41" s="810"/>
      <c r="M41" s="810"/>
      <c r="N41" s="810"/>
      <c r="O41" s="810"/>
      <c r="P41" s="810"/>
      <c r="Q41" s="810"/>
    </row>
    <row r="42" spans="1:17" x14ac:dyDescent="0.25">
      <c r="A42" s="810"/>
      <c r="B42" s="810"/>
      <c r="C42" s="810"/>
      <c r="D42" s="810"/>
      <c r="E42" s="810"/>
      <c r="F42" s="810"/>
      <c r="G42" s="810"/>
      <c r="H42" s="810"/>
      <c r="I42" s="810"/>
      <c r="J42" s="810"/>
      <c r="K42" s="810"/>
      <c r="L42" s="810"/>
      <c r="M42" s="810"/>
      <c r="N42" s="810"/>
      <c r="O42" s="810"/>
      <c r="P42" s="810"/>
      <c r="Q42" s="810"/>
    </row>
    <row r="43" spans="1:17" x14ac:dyDescent="0.25">
      <c r="A43" s="810"/>
      <c r="B43" s="810"/>
      <c r="C43" s="810"/>
      <c r="D43" s="810"/>
      <c r="E43" s="810"/>
      <c r="F43" s="810"/>
      <c r="G43" s="810"/>
      <c r="H43" s="810"/>
      <c r="I43" s="810"/>
      <c r="J43" s="810"/>
      <c r="K43" s="810"/>
      <c r="L43" s="810"/>
      <c r="M43" s="810"/>
      <c r="N43" s="810"/>
      <c r="O43" s="810"/>
      <c r="P43" s="810"/>
      <c r="Q43" s="810"/>
    </row>
    <row r="44" spans="1:17" x14ac:dyDescent="0.25">
      <c r="A44" s="810"/>
      <c r="B44" s="810"/>
      <c r="C44" s="810"/>
      <c r="D44" s="810"/>
      <c r="E44" s="810"/>
      <c r="F44" s="810"/>
      <c r="G44" s="810"/>
      <c r="H44" s="810"/>
      <c r="I44" s="810"/>
      <c r="J44" s="810"/>
      <c r="K44" s="810"/>
      <c r="L44" s="810"/>
      <c r="M44" s="810"/>
      <c r="N44" s="810"/>
      <c r="O44" s="810"/>
      <c r="P44" s="810"/>
      <c r="Q44" s="810"/>
    </row>
    <row r="45" spans="1:17" x14ac:dyDescent="0.25">
      <c r="A45" s="810"/>
      <c r="B45" s="810"/>
      <c r="C45" s="810"/>
      <c r="D45" s="810"/>
      <c r="E45" s="810"/>
      <c r="F45" s="810"/>
      <c r="G45" s="810"/>
      <c r="H45" s="810"/>
      <c r="I45" s="810"/>
      <c r="J45" s="810"/>
      <c r="K45" s="810"/>
      <c r="L45" s="810"/>
      <c r="M45" s="810"/>
      <c r="N45" s="810"/>
      <c r="O45" s="810"/>
      <c r="P45" s="810"/>
      <c r="Q45" s="810"/>
    </row>
    <row r="46" spans="1:17" x14ac:dyDescent="0.25">
      <c r="A46" s="810"/>
      <c r="B46" s="810"/>
      <c r="C46" s="810"/>
      <c r="D46" s="810"/>
      <c r="E46" s="810"/>
      <c r="F46" s="810"/>
      <c r="G46" s="810"/>
      <c r="H46" s="810"/>
      <c r="I46" s="810"/>
      <c r="J46" s="810"/>
      <c r="K46" s="810"/>
      <c r="L46" s="810"/>
      <c r="M46" s="810"/>
      <c r="N46" s="810"/>
      <c r="O46" s="810"/>
      <c r="P46" s="810"/>
      <c r="Q46" s="810"/>
    </row>
    <row r="47" spans="1:17" x14ac:dyDescent="0.25">
      <c r="A47" s="810"/>
      <c r="B47" s="810"/>
      <c r="C47" s="810"/>
      <c r="D47" s="810"/>
      <c r="E47" s="810"/>
      <c r="F47" s="810"/>
      <c r="G47" s="810"/>
      <c r="H47" s="810"/>
      <c r="I47" s="810"/>
      <c r="J47" s="810"/>
      <c r="K47" s="810"/>
      <c r="L47" s="810"/>
      <c r="M47" s="810"/>
      <c r="N47" s="810"/>
      <c r="O47" s="810"/>
      <c r="P47" s="810"/>
      <c r="Q47" s="810"/>
    </row>
    <row r="48" spans="1:17" x14ac:dyDescent="0.25">
      <c r="A48" s="810"/>
      <c r="B48" s="810"/>
      <c r="C48" s="810"/>
      <c r="D48" s="810"/>
      <c r="E48" s="810"/>
      <c r="F48" s="810"/>
      <c r="G48" s="810"/>
      <c r="H48" s="810"/>
      <c r="I48" s="810"/>
      <c r="J48" s="810"/>
      <c r="K48" s="810"/>
      <c r="L48" s="810"/>
      <c r="M48" s="810"/>
      <c r="N48" s="810"/>
      <c r="O48" s="810"/>
      <c r="P48" s="810"/>
      <c r="Q48" s="810"/>
    </row>
    <row r="49" spans="1:17" x14ac:dyDescent="0.25">
      <c r="A49" s="810"/>
      <c r="B49" s="810"/>
      <c r="C49" s="810"/>
      <c r="D49" s="810"/>
      <c r="E49" s="810"/>
      <c r="F49" s="810"/>
      <c r="G49" s="810"/>
      <c r="H49" s="810"/>
      <c r="I49" s="810"/>
      <c r="J49" s="810"/>
      <c r="K49" s="810"/>
      <c r="L49" s="810"/>
      <c r="M49" s="810"/>
      <c r="N49" s="810"/>
      <c r="O49" s="810"/>
      <c r="P49" s="810"/>
      <c r="Q49" s="810"/>
    </row>
    <row r="50" spans="1:17" x14ac:dyDescent="0.25">
      <c r="A50" s="810"/>
      <c r="B50" s="810"/>
      <c r="C50" s="810"/>
      <c r="D50" s="810"/>
      <c r="E50" s="810"/>
      <c r="F50" s="810"/>
      <c r="G50" s="810"/>
      <c r="H50" s="810"/>
      <c r="I50" s="810"/>
      <c r="J50" s="810"/>
      <c r="K50" s="810"/>
      <c r="L50" s="810"/>
      <c r="M50" s="810"/>
      <c r="N50" s="810"/>
      <c r="O50" s="810"/>
      <c r="P50" s="810"/>
      <c r="Q50" s="810"/>
    </row>
    <row r="51" spans="1:17" x14ac:dyDescent="0.25">
      <c r="A51" s="810"/>
      <c r="B51" s="810"/>
      <c r="C51" s="810"/>
      <c r="D51" s="810"/>
      <c r="E51" s="810"/>
      <c r="F51" s="810"/>
      <c r="G51" s="810"/>
      <c r="H51" s="810"/>
      <c r="I51" s="810"/>
      <c r="J51" s="810"/>
      <c r="K51" s="810"/>
      <c r="L51" s="810"/>
      <c r="M51" s="810"/>
      <c r="N51" s="810"/>
      <c r="O51" s="810"/>
      <c r="P51" s="810"/>
      <c r="Q51" s="810"/>
    </row>
    <row r="52" spans="1:17" x14ac:dyDescent="0.25">
      <c r="A52" s="810"/>
      <c r="B52" s="810"/>
      <c r="C52" s="810"/>
      <c r="D52" s="810"/>
      <c r="E52" s="810"/>
      <c r="F52" s="810"/>
      <c r="G52" s="810"/>
      <c r="H52" s="810"/>
      <c r="I52" s="810"/>
      <c r="J52" s="810"/>
      <c r="K52" s="810"/>
      <c r="L52" s="810"/>
      <c r="M52" s="810"/>
      <c r="N52" s="810"/>
      <c r="O52" s="810"/>
      <c r="P52" s="810"/>
      <c r="Q52" s="810"/>
    </row>
    <row r="53" spans="1:17" x14ac:dyDescent="0.25">
      <c r="A53" s="810"/>
      <c r="B53" s="810"/>
      <c r="C53" s="810"/>
      <c r="D53" s="810"/>
      <c r="E53" s="810"/>
      <c r="F53" s="810"/>
      <c r="G53" s="810"/>
      <c r="H53" s="810"/>
      <c r="I53" s="810"/>
      <c r="J53" s="810"/>
      <c r="K53" s="810"/>
      <c r="L53" s="810"/>
      <c r="M53" s="810"/>
      <c r="N53" s="810"/>
      <c r="O53" s="810"/>
      <c r="P53" s="810"/>
      <c r="Q53" s="810"/>
    </row>
    <row r="54" spans="1:17" x14ac:dyDescent="0.25">
      <c r="A54" s="810"/>
      <c r="B54" s="810"/>
      <c r="C54" s="810"/>
      <c r="D54" s="810"/>
      <c r="E54" s="810"/>
      <c r="F54" s="810"/>
      <c r="G54" s="810"/>
      <c r="H54" s="810"/>
      <c r="I54" s="810"/>
      <c r="J54" s="810"/>
      <c r="K54" s="810"/>
      <c r="L54" s="810"/>
      <c r="M54" s="810"/>
      <c r="N54" s="810"/>
      <c r="O54" s="810"/>
      <c r="P54" s="810"/>
      <c r="Q54" s="810"/>
    </row>
    <row r="55" spans="1:17" x14ac:dyDescent="0.25">
      <c r="A55" s="810"/>
      <c r="B55" s="810"/>
      <c r="C55" s="810"/>
      <c r="D55" s="810"/>
      <c r="E55" s="810"/>
      <c r="F55" s="810"/>
      <c r="G55" s="810"/>
      <c r="H55" s="810"/>
      <c r="I55" s="810"/>
      <c r="J55" s="810"/>
      <c r="K55" s="810"/>
      <c r="L55" s="810"/>
      <c r="M55" s="810"/>
      <c r="N55" s="810"/>
      <c r="O55" s="810"/>
      <c r="P55" s="810"/>
      <c r="Q55" s="810"/>
    </row>
    <row r="56" spans="1:17" x14ac:dyDescent="0.25">
      <c r="A56" s="810"/>
      <c r="B56" s="810"/>
      <c r="C56" s="810"/>
      <c r="D56" s="810"/>
      <c r="E56" s="810"/>
      <c r="F56" s="810"/>
      <c r="G56" s="810"/>
      <c r="H56" s="810"/>
      <c r="I56" s="810"/>
      <c r="J56" s="810"/>
      <c r="K56" s="810"/>
      <c r="L56" s="810"/>
      <c r="M56" s="810"/>
      <c r="N56" s="810"/>
      <c r="O56" s="810"/>
      <c r="P56" s="810"/>
      <c r="Q56" s="810"/>
    </row>
    <row r="57" spans="1:17" x14ac:dyDescent="0.25">
      <c r="A57" s="810"/>
      <c r="B57" s="810"/>
      <c r="C57" s="810"/>
      <c r="D57" s="810"/>
      <c r="E57" s="810"/>
      <c r="F57" s="810"/>
      <c r="G57" s="810"/>
      <c r="H57" s="810"/>
      <c r="I57" s="810"/>
      <c r="J57" s="810"/>
      <c r="K57" s="810"/>
      <c r="L57" s="810"/>
      <c r="M57" s="810"/>
      <c r="N57" s="810"/>
      <c r="O57" s="810"/>
      <c r="P57" s="810"/>
      <c r="Q57" s="810"/>
    </row>
    <row r="58" spans="1:17" x14ac:dyDescent="0.25">
      <c r="A58" s="810"/>
      <c r="B58" s="810"/>
      <c r="C58" s="810"/>
      <c r="D58" s="810"/>
      <c r="E58" s="810"/>
      <c r="F58" s="810"/>
      <c r="G58" s="810"/>
      <c r="H58" s="810"/>
      <c r="I58" s="810"/>
      <c r="J58" s="810"/>
      <c r="K58" s="810"/>
      <c r="L58" s="810"/>
      <c r="M58" s="810"/>
      <c r="N58" s="810"/>
      <c r="O58" s="810"/>
      <c r="P58" s="810"/>
      <c r="Q58" s="810"/>
    </row>
    <row r="59" spans="1:17" x14ac:dyDescent="0.25">
      <c r="A59" s="810"/>
      <c r="B59" s="810"/>
      <c r="C59" s="810"/>
      <c r="D59" s="810"/>
      <c r="E59" s="810"/>
      <c r="F59" s="810"/>
      <c r="G59" s="810"/>
      <c r="H59" s="810"/>
      <c r="I59" s="810"/>
      <c r="J59" s="810"/>
      <c r="K59" s="810"/>
      <c r="L59" s="810"/>
      <c r="M59" s="810"/>
      <c r="N59" s="810"/>
      <c r="O59" s="810"/>
      <c r="P59" s="810"/>
      <c r="Q59" s="810"/>
    </row>
    <row r="60" spans="1:17" x14ac:dyDescent="0.25">
      <c r="A60" s="810"/>
      <c r="B60" s="810"/>
      <c r="C60" s="810"/>
      <c r="D60" s="810"/>
      <c r="E60" s="810"/>
      <c r="F60" s="810"/>
      <c r="G60" s="810"/>
      <c r="H60" s="810"/>
      <c r="I60" s="810"/>
      <c r="J60" s="810"/>
      <c r="K60" s="810"/>
      <c r="L60" s="810"/>
      <c r="M60" s="810"/>
      <c r="N60" s="810"/>
      <c r="O60" s="810"/>
      <c r="P60" s="810"/>
      <c r="Q60" s="810"/>
    </row>
    <row r="61" spans="1:17" x14ac:dyDescent="0.25">
      <c r="A61" s="810"/>
      <c r="B61" s="810"/>
      <c r="C61" s="810"/>
      <c r="D61" s="810"/>
      <c r="E61" s="810"/>
      <c r="F61" s="810"/>
      <c r="G61" s="810"/>
      <c r="H61" s="810"/>
      <c r="I61" s="810"/>
      <c r="J61" s="810"/>
      <c r="K61" s="810"/>
      <c r="L61" s="810"/>
      <c r="M61" s="810"/>
      <c r="N61" s="810"/>
      <c r="O61" s="810"/>
      <c r="P61" s="810"/>
      <c r="Q61" s="810"/>
    </row>
    <row r="62" spans="1:17" x14ac:dyDescent="0.25">
      <c r="A62" s="810"/>
      <c r="B62" s="810"/>
      <c r="C62" s="810"/>
      <c r="D62" s="810"/>
      <c r="E62" s="810"/>
      <c r="F62" s="810"/>
      <c r="G62" s="810"/>
      <c r="H62" s="810"/>
      <c r="I62" s="810"/>
      <c r="J62" s="810"/>
      <c r="K62" s="810"/>
      <c r="L62" s="810"/>
      <c r="M62" s="810"/>
      <c r="N62" s="810"/>
      <c r="O62" s="810"/>
      <c r="P62" s="810"/>
      <c r="Q62" s="810"/>
    </row>
    <row r="63" spans="1:17" x14ac:dyDescent="0.25">
      <c r="A63" s="810"/>
      <c r="B63" s="810"/>
      <c r="C63" s="810"/>
      <c r="D63" s="810"/>
      <c r="E63" s="810"/>
      <c r="F63" s="810"/>
      <c r="G63" s="810"/>
      <c r="H63" s="810"/>
      <c r="I63" s="810"/>
      <c r="J63" s="810"/>
      <c r="K63" s="810"/>
      <c r="L63" s="810"/>
      <c r="M63" s="810"/>
      <c r="N63" s="810"/>
      <c r="O63" s="810"/>
      <c r="P63" s="810"/>
      <c r="Q63" s="810"/>
    </row>
    <row r="64" spans="1:17" x14ac:dyDescent="0.25">
      <c r="A64" s="810"/>
      <c r="B64" s="810"/>
      <c r="C64" s="810"/>
      <c r="D64" s="810"/>
      <c r="E64" s="810"/>
      <c r="F64" s="810"/>
      <c r="G64" s="810"/>
      <c r="H64" s="810"/>
      <c r="I64" s="810"/>
      <c r="J64" s="810"/>
      <c r="K64" s="810"/>
      <c r="L64" s="810"/>
      <c r="M64" s="810"/>
      <c r="N64" s="810"/>
      <c r="O64" s="810"/>
      <c r="P64" s="810"/>
      <c r="Q64" s="810"/>
    </row>
    <row r="65" spans="1:17" x14ac:dyDescent="0.25">
      <c r="A65" s="810"/>
      <c r="B65" s="810"/>
      <c r="C65" s="810"/>
      <c r="D65" s="810"/>
      <c r="E65" s="810"/>
      <c r="F65" s="810"/>
      <c r="G65" s="810"/>
      <c r="H65" s="810"/>
      <c r="I65" s="810"/>
      <c r="J65" s="810"/>
      <c r="K65" s="810"/>
      <c r="L65" s="810"/>
      <c r="M65" s="810"/>
      <c r="N65" s="810"/>
      <c r="O65" s="810"/>
      <c r="P65" s="810"/>
      <c r="Q65" s="810"/>
    </row>
    <row r="66" spans="1:17" x14ac:dyDescent="0.25">
      <c r="A66" s="810"/>
      <c r="B66" s="810"/>
      <c r="C66" s="810"/>
      <c r="D66" s="810"/>
      <c r="E66" s="810"/>
      <c r="F66" s="810"/>
      <c r="G66" s="810"/>
      <c r="H66" s="810"/>
      <c r="I66" s="810"/>
      <c r="J66" s="810"/>
      <c r="K66" s="810"/>
      <c r="L66" s="810"/>
      <c r="M66" s="810"/>
      <c r="N66" s="810"/>
      <c r="O66" s="810"/>
      <c r="P66" s="810"/>
      <c r="Q66" s="810"/>
    </row>
    <row r="67" spans="1:17" x14ac:dyDescent="0.25">
      <c r="A67" s="810"/>
      <c r="B67" s="810"/>
      <c r="C67" s="810"/>
      <c r="D67" s="810"/>
      <c r="E67" s="810"/>
      <c r="F67" s="810"/>
      <c r="G67" s="810"/>
      <c r="H67" s="810"/>
      <c r="I67" s="810"/>
      <c r="J67" s="810"/>
      <c r="K67" s="810"/>
      <c r="L67" s="810"/>
      <c r="M67" s="810"/>
      <c r="N67" s="810"/>
      <c r="O67" s="810"/>
      <c r="P67" s="810"/>
      <c r="Q67" s="810"/>
    </row>
    <row r="68" spans="1:17" x14ac:dyDescent="0.25">
      <c r="A68" s="810"/>
      <c r="B68" s="810"/>
      <c r="C68" s="810"/>
      <c r="D68" s="810"/>
      <c r="E68" s="810"/>
      <c r="F68" s="810"/>
      <c r="G68" s="810"/>
      <c r="H68" s="810"/>
      <c r="I68" s="810"/>
      <c r="J68" s="810"/>
      <c r="K68" s="810"/>
      <c r="L68" s="810"/>
      <c r="M68" s="810"/>
      <c r="N68" s="810"/>
      <c r="O68" s="810"/>
      <c r="P68" s="810"/>
      <c r="Q68" s="810"/>
    </row>
    <row r="69" spans="1:17" x14ac:dyDescent="0.25">
      <c r="A69" s="810"/>
      <c r="B69" s="810"/>
      <c r="C69" s="810"/>
      <c r="D69" s="810"/>
      <c r="E69" s="810"/>
      <c r="F69" s="810"/>
      <c r="G69" s="810"/>
      <c r="H69" s="810"/>
      <c r="I69" s="810"/>
      <c r="J69" s="810"/>
      <c r="K69" s="810"/>
      <c r="L69" s="810"/>
      <c r="M69" s="810"/>
      <c r="N69" s="810"/>
      <c r="O69" s="810"/>
      <c r="P69" s="810"/>
      <c r="Q69" s="810"/>
    </row>
    <row r="70" spans="1:17" x14ac:dyDescent="0.25">
      <c r="A70" s="810"/>
      <c r="B70" s="810"/>
      <c r="C70" s="810"/>
      <c r="D70" s="810"/>
      <c r="E70" s="810"/>
      <c r="F70" s="810"/>
      <c r="G70" s="810"/>
      <c r="H70" s="810"/>
      <c r="I70" s="810"/>
      <c r="J70" s="810"/>
      <c r="K70" s="810"/>
      <c r="L70" s="810"/>
      <c r="M70" s="810"/>
      <c r="N70" s="810"/>
      <c r="O70" s="810"/>
      <c r="P70" s="810"/>
      <c r="Q70" s="810"/>
    </row>
    <row r="71" spans="1:17" x14ac:dyDescent="0.25">
      <c r="A71" s="810"/>
      <c r="B71" s="810"/>
      <c r="C71" s="810"/>
      <c r="D71" s="810"/>
      <c r="E71" s="810"/>
      <c r="F71" s="810"/>
      <c r="G71" s="810"/>
      <c r="H71" s="810"/>
      <c r="I71" s="810"/>
      <c r="J71" s="810"/>
      <c r="K71" s="810"/>
      <c r="L71" s="810"/>
      <c r="M71" s="810"/>
      <c r="N71" s="810"/>
      <c r="O71" s="810"/>
      <c r="P71" s="810"/>
      <c r="Q71" s="810"/>
    </row>
    <row r="72" spans="1:17" x14ac:dyDescent="0.25">
      <c r="A72" s="810"/>
      <c r="B72" s="810"/>
      <c r="C72" s="810"/>
      <c r="D72" s="810"/>
      <c r="E72" s="810"/>
      <c r="F72" s="810"/>
      <c r="G72" s="810"/>
      <c r="H72" s="810"/>
      <c r="I72" s="810"/>
      <c r="J72" s="810"/>
      <c r="K72" s="810"/>
      <c r="L72" s="810"/>
      <c r="M72" s="810"/>
      <c r="N72" s="810"/>
      <c r="O72" s="810"/>
      <c r="P72" s="810"/>
      <c r="Q72" s="810"/>
    </row>
    <row r="73" spans="1:17" x14ac:dyDescent="0.25">
      <c r="A73" s="810"/>
      <c r="B73" s="810"/>
      <c r="C73" s="810"/>
      <c r="D73" s="810"/>
      <c r="E73" s="810"/>
      <c r="F73" s="810"/>
      <c r="G73" s="810"/>
      <c r="H73" s="810"/>
      <c r="I73" s="810"/>
      <c r="J73" s="810"/>
      <c r="K73" s="810"/>
      <c r="L73" s="810"/>
      <c r="M73" s="810"/>
      <c r="N73" s="810"/>
      <c r="O73" s="810"/>
      <c r="P73" s="810"/>
      <c r="Q73" s="810"/>
    </row>
    <row r="74" spans="1:17" x14ac:dyDescent="0.25">
      <c r="A74" s="810"/>
      <c r="B74" s="810"/>
      <c r="C74" s="810"/>
      <c r="D74" s="810"/>
      <c r="E74" s="810"/>
      <c r="F74" s="810"/>
      <c r="G74" s="810"/>
      <c r="H74" s="810"/>
      <c r="I74" s="810"/>
      <c r="J74" s="810"/>
      <c r="K74" s="810"/>
      <c r="L74" s="810"/>
      <c r="M74" s="810"/>
      <c r="N74" s="810"/>
      <c r="O74" s="810"/>
      <c r="P74" s="810"/>
      <c r="Q74" s="810"/>
    </row>
    <row r="75" spans="1:17" x14ac:dyDescent="0.25">
      <c r="A75" s="810"/>
      <c r="B75" s="810"/>
      <c r="C75" s="810"/>
      <c r="D75" s="810"/>
      <c r="E75" s="810"/>
      <c r="F75" s="810"/>
      <c r="G75" s="810"/>
      <c r="H75" s="810"/>
      <c r="I75" s="810"/>
      <c r="J75" s="810"/>
      <c r="K75" s="810"/>
      <c r="L75" s="810"/>
      <c r="M75" s="810"/>
      <c r="N75" s="810"/>
      <c r="O75" s="810"/>
      <c r="P75" s="810"/>
      <c r="Q75" s="810"/>
    </row>
    <row r="76" spans="1:17" x14ac:dyDescent="0.25">
      <c r="A76" s="810"/>
      <c r="B76" s="810"/>
      <c r="C76" s="810"/>
      <c r="D76" s="810"/>
      <c r="E76" s="810"/>
      <c r="F76" s="810"/>
      <c r="G76" s="810"/>
      <c r="H76" s="810"/>
      <c r="I76" s="810"/>
      <c r="J76" s="810"/>
      <c r="K76" s="810"/>
      <c r="L76" s="810"/>
      <c r="M76" s="810"/>
      <c r="N76" s="810"/>
      <c r="O76" s="810"/>
      <c r="P76" s="810"/>
      <c r="Q76" s="810"/>
    </row>
    <row r="77" spans="1:17" x14ac:dyDescent="0.25">
      <c r="A77" s="810"/>
      <c r="B77" s="810"/>
      <c r="C77" s="810"/>
      <c r="D77" s="810"/>
      <c r="E77" s="810"/>
      <c r="F77" s="810"/>
      <c r="G77" s="810"/>
      <c r="H77" s="810"/>
      <c r="I77" s="810"/>
      <c r="J77" s="810"/>
      <c r="K77" s="810"/>
      <c r="L77" s="810"/>
      <c r="M77" s="810"/>
      <c r="N77" s="810"/>
      <c r="O77" s="810"/>
      <c r="P77" s="810"/>
      <c r="Q77" s="810"/>
    </row>
    <row r="78" spans="1:17" x14ac:dyDescent="0.25">
      <c r="A78" s="810"/>
      <c r="B78" s="810"/>
      <c r="C78" s="810"/>
      <c r="D78" s="810"/>
      <c r="E78" s="810"/>
      <c r="F78" s="810"/>
      <c r="G78" s="810"/>
      <c r="H78" s="810"/>
      <c r="I78" s="810"/>
      <c r="J78" s="810"/>
      <c r="K78" s="810"/>
      <c r="L78" s="810"/>
      <c r="M78" s="810"/>
      <c r="N78" s="810"/>
      <c r="O78" s="810"/>
      <c r="P78" s="810"/>
      <c r="Q78" s="810"/>
    </row>
    <row r="79" spans="1:17" x14ac:dyDescent="0.25">
      <c r="A79" s="810"/>
      <c r="B79" s="810"/>
      <c r="C79" s="810"/>
      <c r="D79" s="810"/>
      <c r="E79" s="810"/>
      <c r="F79" s="810"/>
      <c r="G79" s="810"/>
      <c r="H79" s="810"/>
      <c r="I79" s="810"/>
      <c r="J79" s="810"/>
      <c r="K79" s="810"/>
      <c r="L79" s="810"/>
      <c r="M79" s="810"/>
      <c r="N79" s="810"/>
      <c r="O79" s="810"/>
      <c r="P79" s="810"/>
      <c r="Q79" s="810"/>
    </row>
    <row r="80" spans="1:17" x14ac:dyDescent="0.25">
      <c r="A80" s="810"/>
      <c r="B80" s="810"/>
      <c r="C80" s="810"/>
      <c r="D80" s="810"/>
      <c r="E80" s="810"/>
      <c r="F80" s="810"/>
      <c r="G80" s="810"/>
      <c r="H80" s="810"/>
      <c r="I80" s="810"/>
      <c r="J80" s="810"/>
      <c r="K80" s="810"/>
      <c r="L80" s="810"/>
      <c r="M80" s="810"/>
      <c r="N80" s="810"/>
      <c r="O80" s="810"/>
      <c r="P80" s="810"/>
      <c r="Q80" s="810"/>
    </row>
    <row r="81" spans="1:17" x14ac:dyDescent="0.25">
      <c r="A81" s="810"/>
      <c r="B81" s="810"/>
      <c r="C81" s="810"/>
      <c r="D81" s="810"/>
      <c r="E81" s="810"/>
      <c r="F81" s="810"/>
      <c r="G81" s="810"/>
      <c r="H81" s="810"/>
      <c r="I81" s="810"/>
      <c r="J81" s="810"/>
      <c r="K81" s="810"/>
      <c r="L81" s="810"/>
      <c r="M81" s="810"/>
      <c r="N81" s="810"/>
      <c r="O81" s="810"/>
      <c r="P81" s="810"/>
      <c r="Q81" s="810"/>
    </row>
    <row r="82" spans="1:17" x14ac:dyDescent="0.25">
      <c r="A82" s="810"/>
      <c r="B82" s="810"/>
      <c r="C82" s="810"/>
      <c r="D82" s="810"/>
      <c r="E82" s="810"/>
      <c r="F82" s="810"/>
      <c r="G82" s="810"/>
      <c r="H82" s="810"/>
      <c r="I82" s="810"/>
      <c r="J82" s="810"/>
      <c r="K82" s="810"/>
      <c r="L82" s="810"/>
      <c r="M82" s="810"/>
      <c r="N82" s="810"/>
      <c r="O82" s="810"/>
      <c r="P82" s="810"/>
      <c r="Q82" s="810"/>
    </row>
    <row r="83" spans="1:17" x14ac:dyDescent="0.25">
      <c r="A83" s="810"/>
      <c r="B83" s="810"/>
      <c r="C83" s="810"/>
      <c r="D83" s="810"/>
      <c r="E83" s="810"/>
      <c r="F83" s="810"/>
      <c r="G83" s="810"/>
      <c r="H83" s="810"/>
      <c r="I83" s="810"/>
      <c r="J83" s="810"/>
      <c r="K83" s="810"/>
      <c r="L83" s="810"/>
      <c r="M83" s="810"/>
      <c r="N83" s="810"/>
      <c r="O83" s="810"/>
      <c r="P83" s="810"/>
      <c r="Q83" s="810"/>
    </row>
    <row r="84" spans="1:17" x14ac:dyDescent="0.25">
      <c r="A84" s="810"/>
      <c r="B84" s="810"/>
      <c r="C84" s="810"/>
      <c r="D84" s="810"/>
      <c r="E84" s="810"/>
      <c r="F84" s="810"/>
      <c r="G84" s="810"/>
      <c r="H84" s="810"/>
      <c r="I84" s="810"/>
      <c r="J84" s="810"/>
      <c r="K84" s="810"/>
      <c r="L84" s="810"/>
      <c r="M84" s="810"/>
      <c r="N84" s="810"/>
      <c r="O84" s="810"/>
      <c r="P84" s="810"/>
      <c r="Q84" s="810"/>
    </row>
    <row r="85" spans="1:17" x14ac:dyDescent="0.25">
      <c r="A85" s="810"/>
      <c r="B85" s="810"/>
      <c r="C85" s="810"/>
      <c r="D85" s="810"/>
      <c r="E85" s="810"/>
      <c r="F85" s="810"/>
      <c r="G85" s="810"/>
      <c r="H85" s="810"/>
      <c r="I85" s="810"/>
      <c r="J85" s="810"/>
      <c r="K85" s="810"/>
      <c r="L85" s="810"/>
      <c r="M85" s="810"/>
      <c r="N85" s="810"/>
      <c r="O85" s="810"/>
      <c r="P85" s="810"/>
      <c r="Q85" s="810"/>
    </row>
    <row r="86" spans="1:17" x14ac:dyDescent="0.25">
      <c r="A86" s="810"/>
      <c r="B86" s="810"/>
      <c r="C86" s="810"/>
      <c r="D86" s="810"/>
      <c r="E86" s="810"/>
      <c r="F86" s="810"/>
      <c r="G86" s="810"/>
      <c r="H86" s="810"/>
      <c r="I86" s="810"/>
      <c r="J86" s="810"/>
      <c r="K86" s="810"/>
      <c r="L86" s="810"/>
      <c r="M86" s="810"/>
      <c r="N86" s="810"/>
      <c r="O86" s="810"/>
      <c r="P86" s="810"/>
      <c r="Q86" s="810"/>
    </row>
    <row r="87" spans="1:17" x14ac:dyDescent="0.25">
      <c r="A87" s="810"/>
      <c r="B87" s="810"/>
      <c r="C87" s="810"/>
      <c r="D87" s="810"/>
      <c r="E87" s="810"/>
      <c r="F87" s="810"/>
      <c r="G87" s="810"/>
      <c r="H87" s="810"/>
      <c r="I87" s="810"/>
      <c r="J87" s="810"/>
      <c r="K87" s="810"/>
      <c r="L87" s="810"/>
      <c r="M87" s="810"/>
      <c r="N87" s="810"/>
      <c r="O87" s="810"/>
      <c r="P87" s="810"/>
      <c r="Q87" s="810"/>
    </row>
    <row r="88" spans="1:17" x14ac:dyDescent="0.25">
      <c r="A88" s="810"/>
      <c r="B88" s="810"/>
      <c r="C88" s="810"/>
      <c r="D88" s="810"/>
      <c r="E88" s="810"/>
      <c r="F88" s="810"/>
      <c r="G88" s="810"/>
      <c r="H88" s="810"/>
      <c r="I88" s="810"/>
      <c r="J88" s="810"/>
      <c r="K88" s="810"/>
      <c r="L88" s="810"/>
      <c r="M88" s="810"/>
      <c r="N88" s="810"/>
      <c r="O88" s="810"/>
      <c r="P88" s="810"/>
      <c r="Q88" s="810"/>
    </row>
    <row r="89" spans="1:17" x14ac:dyDescent="0.25">
      <c r="A89" s="810"/>
      <c r="B89" s="810"/>
      <c r="C89" s="810"/>
      <c r="D89" s="810"/>
      <c r="E89" s="810"/>
      <c r="F89" s="810"/>
      <c r="G89" s="810"/>
      <c r="H89" s="810"/>
      <c r="I89" s="810"/>
      <c r="J89" s="810"/>
      <c r="K89" s="810"/>
      <c r="L89" s="810"/>
      <c r="M89" s="810"/>
      <c r="N89" s="810"/>
      <c r="O89" s="810"/>
      <c r="P89" s="810"/>
      <c r="Q89" s="810"/>
    </row>
    <row r="90" spans="1:17" x14ac:dyDescent="0.25">
      <c r="A90" s="810"/>
      <c r="B90" s="810"/>
      <c r="C90" s="810"/>
      <c r="D90" s="810"/>
      <c r="E90" s="810"/>
      <c r="F90" s="810"/>
      <c r="G90" s="810"/>
      <c r="H90" s="810"/>
      <c r="I90" s="810"/>
      <c r="J90" s="810"/>
      <c r="K90" s="810"/>
      <c r="L90" s="810"/>
      <c r="M90" s="810"/>
      <c r="N90" s="810"/>
      <c r="O90" s="810"/>
      <c r="P90" s="810"/>
      <c r="Q90" s="810"/>
    </row>
    <row r="91" spans="1:17" x14ac:dyDescent="0.25">
      <c r="A91" s="810"/>
      <c r="B91" s="810"/>
      <c r="C91" s="810"/>
      <c r="D91" s="810"/>
      <c r="E91" s="810"/>
      <c r="F91" s="810"/>
      <c r="G91" s="810"/>
      <c r="H91" s="810"/>
      <c r="I91" s="810"/>
      <c r="J91" s="810"/>
      <c r="K91" s="810"/>
      <c r="L91" s="810"/>
      <c r="M91" s="810"/>
      <c r="N91" s="810"/>
      <c r="O91" s="810"/>
      <c r="P91" s="810"/>
      <c r="Q91" s="810"/>
    </row>
    <row r="92" spans="1:17" x14ac:dyDescent="0.25">
      <c r="A92" s="810"/>
      <c r="B92" s="810"/>
      <c r="C92" s="810"/>
      <c r="D92" s="810"/>
      <c r="E92" s="810"/>
      <c r="F92" s="810"/>
      <c r="G92" s="810"/>
      <c r="H92" s="810"/>
      <c r="I92" s="810"/>
      <c r="J92" s="810"/>
      <c r="K92" s="810"/>
      <c r="L92" s="810"/>
      <c r="M92" s="810"/>
      <c r="N92" s="810"/>
      <c r="O92" s="810"/>
      <c r="P92" s="810"/>
      <c r="Q92" s="810"/>
    </row>
    <row r="93" spans="1:17" x14ac:dyDescent="0.25">
      <c r="A93" s="810"/>
      <c r="B93" s="810"/>
      <c r="C93" s="810"/>
      <c r="D93" s="810"/>
      <c r="E93" s="810"/>
      <c r="F93" s="810"/>
      <c r="G93" s="810"/>
      <c r="H93" s="810"/>
      <c r="I93" s="810"/>
      <c r="J93" s="810"/>
      <c r="K93" s="810"/>
      <c r="L93" s="810"/>
      <c r="M93" s="810"/>
      <c r="N93" s="810"/>
      <c r="O93" s="810"/>
      <c r="P93" s="810"/>
      <c r="Q93" s="810"/>
    </row>
    <row r="94" spans="1:17" x14ac:dyDescent="0.25">
      <c r="A94" s="810"/>
      <c r="B94" s="810"/>
      <c r="C94" s="810"/>
      <c r="D94" s="810"/>
      <c r="E94" s="810"/>
      <c r="F94" s="810"/>
      <c r="G94" s="810"/>
      <c r="H94" s="810"/>
      <c r="I94" s="810"/>
      <c r="J94" s="810"/>
      <c r="K94" s="810"/>
      <c r="L94" s="810"/>
      <c r="M94" s="810"/>
      <c r="N94" s="810"/>
      <c r="O94" s="810"/>
      <c r="P94" s="810"/>
      <c r="Q94" s="810"/>
    </row>
    <row r="95" spans="1:17" x14ac:dyDescent="0.25">
      <c r="A95" s="810"/>
      <c r="B95" s="810"/>
      <c r="C95" s="810"/>
      <c r="D95" s="810"/>
      <c r="E95" s="810"/>
      <c r="F95" s="810"/>
      <c r="G95" s="810"/>
      <c r="H95" s="810"/>
      <c r="I95" s="810"/>
      <c r="J95" s="810"/>
      <c r="K95" s="810"/>
      <c r="L95" s="810"/>
      <c r="M95" s="810"/>
      <c r="N95" s="810"/>
      <c r="O95" s="810"/>
      <c r="P95" s="810"/>
      <c r="Q95" s="810"/>
    </row>
    <row r="96" spans="1:17" x14ac:dyDescent="0.25">
      <c r="A96" s="810"/>
      <c r="B96" s="810"/>
      <c r="C96" s="810"/>
      <c r="D96" s="810"/>
      <c r="E96" s="810"/>
      <c r="F96" s="810"/>
      <c r="G96" s="810"/>
      <c r="H96" s="810"/>
      <c r="I96" s="810"/>
      <c r="J96" s="810"/>
      <c r="K96" s="810"/>
      <c r="L96" s="810"/>
      <c r="M96" s="810"/>
      <c r="N96" s="810"/>
      <c r="O96" s="810"/>
      <c r="P96" s="810"/>
      <c r="Q96" s="810"/>
    </row>
    <row r="97" spans="1:17" x14ac:dyDescent="0.25">
      <c r="A97" s="810"/>
      <c r="B97" s="810"/>
      <c r="C97" s="810"/>
      <c r="D97" s="810"/>
      <c r="E97" s="810"/>
      <c r="F97" s="810"/>
      <c r="G97" s="810"/>
      <c r="H97" s="810"/>
      <c r="I97" s="810"/>
      <c r="J97" s="810"/>
      <c r="K97" s="810"/>
      <c r="L97" s="810"/>
      <c r="M97" s="810"/>
      <c r="N97" s="810"/>
      <c r="O97" s="810"/>
      <c r="P97" s="810"/>
      <c r="Q97" s="810"/>
    </row>
    <row r="98" spans="1:17" x14ac:dyDescent="0.25">
      <c r="A98" s="810"/>
      <c r="B98" s="810"/>
      <c r="C98" s="810"/>
      <c r="D98" s="810"/>
      <c r="E98" s="810"/>
      <c r="F98" s="810"/>
      <c r="G98" s="810"/>
      <c r="H98" s="810"/>
      <c r="I98" s="810"/>
      <c r="J98" s="810"/>
      <c r="K98" s="810"/>
      <c r="L98" s="810"/>
      <c r="M98" s="810"/>
      <c r="N98" s="810"/>
      <c r="O98" s="810"/>
      <c r="P98" s="810"/>
      <c r="Q98" s="810"/>
    </row>
    <row r="99" spans="1:17" x14ac:dyDescent="0.25">
      <c r="A99" s="810"/>
      <c r="B99" s="810"/>
      <c r="C99" s="810"/>
      <c r="D99" s="810"/>
      <c r="E99" s="810"/>
      <c r="F99" s="810"/>
      <c r="G99" s="810"/>
      <c r="H99" s="810"/>
      <c r="I99" s="810"/>
      <c r="J99" s="810"/>
      <c r="K99" s="810"/>
      <c r="L99" s="810"/>
      <c r="M99" s="810"/>
      <c r="N99" s="810"/>
      <c r="O99" s="810"/>
      <c r="P99" s="810"/>
      <c r="Q99" s="810"/>
    </row>
    <row r="100" spans="1:17" x14ac:dyDescent="0.25">
      <c r="A100" s="810"/>
      <c r="B100" s="810"/>
      <c r="C100" s="810"/>
      <c r="D100" s="810"/>
      <c r="E100" s="810"/>
      <c r="F100" s="810"/>
      <c r="G100" s="810"/>
      <c r="H100" s="810"/>
      <c r="I100" s="810"/>
      <c r="J100" s="810"/>
      <c r="K100" s="810"/>
      <c r="L100" s="810"/>
      <c r="M100" s="810"/>
      <c r="N100" s="810"/>
      <c r="O100" s="810"/>
      <c r="P100" s="810"/>
      <c r="Q100" s="810"/>
    </row>
    <row r="101" spans="1:17" x14ac:dyDescent="0.25">
      <c r="A101" s="810"/>
      <c r="B101" s="810"/>
      <c r="C101" s="810"/>
      <c r="D101" s="810"/>
      <c r="E101" s="810"/>
      <c r="F101" s="810"/>
      <c r="G101" s="810"/>
      <c r="H101" s="810"/>
      <c r="I101" s="810"/>
      <c r="J101" s="810"/>
      <c r="K101" s="810"/>
      <c r="L101" s="810"/>
      <c r="M101" s="810"/>
      <c r="N101" s="810"/>
      <c r="O101" s="810"/>
      <c r="P101" s="810"/>
      <c r="Q101" s="810"/>
    </row>
    <row r="102" spans="1:17" x14ac:dyDescent="0.25">
      <c r="A102" s="810"/>
      <c r="B102" s="810"/>
      <c r="C102" s="810"/>
      <c r="D102" s="810"/>
      <c r="E102" s="810"/>
      <c r="F102" s="810"/>
      <c r="G102" s="810"/>
      <c r="H102" s="810"/>
      <c r="I102" s="810"/>
      <c r="J102" s="810"/>
      <c r="K102" s="810"/>
      <c r="L102" s="810"/>
      <c r="M102" s="810"/>
      <c r="N102" s="810"/>
      <c r="O102" s="810"/>
      <c r="P102" s="810"/>
      <c r="Q102" s="810"/>
    </row>
    <row r="103" spans="1:17" x14ac:dyDescent="0.25">
      <c r="A103" s="810"/>
      <c r="B103" s="810"/>
      <c r="C103" s="810"/>
      <c r="D103" s="810"/>
      <c r="E103" s="810"/>
      <c r="F103" s="810"/>
      <c r="G103" s="810"/>
      <c r="H103" s="810"/>
      <c r="I103" s="810"/>
      <c r="J103" s="810"/>
      <c r="K103" s="810"/>
      <c r="L103" s="810"/>
      <c r="M103" s="810"/>
      <c r="N103" s="810"/>
      <c r="O103" s="810"/>
      <c r="P103" s="810"/>
      <c r="Q103" s="810"/>
    </row>
    <row r="104" spans="1:17" x14ac:dyDescent="0.25">
      <c r="A104" s="810"/>
      <c r="B104" s="810"/>
      <c r="C104" s="810"/>
      <c r="D104" s="810"/>
      <c r="E104" s="810"/>
      <c r="F104" s="810"/>
      <c r="G104" s="810"/>
      <c r="H104" s="810"/>
      <c r="I104" s="810"/>
      <c r="J104" s="810"/>
      <c r="K104" s="810"/>
      <c r="L104" s="810"/>
      <c r="M104" s="810"/>
      <c r="N104" s="810"/>
      <c r="O104" s="810"/>
      <c r="P104" s="810"/>
      <c r="Q104" s="810"/>
    </row>
    <row r="105" spans="1:17" x14ac:dyDescent="0.25">
      <c r="A105" s="810"/>
      <c r="B105" s="810"/>
      <c r="C105" s="810"/>
      <c r="D105" s="810"/>
      <c r="E105" s="810"/>
      <c r="F105" s="810"/>
      <c r="G105" s="810"/>
      <c r="H105" s="810"/>
      <c r="I105" s="810"/>
      <c r="J105" s="810"/>
      <c r="K105" s="810"/>
      <c r="L105" s="810"/>
      <c r="M105" s="810"/>
      <c r="N105" s="810"/>
      <c r="O105" s="810"/>
      <c r="P105" s="810"/>
      <c r="Q105" s="810"/>
    </row>
    <row r="106" spans="1:17" x14ac:dyDescent="0.25">
      <c r="A106" s="810"/>
      <c r="B106" s="810"/>
      <c r="C106" s="810"/>
      <c r="D106" s="810"/>
      <c r="E106" s="810"/>
      <c r="F106" s="810"/>
      <c r="G106" s="810"/>
      <c r="H106" s="810"/>
      <c r="I106" s="810"/>
      <c r="J106" s="810"/>
      <c r="K106" s="810"/>
      <c r="L106" s="810"/>
      <c r="M106" s="810"/>
      <c r="N106" s="810"/>
      <c r="O106" s="810"/>
      <c r="P106" s="810"/>
      <c r="Q106" s="810"/>
    </row>
    <row r="107" spans="1:17" x14ac:dyDescent="0.25">
      <c r="A107" s="810"/>
      <c r="B107" s="810"/>
      <c r="C107" s="810"/>
      <c r="D107" s="810"/>
      <c r="E107" s="810"/>
      <c r="F107" s="810"/>
      <c r="G107" s="810"/>
      <c r="H107" s="810"/>
      <c r="I107" s="810"/>
      <c r="J107" s="810"/>
      <c r="K107" s="810"/>
      <c r="L107" s="810"/>
      <c r="M107" s="810"/>
      <c r="N107" s="810"/>
      <c r="O107" s="810"/>
      <c r="P107" s="810"/>
      <c r="Q107" s="810"/>
    </row>
    <row r="108" spans="1:17" x14ac:dyDescent="0.25">
      <c r="A108" s="810"/>
      <c r="B108" s="810"/>
      <c r="C108" s="810"/>
      <c r="D108" s="810"/>
      <c r="E108" s="810"/>
      <c r="F108" s="810"/>
      <c r="G108" s="810"/>
      <c r="H108" s="810"/>
      <c r="I108" s="810"/>
      <c r="J108" s="810"/>
      <c r="K108" s="810"/>
      <c r="L108" s="810"/>
      <c r="M108" s="810"/>
      <c r="N108" s="810"/>
      <c r="O108" s="810"/>
      <c r="P108" s="810"/>
      <c r="Q108" s="810"/>
    </row>
    <row r="109" spans="1:17" x14ac:dyDescent="0.25">
      <c r="A109" s="810"/>
      <c r="B109" s="810"/>
      <c r="C109" s="810"/>
      <c r="D109" s="810"/>
      <c r="E109" s="810"/>
      <c r="F109" s="810"/>
      <c r="G109" s="810"/>
      <c r="H109" s="810"/>
      <c r="I109" s="810"/>
      <c r="J109" s="810"/>
      <c r="K109" s="810"/>
      <c r="L109" s="810"/>
      <c r="M109" s="810"/>
      <c r="N109" s="810"/>
      <c r="O109" s="810"/>
      <c r="P109" s="810"/>
      <c r="Q109" s="810"/>
    </row>
    <row r="110" spans="1:17" x14ac:dyDescent="0.25">
      <c r="A110" s="810"/>
      <c r="B110" s="810"/>
      <c r="C110" s="810"/>
      <c r="D110" s="810"/>
      <c r="E110" s="810"/>
      <c r="F110" s="810"/>
      <c r="G110" s="810"/>
      <c r="H110" s="810"/>
      <c r="I110" s="810"/>
      <c r="J110" s="810"/>
      <c r="K110" s="810"/>
      <c r="L110" s="810"/>
      <c r="M110" s="810"/>
      <c r="N110" s="810"/>
      <c r="O110" s="810"/>
      <c r="P110" s="810"/>
      <c r="Q110" s="810"/>
    </row>
    <row r="111" spans="1:17" x14ac:dyDescent="0.25">
      <c r="A111" s="810"/>
      <c r="B111" s="810"/>
      <c r="C111" s="810"/>
      <c r="D111" s="810"/>
      <c r="E111" s="810"/>
      <c r="F111" s="810"/>
      <c r="G111" s="810"/>
      <c r="H111" s="810"/>
      <c r="I111" s="810"/>
      <c r="J111" s="810"/>
      <c r="K111" s="810"/>
      <c r="L111" s="810"/>
      <c r="M111" s="810"/>
      <c r="N111" s="810"/>
      <c r="O111" s="810"/>
      <c r="P111" s="810"/>
      <c r="Q111" s="810"/>
    </row>
    <row r="112" spans="1:17" x14ac:dyDescent="0.25">
      <c r="A112" s="810"/>
      <c r="B112" s="810"/>
      <c r="C112" s="810"/>
      <c r="D112" s="810"/>
      <c r="E112" s="810"/>
      <c r="F112" s="810"/>
      <c r="G112" s="810"/>
      <c r="H112" s="810"/>
      <c r="I112" s="810"/>
      <c r="J112" s="810"/>
      <c r="K112" s="810"/>
      <c r="L112" s="810"/>
      <c r="M112" s="810"/>
      <c r="N112" s="810"/>
      <c r="O112" s="810"/>
      <c r="P112" s="810"/>
      <c r="Q112" s="810"/>
    </row>
    <row r="113" spans="1:17" x14ac:dyDescent="0.25">
      <c r="A113" s="810"/>
      <c r="B113" s="810"/>
      <c r="C113" s="810"/>
      <c r="D113" s="810"/>
      <c r="E113" s="810"/>
      <c r="F113" s="810"/>
      <c r="G113" s="810"/>
      <c r="H113" s="810"/>
      <c r="I113" s="810"/>
      <c r="J113" s="810"/>
      <c r="K113" s="810"/>
      <c r="L113" s="810"/>
      <c r="M113" s="810"/>
      <c r="N113" s="810"/>
      <c r="O113" s="810"/>
      <c r="P113" s="810"/>
      <c r="Q113" s="810"/>
    </row>
    <row r="114" spans="1:17" x14ac:dyDescent="0.25">
      <c r="A114" s="810"/>
      <c r="B114" s="810"/>
      <c r="C114" s="810"/>
      <c r="D114" s="810"/>
      <c r="E114" s="810"/>
      <c r="F114" s="810"/>
      <c r="G114" s="810"/>
      <c r="H114" s="810"/>
      <c r="I114" s="810"/>
      <c r="J114" s="810"/>
      <c r="K114" s="810"/>
      <c r="L114" s="810"/>
      <c r="M114" s="810"/>
      <c r="N114" s="810"/>
      <c r="O114" s="810"/>
      <c r="P114" s="810"/>
      <c r="Q114" s="810"/>
    </row>
    <row r="115" spans="1:17" x14ac:dyDescent="0.25">
      <c r="A115" s="810"/>
      <c r="B115" s="810"/>
      <c r="C115" s="810"/>
      <c r="D115" s="810"/>
      <c r="E115" s="810"/>
      <c r="F115" s="810"/>
      <c r="G115" s="810"/>
      <c r="H115" s="810"/>
      <c r="I115" s="810"/>
      <c r="J115" s="810"/>
      <c r="K115" s="810"/>
      <c r="L115" s="810"/>
      <c r="M115" s="810"/>
      <c r="N115" s="810"/>
      <c r="O115" s="810"/>
      <c r="P115" s="810"/>
      <c r="Q115" s="810"/>
    </row>
    <row r="116" spans="1:17" x14ac:dyDescent="0.25">
      <c r="A116" s="810"/>
      <c r="B116" s="810"/>
      <c r="C116" s="810"/>
      <c r="D116" s="810"/>
      <c r="E116" s="810"/>
      <c r="F116" s="810"/>
      <c r="G116" s="810"/>
      <c r="H116" s="810"/>
      <c r="I116" s="810"/>
      <c r="J116" s="810"/>
      <c r="K116" s="810"/>
      <c r="L116" s="810"/>
      <c r="M116" s="810"/>
      <c r="N116" s="810"/>
      <c r="O116" s="810"/>
      <c r="P116" s="810"/>
      <c r="Q116" s="810"/>
    </row>
    <row r="117" spans="1:17" x14ac:dyDescent="0.25">
      <c r="A117" s="810"/>
      <c r="B117" s="810"/>
      <c r="C117" s="810"/>
      <c r="D117" s="810"/>
      <c r="E117" s="810"/>
      <c r="F117" s="810"/>
      <c r="G117" s="810"/>
      <c r="H117" s="810"/>
      <c r="I117" s="810"/>
      <c r="J117" s="810"/>
      <c r="K117" s="810"/>
      <c r="L117" s="810"/>
      <c r="M117" s="810"/>
      <c r="N117" s="810"/>
      <c r="O117" s="810"/>
      <c r="P117" s="810"/>
      <c r="Q117" s="810"/>
    </row>
    <row r="118" spans="1:17" x14ac:dyDescent="0.25">
      <c r="A118" s="810"/>
      <c r="B118" s="810"/>
      <c r="C118" s="810"/>
      <c r="D118" s="810"/>
      <c r="E118" s="810"/>
      <c r="F118" s="810"/>
      <c r="G118" s="810"/>
      <c r="H118" s="810"/>
      <c r="I118" s="810"/>
      <c r="J118" s="810"/>
      <c r="K118" s="810"/>
      <c r="L118" s="810"/>
      <c r="M118" s="810"/>
      <c r="N118" s="810"/>
      <c r="O118" s="810"/>
      <c r="P118" s="810"/>
      <c r="Q118" s="810"/>
    </row>
    <row r="119" spans="1:17" x14ac:dyDescent="0.25">
      <c r="A119" s="810"/>
      <c r="B119" s="810"/>
      <c r="C119" s="810"/>
      <c r="D119" s="810"/>
      <c r="E119" s="810"/>
      <c r="F119" s="810"/>
      <c r="G119" s="810"/>
      <c r="H119" s="810"/>
      <c r="I119" s="810"/>
      <c r="J119" s="810"/>
      <c r="K119" s="810"/>
      <c r="L119" s="810"/>
      <c r="M119" s="810"/>
      <c r="N119" s="810"/>
      <c r="O119" s="810"/>
      <c r="P119" s="810"/>
      <c r="Q119" s="810"/>
    </row>
    <row r="120" spans="1:17" x14ac:dyDescent="0.25">
      <c r="A120" s="810"/>
      <c r="B120" s="810"/>
      <c r="C120" s="810"/>
      <c r="D120" s="810"/>
      <c r="E120" s="810"/>
      <c r="F120" s="810"/>
      <c r="G120" s="810"/>
      <c r="H120" s="810"/>
      <c r="I120" s="810"/>
      <c r="J120" s="810"/>
      <c r="K120" s="810"/>
      <c r="L120" s="810"/>
      <c r="M120" s="810"/>
      <c r="N120" s="810"/>
      <c r="O120" s="810"/>
      <c r="P120" s="810"/>
      <c r="Q120" s="810"/>
    </row>
    <row r="121" spans="1:17" x14ac:dyDescent="0.25">
      <c r="A121" s="810"/>
      <c r="B121" s="810"/>
      <c r="C121" s="810"/>
      <c r="D121" s="810"/>
      <c r="E121" s="810"/>
      <c r="F121" s="810"/>
      <c r="G121" s="810"/>
      <c r="H121" s="810"/>
      <c r="I121" s="810"/>
      <c r="J121" s="810"/>
      <c r="K121" s="810"/>
      <c r="L121" s="810"/>
      <c r="M121" s="810"/>
      <c r="N121" s="810"/>
      <c r="O121" s="810"/>
      <c r="P121" s="810"/>
      <c r="Q121" s="810"/>
    </row>
    <row r="122" spans="1:17" x14ac:dyDescent="0.25">
      <c r="A122" s="810"/>
      <c r="B122" s="810"/>
      <c r="C122" s="810"/>
      <c r="D122" s="810"/>
      <c r="E122" s="810"/>
      <c r="F122" s="810"/>
      <c r="G122" s="810"/>
      <c r="H122" s="810"/>
      <c r="I122" s="810"/>
      <c r="J122" s="810"/>
      <c r="K122" s="810"/>
      <c r="L122" s="810"/>
      <c r="M122" s="810"/>
      <c r="N122" s="810"/>
      <c r="O122" s="810"/>
      <c r="P122" s="810"/>
      <c r="Q122" s="810"/>
    </row>
    <row r="123" spans="1:17" x14ac:dyDescent="0.25">
      <c r="A123" s="810"/>
      <c r="B123" s="810"/>
      <c r="C123" s="810"/>
      <c r="D123" s="810"/>
      <c r="E123" s="810"/>
      <c r="F123" s="810"/>
      <c r="G123" s="810"/>
      <c r="H123" s="810"/>
      <c r="I123" s="810"/>
      <c r="J123" s="810"/>
      <c r="K123" s="810"/>
      <c r="L123" s="810"/>
      <c r="M123" s="810"/>
      <c r="N123" s="810"/>
      <c r="O123" s="810"/>
      <c r="P123" s="810"/>
      <c r="Q123" s="810"/>
    </row>
    <row r="124" spans="1:17" x14ac:dyDescent="0.25">
      <c r="A124" s="810"/>
      <c r="B124" s="810"/>
      <c r="C124" s="810"/>
      <c r="D124" s="810"/>
      <c r="E124" s="810"/>
      <c r="F124" s="810"/>
      <c r="G124" s="810"/>
      <c r="H124" s="810"/>
      <c r="I124" s="810"/>
      <c r="J124" s="810"/>
      <c r="K124" s="810"/>
      <c r="L124" s="810"/>
      <c r="M124" s="810"/>
      <c r="N124" s="810"/>
      <c r="O124" s="810"/>
      <c r="P124" s="810"/>
      <c r="Q124" s="810"/>
    </row>
    <row r="125" spans="1:17" x14ac:dyDescent="0.25">
      <c r="A125" s="810"/>
      <c r="B125" s="810"/>
      <c r="C125" s="810"/>
      <c r="D125" s="810"/>
      <c r="E125" s="810"/>
      <c r="F125" s="810"/>
      <c r="G125" s="810"/>
      <c r="H125" s="810"/>
      <c r="I125" s="810"/>
      <c r="J125" s="810"/>
      <c r="K125" s="810"/>
      <c r="L125" s="810"/>
      <c r="M125" s="810"/>
      <c r="N125" s="810"/>
      <c r="O125" s="810"/>
      <c r="P125" s="810"/>
      <c r="Q125" s="810"/>
    </row>
    <row r="126" spans="1:17" x14ac:dyDescent="0.25">
      <c r="A126" s="810"/>
      <c r="B126" s="810"/>
      <c r="C126" s="810"/>
      <c r="D126" s="810"/>
      <c r="E126" s="810"/>
      <c r="F126" s="810"/>
      <c r="G126" s="810"/>
      <c r="H126" s="810"/>
      <c r="I126" s="810"/>
      <c r="J126" s="810"/>
      <c r="K126" s="810"/>
      <c r="L126" s="810"/>
      <c r="M126" s="810"/>
      <c r="N126" s="810"/>
      <c r="O126" s="810"/>
      <c r="P126" s="810"/>
      <c r="Q126" s="810"/>
    </row>
    <row r="127" spans="1:17" x14ac:dyDescent="0.25">
      <c r="A127" s="810"/>
      <c r="B127" s="810"/>
      <c r="C127" s="810"/>
      <c r="D127" s="810"/>
      <c r="E127" s="810"/>
      <c r="F127" s="810"/>
      <c r="G127" s="810"/>
      <c r="H127" s="810"/>
      <c r="I127" s="810"/>
      <c r="J127" s="810"/>
      <c r="K127" s="810"/>
      <c r="L127" s="810"/>
      <c r="M127" s="810"/>
      <c r="N127" s="810"/>
      <c r="O127" s="810"/>
      <c r="P127" s="810"/>
      <c r="Q127" s="810"/>
    </row>
    <row r="128" spans="1:17" x14ac:dyDescent="0.25">
      <c r="A128" s="810"/>
      <c r="B128" s="810"/>
      <c r="C128" s="810"/>
      <c r="D128" s="810"/>
      <c r="E128" s="810"/>
      <c r="F128" s="810"/>
      <c r="G128" s="810"/>
      <c r="H128" s="810"/>
      <c r="I128" s="810"/>
      <c r="J128" s="810"/>
      <c r="K128" s="810"/>
      <c r="L128" s="810"/>
      <c r="M128" s="810"/>
      <c r="N128" s="810"/>
      <c r="O128" s="810"/>
      <c r="P128" s="810"/>
      <c r="Q128" s="810"/>
    </row>
    <row r="129" spans="1:17" x14ac:dyDescent="0.25">
      <c r="A129" s="810"/>
      <c r="B129" s="810"/>
      <c r="C129" s="810"/>
      <c r="D129" s="810"/>
      <c r="E129" s="810"/>
      <c r="F129" s="810"/>
      <c r="G129" s="810"/>
      <c r="H129" s="810"/>
      <c r="I129" s="810"/>
      <c r="J129" s="810"/>
      <c r="K129" s="810"/>
      <c r="L129" s="810"/>
      <c r="M129" s="810"/>
      <c r="N129" s="810"/>
      <c r="O129" s="810"/>
      <c r="P129" s="810"/>
      <c r="Q129" s="810"/>
    </row>
    <row r="130" spans="1:17" x14ac:dyDescent="0.25">
      <c r="A130" s="810"/>
      <c r="B130" s="810"/>
      <c r="C130" s="810"/>
      <c r="D130" s="810"/>
      <c r="E130" s="810"/>
      <c r="F130" s="810"/>
      <c r="G130" s="810"/>
      <c r="H130" s="810"/>
      <c r="I130" s="810"/>
      <c r="J130" s="810"/>
      <c r="K130" s="810"/>
      <c r="L130" s="810"/>
      <c r="M130" s="810"/>
      <c r="N130" s="810"/>
      <c r="O130" s="810"/>
      <c r="P130" s="810"/>
      <c r="Q130" s="810"/>
    </row>
    <row r="131" spans="1:17" x14ac:dyDescent="0.25">
      <c r="A131" s="810"/>
      <c r="B131" s="810"/>
      <c r="C131" s="810"/>
      <c r="D131" s="810"/>
      <c r="E131" s="810"/>
      <c r="F131" s="810"/>
      <c r="G131" s="810"/>
      <c r="H131" s="810"/>
      <c r="I131" s="810"/>
      <c r="J131" s="810"/>
      <c r="K131" s="810"/>
      <c r="L131" s="810"/>
      <c r="M131" s="810"/>
      <c r="N131" s="810"/>
      <c r="O131" s="810"/>
      <c r="P131" s="810"/>
      <c r="Q131" s="810"/>
    </row>
    <row r="132" spans="1:17" x14ac:dyDescent="0.25">
      <c r="A132" s="810"/>
      <c r="B132" s="810"/>
      <c r="C132" s="810"/>
      <c r="D132" s="810"/>
      <c r="E132" s="810"/>
      <c r="F132" s="810"/>
      <c r="G132" s="810"/>
      <c r="H132" s="810"/>
      <c r="I132" s="810"/>
      <c r="J132" s="810"/>
      <c r="K132" s="810"/>
      <c r="L132" s="810"/>
      <c r="M132" s="810"/>
      <c r="N132" s="810"/>
      <c r="O132" s="810"/>
      <c r="P132" s="810"/>
      <c r="Q132" s="810"/>
    </row>
    <row r="133" spans="1:17" x14ac:dyDescent="0.25">
      <c r="A133" s="810"/>
      <c r="B133" s="810"/>
      <c r="C133" s="810"/>
      <c r="D133" s="810"/>
      <c r="E133" s="810"/>
      <c r="F133" s="810"/>
      <c r="G133" s="810"/>
      <c r="H133" s="810"/>
      <c r="I133" s="810"/>
      <c r="J133" s="810"/>
      <c r="K133" s="810"/>
      <c r="L133" s="810"/>
      <c r="M133" s="810"/>
      <c r="N133" s="810"/>
      <c r="O133" s="810"/>
      <c r="P133" s="810"/>
      <c r="Q133" s="810"/>
    </row>
    <row r="134" spans="1:17" x14ac:dyDescent="0.25">
      <c r="A134" s="810"/>
      <c r="B134" s="810"/>
      <c r="C134" s="810"/>
      <c r="D134" s="810"/>
      <c r="E134" s="810"/>
      <c r="F134" s="810"/>
      <c r="G134" s="810"/>
      <c r="H134" s="810"/>
      <c r="I134" s="810"/>
      <c r="J134" s="810"/>
      <c r="K134" s="810"/>
      <c r="L134" s="810"/>
      <c r="M134" s="810"/>
      <c r="N134" s="810"/>
      <c r="O134" s="810"/>
      <c r="P134" s="810"/>
      <c r="Q134" s="810"/>
    </row>
    <row r="135" spans="1:17" x14ac:dyDescent="0.25">
      <c r="A135" s="810"/>
      <c r="B135" s="810"/>
      <c r="C135" s="810"/>
      <c r="D135" s="810"/>
      <c r="E135" s="810"/>
      <c r="F135" s="810"/>
      <c r="G135" s="810"/>
      <c r="H135" s="810"/>
      <c r="I135" s="810"/>
      <c r="J135" s="810"/>
      <c r="K135" s="810"/>
      <c r="L135" s="810"/>
      <c r="M135" s="810"/>
      <c r="N135" s="810"/>
      <c r="O135" s="810"/>
      <c r="P135" s="810"/>
      <c r="Q135" s="810"/>
    </row>
    <row r="136" spans="1:17" x14ac:dyDescent="0.25">
      <c r="A136" s="810"/>
      <c r="B136" s="810"/>
      <c r="C136" s="810"/>
      <c r="D136" s="810"/>
      <c r="E136" s="810"/>
      <c r="F136" s="810"/>
      <c r="G136" s="810"/>
      <c r="H136" s="810"/>
      <c r="I136" s="810"/>
      <c r="J136" s="810"/>
      <c r="K136" s="810"/>
      <c r="L136" s="810"/>
      <c r="M136" s="810"/>
      <c r="N136" s="810"/>
      <c r="O136" s="810"/>
      <c r="P136" s="810"/>
      <c r="Q136" s="810"/>
    </row>
    <row r="137" spans="1:17" x14ac:dyDescent="0.25">
      <c r="A137" s="810"/>
      <c r="B137" s="810"/>
      <c r="C137" s="810"/>
      <c r="D137" s="810"/>
      <c r="E137" s="810"/>
      <c r="F137" s="810"/>
      <c r="G137" s="810"/>
      <c r="H137" s="810"/>
      <c r="I137" s="810"/>
      <c r="J137" s="810"/>
      <c r="K137" s="810"/>
      <c r="L137" s="810"/>
      <c r="M137" s="810"/>
      <c r="N137" s="810"/>
      <c r="O137" s="810"/>
      <c r="P137" s="810"/>
      <c r="Q137" s="810"/>
    </row>
    <row r="138" spans="1:17" x14ac:dyDescent="0.25">
      <c r="A138" s="810"/>
      <c r="B138" s="810"/>
      <c r="C138" s="810"/>
      <c r="D138" s="810"/>
      <c r="E138" s="810"/>
      <c r="F138" s="810"/>
      <c r="G138" s="810"/>
      <c r="H138" s="810"/>
      <c r="I138" s="810"/>
      <c r="J138" s="810"/>
      <c r="K138" s="810"/>
      <c r="L138" s="810"/>
      <c r="M138" s="810"/>
      <c r="N138" s="810"/>
      <c r="O138" s="810"/>
      <c r="P138" s="810"/>
      <c r="Q138" s="810"/>
    </row>
    <row r="139" spans="1:17" x14ac:dyDescent="0.25">
      <c r="A139" s="810"/>
      <c r="B139" s="810"/>
      <c r="C139" s="810"/>
      <c r="D139" s="810"/>
      <c r="E139" s="810"/>
      <c r="F139" s="810"/>
      <c r="G139" s="810"/>
      <c r="H139" s="810"/>
      <c r="I139" s="810"/>
      <c r="J139" s="810"/>
      <c r="K139" s="810"/>
      <c r="L139" s="810"/>
      <c r="M139" s="810"/>
      <c r="N139" s="810"/>
      <c r="O139" s="810"/>
      <c r="P139" s="810"/>
      <c r="Q139" s="810"/>
    </row>
    <row r="140" spans="1:17" x14ac:dyDescent="0.25">
      <c r="A140" s="810"/>
      <c r="B140" s="810"/>
      <c r="C140" s="810"/>
      <c r="D140" s="810"/>
      <c r="E140" s="810"/>
      <c r="F140" s="810"/>
      <c r="G140" s="810"/>
      <c r="H140" s="810"/>
      <c r="I140" s="810"/>
      <c r="J140" s="810"/>
      <c r="K140" s="810"/>
      <c r="L140" s="810"/>
      <c r="M140" s="810"/>
      <c r="N140" s="810"/>
      <c r="O140" s="810"/>
      <c r="P140" s="810"/>
      <c r="Q140" s="810"/>
    </row>
    <row r="141" spans="1:17" x14ac:dyDescent="0.25">
      <c r="A141" s="810"/>
      <c r="B141" s="810"/>
      <c r="C141" s="810"/>
      <c r="D141" s="810"/>
      <c r="E141" s="810"/>
      <c r="F141" s="810"/>
      <c r="G141" s="810"/>
      <c r="H141" s="810"/>
      <c r="I141" s="810"/>
      <c r="J141" s="810"/>
      <c r="K141" s="810"/>
      <c r="L141" s="810"/>
      <c r="M141" s="810"/>
      <c r="N141" s="810"/>
      <c r="O141" s="810"/>
      <c r="P141" s="810"/>
      <c r="Q141" s="810"/>
    </row>
    <row r="142" spans="1:17" x14ac:dyDescent="0.25">
      <c r="A142" s="810"/>
      <c r="B142" s="810"/>
      <c r="C142" s="810"/>
      <c r="D142" s="810"/>
      <c r="E142" s="810"/>
      <c r="F142" s="810"/>
      <c r="G142" s="810"/>
      <c r="H142" s="810"/>
      <c r="I142" s="810"/>
      <c r="J142" s="810"/>
      <c r="K142" s="810"/>
      <c r="L142" s="810"/>
      <c r="M142" s="810"/>
      <c r="N142" s="810"/>
      <c r="O142" s="810"/>
      <c r="P142" s="810"/>
      <c r="Q142" s="810"/>
    </row>
    <row r="143" spans="1:17" x14ac:dyDescent="0.25">
      <c r="A143" s="810"/>
      <c r="B143" s="810"/>
      <c r="C143" s="810"/>
      <c r="D143" s="810"/>
      <c r="E143" s="810"/>
      <c r="F143" s="810"/>
      <c r="G143" s="810"/>
      <c r="H143" s="810"/>
      <c r="I143" s="810"/>
      <c r="J143" s="810"/>
      <c r="K143" s="810"/>
      <c r="L143" s="810"/>
      <c r="M143" s="810"/>
      <c r="N143" s="810"/>
      <c r="O143" s="810"/>
      <c r="P143" s="810"/>
      <c r="Q143" s="810"/>
    </row>
    <row r="144" spans="1:17" x14ac:dyDescent="0.25">
      <c r="A144" s="810"/>
      <c r="B144" s="810"/>
      <c r="C144" s="810"/>
      <c r="D144" s="810"/>
      <c r="E144" s="810"/>
      <c r="F144" s="810"/>
      <c r="G144" s="810"/>
      <c r="H144" s="810"/>
      <c r="I144" s="810"/>
      <c r="J144" s="810"/>
      <c r="K144" s="810"/>
      <c r="L144" s="810"/>
      <c r="M144" s="810"/>
      <c r="N144" s="810"/>
      <c r="O144" s="810"/>
      <c r="P144" s="810"/>
      <c r="Q144" s="810"/>
    </row>
    <row r="145" spans="1:17" x14ac:dyDescent="0.25">
      <c r="A145" s="810"/>
      <c r="B145" s="810"/>
      <c r="C145" s="810"/>
      <c r="D145" s="810"/>
      <c r="E145" s="810"/>
      <c r="F145" s="810"/>
      <c r="G145" s="810"/>
      <c r="H145" s="810"/>
      <c r="I145" s="810"/>
      <c r="J145" s="810"/>
      <c r="K145" s="810"/>
      <c r="L145" s="810"/>
      <c r="M145" s="810"/>
      <c r="N145" s="810"/>
      <c r="O145" s="810"/>
      <c r="P145" s="810"/>
      <c r="Q145" s="810"/>
    </row>
    <row r="146" spans="1:17" x14ac:dyDescent="0.25">
      <c r="A146" s="810"/>
      <c r="B146" s="810"/>
      <c r="C146" s="810"/>
      <c r="D146" s="810"/>
      <c r="E146" s="810"/>
      <c r="F146" s="810"/>
      <c r="G146" s="810"/>
      <c r="H146" s="810"/>
      <c r="I146" s="810"/>
      <c r="J146" s="810"/>
      <c r="K146" s="810"/>
      <c r="L146" s="810"/>
      <c r="M146" s="810"/>
      <c r="N146" s="810"/>
      <c r="O146" s="810"/>
      <c r="P146" s="810"/>
      <c r="Q146" s="810"/>
    </row>
    <row r="147" spans="1:17" x14ac:dyDescent="0.25">
      <c r="A147" s="810"/>
      <c r="B147" s="810"/>
      <c r="C147" s="810"/>
      <c r="D147" s="810"/>
      <c r="E147" s="810"/>
      <c r="F147" s="810"/>
      <c r="G147" s="810"/>
      <c r="H147" s="810"/>
      <c r="I147" s="810"/>
      <c r="J147" s="810"/>
      <c r="K147" s="810"/>
      <c r="L147" s="810"/>
      <c r="M147" s="810"/>
      <c r="N147" s="810"/>
      <c r="O147" s="810"/>
      <c r="P147" s="810"/>
      <c r="Q147" s="810"/>
    </row>
    <row r="148" spans="1:17" x14ac:dyDescent="0.25">
      <c r="A148" s="810"/>
      <c r="B148" s="810"/>
      <c r="C148" s="810"/>
      <c r="D148" s="810"/>
      <c r="E148" s="810"/>
      <c r="F148" s="810"/>
      <c r="G148" s="810"/>
      <c r="H148" s="810"/>
      <c r="I148" s="810"/>
      <c r="J148" s="810"/>
      <c r="K148" s="810"/>
      <c r="L148" s="810"/>
      <c r="M148" s="810"/>
      <c r="N148" s="810"/>
      <c r="O148" s="810"/>
      <c r="P148" s="810"/>
      <c r="Q148" s="810"/>
    </row>
    <row r="149" spans="1:17" x14ac:dyDescent="0.25">
      <c r="A149" s="810"/>
      <c r="B149" s="810"/>
      <c r="C149" s="810"/>
      <c r="D149" s="810"/>
      <c r="E149" s="810"/>
      <c r="F149" s="810"/>
      <c r="G149" s="810"/>
      <c r="H149" s="810"/>
      <c r="I149" s="810"/>
      <c r="J149" s="810"/>
      <c r="K149" s="810"/>
      <c r="L149" s="810"/>
      <c r="M149" s="810"/>
      <c r="N149" s="810"/>
      <c r="O149" s="810"/>
      <c r="P149" s="810"/>
      <c r="Q149" s="810"/>
    </row>
    <row r="150" spans="1:17" x14ac:dyDescent="0.25">
      <c r="A150" s="810"/>
      <c r="B150" s="810"/>
      <c r="C150" s="810"/>
      <c r="D150" s="810"/>
      <c r="E150" s="810"/>
      <c r="F150" s="810"/>
      <c r="G150" s="810"/>
      <c r="H150" s="810"/>
      <c r="I150" s="810"/>
      <c r="J150" s="810"/>
      <c r="K150" s="810"/>
      <c r="L150" s="810"/>
      <c r="M150" s="810"/>
      <c r="N150" s="810"/>
      <c r="O150" s="810"/>
      <c r="P150" s="810"/>
      <c r="Q150" s="810"/>
    </row>
    <row r="151" spans="1:17" x14ac:dyDescent="0.25">
      <c r="A151" s="810"/>
      <c r="B151" s="810"/>
      <c r="C151" s="810"/>
      <c r="D151" s="810"/>
      <c r="E151" s="810"/>
      <c r="F151" s="810"/>
      <c r="G151" s="810"/>
      <c r="H151" s="810"/>
      <c r="I151" s="810"/>
      <c r="J151" s="810"/>
      <c r="K151" s="810"/>
      <c r="L151" s="810"/>
      <c r="M151" s="810"/>
      <c r="N151" s="810"/>
      <c r="O151" s="810"/>
      <c r="P151" s="810"/>
      <c r="Q151" s="810"/>
    </row>
    <row r="152" spans="1:17" x14ac:dyDescent="0.25">
      <c r="A152" s="810"/>
      <c r="B152" s="810"/>
      <c r="C152" s="810"/>
      <c r="D152" s="810"/>
      <c r="E152" s="810"/>
      <c r="F152" s="810"/>
      <c r="G152" s="810"/>
      <c r="H152" s="810"/>
      <c r="I152" s="810"/>
      <c r="J152" s="810"/>
      <c r="K152" s="810"/>
      <c r="L152" s="810"/>
      <c r="M152" s="810"/>
      <c r="N152" s="810"/>
      <c r="O152" s="810"/>
      <c r="P152" s="810"/>
      <c r="Q152" s="810"/>
    </row>
    <row r="153" spans="1:17" x14ac:dyDescent="0.25">
      <c r="A153" s="810"/>
      <c r="B153" s="810"/>
      <c r="C153" s="810"/>
      <c r="D153" s="810"/>
      <c r="E153" s="810"/>
      <c r="F153" s="810"/>
      <c r="G153" s="810"/>
      <c r="H153" s="810"/>
      <c r="I153" s="810"/>
      <c r="J153" s="810"/>
      <c r="K153" s="810"/>
      <c r="L153" s="810"/>
      <c r="M153" s="810"/>
      <c r="N153" s="810"/>
      <c r="O153" s="810"/>
      <c r="P153" s="810"/>
      <c r="Q153" s="810"/>
    </row>
    <row r="154" spans="1:17" x14ac:dyDescent="0.25">
      <c r="A154" s="810"/>
      <c r="B154" s="810"/>
      <c r="C154" s="810"/>
      <c r="D154" s="810"/>
      <c r="E154" s="810"/>
      <c r="F154" s="810"/>
      <c r="G154" s="810"/>
      <c r="H154" s="810"/>
      <c r="I154" s="810"/>
      <c r="J154" s="810"/>
      <c r="K154" s="810"/>
      <c r="L154" s="810"/>
      <c r="M154" s="810"/>
      <c r="N154" s="810"/>
      <c r="O154" s="810"/>
      <c r="P154" s="810"/>
      <c r="Q154" s="810"/>
    </row>
    <row r="155" spans="1:17" x14ac:dyDescent="0.25">
      <c r="A155" s="810"/>
      <c r="B155" s="810"/>
      <c r="C155" s="810"/>
      <c r="D155" s="810"/>
      <c r="E155" s="810"/>
      <c r="F155" s="810"/>
      <c r="G155" s="810"/>
      <c r="H155" s="810"/>
      <c r="I155" s="810"/>
      <c r="J155" s="810"/>
      <c r="K155" s="810"/>
      <c r="L155" s="810"/>
      <c r="M155" s="810"/>
      <c r="N155" s="810"/>
      <c r="O155" s="810"/>
      <c r="P155" s="810"/>
      <c r="Q155" s="810"/>
    </row>
    <row r="156" spans="1:17" x14ac:dyDescent="0.25">
      <c r="A156" s="810"/>
      <c r="B156" s="810"/>
      <c r="C156" s="810"/>
      <c r="D156" s="810"/>
      <c r="E156" s="810"/>
      <c r="F156" s="810"/>
      <c r="G156" s="810"/>
      <c r="H156" s="810"/>
      <c r="I156" s="810"/>
      <c r="J156" s="810"/>
      <c r="K156" s="810"/>
      <c r="L156" s="810"/>
      <c r="M156" s="810"/>
      <c r="N156" s="810"/>
      <c r="O156" s="810"/>
      <c r="P156" s="810"/>
      <c r="Q156" s="810"/>
    </row>
    <row r="157" spans="1:17" x14ac:dyDescent="0.25">
      <c r="A157" s="810"/>
      <c r="B157" s="810"/>
      <c r="C157" s="810"/>
      <c r="D157" s="810"/>
      <c r="E157" s="810"/>
      <c r="F157" s="810"/>
      <c r="G157" s="810"/>
      <c r="H157" s="810"/>
      <c r="I157" s="810"/>
      <c r="J157" s="810"/>
      <c r="K157" s="810"/>
      <c r="L157" s="810"/>
      <c r="M157" s="810"/>
      <c r="N157" s="810"/>
      <c r="O157" s="810"/>
      <c r="P157" s="810"/>
      <c r="Q157" s="810"/>
    </row>
    <row r="158" spans="1:17" x14ac:dyDescent="0.25">
      <c r="A158" s="810"/>
      <c r="B158" s="810"/>
      <c r="C158" s="810"/>
      <c r="D158" s="810"/>
      <c r="E158" s="810"/>
      <c r="F158" s="810"/>
      <c r="G158" s="810"/>
      <c r="H158" s="810"/>
      <c r="I158" s="810"/>
      <c r="J158" s="810"/>
      <c r="K158" s="810"/>
      <c r="L158" s="810"/>
      <c r="M158" s="810"/>
      <c r="N158" s="810"/>
      <c r="O158" s="810"/>
      <c r="P158" s="810"/>
      <c r="Q158" s="810"/>
    </row>
    <row r="159" spans="1:17" x14ac:dyDescent="0.25">
      <c r="A159" s="810"/>
      <c r="B159" s="810"/>
      <c r="C159" s="810"/>
      <c r="D159" s="810"/>
      <c r="E159" s="810"/>
      <c r="F159" s="810"/>
      <c r="G159" s="810"/>
      <c r="H159" s="810"/>
      <c r="I159" s="810"/>
      <c r="J159" s="810"/>
      <c r="K159" s="810"/>
      <c r="L159" s="810"/>
      <c r="M159" s="810"/>
      <c r="N159" s="810"/>
      <c r="O159" s="810"/>
      <c r="P159" s="810"/>
      <c r="Q159" s="810"/>
    </row>
    <row r="160" spans="1:17" x14ac:dyDescent="0.25">
      <c r="A160" s="810"/>
      <c r="B160" s="810"/>
      <c r="C160" s="810"/>
      <c r="D160" s="810"/>
      <c r="E160" s="810"/>
      <c r="F160" s="810"/>
      <c r="G160" s="810"/>
      <c r="H160" s="810"/>
      <c r="I160" s="810"/>
      <c r="J160" s="810"/>
      <c r="K160" s="810"/>
      <c r="L160" s="810"/>
      <c r="M160" s="810"/>
      <c r="N160" s="810"/>
      <c r="O160" s="810"/>
      <c r="P160" s="810"/>
      <c r="Q160" s="810"/>
    </row>
    <row r="161" spans="1:17" x14ac:dyDescent="0.25">
      <c r="A161" s="810"/>
      <c r="B161" s="810"/>
      <c r="C161" s="810"/>
      <c r="D161" s="810"/>
      <c r="E161" s="810"/>
      <c r="F161" s="810"/>
      <c r="G161" s="810"/>
      <c r="H161" s="810"/>
      <c r="I161" s="810"/>
      <c r="J161" s="810"/>
      <c r="K161" s="810"/>
      <c r="L161" s="810"/>
      <c r="M161" s="810"/>
      <c r="N161" s="810"/>
      <c r="O161" s="810"/>
      <c r="P161" s="810"/>
      <c r="Q161" s="810"/>
    </row>
    <row r="162" spans="1:17" x14ac:dyDescent="0.25">
      <c r="A162" s="810"/>
      <c r="B162" s="810"/>
      <c r="C162" s="810"/>
      <c r="D162" s="810"/>
      <c r="E162" s="810"/>
      <c r="F162" s="810"/>
      <c r="G162" s="810"/>
      <c r="H162" s="810"/>
      <c r="I162" s="810"/>
      <c r="J162" s="810"/>
      <c r="K162" s="810"/>
      <c r="L162" s="810"/>
      <c r="M162" s="810"/>
      <c r="N162" s="810"/>
      <c r="O162" s="810"/>
      <c r="P162" s="810"/>
      <c r="Q162" s="810"/>
    </row>
    <row r="163" spans="1:17" x14ac:dyDescent="0.25">
      <c r="A163" s="810"/>
      <c r="B163" s="810"/>
      <c r="C163" s="810"/>
      <c r="D163" s="810"/>
      <c r="E163" s="810"/>
      <c r="F163" s="810"/>
      <c r="G163" s="810"/>
      <c r="H163" s="810"/>
      <c r="I163" s="810"/>
      <c r="J163" s="810"/>
      <c r="K163" s="810"/>
      <c r="L163" s="810"/>
      <c r="M163" s="810"/>
      <c r="N163" s="810"/>
      <c r="O163" s="810"/>
      <c r="P163" s="810"/>
      <c r="Q163" s="810"/>
    </row>
    <row r="164" spans="1:17" x14ac:dyDescent="0.25">
      <c r="A164" s="810"/>
      <c r="B164" s="810"/>
      <c r="C164" s="810"/>
      <c r="D164" s="810"/>
      <c r="E164" s="810"/>
      <c r="F164" s="810"/>
      <c r="G164" s="810"/>
      <c r="H164" s="810"/>
      <c r="I164" s="810"/>
      <c r="J164" s="810"/>
      <c r="K164" s="810"/>
      <c r="L164" s="810"/>
      <c r="M164" s="810"/>
      <c r="N164" s="810"/>
      <c r="O164" s="810"/>
      <c r="P164" s="810"/>
      <c r="Q164" s="810"/>
    </row>
    <row r="165" spans="1:17" x14ac:dyDescent="0.25">
      <c r="A165" s="810"/>
      <c r="B165" s="810"/>
      <c r="C165" s="810"/>
      <c r="D165" s="810"/>
      <c r="E165" s="810"/>
      <c r="F165" s="810"/>
      <c r="G165" s="810"/>
      <c r="H165" s="810"/>
      <c r="I165" s="810"/>
      <c r="J165" s="810"/>
      <c r="K165" s="810"/>
      <c r="L165" s="810"/>
      <c r="M165" s="810"/>
      <c r="N165" s="810"/>
      <c r="O165" s="810"/>
      <c r="P165" s="810"/>
      <c r="Q165" s="810"/>
    </row>
    <row r="166" spans="1:17" x14ac:dyDescent="0.25">
      <c r="A166" s="810"/>
      <c r="B166" s="810"/>
      <c r="C166" s="810"/>
      <c r="D166" s="810"/>
      <c r="E166" s="810"/>
      <c r="F166" s="810"/>
      <c r="G166" s="810"/>
      <c r="H166" s="810"/>
      <c r="I166" s="810"/>
      <c r="J166" s="810"/>
      <c r="K166" s="810"/>
      <c r="L166" s="810"/>
      <c r="M166" s="810"/>
      <c r="N166" s="810"/>
      <c r="O166" s="810"/>
      <c r="P166" s="810"/>
      <c r="Q166" s="810"/>
    </row>
    <row r="167" spans="1:17" x14ac:dyDescent="0.25">
      <c r="A167" s="810"/>
      <c r="B167" s="810"/>
      <c r="C167" s="810"/>
      <c r="D167" s="810"/>
      <c r="E167" s="810"/>
      <c r="F167" s="810"/>
      <c r="G167" s="810"/>
      <c r="H167" s="810"/>
      <c r="I167" s="810"/>
      <c r="J167" s="810"/>
      <c r="K167" s="810"/>
      <c r="L167" s="810"/>
      <c r="M167" s="810"/>
      <c r="N167" s="810"/>
      <c r="O167" s="810"/>
      <c r="P167" s="810"/>
      <c r="Q167" s="810"/>
    </row>
    <row r="168" spans="1:17" x14ac:dyDescent="0.25">
      <c r="A168" s="810"/>
      <c r="B168" s="810"/>
      <c r="C168" s="810"/>
      <c r="D168" s="810"/>
      <c r="E168" s="810"/>
      <c r="F168" s="810"/>
      <c r="G168" s="810"/>
      <c r="H168" s="810"/>
      <c r="I168" s="810"/>
      <c r="J168" s="810"/>
      <c r="K168" s="810"/>
      <c r="L168" s="810"/>
      <c r="M168" s="810"/>
      <c r="N168" s="810"/>
      <c r="O168" s="810"/>
      <c r="P168" s="810"/>
      <c r="Q168" s="810"/>
    </row>
    <row r="169" spans="1:17" x14ac:dyDescent="0.25">
      <c r="A169" s="810"/>
      <c r="B169" s="810"/>
      <c r="C169" s="810"/>
      <c r="D169" s="810"/>
      <c r="E169" s="810"/>
      <c r="F169" s="810"/>
      <c r="G169" s="810"/>
      <c r="H169" s="810"/>
      <c r="I169" s="810"/>
      <c r="J169" s="810"/>
      <c r="K169" s="810"/>
      <c r="L169" s="810"/>
      <c r="M169" s="810"/>
      <c r="N169" s="810"/>
      <c r="O169" s="810"/>
      <c r="P169" s="810"/>
      <c r="Q169" s="810"/>
    </row>
    <row r="170" spans="1:17" x14ac:dyDescent="0.25">
      <c r="A170" s="810"/>
      <c r="B170" s="810"/>
      <c r="C170" s="810"/>
      <c r="D170" s="810"/>
      <c r="E170" s="810"/>
      <c r="F170" s="810"/>
      <c r="G170" s="810"/>
      <c r="H170" s="810"/>
      <c r="I170" s="810"/>
      <c r="J170" s="810"/>
      <c r="K170" s="810"/>
      <c r="L170" s="810"/>
      <c r="M170" s="810"/>
      <c r="N170" s="810"/>
      <c r="O170" s="810"/>
      <c r="P170" s="810"/>
      <c r="Q170" s="810"/>
    </row>
    <row r="171" spans="1:17" x14ac:dyDescent="0.25">
      <c r="A171" s="810"/>
      <c r="B171" s="810"/>
      <c r="C171" s="810"/>
      <c r="D171" s="810"/>
      <c r="E171" s="810"/>
      <c r="F171" s="810"/>
      <c r="G171" s="810"/>
      <c r="H171" s="810"/>
      <c r="I171" s="810"/>
      <c r="J171" s="810"/>
      <c r="K171" s="810"/>
      <c r="L171" s="810"/>
      <c r="M171" s="810"/>
      <c r="N171" s="810"/>
      <c r="O171" s="810"/>
      <c r="P171" s="810"/>
      <c r="Q171" s="810"/>
    </row>
    <row r="172" spans="1:17" x14ac:dyDescent="0.25">
      <c r="A172" s="810"/>
      <c r="B172" s="810"/>
      <c r="C172" s="810"/>
      <c r="D172" s="810"/>
      <c r="E172" s="810"/>
      <c r="F172" s="810"/>
      <c r="G172" s="810"/>
      <c r="H172" s="810"/>
      <c r="I172" s="810"/>
      <c r="J172" s="810"/>
      <c r="K172" s="810"/>
      <c r="L172" s="810"/>
      <c r="M172" s="810"/>
      <c r="N172" s="810"/>
      <c r="O172" s="810"/>
      <c r="P172" s="810"/>
      <c r="Q172" s="810"/>
    </row>
    <row r="173" spans="1:17" x14ac:dyDescent="0.25">
      <c r="A173" s="810"/>
      <c r="B173" s="810"/>
      <c r="C173" s="810"/>
      <c r="D173" s="810"/>
      <c r="E173" s="810"/>
      <c r="F173" s="810"/>
      <c r="G173" s="810"/>
      <c r="H173" s="810"/>
      <c r="I173" s="810"/>
      <c r="J173" s="810"/>
      <c r="K173" s="810"/>
      <c r="L173" s="810"/>
      <c r="M173" s="810"/>
      <c r="N173" s="810"/>
      <c r="O173" s="810"/>
      <c r="P173" s="810"/>
      <c r="Q173" s="810"/>
    </row>
    <row r="174" spans="1:17" x14ac:dyDescent="0.25">
      <c r="A174" s="810"/>
      <c r="B174" s="810"/>
      <c r="C174" s="810"/>
      <c r="D174" s="810"/>
      <c r="E174" s="810"/>
      <c r="F174" s="810"/>
      <c r="G174" s="810"/>
      <c r="H174" s="810"/>
      <c r="I174" s="810"/>
      <c r="J174" s="810"/>
      <c r="K174" s="810"/>
      <c r="L174" s="810"/>
      <c r="M174" s="810"/>
      <c r="N174" s="810"/>
      <c r="O174" s="810"/>
      <c r="P174" s="810"/>
      <c r="Q174" s="810"/>
    </row>
    <row r="175" spans="1:17" x14ac:dyDescent="0.25">
      <c r="A175" s="810"/>
      <c r="B175" s="810"/>
      <c r="C175" s="810"/>
      <c r="D175" s="810"/>
      <c r="E175" s="810"/>
      <c r="F175" s="810"/>
      <c r="G175" s="810"/>
      <c r="H175" s="810"/>
      <c r="I175" s="810"/>
      <c r="J175" s="810"/>
      <c r="K175" s="810"/>
      <c r="L175" s="810"/>
      <c r="M175" s="810"/>
      <c r="N175" s="810"/>
      <c r="O175" s="810"/>
      <c r="P175" s="810"/>
      <c r="Q175" s="810"/>
    </row>
    <row r="176" spans="1:17" x14ac:dyDescent="0.25">
      <c r="A176" s="810"/>
      <c r="B176" s="810"/>
      <c r="C176" s="810"/>
      <c r="D176" s="810"/>
      <c r="E176" s="810"/>
      <c r="F176" s="810"/>
      <c r="G176" s="810"/>
      <c r="H176" s="810"/>
      <c r="I176" s="810"/>
      <c r="J176" s="810"/>
      <c r="K176" s="810"/>
      <c r="L176" s="810"/>
      <c r="M176" s="810"/>
      <c r="N176" s="810"/>
      <c r="O176" s="810"/>
      <c r="P176" s="810"/>
      <c r="Q176" s="810"/>
    </row>
    <row r="177" spans="1:17" x14ac:dyDescent="0.25">
      <c r="A177" s="810"/>
      <c r="B177" s="810"/>
      <c r="C177" s="810"/>
      <c r="D177" s="810"/>
      <c r="E177" s="810"/>
      <c r="F177" s="810"/>
      <c r="G177" s="810"/>
      <c r="H177" s="810"/>
      <c r="I177" s="810"/>
      <c r="J177" s="810"/>
      <c r="K177" s="810"/>
      <c r="L177" s="810"/>
      <c r="M177" s="810"/>
      <c r="N177" s="810"/>
      <c r="O177" s="810"/>
      <c r="P177" s="810"/>
      <c r="Q177" s="810"/>
    </row>
    <row r="178" spans="1:17" x14ac:dyDescent="0.25">
      <c r="A178" s="810"/>
      <c r="B178" s="810"/>
      <c r="C178" s="810"/>
      <c r="D178" s="810"/>
      <c r="E178" s="810"/>
      <c r="F178" s="810"/>
      <c r="G178" s="810"/>
      <c r="H178" s="810"/>
      <c r="I178" s="810"/>
      <c r="J178" s="810"/>
      <c r="K178" s="810"/>
      <c r="L178" s="810"/>
      <c r="M178" s="810"/>
      <c r="N178" s="810"/>
      <c r="O178" s="810"/>
      <c r="P178" s="810"/>
      <c r="Q178" s="810"/>
    </row>
    <row r="179" spans="1:17" x14ac:dyDescent="0.25">
      <c r="A179" s="810"/>
      <c r="B179" s="810"/>
      <c r="C179" s="810"/>
      <c r="D179" s="810"/>
      <c r="E179" s="810"/>
      <c r="F179" s="810"/>
      <c r="G179" s="810"/>
      <c r="H179" s="810"/>
      <c r="I179" s="810"/>
      <c r="J179" s="810"/>
      <c r="K179" s="810"/>
      <c r="L179" s="810"/>
      <c r="M179" s="810"/>
      <c r="N179" s="810"/>
      <c r="O179" s="810"/>
      <c r="P179" s="810"/>
      <c r="Q179" s="810"/>
    </row>
    <row r="180" spans="1:17" x14ac:dyDescent="0.25">
      <c r="A180" s="810"/>
      <c r="B180" s="810"/>
      <c r="C180" s="810"/>
      <c r="D180" s="810"/>
      <c r="E180" s="810"/>
      <c r="F180" s="810"/>
      <c r="G180" s="810"/>
      <c r="H180" s="810"/>
      <c r="I180" s="810"/>
      <c r="J180" s="810"/>
      <c r="K180" s="810"/>
      <c r="L180" s="810"/>
      <c r="M180" s="810"/>
      <c r="N180" s="810"/>
      <c r="O180" s="810"/>
      <c r="P180" s="810"/>
      <c r="Q180" s="810"/>
    </row>
    <row r="181" spans="1:17" x14ac:dyDescent="0.25">
      <c r="A181" s="810"/>
      <c r="B181" s="810"/>
      <c r="C181" s="810"/>
      <c r="D181" s="810"/>
      <c r="E181" s="810"/>
      <c r="F181" s="810"/>
      <c r="G181" s="810"/>
      <c r="H181" s="810"/>
      <c r="I181" s="810"/>
      <c r="J181" s="810"/>
      <c r="K181" s="810"/>
      <c r="L181" s="810"/>
      <c r="M181" s="810"/>
      <c r="N181" s="810"/>
      <c r="O181" s="810"/>
      <c r="P181" s="810"/>
      <c r="Q181" s="810"/>
    </row>
    <row r="182" spans="1:17" x14ac:dyDescent="0.25">
      <c r="A182" s="810"/>
      <c r="B182" s="810"/>
      <c r="C182" s="810"/>
      <c r="D182" s="810"/>
      <c r="E182" s="810"/>
      <c r="F182" s="810"/>
      <c r="G182" s="810"/>
      <c r="H182" s="810"/>
      <c r="I182" s="810"/>
      <c r="J182" s="810"/>
      <c r="K182" s="810"/>
      <c r="L182" s="810"/>
      <c r="M182" s="810"/>
      <c r="N182" s="810"/>
      <c r="O182" s="810"/>
      <c r="P182" s="810"/>
      <c r="Q182" s="810"/>
    </row>
    <row r="183" spans="1:17" x14ac:dyDescent="0.25">
      <c r="A183" s="810"/>
      <c r="B183" s="810"/>
      <c r="C183" s="810"/>
      <c r="D183" s="810"/>
      <c r="E183" s="810"/>
      <c r="F183" s="810"/>
      <c r="G183" s="810"/>
      <c r="H183" s="810"/>
      <c r="I183" s="810"/>
      <c r="J183" s="810"/>
      <c r="K183" s="810"/>
      <c r="L183" s="810"/>
      <c r="M183" s="810"/>
      <c r="N183" s="810"/>
      <c r="O183" s="810"/>
      <c r="P183" s="810"/>
      <c r="Q183" s="810"/>
    </row>
    <row r="184" spans="1:17" x14ac:dyDescent="0.25">
      <c r="A184" s="810"/>
      <c r="B184" s="810"/>
      <c r="C184" s="810"/>
      <c r="D184" s="810"/>
      <c r="E184" s="810"/>
      <c r="F184" s="810"/>
      <c r="G184" s="810"/>
      <c r="H184" s="810"/>
      <c r="I184" s="810"/>
      <c r="J184" s="810"/>
      <c r="K184" s="810"/>
      <c r="L184" s="810"/>
      <c r="M184" s="810"/>
      <c r="N184" s="810"/>
      <c r="O184" s="810"/>
      <c r="P184" s="810"/>
      <c r="Q184" s="810"/>
    </row>
    <row r="185" spans="1:17" x14ac:dyDescent="0.25">
      <c r="A185" s="810"/>
      <c r="B185" s="810"/>
      <c r="C185" s="810"/>
      <c r="D185" s="810"/>
      <c r="E185" s="810"/>
      <c r="F185" s="810"/>
      <c r="G185" s="810"/>
      <c r="H185" s="810"/>
      <c r="I185" s="810"/>
      <c r="J185" s="810"/>
      <c r="K185" s="810"/>
      <c r="L185" s="810"/>
      <c r="M185" s="810"/>
      <c r="N185" s="810"/>
      <c r="O185" s="810"/>
      <c r="P185" s="810"/>
      <c r="Q185" s="810"/>
    </row>
    <row r="186" spans="1:17" x14ac:dyDescent="0.25">
      <c r="A186" s="810"/>
      <c r="B186" s="810"/>
      <c r="C186" s="810"/>
      <c r="D186" s="810"/>
      <c r="E186" s="810"/>
      <c r="F186" s="810"/>
      <c r="G186" s="810"/>
      <c r="H186" s="810"/>
      <c r="I186" s="810"/>
      <c r="J186" s="810"/>
      <c r="K186" s="810"/>
      <c r="L186" s="810"/>
      <c r="M186" s="810"/>
      <c r="N186" s="810"/>
      <c r="O186" s="810"/>
      <c r="P186" s="810"/>
      <c r="Q186" s="810"/>
    </row>
    <row r="187" spans="1:17" x14ac:dyDescent="0.25">
      <c r="A187" s="810"/>
      <c r="B187" s="810"/>
      <c r="C187" s="810"/>
      <c r="D187" s="810"/>
      <c r="E187" s="810"/>
      <c r="F187" s="810"/>
      <c r="G187" s="810"/>
      <c r="H187" s="810"/>
      <c r="I187" s="810"/>
      <c r="J187" s="810"/>
      <c r="K187" s="810"/>
      <c r="L187" s="810"/>
      <c r="M187" s="810"/>
      <c r="N187" s="810"/>
      <c r="O187" s="810"/>
      <c r="P187" s="810"/>
      <c r="Q187" s="810"/>
    </row>
    <row r="188" spans="1:17" x14ac:dyDescent="0.25">
      <c r="A188" s="810"/>
      <c r="B188" s="810"/>
      <c r="C188" s="810"/>
      <c r="D188" s="810"/>
      <c r="E188" s="810"/>
      <c r="F188" s="810"/>
      <c r="G188" s="810"/>
      <c r="H188" s="810"/>
      <c r="I188" s="810"/>
      <c r="J188" s="810"/>
      <c r="K188" s="810"/>
      <c r="L188" s="810"/>
      <c r="M188" s="810"/>
      <c r="N188" s="810"/>
      <c r="O188" s="810"/>
      <c r="P188" s="810"/>
      <c r="Q188" s="810"/>
    </row>
    <row r="189" spans="1:17" x14ac:dyDescent="0.25">
      <c r="A189" s="810"/>
      <c r="B189" s="810"/>
      <c r="C189" s="810"/>
      <c r="D189" s="810"/>
      <c r="E189" s="810"/>
      <c r="F189" s="810"/>
      <c r="G189" s="810"/>
      <c r="H189" s="810"/>
      <c r="I189" s="810"/>
      <c r="J189" s="810"/>
      <c r="K189" s="810"/>
      <c r="L189" s="810"/>
      <c r="M189" s="810"/>
      <c r="N189" s="810"/>
      <c r="O189" s="810"/>
      <c r="P189" s="810"/>
      <c r="Q189" s="810"/>
    </row>
    <row r="190" spans="1:17" x14ac:dyDescent="0.25">
      <c r="A190" s="810"/>
      <c r="B190" s="810"/>
      <c r="C190" s="810"/>
      <c r="D190" s="810"/>
      <c r="E190" s="810"/>
      <c r="F190" s="810"/>
      <c r="G190" s="810"/>
      <c r="H190" s="810"/>
      <c r="I190" s="810"/>
      <c r="J190" s="810"/>
      <c r="K190" s="810"/>
      <c r="L190" s="810"/>
      <c r="M190" s="810"/>
      <c r="N190" s="810"/>
      <c r="O190" s="810"/>
      <c r="P190" s="810"/>
      <c r="Q190" s="810"/>
    </row>
    <row r="191" spans="1:17" x14ac:dyDescent="0.25">
      <c r="A191" s="810"/>
      <c r="B191" s="810"/>
      <c r="C191" s="810"/>
      <c r="D191" s="810"/>
      <c r="E191" s="810"/>
      <c r="F191" s="810"/>
      <c r="G191" s="810"/>
      <c r="H191" s="810"/>
      <c r="I191" s="810"/>
      <c r="J191" s="810"/>
      <c r="K191" s="810"/>
      <c r="L191" s="810"/>
      <c r="M191" s="810"/>
      <c r="N191" s="810"/>
      <c r="O191" s="810"/>
      <c r="P191" s="810"/>
      <c r="Q191" s="810"/>
    </row>
    <row r="192" spans="1:17" x14ac:dyDescent="0.25">
      <c r="A192" s="810"/>
      <c r="B192" s="810"/>
      <c r="C192" s="810"/>
      <c r="D192" s="810"/>
      <c r="E192" s="810"/>
      <c r="F192" s="810"/>
      <c r="G192" s="810"/>
      <c r="H192" s="810"/>
      <c r="I192" s="810"/>
      <c r="J192" s="810"/>
      <c r="K192" s="810"/>
      <c r="L192" s="810"/>
      <c r="M192" s="810"/>
      <c r="N192" s="810"/>
      <c r="O192" s="810"/>
      <c r="P192" s="810"/>
      <c r="Q192" s="810"/>
    </row>
    <row r="193" spans="1:17" x14ac:dyDescent="0.25">
      <c r="A193" s="810"/>
      <c r="B193" s="810"/>
      <c r="C193" s="810"/>
      <c r="D193" s="810"/>
      <c r="E193" s="810"/>
      <c r="F193" s="810"/>
      <c r="G193" s="810"/>
      <c r="H193" s="810"/>
      <c r="I193" s="810"/>
      <c r="J193" s="810"/>
      <c r="K193" s="810"/>
      <c r="L193" s="810"/>
      <c r="M193" s="810"/>
      <c r="N193" s="810"/>
      <c r="O193" s="810"/>
      <c r="P193" s="810"/>
      <c r="Q193" s="810"/>
    </row>
    <row r="194" spans="1:17" x14ac:dyDescent="0.25">
      <c r="A194" s="810"/>
      <c r="B194" s="810"/>
      <c r="C194" s="810"/>
      <c r="D194" s="810"/>
      <c r="E194" s="810"/>
      <c r="F194" s="810"/>
      <c r="G194" s="810"/>
      <c r="H194" s="810"/>
      <c r="I194" s="810"/>
      <c r="J194" s="810"/>
      <c r="K194" s="810"/>
      <c r="L194" s="810"/>
      <c r="M194" s="810"/>
      <c r="N194" s="810"/>
      <c r="O194" s="810"/>
      <c r="P194" s="810"/>
      <c r="Q194" s="810"/>
    </row>
    <row r="195" spans="1:17" x14ac:dyDescent="0.25">
      <c r="A195" s="810"/>
      <c r="B195" s="810"/>
      <c r="C195" s="810"/>
      <c r="D195" s="810"/>
      <c r="E195" s="810"/>
      <c r="F195" s="810"/>
      <c r="G195" s="810"/>
      <c r="H195" s="810"/>
      <c r="I195" s="810"/>
      <c r="J195" s="810"/>
      <c r="K195" s="810"/>
      <c r="L195" s="810"/>
      <c r="M195" s="810"/>
      <c r="N195" s="810"/>
      <c r="O195" s="810"/>
      <c r="P195" s="810"/>
      <c r="Q195" s="810"/>
    </row>
    <row r="196" spans="1:17" x14ac:dyDescent="0.25">
      <c r="A196" s="810"/>
      <c r="B196" s="810"/>
      <c r="C196" s="810"/>
      <c r="D196" s="810"/>
      <c r="E196" s="810"/>
      <c r="F196" s="810"/>
      <c r="G196" s="810"/>
      <c r="H196" s="810"/>
      <c r="I196" s="810"/>
      <c r="J196" s="810"/>
      <c r="K196" s="810"/>
      <c r="L196" s="810"/>
      <c r="M196" s="810"/>
      <c r="N196" s="810"/>
      <c r="O196" s="810"/>
      <c r="P196" s="810"/>
      <c r="Q196" s="810"/>
    </row>
    <row r="197" spans="1:17" x14ac:dyDescent="0.25">
      <c r="A197" s="810"/>
      <c r="B197" s="810"/>
      <c r="C197" s="810"/>
      <c r="D197" s="810"/>
      <c r="E197" s="810"/>
      <c r="F197" s="810"/>
      <c r="G197" s="810"/>
      <c r="H197" s="810"/>
      <c r="I197" s="810"/>
      <c r="J197" s="810"/>
      <c r="K197" s="810"/>
      <c r="L197" s="810"/>
      <c r="M197" s="810"/>
      <c r="N197" s="810"/>
      <c r="O197" s="810"/>
      <c r="P197" s="810"/>
      <c r="Q197" s="810"/>
    </row>
    <row r="198" spans="1:17" x14ac:dyDescent="0.25">
      <c r="A198" s="810"/>
      <c r="B198" s="810"/>
      <c r="C198" s="810"/>
      <c r="D198" s="810"/>
      <c r="E198" s="810"/>
      <c r="F198" s="810"/>
      <c r="G198" s="810"/>
      <c r="H198" s="810"/>
      <c r="I198" s="810"/>
      <c r="J198" s="810"/>
      <c r="K198" s="810"/>
      <c r="L198" s="810"/>
      <c r="M198" s="810"/>
      <c r="N198" s="810"/>
      <c r="O198" s="810"/>
      <c r="P198" s="810"/>
      <c r="Q198" s="810"/>
    </row>
    <row r="199" spans="1:17" x14ac:dyDescent="0.25">
      <c r="A199" s="810"/>
      <c r="B199" s="810"/>
      <c r="C199" s="810"/>
      <c r="D199" s="810"/>
      <c r="E199" s="810"/>
      <c r="F199" s="810"/>
      <c r="G199" s="810"/>
      <c r="H199" s="810"/>
      <c r="I199" s="810"/>
      <c r="J199" s="810"/>
      <c r="K199" s="810"/>
      <c r="L199" s="810"/>
      <c r="M199" s="810"/>
      <c r="N199" s="810"/>
      <c r="O199" s="810"/>
      <c r="P199" s="810"/>
      <c r="Q199" s="810"/>
    </row>
    <row r="200" spans="1:17" x14ac:dyDescent="0.25">
      <c r="A200" s="810"/>
      <c r="B200" s="810"/>
      <c r="C200" s="810"/>
      <c r="D200" s="810"/>
      <c r="E200" s="810"/>
      <c r="F200" s="810"/>
      <c r="G200" s="810"/>
      <c r="H200" s="810"/>
      <c r="I200" s="810"/>
      <c r="J200" s="810"/>
      <c r="K200" s="810"/>
      <c r="L200" s="810"/>
      <c r="M200" s="810"/>
      <c r="N200" s="810"/>
      <c r="O200" s="810"/>
      <c r="P200" s="810"/>
      <c r="Q200" s="810"/>
    </row>
  </sheetData>
  <mergeCells count="1">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D7686-59D8-4DAA-BF87-6BCE04F5D8E9}">
  <dimension ref="A1:V71"/>
  <sheetViews>
    <sheetView zoomScaleNormal="100" workbookViewId="0">
      <selection activeCell="A4" sqref="A4"/>
    </sheetView>
  </sheetViews>
  <sheetFormatPr baseColWidth="10" defaultColWidth="8" defaultRowHeight="15.75" x14ac:dyDescent="0.25"/>
  <cols>
    <col min="1" max="1" width="30.875" style="923" customWidth="1"/>
    <col min="2" max="2" width="39.125" style="923" customWidth="1"/>
    <col min="3" max="3" width="50.625" style="923" customWidth="1"/>
    <col min="4" max="4" width="41.625" style="923" customWidth="1"/>
    <col min="5" max="5" width="37" style="923" customWidth="1"/>
    <col min="6" max="6" width="46.875" style="923" customWidth="1"/>
    <col min="7" max="7" width="43.625" style="923" customWidth="1"/>
    <col min="8" max="8" width="23" style="923" customWidth="1"/>
    <col min="9" max="9" width="18" style="923" customWidth="1"/>
    <col min="10" max="15" width="13.75" style="923" customWidth="1"/>
    <col min="16" max="22" width="8" style="923"/>
    <col min="23" max="23" width="29" style="923" customWidth="1"/>
    <col min="24" max="16384" width="8" style="923"/>
  </cols>
  <sheetData>
    <row r="1" spans="1:22" ht="32.1" customHeight="1" x14ac:dyDescent="0.25">
      <c r="A1" s="983"/>
      <c r="B1" s="983"/>
      <c r="C1" s="983" t="s">
        <v>6849</v>
      </c>
      <c r="D1" s="983"/>
      <c r="E1" s="983"/>
      <c r="F1" s="983"/>
      <c r="G1" s="983"/>
      <c r="H1" s="983"/>
      <c r="I1" s="983"/>
      <c r="J1" s="983"/>
      <c r="K1" s="983"/>
      <c r="L1" s="983"/>
      <c r="M1" s="983"/>
      <c r="N1" s="983"/>
      <c r="O1" s="983"/>
      <c r="P1" s="978"/>
      <c r="Q1" s="978"/>
      <c r="R1" s="978"/>
      <c r="S1" s="978"/>
      <c r="T1" s="978"/>
      <c r="U1" s="978"/>
      <c r="V1" s="978"/>
    </row>
    <row r="2" spans="1:22" ht="27.95" customHeight="1" x14ac:dyDescent="0.25">
      <c r="A2" s="982"/>
      <c r="B2" s="982"/>
      <c r="C2" s="982" t="s">
        <v>6848</v>
      </c>
      <c r="D2" s="982"/>
      <c r="E2" s="982"/>
      <c r="F2" s="982"/>
      <c r="G2" s="982"/>
      <c r="H2" s="982"/>
      <c r="I2" s="982"/>
      <c r="J2" s="982"/>
      <c r="K2" s="982"/>
      <c r="L2" s="982"/>
      <c r="M2" s="982"/>
      <c r="N2" s="982"/>
      <c r="O2" s="982"/>
      <c r="P2" s="981"/>
      <c r="Q2" s="981"/>
      <c r="R2" s="981"/>
      <c r="S2" s="981"/>
      <c r="T2" s="981"/>
      <c r="U2" s="981"/>
      <c r="V2" s="981"/>
    </row>
    <row r="3" spans="1:22" ht="35.1" customHeight="1" x14ac:dyDescent="0.25">
      <c r="A3" s="980"/>
      <c r="B3" s="980"/>
      <c r="C3" s="980" t="s">
        <v>6847</v>
      </c>
      <c r="D3" s="980"/>
      <c r="E3" s="980"/>
      <c r="F3" s="980"/>
      <c r="G3" s="980"/>
      <c r="H3" s="980"/>
      <c r="I3" s="980"/>
      <c r="J3" s="980"/>
      <c r="K3" s="980"/>
      <c r="L3" s="980"/>
      <c r="M3" s="980"/>
      <c r="N3" s="980"/>
      <c r="O3" s="980"/>
      <c r="P3" s="979"/>
      <c r="Q3" s="979"/>
      <c r="R3" s="979"/>
      <c r="S3" s="979"/>
      <c r="T3" s="979"/>
      <c r="U3" s="979"/>
      <c r="V3" s="979"/>
    </row>
    <row r="5" spans="1:22" ht="30" customHeight="1" x14ac:dyDescent="0.25">
      <c r="A5" s="929" t="s">
        <v>4863</v>
      </c>
      <c r="B5" s="928"/>
      <c r="C5" s="928"/>
      <c r="D5" s="928"/>
      <c r="E5" s="928"/>
      <c r="F5" s="928"/>
      <c r="G5" s="1535" t="s">
        <v>6846</v>
      </c>
      <c r="H5" s="1535"/>
      <c r="I5" s="1535"/>
      <c r="J5" s="1535"/>
      <c r="K5" s="1535"/>
      <c r="L5" s="1535"/>
      <c r="M5" s="1535"/>
      <c r="N5" s="1535"/>
      <c r="O5" s="1535"/>
      <c r="P5" s="978"/>
      <c r="Q5" s="978"/>
      <c r="R5" s="978"/>
      <c r="S5" s="978"/>
      <c r="T5" s="978"/>
      <c r="U5" s="978"/>
      <c r="V5" s="978"/>
    </row>
    <row r="6" spans="1:22" ht="30" customHeight="1" x14ac:dyDescent="0.25">
      <c r="A6" s="977" t="s">
        <v>18</v>
      </c>
      <c r="B6" s="976" t="s">
        <v>6845</v>
      </c>
      <c r="C6" s="923" t="s">
        <v>6844</v>
      </c>
      <c r="D6" s="924"/>
      <c r="E6" s="924"/>
      <c r="F6" s="924"/>
      <c r="G6" s="975" t="s">
        <v>6828</v>
      </c>
      <c r="H6" s="923" t="s">
        <v>6843</v>
      </c>
      <c r="J6" s="924"/>
      <c r="K6" s="924"/>
      <c r="L6" s="924"/>
      <c r="M6" s="924"/>
      <c r="N6" s="924"/>
      <c r="O6" s="924"/>
    </row>
    <row r="7" spans="1:22" ht="30" customHeight="1" x14ac:dyDescent="0.25">
      <c r="A7" s="977" t="s">
        <v>20</v>
      </c>
      <c r="B7" s="976" t="s">
        <v>6842</v>
      </c>
      <c r="C7" s="923" t="s">
        <v>6841</v>
      </c>
      <c r="D7" s="924"/>
      <c r="E7" s="924"/>
      <c r="F7" s="924"/>
      <c r="G7" s="975" t="s">
        <v>6828</v>
      </c>
      <c r="H7" s="923" t="s">
        <v>6840</v>
      </c>
      <c r="J7" s="924"/>
      <c r="K7" s="924"/>
      <c r="L7" s="924"/>
      <c r="M7" s="924"/>
      <c r="N7" s="924"/>
      <c r="O7" s="924"/>
    </row>
    <row r="8" spans="1:22" ht="30" customHeight="1" x14ac:dyDescent="0.25">
      <c r="A8" s="977" t="s">
        <v>25</v>
      </c>
      <c r="B8" s="976" t="s">
        <v>6839</v>
      </c>
      <c r="C8" s="923" t="s">
        <v>6838</v>
      </c>
      <c r="D8" s="924"/>
      <c r="E8" s="924"/>
      <c r="F8" s="924"/>
      <c r="G8" s="975" t="s">
        <v>6828</v>
      </c>
      <c r="H8" s="923" t="s">
        <v>6837</v>
      </c>
      <c r="J8" s="924"/>
      <c r="K8" s="924"/>
      <c r="L8" s="924"/>
      <c r="M8" s="924"/>
      <c r="N8" s="924"/>
      <c r="O8" s="924"/>
    </row>
    <row r="9" spans="1:22" ht="30" customHeight="1" x14ac:dyDescent="0.25">
      <c r="A9" s="977" t="s">
        <v>28</v>
      </c>
      <c r="B9" s="976" t="s">
        <v>6836</v>
      </c>
      <c r="C9" s="923" t="s">
        <v>6835</v>
      </c>
      <c r="D9" s="924"/>
      <c r="E9" s="924"/>
      <c r="F9" s="924"/>
      <c r="G9" s="975" t="s">
        <v>6828</v>
      </c>
      <c r="H9" s="923" t="s">
        <v>6834</v>
      </c>
      <c r="J9" s="924"/>
      <c r="K9" s="924"/>
      <c r="L9" s="924"/>
      <c r="M9" s="924"/>
      <c r="N9" s="924"/>
      <c r="O9" s="924"/>
    </row>
    <row r="10" spans="1:22" ht="30" customHeight="1" x14ac:dyDescent="0.25">
      <c r="A10" s="977" t="s">
        <v>32</v>
      </c>
      <c r="B10" s="976" t="s">
        <v>6833</v>
      </c>
      <c r="C10" s="923" t="s">
        <v>6832</v>
      </c>
      <c r="D10" s="924"/>
      <c r="E10" s="924"/>
      <c r="F10" s="924"/>
      <c r="G10" s="975" t="s">
        <v>6828</v>
      </c>
      <c r="H10" s="923" t="s">
        <v>6831</v>
      </c>
      <c r="J10" s="924"/>
      <c r="K10" s="924"/>
      <c r="L10" s="924"/>
      <c r="M10" s="924"/>
      <c r="N10" s="924"/>
      <c r="O10" s="924"/>
    </row>
    <row r="11" spans="1:22" ht="30" customHeight="1" x14ac:dyDescent="0.25">
      <c r="A11" s="977" t="s">
        <v>34</v>
      </c>
      <c r="B11" s="976" t="s">
        <v>6830</v>
      </c>
      <c r="C11" s="923" t="s">
        <v>6829</v>
      </c>
      <c r="D11" s="924"/>
      <c r="E11" s="924"/>
      <c r="F11" s="924"/>
      <c r="G11" s="975" t="s">
        <v>6828</v>
      </c>
      <c r="H11" s="923" t="s">
        <v>6827</v>
      </c>
      <c r="J11" s="924"/>
      <c r="K11" s="924"/>
      <c r="L11" s="924"/>
      <c r="M11" s="924"/>
      <c r="N11" s="924"/>
      <c r="O11" s="924"/>
    </row>
    <row r="13" spans="1:22" ht="30" customHeight="1" x14ac:dyDescent="0.25">
      <c r="A13" s="938" t="s">
        <v>6826</v>
      </c>
      <c r="B13" s="938" t="s">
        <v>6825</v>
      </c>
      <c r="C13" s="938" t="s">
        <v>6824</v>
      </c>
      <c r="D13" s="938" t="s">
        <v>6823</v>
      </c>
      <c r="E13" s="938" t="s">
        <v>5258</v>
      </c>
      <c r="F13" s="938" t="s">
        <v>6822</v>
      </c>
      <c r="G13" s="946" t="s">
        <v>6821</v>
      </c>
      <c r="H13" s="946"/>
      <c r="I13" s="946"/>
      <c r="J13" s="946"/>
      <c r="K13" s="946"/>
      <c r="L13" s="946"/>
      <c r="M13" s="946"/>
      <c r="N13" s="946"/>
      <c r="O13" s="926"/>
      <c r="P13" s="926"/>
      <c r="Q13" s="926"/>
      <c r="R13" s="926"/>
      <c r="S13" s="926"/>
      <c r="T13" s="926"/>
      <c r="U13" s="926"/>
      <c r="V13" s="926"/>
    </row>
    <row r="14" spans="1:22" ht="50.1" customHeight="1" x14ac:dyDescent="0.25">
      <c r="A14" s="925" t="s">
        <v>6820</v>
      </c>
      <c r="B14" s="924" t="s">
        <v>6819</v>
      </c>
      <c r="C14" s="924" t="s">
        <v>6818</v>
      </c>
      <c r="D14" s="924" t="s">
        <v>6817</v>
      </c>
      <c r="E14" s="924" t="s">
        <v>6816</v>
      </c>
      <c r="F14" s="924" t="s">
        <v>6815</v>
      </c>
      <c r="G14" s="974" t="s">
        <v>5448</v>
      </c>
      <c r="H14" s="1536" t="s">
        <v>2666</v>
      </c>
      <c r="I14" s="1536"/>
      <c r="J14" s="1536" t="s">
        <v>6814</v>
      </c>
      <c r="K14" s="1536"/>
      <c r="L14" s="1536" t="s">
        <v>53</v>
      </c>
      <c r="M14" s="1536"/>
      <c r="N14" s="1536" t="s">
        <v>2667</v>
      </c>
      <c r="O14" s="1536"/>
    </row>
    <row r="15" spans="1:22" ht="50.1" customHeight="1" x14ac:dyDescent="0.25">
      <c r="A15" s="925" t="s">
        <v>6813</v>
      </c>
      <c r="B15" s="924" t="s">
        <v>6812</v>
      </c>
      <c r="C15" s="924" t="s">
        <v>6811</v>
      </c>
      <c r="D15" s="924" t="s">
        <v>6810</v>
      </c>
      <c r="E15" s="924" t="s">
        <v>6809</v>
      </c>
      <c r="F15" s="924" t="s">
        <v>6808</v>
      </c>
      <c r="G15" s="973" t="s">
        <v>5458</v>
      </c>
      <c r="H15" s="962" t="s">
        <v>6780</v>
      </c>
      <c r="I15" s="961"/>
      <c r="J15" s="954" t="s">
        <v>6807</v>
      </c>
      <c r="K15" s="965"/>
      <c r="L15" s="964" t="s">
        <v>5380</v>
      </c>
      <c r="M15" s="963"/>
      <c r="N15" s="962" t="s">
        <v>5394</v>
      </c>
      <c r="O15" s="961"/>
      <c r="Q15" s="962" t="s">
        <v>6780</v>
      </c>
      <c r="R15" s="961"/>
      <c r="T15" s="972" t="s">
        <v>6806</v>
      </c>
      <c r="U15" s="963"/>
    </row>
    <row r="16" spans="1:22" ht="50.1" customHeight="1" x14ac:dyDescent="0.25">
      <c r="A16" s="925" t="s">
        <v>5560</v>
      </c>
      <c r="B16" s="924" t="s">
        <v>6805</v>
      </c>
      <c r="C16" s="924" t="s">
        <v>6804</v>
      </c>
      <c r="D16" s="924" t="s">
        <v>6803</v>
      </c>
      <c r="E16" s="924" t="s">
        <v>6802</v>
      </c>
      <c r="F16" s="924" t="s">
        <v>6801</v>
      </c>
      <c r="G16" s="925" t="s">
        <v>5463</v>
      </c>
      <c r="H16" s="964" t="s">
        <v>6800</v>
      </c>
      <c r="I16" s="963"/>
      <c r="J16" s="954" t="s">
        <v>5363</v>
      </c>
      <c r="K16" s="965"/>
      <c r="L16" s="959" t="s">
        <v>6799</v>
      </c>
      <c r="M16" s="953"/>
      <c r="N16" s="960" t="s">
        <v>6769</v>
      </c>
      <c r="O16" s="960"/>
      <c r="Q16" s="964" t="s">
        <v>6798</v>
      </c>
      <c r="R16" s="963"/>
      <c r="T16" s="969" t="s">
        <v>6797</v>
      </c>
      <c r="U16" s="956"/>
    </row>
    <row r="17" spans="1:22" ht="50.1" customHeight="1" x14ac:dyDescent="0.25">
      <c r="A17" s="925" t="s">
        <v>6796</v>
      </c>
      <c r="B17" s="924" t="s">
        <v>6795</v>
      </c>
      <c r="C17" s="924" t="s">
        <v>6794</v>
      </c>
      <c r="D17" s="924" t="s">
        <v>6793</v>
      </c>
      <c r="E17" s="924" t="s">
        <v>6792</v>
      </c>
      <c r="F17" s="924" t="s">
        <v>6791</v>
      </c>
      <c r="G17" s="925" t="s">
        <v>5464</v>
      </c>
      <c r="H17" s="962" t="s">
        <v>6790</v>
      </c>
      <c r="I17" s="961"/>
      <c r="J17" s="954" t="s">
        <v>6789</v>
      </c>
      <c r="K17" s="965"/>
      <c r="L17" s="971" t="s">
        <v>6788</v>
      </c>
      <c r="M17" s="970"/>
      <c r="N17" s="964" t="s">
        <v>5474</v>
      </c>
      <c r="O17" s="963"/>
      <c r="Q17" s="971" t="s">
        <v>6788</v>
      </c>
      <c r="R17" s="970"/>
      <c r="T17" s="969" t="s">
        <v>6787</v>
      </c>
      <c r="U17" s="968"/>
    </row>
    <row r="18" spans="1:22" ht="50.1" customHeight="1" x14ac:dyDescent="0.25">
      <c r="A18" s="925" t="s">
        <v>6786</v>
      </c>
      <c r="B18" s="924" t="s">
        <v>6785</v>
      </c>
      <c r="C18" s="924" t="s">
        <v>6784</v>
      </c>
      <c r="D18" s="924" t="s">
        <v>6783</v>
      </c>
      <c r="E18" s="924" t="s">
        <v>6782</v>
      </c>
      <c r="F18" s="924" t="s">
        <v>6781</v>
      </c>
      <c r="G18" s="925" t="s">
        <v>5465</v>
      </c>
      <c r="H18" s="964" t="s">
        <v>6780</v>
      </c>
      <c r="I18" s="963"/>
      <c r="J18" s="967" t="s">
        <v>6779</v>
      </c>
      <c r="K18" s="966"/>
      <c r="L18" s="969" t="s">
        <v>6778</v>
      </c>
      <c r="M18" s="968"/>
      <c r="N18" s="960" t="s">
        <v>6769</v>
      </c>
      <c r="O18" s="960"/>
      <c r="Q18" s="954" t="s">
        <v>6777</v>
      </c>
      <c r="R18" s="965"/>
      <c r="T18" s="959" t="s">
        <v>6776</v>
      </c>
      <c r="U18" s="956"/>
    </row>
    <row r="19" spans="1:22" ht="50.1" customHeight="1" x14ac:dyDescent="0.25">
      <c r="A19" s="925" t="s">
        <v>5363</v>
      </c>
      <c r="B19" s="924" t="s">
        <v>6775</v>
      </c>
      <c r="C19" s="924" t="s">
        <v>6774</v>
      </c>
      <c r="D19" s="924" t="s">
        <v>6773</v>
      </c>
      <c r="E19" s="924" t="s">
        <v>6772</v>
      </c>
      <c r="F19" s="924" t="s">
        <v>6771</v>
      </c>
      <c r="G19" s="925" t="s">
        <v>5466</v>
      </c>
      <c r="H19" s="967" t="s">
        <v>2324</v>
      </c>
      <c r="I19" s="966"/>
      <c r="J19" s="954" t="s">
        <v>6770</v>
      </c>
      <c r="K19" s="965"/>
      <c r="L19" s="964" t="s">
        <v>5380</v>
      </c>
      <c r="M19" s="963"/>
      <c r="N19" s="962" t="s">
        <v>5394</v>
      </c>
      <c r="O19" s="961"/>
      <c r="Q19" s="960" t="s">
        <v>6769</v>
      </c>
      <c r="R19" s="960"/>
      <c r="T19" s="959" t="s">
        <v>6768</v>
      </c>
      <c r="U19" s="953"/>
    </row>
    <row r="20" spans="1:22" ht="50.1" customHeight="1" x14ac:dyDescent="0.25">
      <c r="A20" s="925" t="s">
        <v>6767</v>
      </c>
      <c r="B20" s="924" t="s">
        <v>6766</v>
      </c>
      <c r="C20" s="924" t="s">
        <v>6765</v>
      </c>
      <c r="D20" s="924" t="s">
        <v>6764</v>
      </c>
      <c r="E20" s="924" t="s">
        <v>6763</v>
      </c>
      <c r="F20" s="924" t="s">
        <v>6762</v>
      </c>
      <c r="G20" s="925" t="s">
        <v>5029</v>
      </c>
      <c r="H20" s="949" t="s">
        <v>6761</v>
      </c>
      <c r="I20" s="949"/>
      <c r="J20" s="948"/>
      <c r="K20" s="948"/>
      <c r="L20" s="948"/>
      <c r="M20" s="948"/>
      <c r="N20" s="948"/>
      <c r="O20" s="947"/>
      <c r="Q20" s="958" t="s">
        <v>6760</v>
      </c>
      <c r="R20" s="957"/>
      <c r="T20" s="954" t="s">
        <v>6759</v>
      </c>
      <c r="U20" s="956"/>
    </row>
    <row r="21" spans="1:22" ht="50.1" customHeight="1" x14ac:dyDescent="0.25">
      <c r="A21" s="925" t="s">
        <v>6758</v>
      </c>
      <c r="B21" s="924" t="s">
        <v>6757</v>
      </c>
      <c r="C21" s="924" t="s">
        <v>6756</v>
      </c>
      <c r="D21" s="924" t="s">
        <v>6755</v>
      </c>
      <c r="E21" s="924" t="s">
        <v>6754</v>
      </c>
      <c r="F21" s="924" t="s">
        <v>6753</v>
      </c>
      <c r="G21" s="925" t="s">
        <v>6752</v>
      </c>
      <c r="H21" s="949" t="s">
        <v>6751</v>
      </c>
      <c r="I21" s="949"/>
      <c r="J21" s="948"/>
      <c r="K21" s="948"/>
      <c r="L21" s="948"/>
      <c r="M21" s="948"/>
      <c r="N21" s="948"/>
      <c r="O21" s="947"/>
      <c r="Q21" s="955" t="s">
        <v>6750</v>
      </c>
      <c r="R21" s="955"/>
      <c r="T21" s="954" t="s">
        <v>6749</v>
      </c>
      <c r="U21" s="953"/>
    </row>
    <row r="22" spans="1:22" ht="50.1" customHeight="1" x14ac:dyDescent="0.25">
      <c r="A22" s="925" t="s">
        <v>6748</v>
      </c>
      <c r="B22" s="924" t="s">
        <v>6747</v>
      </c>
      <c r="C22" s="924" t="s">
        <v>6746</v>
      </c>
      <c r="D22" s="924" t="s">
        <v>6745</v>
      </c>
      <c r="E22" s="924" t="s">
        <v>6744</v>
      </c>
      <c r="F22" s="924" t="s">
        <v>6743</v>
      </c>
      <c r="G22" s="925" t="s">
        <v>5025</v>
      </c>
      <c r="H22" s="949" t="s">
        <v>6742</v>
      </c>
      <c r="I22" s="949"/>
      <c r="J22" s="948"/>
      <c r="K22" s="948"/>
      <c r="L22" s="948"/>
      <c r="M22" s="948"/>
      <c r="N22" s="948"/>
      <c r="O22" s="947"/>
      <c r="Q22" s="952" t="s">
        <v>6741</v>
      </c>
      <c r="R22" s="951"/>
      <c r="T22" s="950" t="s">
        <v>6740</v>
      </c>
    </row>
    <row r="23" spans="1:22" ht="50.1" customHeight="1" x14ac:dyDescent="0.25">
      <c r="A23" s="925" t="s">
        <v>6739</v>
      </c>
      <c r="B23" s="924" t="s">
        <v>6738</v>
      </c>
      <c r="C23" s="924" t="s">
        <v>6737</v>
      </c>
      <c r="D23" s="924" t="s">
        <v>6736</v>
      </c>
      <c r="E23" s="924" t="s">
        <v>6735</v>
      </c>
      <c r="F23" s="924" t="s">
        <v>6734</v>
      </c>
      <c r="G23" s="925" t="s">
        <v>6733</v>
      </c>
      <c r="H23" s="949" t="s">
        <v>6732</v>
      </c>
      <c r="I23" s="949"/>
      <c r="J23" s="948"/>
      <c r="K23" s="948"/>
      <c r="L23" s="948"/>
      <c r="M23" s="948"/>
      <c r="N23" s="948"/>
      <c r="O23" s="947"/>
    </row>
    <row r="26" spans="1:22" ht="30" customHeight="1" x14ac:dyDescent="0.25">
      <c r="A26" s="929" t="s">
        <v>5</v>
      </c>
      <c r="B26" s="929" t="s">
        <v>6731</v>
      </c>
      <c r="C26" s="929" t="s">
        <v>6730</v>
      </c>
      <c r="D26" s="929" t="s">
        <v>6729</v>
      </c>
      <c r="E26" s="929" t="s">
        <v>6728</v>
      </c>
      <c r="F26" s="929" t="s">
        <v>6727</v>
      </c>
      <c r="G26" s="929" t="s">
        <v>6726</v>
      </c>
      <c r="H26" s="941" t="s">
        <v>6725</v>
      </c>
      <c r="I26" s="946"/>
      <c r="J26" s="926"/>
      <c r="K26" s="926"/>
      <c r="L26" s="926"/>
      <c r="M26" s="926"/>
      <c r="N26" s="926"/>
      <c r="O26" s="926"/>
      <c r="P26" s="926"/>
      <c r="Q26" s="926"/>
      <c r="R26" s="926"/>
      <c r="S26" s="926"/>
      <c r="T26" s="926"/>
      <c r="U26" s="926"/>
      <c r="V26" s="926"/>
    </row>
    <row r="27" spans="1:22" ht="50.1" customHeight="1" x14ac:dyDescent="0.25">
      <c r="A27" s="925" t="s">
        <v>798</v>
      </c>
      <c r="B27" s="924" t="s">
        <v>6724</v>
      </c>
      <c r="C27" s="924" t="s">
        <v>6723</v>
      </c>
      <c r="D27" s="924" t="s">
        <v>6722</v>
      </c>
      <c r="E27" s="924" t="s">
        <v>6721</v>
      </c>
      <c r="F27" s="924" t="s">
        <v>6720</v>
      </c>
      <c r="G27" s="924" t="s">
        <v>6719</v>
      </c>
      <c r="H27" s="925" t="s">
        <v>798</v>
      </c>
      <c r="I27" s="945" t="s">
        <v>6718</v>
      </c>
      <c r="K27" s="945"/>
      <c r="L27" s="924"/>
      <c r="M27" s="924"/>
      <c r="N27" s="924"/>
      <c r="O27" s="924"/>
    </row>
    <row r="28" spans="1:22" ht="50.1" customHeight="1" x14ac:dyDescent="0.25">
      <c r="A28" s="925" t="s">
        <v>6717</v>
      </c>
      <c r="B28" s="924" t="s">
        <v>6716</v>
      </c>
      <c r="C28" s="924" t="s">
        <v>6715</v>
      </c>
      <c r="D28" s="924" t="s">
        <v>6714</v>
      </c>
      <c r="E28" s="924" t="s">
        <v>6713</v>
      </c>
      <c r="F28" s="924" t="s">
        <v>6712</v>
      </c>
      <c r="G28" s="924" t="s">
        <v>6711</v>
      </c>
      <c r="H28" s="925" t="s">
        <v>836</v>
      </c>
      <c r="I28" s="945" t="s">
        <v>6710</v>
      </c>
      <c r="K28" s="945"/>
      <c r="L28" s="924"/>
      <c r="M28" s="924"/>
      <c r="N28" s="924"/>
      <c r="O28" s="924"/>
    </row>
    <row r="29" spans="1:22" ht="50.1" customHeight="1" x14ac:dyDescent="0.25">
      <c r="A29" s="925" t="s">
        <v>153</v>
      </c>
      <c r="B29" s="924" t="s">
        <v>6709</v>
      </c>
      <c r="C29" s="924" t="s">
        <v>6708</v>
      </c>
      <c r="D29" s="924" t="s">
        <v>6707</v>
      </c>
      <c r="E29" s="924" t="s">
        <v>6706</v>
      </c>
      <c r="F29" s="924" t="s">
        <v>6705</v>
      </c>
      <c r="G29" s="924" t="s">
        <v>6704</v>
      </c>
      <c r="H29" s="925" t="s">
        <v>324</v>
      </c>
      <c r="I29" s="945" t="s">
        <v>6703</v>
      </c>
      <c r="K29" s="945"/>
      <c r="L29" s="924"/>
      <c r="M29" s="924"/>
      <c r="N29" s="924"/>
      <c r="O29" s="924"/>
    </row>
    <row r="30" spans="1:22" ht="50.1" customHeight="1" x14ac:dyDescent="0.25">
      <c r="A30" s="925" t="s">
        <v>739</v>
      </c>
      <c r="B30" s="924" t="s">
        <v>6702</v>
      </c>
      <c r="C30" s="924" t="s">
        <v>6701</v>
      </c>
      <c r="D30" s="924" t="s">
        <v>6700</v>
      </c>
      <c r="E30" s="924" t="s">
        <v>6699</v>
      </c>
      <c r="F30" s="924" t="s">
        <v>6698</v>
      </c>
      <c r="G30" s="924" t="s">
        <v>6697</v>
      </c>
      <c r="H30" s="925" t="s">
        <v>739</v>
      </c>
      <c r="I30" s="945" t="s">
        <v>6696</v>
      </c>
      <c r="K30" s="945"/>
      <c r="L30" s="924"/>
      <c r="M30" s="924"/>
      <c r="N30" s="924"/>
      <c r="O30" s="924"/>
    </row>
    <row r="31" spans="1:22" ht="50.1" customHeight="1" x14ac:dyDescent="0.25">
      <c r="A31" s="925" t="s">
        <v>4885</v>
      </c>
      <c r="B31" s="924" t="s">
        <v>6695</v>
      </c>
      <c r="C31" s="924" t="s">
        <v>6694</v>
      </c>
      <c r="D31" s="924" t="s">
        <v>6693</v>
      </c>
      <c r="E31" s="924" t="s">
        <v>6692</v>
      </c>
      <c r="F31" s="924" t="s">
        <v>6691</v>
      </c>
      <c r="G31" s="924" t="s">
        <v>6690</v>
      </c>
      <c r="H31" s="925" t="s">
        <v>4885</v>
      </c>
      <c r="I31" s="945" t="s">
        <v>6689</v>
      </c>
      <c r="K31" s="945"/>
      <c r="L31" s="924"/>
      <c r="M31" s="924"/>
      <c r="N31" s="924"/>
      <c r="O31" s="924"/>
    </row>
    <row r="32" spans="1:22" ht="50.1" customHeight="1" x14ac:dyDescent="0.25">
      <c r="A32" s="925" t="s">
        <v>4886</v>
      </c>
      <c r="B32" s="924" t="s">
        <v>6688</v>
      </c>
      <c r="C32" s="924" t="s">
        <v>6687</v>
      </c>
      <c r="D32" s="924" t="s">
        <v>6686</v>
      </c>
      <c r="E32" s="924" t="s">
        <v>6685</v>
      </c>
      <c r="F32" s="924" t="s">
        <v>6684</v>
      </c>
      <c r="G32" s="924" t="s">
        <v>6683</v>
      </c>
      <c r="H32" s="925" t="s">
        <v>4886</v>
      </c>
      <c r="I32" s="945" t="s">
        <v>6682</v>
      </c>
      <c r="K32" s="945"/>
      <c r="L32" s="924"/>
      <c r="M32" s="924"/>
      <c r="N32" s="924"/>
      <c r="O32" s="924"/>
    </row>
    <row r="33" spans="1:22" ht="50.1" customHeight="1" x14ac:dyDescent="0.25">
      <c r="A33" s="925" t="s">
        <v>6681</v>
      </c>
      <c r="B33" s="924" t="s">
        <v>6680</v>
      </c>
      <c r="C33" s="924" t="s">
        <v>6679</v>
      </c>
      <c r="D33" s="924" t="s">
        <v>6678</v>
      </c>
      <c r="E33" s="924" t="s">
        <v>6677</v>
      </c>
      <c r="F33" s="924" t="s">
        <v>6676</v>
      </c>
      <c r="G33" s="924" t="s">
        <v>6675</v>
      </c>
      <c r="H33" s="925" t="s">
        <v>978</v>
      </c>
      <c r="I33" s="945" t="s">
        <v>6674</v>
      </c>
      <c r="K33" s="945"/>
      <c r="L33" s="924"/>
      <c r="M33" s="924"/>
      <c r="N33" s="924"/>
      <c r="O33" s="924"/>
    </row>
    <row r="34" spans="1:22" ht="15.75" customHeight="1" x14ac:dyDescent="0.25"/>
    <row r="36" spans="1:22" ht="30" customHeight="1" x14ac:dyDescent="0.25">
      <c r="A36" s="943" t="s">
        <v>6673</v>
      </c>
      <c r="B36" s="943" t="s">
        <v>6672</v>
      </c>
      <c r="C36" s="944" t="s">
        <v>6671</v>
      </c>
      <c r="D36" s="944" t="s">
        <v>6670</v>
      </c>
      <c r="E36" s="943"/>
      <c r="F36" s="943"/>
      <c r="G36" s="943"/>
      <c r="H36" s="943"/>
      <c r="I36" s="943"/>
      <c r="J36" s="943"/>
      <c r="K36" s="943"/>
      <c r="L36" s="943"/>
      <c r="M36" s="943"/>
      <c r="N36" s="943"/>
      <c r="O36" s="943"/>
      <c r="P36" s="943"/>
      <c r="Q36" s="943"/>
      <c r="R36" s="943"/>
      <c r="S36" s="943"/>
      <c r="T36" s="943"/>
      <c r="U36" s="943"/>
      <c r="V36" s="943"/>
    </row>
    <row r="37" spans="1:22" ht="50.1" customHeight="1" x14ac:dyDescent="0.25">
      <c r="A37" s="925" t="s">
        <v>6669</v>
      </c>
      <c r="B37" s="924" t="s">
        <v>6668</v>
      </c>
      <c r="C37" s="924" t="s">
        <v>6667</v>
      </c>
      <c r="D37" s="923" t="s">
        <v>6666</v>
      </c>
      <c r="E37" s="924"/>
      <c r="F37" s="924"/>
      <c r="G37" s="924"/>
      <c r="H37" s="924"/>
      <c r="I37" s="924"/>
      <c r="J37" s="924"/>
      <c r="K37" s="924"/>
      <c r="L37" s="924"/>
      <c r="M37" s="924"/>
      <c r="N37" s="924"/>
      <c r="O37" s="924"/>
    </row>
    <row r="38" spans="1:22" ht="50.1" customHeight="1" x14ac:dyDescent="0.25">
      <c r="A38" s="925" t="s">
        <v>6665</v>
      </c>
      <c r="B38" s="924" t="s">
        <v>6664</v>
      </c>
      <c r="C38" s="924" t="s">
        <v>6663</v>
      </c>
      <c r="D38" s="923" t="s">
        <v>6662</v>
      </c>
      <c r="E38" s="924"/>
      <c r="F38" s="924"/>
      <c r="G38" s="924"/>
      <c r="H38" s="924"/>
      <c r="I38" s="924"/>
      <c r="J38" s="924"/>
      <c r="K38" s="924"/>
      <c r="L38" s="924"/>
      <c r="M38" s="924"/>
      <c r="N38" s="924"/>
      <c r="O38" s="924"/>
    </row>
    <row r="39" spans="1:22" ht="50.1" customHeight="1" x14ac:dyDescent="0.25">
      <c r="A39" s="925" t="s">
        <v>6661</v>
      </c>
      <c r="B39" s="924" t="s">
        <v>6660</v>
      </c>
      <c r="C39" s="924" t="s">
        <v>6659</v>
      </c>
      <c r="D39" s="923" t="s">
        <v>6658</v>
      </c>
      <c r="E39" s="924"/>
      <c r="F39" s="924"/>
      <c r="G39" s="924"/>
      <c r="H39" s="924"/>
      <c r="I39" s="924"/>
      <c r="J39" s="924"/>
      <c r="K39" s="924"/>
      <c r="L39" s="924"/>
      <c r="M39" s="924"/>
      <c r="N39" s="924"/>
      <c r="O39" s="924"/>
    </row>
    <row r="40" spans="1:22" ht="50.1" customHeight="1" x14ac:dyDescent="0.25">
      <c r="A40" s="925" t="s">
        <v>6657</v>
      </c>
      <c r="B40" s="924" t="s">
        <v>6656</v>
      </c>
      <c r="C40" s="924" t="s">
        <v>6655</v>
      </c>
      <c r="D40" s="923" t="s">
        <v>6654</v>
      </c>
      <c r="E40" s="924"/>
      <c r="F40" s="924"/>
      <c r="G40" s="924"/>
      <c r="H40" s="924"/>
      <c r="I40" s="924"/>
      <c r="J40" s="924"/>
      <c r="K40" s="924"/>
      <c r="L40" s="924"/>
      <c r="M40" s="924"/>
      <c r="N40" s="924"/>
      <c r="O40" s="924"/>
    </row>
    <row r="41" spans="1:22" ht="50.1" customHeight="1" x14ac:dyDescent="0.25">
      <c r="A41" s="925" t="s">
        <v>6653</v>
      </c>
      <c r="B41" s="924" t="s">
        <v>6652</v>
      </c>
      <c r="C41" s="924" t="s">
        <v>6651</v>
      </c>
      <c r="D41" s="923" t="s">
        <v>6650</v>
      </c>
      <c r="E41" s="924"/>
      <c r="F41" s="924"/>
      <c r="G41" s="924"/>
      <c r="H41" s="924"/>
      <c r="I41" s="924"/>
      <c r="J41" s="924"/>
      <c r="K41" s="924"/>
      <c r="L41" s="924"/>
      <c r="M41" s="924"/>
      <c r="N41" s="924"/>
      <c r="O41" s="924"/>
    </row>
    <row r="42" spans="1:22" ht="15.75" customHeight="1" x14ac:dyDescent="0.25"/>
    <row r="43" spans="1:22" ht="24" customHeight="1" x14ac:dyDescent="0.25">
      <c r="A43" s="942"/>
      <c r="B43" s="941" t="s">
        <v>6649</v>
      </c>
      <c r="C43" s="940"/>
      <c r="D43" s="940"/>
      <c r="E43" s="940"/>
      <c r="F43" s="941" t="s">
        <v>6649</v>
      </c>
      <c r="G43" s="940"/>
      <c r="H43" s="940"/>
      <c r="I43" s="940"/>
      <c r="J43" s="940"/>
      <c r="K43" s="940"/>
      <c r="L43" s="940"/>
      <c r="M43" s="940"/>
      <c r="N43" s="940"/>
      <c r="O43" s="940"/>
      <c r="P43" s="940"/>
      <c r="Q43" s="940"/>
      <c r="R43" s="940"/>
      <c r="S43" s="940"/>
      <c r="T43" s="940"/>
      <c r="U43" s="940"/>
      <c r="V43" s="940"/>
    </row>
    <row r="45" spans="1:22" ht="21" customHeight="1" x14ac:dyDescent="0.25">
      <c r="A45" s="938" t="s">
        <v>5480</v>
      </c>
      <c r="B45" s="938" t="s">
        <v>6648</v>
      </c>
      <c r="C45" s="938" t="s">
        <v>6647</v>
      </c>
      <c r="D45" s="938" t="s">
        <v>6646</v>
      </c>
      <c r="E45" s="938" t="s">
        <v>6611</v>
      </c>
      <c r="F45" s="938" t="s">
        <v>6645</v>
      </c>
      <c r="G45" s="938" t="s">
        <v>6644</v>
      </c>
      <c r="H45" s="939" t="s">
        <v>6643</v>
      </c>
      <c r="I45" s="939" t="s">
        <v>6610</v>
      </c>
      <c r="J45" s="937" t="s">
        <v>6642</v>
      </c>
      <c r="K45" s="937"/>
      <c r="L45" s="937"/>
      <c r="M45" s="938"/>
      <c r="N45" s="938"/>
      <c r="O45" s="937" t="s">
        <v>6641</v>
      </c>
      <c r="P45" s="937"/>
      <c r="Q45" s="937"/>
      <c r="R45" s="937"/>
      <c r="S45" s="937"/>
      <c r="T45" s="937"/>
      <c r="U45" s="937"/>
      <c r="V45" s="937"/>
    </row>
    <row r="46" spans="1:22" ht="30" customHeight="1" x14ac:dyDescent="0.25">
      <c r="A46" s="925" t="s">
        <v>6640</v>
      </c>
      <c r="B46" s="936">
        <v>5</v>
      </c>
      <c r="C46" s="936"/>
      <c r="D46" s="935"/>
      <c r="E46" s="934" t="str">
        <f t="shared" ref="E46:E55" si="0">IF(D46="","À saisir",IF(AND(OR(B46="",D46&gt;=B46),OR(C46="",D46&lt;=C46)),"OK","À corriger"))</f>
        <v>À saisir</v>
      </c>
      <c r="F46" s="936">
        <v>10</v>
      </c>
      <c r="G46" s="936"/>
      <c r="H46" s="935"/>
      <c r="I46" s="934" t="str">
        <f t="shared" ref="I46:I55" si="1">IF(H46="","À saisir",IF(AND(OR(F46="",H46&gt;=F46),OR(G46="",H46&lt;=G46)),"OK","À corriger"))</f>
        <v>À saisir</v>
      </c>
      <c r="J46" s="933" t="s">
        <v>6639</v>
      </c>
      <c r="K46" s="930"/>
      <c r="L46" s="930"/>
      <c r="M46" s="932"/>
      <c r="N46" s="932"/>
      <c r="O46" s="931" t="s">
        <v>6619</v>
      </c>
      <c r="P46" s="930"/>
      <c r="Q46" s="930"/>
      <c r="R46" s="930"/>
      <c r="S46" s="930"/>
      <c r="T46" s="930"/>
    </row>
    <row r="47" spans="1:22" ht="30" customHeight="1" x14ac:dyDescent="0.25">
      <c r="A47" s="925" t="s">
        <v>6638</v>
      </c>
      <c r="B47" s="936">
        <v>3</v>
      </c>
      <c r="C47" s="936"/>
      <c r="D47" s="935"/>
      <c r="E47" s="934" t="str">
        <f t="shared" si="0"/>
        <v>À saisir</v>
      </c>
      <c r="F47" s="936">
        <v>5</v>
      </c>
      <c r="G47" s="936"/>
      <c r="H47" s="935"/>
      <c r="I47" s="934" t="str">
        <f t="shared" si="1"/>
        <v>À saisir</v>
      </c>
      <c r="J47" s="933" t="s">
        <v>6637</v>
      </c>
      <c r="K47" s="930"/>
      <c r="L47" s="930"/>
      <c r="M47" s="932"/>
      <c r="N47" s="932"/>
      <c r="O47" s="931" t="s">
        <v>6636</v>
      </c>
      <c r="P47" s="930"/>
      <c r="Q47" s="930"/>
      <c r="R47" s="930"/>
      <c r="S47" s="930"/>
      <c r="T47" s="930"/>
    </row>
    <row r="48" spans="1:22" ht="30" customHeight="1" x14ac:dyDescent="0.25">
      <c r="A48" s="925" t="s">
        <v>6635</v>
      </c>
      <c r="B48" s="936">
        <v>2</v>
      </c>
      <c r="C48" s="936"/>
      <c r="D48" s="935"/>
      <c r="E48" s="934" t="str">
        <f t="shared" si="0"/>
        <v>À saisir</v>
      </c>
      <c r="F48" s="936">
        <v>5</v>
      </c>
      <c r="G48" s="936"/>
      <c r="H48" s="935"/>
      <c r="I48" s="934" t="str">
        <f t="shared" si="1"/>
        <v>À saisir</v>
      </c>
      <c r="J48" s="933" t="s">
        <v>6634</v>
      </c>
      <c r="K48" s="930"/>
      <c r="L48" s="930"/>
      <c r="M48" s="932"/>
      <c r="N48" s="932"/>
      <c r="O48" s="931" t="s">
        <v>6619</v>
      </c>
      <c r="P48" s="930"/>
      <c r="Q48" s="930"/>
      <c r="R48" s="930"/>
      <c r="S48" s="930"/>
      <c r="T48" s="930"/>
    </row>
    <row r="49" spans="1:22" ht="30" customHeight="1" x14ac:dyDescent="0.25">
      <c r="A49" s="925" t="s">
        <v>6633</v>
      </c>
      <c r="B49" s="936">
        <v>2</v>
      </c>
      <c r="C49" s="936">
        <v>4</v>
      </c>
      <c r="D49" s="935"/>
      <c r="E49" s="934" t="str">
        <f t="shared" si="0"/>
        <v>À saisir</v>
      </c>
      <c r="F49" s="936">
        <v>5</v>
      </c>
      <c r="G49" s="936">
        <v>8</v>
      </c>
      <c r="H49" s="935"/>
      <c r="I49" s="934" t="str">
        <f t="shared" si="1"/>
        <v>À saisir</v>
      </c>
      <c r="J49" s="933" t="s">
        <v>6632</v>
      </c>
      <c r="K49" s="930"/>
      <c r="L49" s="930"/>
      <c r="M49" s="932"/>
      <c r="N49" s="932"/>
      <c r="O49" s="931" t="s">
        <v>6631</v>
      </c>
      <c r="P49" s="930"/>
      <c r="Q49" s="930"/>
      <c r="R49" s="930"/>
      <c r="S49" s="930"/>
      <c r="T49" s="930"/>
    </row>
    <row r="50" spans="1:22" ht="30" customHeight="1" x14ac:dyDescent="0.25">
      <c r="A50" s="925" t="s">
        <v>5542</v>
      </c>
      <c r="B50" s="936">
        <v>1</v>
      </c>
      <c r="C50" s="936"/>
      <c r="D50" s="935"/>
      <c r="E50" s="934" t="str">
        <f t="shared" si="0"/>
        <v>À saisir</v>
      </c>
      <c r="F50" s="936">
        <v>2</v>
      </c>
      <c r="G50" s="936"/>
      <c r="H50" s="935"/>
      <c r="I50" s="934" t="str">
        <f t="shared" si="1"/>
        <v>À saisir</v>
      </c>
      <c r="J50" s="933" t="s">
        <v>6630</v>
      </c>
      <c r="K50" s="930"/>
      <c r="L50" s="930"/>
      <c r="M50" s="932"/>
      <c r="N50" s="932"/>
      <c r="O50" s="931" t="s">
        <v>6629</v>
      </c>
      <c r="P50" s="930"/>
      <c r="Q50" s="930"/>
      <c r="R50" s="930"/>
      <c r="S50" s="930"/>
      <c r="T50" s="930"/>
    </row>
    <row r="51" spans="1:22" ht="30" customHeight="1" x14ac:dyDescent="0.25">
      <c r="A51" s="925" t="s">
        <v>5363</v>
      </c>
      <c r="B51" s="936">
        <v>1</v>
      </c>
      <c r="C51" s="936">
        <v>2</v>
      </c>
      <c r="D51" s="935"/>
      <c r="E51" s="934" t="str">
        <f t="shared" si="0"/>
        <v>À saisir</v>
      </c>
      <c r="F51" s="936">
        <v>1</v>
      </c>
      <c r="G51" s="936">
        <v>3</v>
      </c>
      <c r="H51" s="935"/>
      <c r="I51" s="934" t="str">
        <f t="shared" si="1"/>
        <v>À saisir</v>
      </c>
      <c r="J51" s="933" t="s">
        <v>6628</v>
      </c>
      <c r="K51" s="930"/>
      <c r="L51" s="930"/>
      <c r="M51" s="932"/>
      <c r="N51" s="932"/>
      <c r="O51" s="931" t="s">
        <v>6627</v>
      </c>
      <c r="P51" s="930"/>
      <c r="Q51" s="930"/>
      <c r="R51" s="930"/>
      <c r="S51" s="930"/>
      <c r="T51" s="930"/>
    </row>
    <row r="52" spans="1:22" ht="30" customHeight="1" x14ac:dyDescent="0.25">
      <c r="A52" s="925" t="s">
        <v>6626</v>
      </c>
      <c r="B52" s="936"/>
      <c r="C52" s="936">
        <v>1</v>
      </c>
      <c r="D52" s="935"/>
      <c r="E52" s="934" t="str">
        <f t="shared" si="0"/>
        <v>À saisir</v>
      </c>
      <c r="F52" s="936"/>
      <c r="G52" s="936">
        <v>2</v>
      </c>
      <c r="H52" s="935"/>
      <c r="I52" s="934" t="str">
        <f t="shared" si="1"/>
        <v>À saisir</v>
      </c>
      <c r="J52" s="933" t="s">
        <v>6625</v>
      </c>
      <c r="K52" s="930"/>
      <c r="L52" s="930"/>
      <c r="M52" s="932"/>
      <c r="N52" s="932"/>
      <c r="O52" s="931" t="s">
        <v>6624</v>
      </c>
      <c r="P52" s="930"/>
      <c r="Q52" s="930"/>
      <c r="R52" s="930"/>
      <c r="S52" s="930"/>
      <c r="T52" s="930"/>
    </row>
    <row r="53" spans="1:22" ht="30" customHeight="1" x14ac:dyDescent="0.25">
      <c r="A53" s="925" t="s">
        <v>6623</v>
      </c>
      <c r="B53" s="936"/>
      <c r="C53" s="936">
        <v>1</v>
      </c>
      <c r="D53" s="935"/>
      <c r="E53" s="934" t="str">
        <f t="shared" si="0"/>
        <v>À saisir</v>
      </c>
      <c r="F53" s="936"/>
      <c r="G53" s="936">
        <v>2</v>
      </c>
      <c r="H53" s="935"/>
      <c r="I53" s="934" t="str">
        <f t="shared" si="1"/>
        <v>À saisir</v>
      </c>
      <c r="J53" s="933" t="s">
        <v>6622</v>
      </c>
      <c r="K53" s="930"/>
      <c r="L53" s="930"/>
      <c r="M53" s="932"/>
      <c r="N53" s="932"/>
      <c r="O53" s="931" t="s">
        <v>6619</v>
      </c>
      <c r="P53" s="930"/>
      <c r="Q53" s="930"/>
      <c r="R53" s="930"/>
      <c r="S53" s="930"/>
      <c r="T53" s="930"/>
    </row>
    <row r="54" spans="1:22" ht="30" customHeight="1" x14ac:dyDescent="0.25">
      <c r="A54" s="925" t="s">
        <v>6621</v>
      </c>
      <c r="B54" s="936"/>
      <c r="C54" s="936">
        <v>1</v>
      </c>
      <c r="D54" s="935"/>
      <c r="E54" s="934" t="str">
        <f t="shared" si="0"/>
        <v>À saisir</v>
      </c>
      <c r="F54" s="936"/>
      <c r="G54" s="936">
        <v>2</v>
      </c>
      <c r="H54" s="935"/>
      <c r="I54" s="934" t="str">
        <f t="shared" si="1"/>
        <v>À saisir</v>
      </c>
      <c r="J54" s="933" t="s">
        <v>6620</v>
      </c>
      <c r="K54" s="930"/>
      <c r="L54" s="930"/>
      <c r="M54" s="932"/>
      <c r="N54" s="932"/>
      <c r="O54" s="931" t="s">
        <v>6619</v>
      </c>
      <c r="P54" s="930"/>
      <c r="Q54" s="930"/>
      <c r="R54" s="930"/>
      <c r="S54" s="930"/>
      <c r="T54" s="930"/>
    </row>
    <row r="55" spans="1:22" ht="30" customHeight="1" x14ac:dyDescent="0.25">
      <c r="A55" s="925" t="s">
        <v>6618</v>
      </c>
      <c r="B55" s="936">
        <v>3</v>
      </c>
      <c r="C55" s="936"/>
      <c r="D55" s="935"/>
      <c r="E55" s="934" t="str">
        <f t="shared" si="0"/>
        <v>À saisir</v>
      </c>
      <c r="F55" s="936">
        <v>7</v>
      </c>
      <c r="G55" s="936"/>
      <c r="H55" s="935"/>
      <c r="I55" s="934" t="str">
        <f t="shared" si="1"/>
        <v>À saisir</v>
      </c>
      <c r="J55" s="933" t="s">
        <v>6617</v>
      </c>
      <c r="K55" s="930"/>
      <c r="L55" s="930"/>
      <c r="M55" s="932"/>
      <c r="N55" s="932"/>
      <c r="O55" s="931" t="s">
        <v>6616</v>
      </c>
      <c r="P55" s="930"/>
      <c r="Q55" s="930"/>
      <c r="R55" s="930"/>
      <c r="S55" s="930"/>
      <c r="T55" s="930"/>
    </row>
    <row r="57" spans="1:22" ht="30" customHeight="1" x14ac:dyDescent="0.25">
      <c r="A57" s="928"/>
      <c r="B57" s="928"/>
      <c r="C57" s="928"/>
      <c r="D57" s="929" t="s">
        <v>6615</v>
      </c>
      <c r="E57" s="928"/>
      <c r="F57" s="928"/>
      <c r="G57" s="928"/>
      <c r="H57" s="929" t="s">
        <v>6614</v>
      </c>
      <c r="I57" s="928"/>
      <c r="J57" s="928"/>
      <c r="K57" s="928"/>
      <c r="L57" s="928"/>
      <c r="M57" s="928"/>
      <c r="N57" s="928"/>
      <c r="O57" s="928"/>
      <c r="P57" s="928"/>
      <c r="Q57" s="928"/>
      <c r="R57" s="928"/>
      <c r="S57" s="928"/>
      <c r="T57" s="928"/>
      <c r="U57" s="928"/>
      <c r="V57" s="928"/>
    </row>
    <row r="58" spans="1:22" ht="30" customHeight="1" x14ac:dyDescent="0.25">
      <c r="A58" s="924"/>
      <c r="B58" s="924"/>
      <c r="C58" s="924"/>
      <c r="D58" s="925" t="s">
        <v>6613</v>
      </c>
      <c r="E58" s="927">
        <f>COUNTIF(E46:E55,"OK")</f>
        <v>0</v>
      </c>
      <c r="F58" s="924"/>
      <c r="G58" s="924"/>
      <c r="H58" s="925" t="s">
        <v>6613</v>
      </c>
      <c r="I58" s="927">
        <f>COUNTIF(I46:I55,"OK")</f>
        <v>0</v>
      </c>
      <c r="J58" s="924"/>
      <c r="K58" s="924"/>
      <c r="L58" s="924"/>
      <c r="M58" s="924"/>
      <c r="N58" s="924"/>
      <c r="O58" s="924"/>
    </row>
    <row r="59" spans="1:22" ht="30" customHeight="1" x14ac:dyDescent="0.25">
      <c r="A59" s="924"/>
      <c r="B59" s="924"/>
      <c r="C59" s="924"/>
      <c r="D59" s="925" t="s">
        <v>6612</v>
      </c>
      <c r="E59" s="927">
        <f>COUNTIF(E46:E55,"À corriger")</f>
        <v>0</v>
      </c>
      <c r="F59" s="924"/>
      <c r="G59" s="924"/>
      <c r="H59" s="925" t="s">
        <v>6612</v>
      </c>
      <c r="I59" s="927">
        <f>COUNTIF(I46:I55,"À corriger")</f>
        <v>0</v>
      </c>
      <c r="J59" s="924"/>
      <c r="K59" s="924"/>
      <c r="L59" s="924"/>
      <c r="M59" s="924"/>
      <c r="N59" s="924"/>
      <c r="O59" s="924"/>
    </row>
    <row r="60" spans="1:22" ht="30" customHeight="1" x14ac:dyDescent="0.25">
      <c r="A60" s="924"/>
      <c r="B60" s="924"/>
      <c r="C60" s="924"/>
      <c r="D60" s="925" t="s">
        <v>6611</v>
      </c>
      <c r="E60" s="927" t="str">
        <f>IF(COUNTIF(E46:E55,"À saisir")&gt;0,"Saisie incomplète",IF(COUNTIF(E46:E55,"À corriger")=0,"Semaine cohérente","Semaine à corriger"))</f>
        <v>Saisie incomplète</v>
      </c>
      <c r="F60" s="924"/>
      <c r="G60" s="924"/>
      <c r="H60" s="925" t="s">
        <v>6610</v>
      </c>
      <c r="I60" s="927" t="str">
        <f>IF(COUNTIF(I46:I55,"À saisir")&gt;0,"Saisie incomplète",IF(COUNTIF(I46:I55,"À corriger")=0,"Semaine cohérente","Semaine à corriger"))</f>
        <v>Saisie incomplète</v>
      </c>
      <c r="J60" s="924"/>
      <c r="K60" s="924"/>
      <c r="L60" s="924"/>
      <c r="M60" s="924"/>
      <c r="N60" s="924"/>
      <c r="O60" s="924"/>
    </row>
    <row r="63" spans="1:22" ht="30" customHeight="1" x14ac:dyDescent="0.25">
      <c r="A63" s="926" t="s">
        <v>6609</v>
      </c>
      <c r="B63" s="926" t="s">
        <v>6608</v>
      </c>
      <c r="C63" s="926"/>
      <c r="D63" s="926" t="s">
        <v>6607</v>
      </c>
      <c r="E63" s="926"/>
      <c r="F63" s="926"/>
      <c r="G63" s="926"/>
      <c r="H63" s="926"/>
      <c r="I63" s="926"/>
      <c r="J63" s="926"/>
      <c r="K63" s="926"/>
      <c r="L63" s="926"/>
      <c r="M63" s="926"/>
      <c r="N63" s="926"/>
      <c r="O63" s="926"/>
      <c r="P63" s="926"/>
      <c r="Q63" s="926"/>
      <c r="R63" s="926"/>
      <c r="S63" s="926"/>
      <c r="T63" s="926"/>
      <c r="U63" s="926"/>
      <c r="V63" s="926"/>
    </row>
    <row r="64" spans="1:22" ht="39.950000000000003" customHeight="1" x14ac:dyDescent="0.25">
      <c r="A64" s="925" t="s">
        <v>6606</v>
      </c>
      <c r="B64" s="923" t="s">
        <v>6605</v>
      </c>
      <c r="D64" s="923" t="s">
        <v>6604</v>
      </c>
      <c r="E64" s="924"/>
      <c r="F64" s="924"/>
      <c r="G64" s="924"/>
      <c r="H64" s="924"/>
      <c r="I64" s="924"/>
      <c r="J64" s="924"/>
      <c r="K64" s="924"/>
      <c r="L64" s="924"/>
      <c r="M64" s="924"/>
      <c r="N64" s="924"/>
      <c r="O64" s="924"/>
    </row>
    <row r="65" spans="1:15" ht="39.950000000000003" customHeight="1" x14ac:dyDescent="0.25">
      <c r="A65" s="925" t="s">
        <v>6603</v>
      </c>
      <c r="B65" s="923" t="s">
        <v>6602</v>
      </c>
      <c r="D65" s="923" t="s">
        <v>6601</v>
      </c>
      <c r="E65" s="924"/>
      <c r="F65" s="924"/>
      <c r="G65" s="924"/>
      <c r="H65" s="924"/>
      <c r="I65" s="924"/>
      <c r="J65" s="924"/>
      <c r="K65" s="924"/>
      <c r="L65" s="924"/>
      <c r="M65" s="924"/>
      <c r="N65" s="924"/>
      <c r="O65" s="924"/>
    </row>
    <row r="66" spans="1:15" ht="39.950000000000003" customHeight="1" x14ac:dyDescent="0.25">
      <c r="A66" s="925" t="s">
        <v>6600</v>
      </c>
      <c r="B66" s="923" t="s">
        <v>6599</v>
      </c>
      <c r="D66" s="923" t="s">
        <v>6598</v>
      </c>
      <c r="E66" s="924"/>
      <c r="F66" s="924"/>
      <c r="G66" s="924"/>
      <c r="H66" s="924"/>
      <c r="I66" s="924"/>
      <c r="J66" s="924"/>
      <c r="K66" s="924"/>
      <c r="L66" s="924"/>
      <c r="M66" s="924"/>
      <c r="N66" s="924"/>
      <c r="O66" s="924"/>
    </row>
    <row r="67" spans="1:15" ht="39.950000000000003" customHeight="1" x14ac:dyDescent="0.25">
      <c r="A67" s="925" t="s">
        <v>6597</v>
      </c>
      <c r="B67" s="923" t="s">
        <v>6596</v>
      </c>
      <c r="D67" s="923" t="s">
        <v>6595</v>
      </c>
      <c r="E67" s="924"/>
      <c r="F67" s="924"/>
      <c r="G67" s="924"/>
      <c r="H67" s="924"/>
      <c r="I67" s="924"/>
      <c r="J67" s="924"/>
      <c r="K67" s="924"/>
      <c r="L67" s="924"/>
      <c r="M67" s="924"/>
      <c r="N67" s="924"/>
      <c r="O67" s="924"/>
    </row>
    <row r="68" spans="1:15" ht="39.950000000000003" customHeight="1" x14ac:dyDescent="0.25">
      <c r="A68" s="925" t="s">
        <v>6594</v>
      </c>
      <c r="B68" s="923" t="s">
        <v>5017</v>
      </c>
      <c r="D68" s="923" t="s">
        <v>6593</v>
      </c>
      <c r="E68" s="924"/>
      <c r="F68" s="924"/>
      <c r="G68" s="924"/>
      <c r="H68" s="924"/>
      <c r="I68" s="924"/>
      <c r="J68" s="924"/>
      <c r="K68" s="924"/>
      <c r="L68" s="924"/>
      <c r="M68" s="924"/>
      <c r="N68" s="924"/>
      <c r="O68" s="924"/>
    </row>
    <row r="69" spans="1:15" ht="39.950000000000003" customHeight="1" x14ac:dyDescent="0.25">
      <c r="A69" s="925" t="s">
        <v>6592</v>
      </c>
      <c r="B69" s="923" t="s">
        <v>6591</v>
      </c>
      <c r="D69" s="923" t="s">
        <v>6590</v>
      </c>
      <c r="E69" s="924"/>
      <c r="F69" s="924"/>
      <c r="G69" s="924"/>
      <c r="H69" s="924"/>
      <c r="I69" s="924"/>
      <c r="J69" s="924"/>
      <c r="K69" s="924"/>
      <c r="L69" s="924"/>
      <c r="M69" s="924"/>
      <c r="N69" s="924"/>
      <c r="O69" s="924"/>
    </row>
    <row r="70" spans="1:15" ht="39.950000000000003" customHeight="1" x14ac:dyDescent="0.25">
      <c r="A70" s="925" t="s">
        <v>6589</v>
      </c>
      <c r="B70" s="923" t="s">
        <v>5016</v>
      </c>
      <c r="D70" s="923" t="s">
        <v>6588</v>
      </c>
      <c r="E70" s="924"/>
      <c r="F70" s="924"/>
      <c r="G70" s="924"/>
      <c r="H70" s="924"/>
      <c r="I70" s="924"/>
      <c r="J70" s="924"/>
      <c r="K70" s="924"/>
      <c r="L70" s="924"/>
      <c r="M70" s="924"/>
      <c r="N70" s="924"/>
      <c r="O70" s="924"/>
    </row>
    <row r="71" spans="1:15" ht="39.950000000000003" customHeight="1" x14ac:dyDescent="0.25">
      <c r="A71" s="925" t="s">
        <v>6587</v>
      </c>
      <c r="B71" s="923" t="s">
        <v>6586</v>
      </c>
      <c r="D71" s="923" t="s">
        <v>6585</v>
      </c>
      <c r="E71" s="924"/>
      <c r="F71" s="924"/>
      <c r="G71" s="924"/>
      <c r="H71" s="924"/>
      <c r="I71" s="924"/>
      <c r="J71" s="924"/>
      <c r="K71" s="924"/>
      <c r="L71" s="924"/>
      <c r="M71" s="924"/>
      <c r="N71" s="924"/>
      <c r="O71" s="924"/>
    </row>
  </sheetData>
  <mergeCells count="5">
    <mergeCell ref="G5:O5"/>
    <mergeCell ref="H14:I14"/>
    <mergeCell ref="J14:K14"/>
    <mergeCell ref="L14:M14"/>
    <mergeCell ref="N14:O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162AB-1EFF-4162-B641-93A0AC72FA70}">
  <dimension ref="A1:BT72"/>
  <sheetViews>
    <sheetView zoomScaleNormal="100" workbookViewId="0">
      <selection activeCell="A52" sqref="A52:XFD72"/>
    </sheetView>
  </sheetViews>
  <sheetFormatPr baseColWidth="10" defaultColWidth="9" defaultRowHeight="15" x14ac:dyDescent="0.25"/>
  <cols>
    <col min="1" max="1" width="31.75" style="196" customWidth="1"/>
    <col min="2" max="2" width="37.625" style="196" customWidth="1"/>
    <col min="3" max="3" width="14.625" style="196" customWidth="1"/>
    <col min="4" max="4" width="37.625" style="196" customWidth="1"/>
    <col min="5" max="5" width="16.625" style="196" customWidth="1"/>
    <col min="6" max="6" width="33.625" style="196" customWidth="1"/>
    <col min="7" max="7" width="18" style="196" customWidth="1"/>
    <col min="8" max="8" width="31.625" style="196" customWidth="1"/>
    <col min="9" max="9" width="38.625" style="196" customWidth="1"/>
    <col min="10" max="10" width="31.625" style="196" customWidth="1"/>
    <col min="11" max="11" width="18.625" style="196" customWidth="1"/>
    <col min="12" max="12" width="31.625" style="196" customWidth="1"/>
    <col min="13" max="13" width="16" style="196" customWidth="1"/>
    <col min="14" max="15" width="18" style="196" customWidth="1"/>
    <col min="16" max="16" width="22" style="196" customWidth="1"/>
    <col min="17" max="17" width="18" style="196" customWidth="1"/>
    <col min="18" max="24" width="30" style="196" customWidth="1"/>
    <col min="25" max="26" width="14" style="192" customWidth="1"/>
    <col min="27" max="27" width="27.75" style="192" customWidth="1"/>
    <col min="28" max="34" width="14" style="192" customWidth="1"/>
    <col min="35" max="35" width="15" style="192" customWidth="1"/>
    <col min="36" max="72" width="14" style="192" customWidth="1"/>
    <col min="73" max="16384" width="9" style="196"/>
  </cols>
  <sheetData>
    <row r="1" spans="1:35" ht="24" customHeight="1" x14ac:dyDescent="0.25">
      <c r="A1" s="188" t="s">
        <v>4852</v>
      </c>
      <c r="B1" s="189"/>
      <c r="C1" s="190"/>
      <c r="D1" s="190"/>
      <c r="E1" s="190"/>
      <c r="F1" s="190"/>
      <c r="G1" s="190"/>
      <c r="H1" s="190"/>
      <c r="I1" s="190"/>
      <c r="J1" s="190"/>
      <c r="K1" s="190"/>
      <c r="L1" s="190"/>
      <c r="M1" s="190"/>
      <c r="N1" s="191"/>
      <c r="O1" s="191"/>
      <c r="P1" s="191"/>
      <c r="Q1" s="191"/>
      <c r="R1" s="191"/>
      <c r="S1" s="191"/>
      <c r="T1" s="191"/>
      <c r="U1" s="191"/>
      <c r="V1" s="191"/>
      <c r="W1" s="191"/>
      <c r="X1" s="191"/>
    </row>
    <row r="2" spans="1:35" ht="20.100000000000001" customHeight="1" x14ac:dyDescent="0.25">
      <c r="A2" s="193" t="s">
        <v>0</v>
      </c>
      <c r="B2" s="194"/>
      <c r="C2" s="195"/>
      <c r="D2" s="195"/>
      <c r="E2" s="195"/>
      <c r="F2" s="195"/>
      <c r="G2" s="195"/>
      <c r="H2" s="195"/>
      <c r="I2" s="195"/>
      <c r="J2" s="195"/>
      <c r="K2" s="195"/>
      <c r="L2" s="195"/>
      <c r="M2" s="195"/>
    </row>
    <row r="3" spans="1:35" ht="15.75" x14ac:dyDescent="0.25">
      <c r="A3" s="197"/>
      <c r="B3" s="197"/>
      <c r="C3" s="197"/>
      <c r="D3" s="197"/>
      <c r="E3" s="197"/>
      <c r="F3" s="197"/>
      <c r="G3" s="197"/>
      <c r="H3" s="198" t="s">
        <v>1</v>
      </c>
      <c r="I3" s="197"/>
      <c r="J3" s="197"/>
      <c r="K3" s="197"/>
      <c r="L3" s="197"/>
      <c r="M3" s="197"/>
      <c r="AA3" s="250" t="s">
        <v>2</v>
      </c>
      <c r="AI3" s="250" t="s">
        <v>3</v>
      </c>
    </row>
    <row r="4" spans="1:35" ht="24" customHeight="1" x14ac:dyDescent="0.25">
      <c r="A4" s="200" t="s">
        <v>4</v>
      </c>
      <c r="B4" s="201">
        <v>1</v>
      </c>
      <c r="C4" s="200" t="s">
        <v>5</v>
      </c>
      <c r="D4" s="202" t="str">
        <f>IFERROR(INDEX($B$53:$B$72,MATCH($B$4,$A$53:$A$72,0)),"")</f>
        <v>École primaire</v>
      </c>
      <c r="E4" s="200" t="s">
        <v>6</v>
      </c>
      <c r="F4" s="202" t="str">
        <f>IFERROR(INDEX($C$53:$C$72,MATCH($B$4,$A$53:$A$72,0)),"")</f>
        <v>Hiver</v>
      </c>
      <c r="G4" s="200" t="s">
        <v>7</v>
      </c>
      <c r="H4" s="203" t="s">
        <v>8</v>
      </c>
      <c r="I4" s="200" t="s">
        <v>9</v>
      </c>
      <c r="J4" s="202" t="str">
        <f>IFERROR(INDEX($Q$53:$Q$72,MATCH($B$4,$A$53:$A$72,0)),"")</f>
        <v>Couleur / sécheresse</v>
      </c>
      <c r="L4" s="200" t="s">
        <v>10</v>
      </c>
      <c r="M4" s="202" t="str">
        <f>IFERROR(INDEX($P$53:$P$72,MATCH($B$4,$A$53:$A$72,0)),"")</f>
        <v>Facile</v>
      </c>
      <c r="AA4" s="25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"&amp;$B$12),CHAR(160)," ")," "," "),CHAR(10)," "),CHAR(13)," "),CHAR(9)," "),"’","'"),"."," "),","," "),";"," "),":"," "),"-"," "),"("," "),")"," "),"?"," "),"!"," "),"/"," "),"é","e"),"è","e"),"ê","e"),"ë","e"),"à","a"),"â","a"),"ä","a"),"ù","u"),"û","u"),"ü","u"),"ô","o"),"ö","o"),"î","i"),"ï","i"),"ç","c")))</f>
        <v>le menu presente une dominante blanche excessive et un risque de secheresse corriger par une sauce citron herbes</v>
      </c>
      <c r="AI4" s="25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H$53:$H$72,MATCH($B$4,$A$53:$A$72,0)),"")),CHAR(160)," ")," "," "),CHAR(10)," "),CHAR(13)," "),CHAR(9)," "),"’","'"),"."," "),","," "),";"," "),":"," "),"-"," "),"("," "),")"," "),"?"," "),"!"," "),"/"," "),"é","e"),"è","e"),"ê","e"),"ë","e"),"à","a"),"â","a"),"ä","a"),"ù","u"),"û","u"),"ü","u"),"ô","o"),"ö","o"),"î","i"),"ï","i"),"ç","c")))</f>
        <v>le menu presente une dominante blanche excessive et un risque de secheresse corriger par une sauce citron herbes un legume vert ou orange une entree coloree et un fruit de saison plutot qu'un dessert blanc</v>
      </c>
    </row>
    <row r="5" spans="1:35" ht="24" customHeight="1" x14ac:dyDescent="0.25">
      <c r="A5" s="204" t="s">
        <v>11</v>
      </c>
      <c r="B5" s="205" t="str">
        <f>IFERROR(INDEX($E$53:$E$72,MATCH($B$4,$A$53:$A$72,0)),"")</f>
        <v>Menu trop blanc, sec et peu attractif</v>
      </c>
      <c r="C5" s="205"/>
      <c r="D5" s="205"/>
      <c r="E5" s="206"/>
      <c r="F5" s="206"/>
      <c r="G5" s="207"/>
      <c r="H5" s="206"/>
      <c r="I5" s="206"/>
      <c r="J5" s="206"/>
      <c r="K5" s="206"/>
      <c r="L5" s="206"/>
      <c r="M5" s="206"/>
      <c r="AA5" s="25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"&amp;$B$12&amp;" "&amp;$B$15&amp;" "&amp;$B$16),CHAR(160)," ")," "," "),CHAR(10)," "),CHAR(13)," "),CHAR(9)," "),"’","'"),"."," "),","," "),";"," "),":"," "),"-"," "),"("," "),")"," "),"?"," "),"!"," "),"/"," "),"é","e"),"è","e"),"ê","e"),"ë","e"),"à","a"),"â","a"),"ä","a"),"ù","u"),"û","u"),"ü","u"),"ô","o"),"ö","o"),"î","i"),"ï","i"),"ç","c")))</f>
        <v>le menu presente une dominante blanche excessive et un risque de secheresse corriger par une sauce citron herbes un legume vert ou orange une entree coloree et un fruit de saison plutot qu'un dessert blanc</v>
      </c>
      <c r="AI5" s="25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I$53:$I$72,MATCH($B$4,$A$53:$A$72,0)),"")),CHAR(160)," ")," "," "),CHAR(10)," "),CHAR(13)," "),CHAR(9)," "),"’","'"),"."," "),","," "),";"," "),":"," "),"-"," "),"("," "),")"," "),"?"," "),"!"," "),"/"," "),"é","e"),"è","e"),"ê","e"),"ë","e"),"à","a"),"â","a"),"ä","a"),"ù","u"),"û","u"),"ü","u"),"ô","o"),"ö","o"),"î","i"),"ï","i"),"ç","c")))</f>
        <v>il y a trop de blanc le poisson peut etre sec je mets une sauce un legume colore comme carottes ou brocolis et je finis par un fruit plutot qu'un fromage blanc</v>
      </c>
    </row>
    <row r="6" spans="1:35" ht="24" customHeight="1" x14ac:dyDescent="0.25">
      <c r="A6" s="204" t="s">
        <v>12</v>
      </c>
      <c r="B6" s="208" t="str">
        <f>IFERROR(INDEX($D$53:$D$72,MATCH($B$4,$A$53:$A$72,0)),"")</f>
        <v>Céleri rémoulade ; poisson blanc vapeur ; riz ; chou-fleur ; fromage blanc</v>
      </c>
      <c r="C6" s="209"/>
      <c r="D6" s="209"/>
      <c r="E6" s="209"/>
      <c r="F6" s="209"/>
      <c r="G6" s="207"/>
      <c r="H6" s="206"/>
      <c r="I6" s="206"/>
      <c r="J6" s="206"/>
      <c r="K6" s="206"/>
      <c r="L6" s="206"/>
      <c r="M6" s="206"/>
      <c r="AA6" s="25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"&amp;$I$12),CHAR(160)," ")," "," "),CHAR(10)," "),CHAR(13)," "),CHAR(9)," "),"’","'"),"."," "),","," "),";"," "),":"," "),"-"," "),"("," "),")"," "),"?"," "),"!"," "),"/"," "),"é","e"),"è","e"),"ê","e"),"ë","e"),"à","a"),"â","a"),"ä","a"),"ù","u"),"û","u"),"ü","u"),"ô","o"),"ö","o"),"î","i"),"ï","i"),"ç","c")))</f>
        <v>trop de blanc poisson sec j'ajoute une sauce</v>
      </c>
    </row>
    <row r="7" spans="1:35" ht="15.75" x14ac:dyDescent="0.25">
      <c r="A7" s="210"/>
      <c r="B7" s="211"/>
      <c r="C7" s="211"/>
      <c r="D7" s="211"/>
      <c r="E7" s="211"/>
      <c r="F7" s="211"/>
      <c r="G7" s="210"/>
      <c r="H7" s="210"/>
      <c r="I7" s="211"/>
      <c r="J7" s="211"/>
      <c r="K7" s="211"/>
      <c r="L7" s="211"/>
      <c r="M7" s="211"/>
      <c r="AA7" s="250"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"&amp;$I$12&amp;" "&amp;$I$15&amp;" "&amp;$I$16),CHAR(160)," ")," "," "),CHAR(10)," "),CHAR(13)," "),CHAR(9)," "),"’","'"),"."," "),","," "),";"," "),":"," "),"-"," "),"("," "),")"," "),"?"," "),"!"," "),"/"," "),"é","e"),"è","e"),"ê","e"),"ë","e"),"à","a"),"â","a"),"ä","a"),"ù","u"),"û","u"),"ü","u"),"ô","o"),"ö","o"),"î","i"),"ï","i"),"ç","c")))</f>
        <v>trop de blanc poisson sec j'ajoute une sauce j'ajoute carottes ou brocolis et je finis par un fruit plutot qu'un fromage blanc</v>
      </c>
    </row>
    <row r="8" spans="1:35" ht="24" customHeight="1" x14ac:dyDescent="0.25">
      <c r="A8" s="212" t="s">
        <v>13</v>
      </c>
      <c r="B8" s="212"/>
      <c r="C8" s="212"/>
      <c r="D8" s="212"/>
      <c r="E8" s="212"/>
      <c r="F8" s="212"/>
      <c r="G8" s="213"/>
      <c r="H8" s="214" t="s">
        <v>14</v>
      </c>
      <c r="I8" s="214"/>
      <c r="J8" s="214"/>
      <c r="K8" s="214"/>
      <c r="L8" s="214"/>
      <c r="M8" s="214"/>
      <c r="O8" s="215" t="s">
        <v>15</v>
      </c>
      <c r="P8" s="216"/>
      <c r="Q8" s="216"/>
      <c r="R8" s="216"/>
      <c r="S8" s="216"/>
      <c r="T8" s="216"/>
    </row>
    <row r="9" spans="1:35" ht="54.95" customHeight="1" x14ac:dyDescent="0.25">
      <c r="A9" s="217" t="s">
        <v>16</v>
      </c>
      <c r="B9" s="218" t="str">
        <f>IFERROR(INDEX($F$53:$F$72,MATCH($B$4,$A$53:$A$72,0)),"")</f>
        <v>Analysez le risque sensoriel de ce menu scolaire et proposez une correction cohérente par la garniture, la sauce, l’entrée et le dessert.</v>
      </c>
      <c r="C9" s="218"/>
      <c r="D9" s="218"/>
      <c r="E9" s="218"/>
      <c r="F9" s="218"/>
      <c r="G9" s="213"/>
      <c r="H9" s="219" t="s">
        <v>17</v>
      </c>
      <c r="I9" s="1538" t="str">
        <f>IFERROR(INDEX($G$53:$G$72,MATCH($B$4,$A$53:$A$72,0)),"")</f>
        <v>Pourquoi ce menu risque-t-il de ne pas donner envie aux enfants, et que peux-tu changer sans tout refaire ?</v>
      </c>
      <c r="J9" s="1538"/>
      <c r="K9" s="1538"/>
      <c r="L9" s="1538"/>
      <c r="M9" s="1538"/>
      <c r="O9" s="220" t="s">
        <v>18</v>
      </c>
      <c r="P9" s="221" t="s">
        <v>19</v>
      </c>
      <c r="Q9" s="222"/>
      <c r="R9" s="222"/>
      <c r="S9" s="222"/>
      <c r="T9" s="222"/>
      <c r="V9" s="223"/>
      <c r="W9" s="223"/>
      <c r="X9" s="223"/>
    </row>
    <row r="10" spans="1:35" ht="15.75" x14ac:dyDescent="0.25">
      <c r="A10" s="210"/>
      <c r="B10" s="211"/>
      <c r="C10" s="211"/>
      <c r="D10" s="211"/>
      <c r="E10" s="211"/>
      <c r="F10" s="211"/>
      <c r="G10" s="210"/>
      <c r="H10" s="210"/>
      <c r="I10" s="211"/>
      <c r="J10" s="211"/>
      <c r="K10" s="211"/>
      <c r="L10" s="211"/>
      <c r="M10" s="211"/>
      <c r="O10" s="220" t="s">
        <v>20</v>
      </c>
      <c r="P10" s="221" t="s">
        <v>21</v>
      </c>
      <c r="Q10" s="222"/>
      <c r="R10" s="222"/>
      <c r="S10" s="222"/>
      <c r="T10" s="222"/>
      <c r="V10" s="223"/>
      <c r="W10" s="223"/>
      <c r="X10" s="223"/>
    </row>
    <row r="11" spans="1:35" ht="35.1" customHeight="1" x14ac:dyDescent="0.25">
      <c r="A11" s="217" t="s">
        <v>22</v>
      </c>
      <c r="B11" s="1539" t="s">
        <v>4853</v>
      </c>
      <c r="C11" s="1539"/>
      <c r="D11" s="1539"/>
      <c r="E11" s="1539"/>
      <c r="F11" s="1539"/>
      <c r="G11" s="213"/>
      <c r="H11" s="219" t="s">
        <v>23</v>
      </c>
      <c r="I11" s="1539" t="s">
        <v>24</v>
      </c>
      <c r="J11" s="1539"/>
      <c r="K11" s="1539"/>
      <c r="L11" s="1539"/>
      <c r="M11" s="1539"/>
      <c r="O11" s="220" t="s">
        <v>25</v>
      </c>
      <c r="P11" s="221" t="s">
        <v>26</v>
      </c>
      <c r="Q11" s="222"/>
      <c r="R11" s="222"/>
      <c r="S11" s="222"/>
      <c r="T11" s="222"/>
      <c r="V11" s="223"/>
      <c r="W11" s="223"/>
      <c r="X11" s="223"/>
    </row>
    <row r="12" spans="1:35" ht="35.1" customHeight="1" x14ac:dyDescent="0.25">
      <c r="A12" s="217"/>
      <c r="B12" s="1539" t="s">
        <v>4854</v>
      </c>
      <c r="C12" s="1539"/>
      <c r="D12" s="1539"/>
      <c r="E12" s="1539"/>
      <c r="F12" s="1539"/>
      <c r="G12" s="213"/>
      <c r="H12" s="219"/>
      <c r="I12" s="1539" t="s">
        <v>27</v>
      </c>
      <c r="J12" s="1539"/>
      <c r="K12" s="1539"/>
      <c r="L12" s="1539"/>
      <c r="M12" s="1539"/>
      <c r="O12" s="220" t="s">
        <v>28</v>
      </c>
      <c r="P12" s="221" t="s">
        <v>29</v>
      </c>
      <c r="Q12" s="222"/>
      <c r="R12" s="222"/>
      <c r="S12" s="222"/>
      <c r="T12" s="222"/>
      <c r="V12" s="223"/>
      <c r="W12" s="223"/>
      <c r="X12" s="223"/>
    </row>
    <row r="13" spans="1:35" ht="54.95" customHeight="1" x14ac:dyDescent="0.25">
      <c r="A13" s="217" t="s">
        <v>30</v>
      </c>
      <c r="B13" s="224" t="str">
        <f>IFERROR(INDEX($J$53:$J$72,MATCH($B$4,$A$53:$A$72,0)),"")</f>
        <v>Si la réponse reste limitée à « ajouter un légume », demander quel défaut précis est corrigé : couleur, humidité, acceptabilité ou équilibre.</v>
      </c>
      <c r="C13" s="224"/>
      <c r="D13" s="224"/>
      <c r="E13" s="224"/>
      <c r="F13" s="224"/>
      <c r="G13" s="213"/>
      <c r="H13" s="219" t="s">
        <v>31</v>
      </c>
      <c r="I13" s="1537" t="str">
        <f>IFERROR(INDEX($K$53:$K$72,MATCH($B$4,$A$53:$A$72,0)),"")</f>
        <v>Si l’apprenant dit seulement « mettre des légumes », demander : « Quelle couleur tu ajoutes ? Comment tu évites que le poisson soit sec ? »</v>
      </c>
      <c r="J13" s="1537"/>
      <c r="K13" s="1537"/>
      <c r="L13" s="1537"/>
      <c r="M13" s="1537"/>
      <c r="O13" s="220" t="s">
        <v>32</v>
      </c>
      <c r="P13" s="221" t="s">
        <v>33</v>
      </c>
      <c r="Q13" s="222"/>
      <c r="R13" s="222"/>
      <c r="S13" s="222"/>
      <c r="T13" s="222"/>
      <c r="V13" s="223"/>
      <c r="W13" s="223"/>
      <c r="X13" s="223"/>
    </row>
    <row r="14" spans="1:35" ht="15.75" x14ac:dyDescent="0.25">
      <c r="A14" s="210"/>
      <c r="B14" s="211"/>
      <c r="C14" s="211"/>
      <c r="D14" s="211"/>
      <c r="E14" s="211"/>
      <c r="F14" s="211"/>
      <c r="G14" s="210"/>
      <c r="H14" s="210"/>
      <c r="I14" s="211"/>
      <c r="J14" s="211"/>
      <c r="K14" s="211"/>
      <c r="L14" s="211"/>
      <c r="M14" s="211"/>
      <c r="O14" s="220" t="s">
        <v>34</v>
      </c>
      <c r="P14" s="221" t="s">
        <v>35</v>
      </c>
      <c r="Q14" s="222"/>
      <c r="R14" s="222"/>
      <c r="S14" s="222"/>
      <c r="T14" s="222"/>
      <c r="V14" s="223"/>
      <c r="W14" s="223"/>
      <c r="X14" s="223"/>
    </row>
    <row r="15" spans="1:35" ht="35.1" customHeight="1" x14ac:dyDescent="0.25">
      <c r="A15" s="217" t="s">
        <v>36</v>
      </c>
      <c r="B15" s="1539" t="s">
        <v>4776</v>
      </c>
      <c r="C15" s="1539"/>
      <c r="D15" s="1539"/>
      <c r="E15" s="1539"/>
      <c r="F15" s="1539"/>
      <c r="G15" s="213"/>
      <c r="H15" s="225" t="s">
        <v>38</v>
      </c>
      <c r="I15" s="1539" t="s">
        <v>4855</v>
      </c>
      <c r="J15" s="1539"/>
      <c r="K15" s="1539"/>
      <c r="L15" s="1539"/>
      <c r="M15" s="1539"/>
      <c r="O15" s="220" t="s">
        <v>39</v>
      </c>
      <c r="P15" s="221" t="s">
        <v>40</v>
      </c>
      <c r="Q15" s="222"/>
      <c r="R15" s="222"/>
      <c r="S15" s="222"/>
      <c r="T15" s="222"/>
      <c r="V15" s="223"/>
      <c r="W15" s="223"/>
      <c r="X15" s="223"/>
    </row>
    <row r="16" spans="1:35" ht="35.1" customHeight="1" x14ac:dyDescent="0.25">
      <c r="A16" s="217"/>
      <c r="B16" s="1539" t="s">
        <v>4775</v>
      </c>
      <c r="C16" s="1539"/>
      <c r="D16" s="1539"/>
      <c r="E16" s="1539"/>
      <c r="F16" s="1539"/>
      <c r="G16" s="213"/>
      <c r="H16" s="225"/>
      <c r="I16" s="1543" t="s">
        <v>4856</v>
      </c>
      <c r="J16" s="1543"/>
      <c r="K16" s="1543"/>
      <c r="L16" s="1543"/>
      <c r="M16" s="1543"/>
      <c r="O16" s="220" t="s">
        <v>42</v>
      </c>
      <c r="P16" s="221" t="s">
        <v>43</v>
      </c>
      <c r="Q16" s="222"/>
      <c r="R16" s="222"/>
      <c r="S16" s="222"/>
      <c r="T16" s="222"/>
      <c r="V16" s="223"/>
      <c r="W16" s="223"/>
      <c r="X16" s="223"/>
    </row>
    <row r="17" spans="1:34" ht="54.95" customHeight="1" x14ac:dyDescent="0.25">
      <c r="A17" s="217" t="s">
        <v>44</v>
      </c>
      <c r="B17" s="1544" t="str">
        <f>IF(UPPER($H$4)="X",IFERROR(INDEX($H$53:$H$72,MATCH($B$4,$A$53:$A$72,0)),""),"Réponse attendue masquée — saisir X en H4 pour afficher")</f>
        <v>Le menu présente une dominante blanche excessive et un risque de sécheresse. Corriger par une sauce citron-herbes, un légume vert ou orange, une entrée colorée et un fruit de saison plutôt qu’un dessert blanc.</v>
      </c>
      <c r="C17" s="1544"/>
      <c r="D17" s="1544"/>
      <c r="E17" s="1544"/>
      <c r="F17" s="1544"/>
      <c r="G17" s="213"/>
      <c r="H17" s="225" t="s">
        <v>45</v>
      </c>
      <c r="I17" s="1537" t="str">
        <f>IF(UPPER($H$4)="X",IFERROR(INDEX($I$53:$I$72,MATCH($B$4,$A$53:$A$72,0)),""),"Réponse attendue masquée — saisir X en H4 pour afficher")</f>
        <v>Il y a trop de blanc. Le poisson peut être sec. Je mets une sauce, un légume coloré comme carottes ou brocolis, et je finis par un fruit plutôt qu’un fromage blanc.</v>
      </c>
      <c r="J17" s="1537"/>
      <c r="K17" s="1537"/>
      <c r="L17" s="1537"/>
      <c r="M17" s="1537"/>
      <c r="O17" s="220" t="s">
        <v>46</v>
      </c>
      <c r="P17" s="221" t="s">
        <v>47</v>
      </c>
      <c r="Q17" s="222"/>
      <c r="R17" s="222"/>
      <c r="S17" s="222"/>
      <c r="T17" s="222"/>
      <c r="V17" s="223"/>
      <c r="W17" s="223"/>
      <c r="X17" s="223"/>
    </row>
    <row r="18" spans="1:34" ht="15.75" x14ac:dyDescent="0.25">
      <c r="A18" s="210"/>
      <c r="B18" s="211"/>
      <c r="C18" s="211"/>
      <c r="D18" s="211"/>
      <c r="E18" s="211"/>
      <c r="F18" s="211"/>
      <c r="G18" s="210"/>
      <c r="H18" s="210"/>
      <c r="I18" s="211"/>
      <c r="J18" s="211"/>
      <c r="K18" s="211"/>
      <c r="L18" s="211"/>
      <c r="M18" s="211"/>
      <c r="O18" s="220" t="s">
        <v>48</v>
      </c>
      <c r="P18" s="221" t="s">
        <v>49</v>
      </c>
      <c r="Q18" s="222"/>
      <c r="R18" s="222"/>
      <c r="S18" s="222"/>
      <c r="T18" s="222"/>
      <c r="U18" s="223"/>
      <c r="V18" s="223"/>
      <c r="W18" s="223"/>
      <c r="X18" s="223"/>
    </row>
    <row r="19" spans="1:34" ht="54.95" customHeight="1" x14ac:dyDescent="0.25">
      <c r="A19" s="226" t="s">
        <v>50</v>
      </c>
      <c r="B19" s="1540" t="str">
        <f>IF(ISBLANK(H4),"",IF(UPPER(TRIM($H$4))="X",IFERROR(INDEX($M$53:$M$72,MATCH($B$4,$A$53:$A$72,0)),""),"Mots-clés masqués — saisir X en H4 pour afficher"))</f>
        <v>blanc ; pâle ; sec ; sauce ; herbes ; citron ; carottes ; brocolis ; fruit ; enfants ; acceptabilité</v>
      </c>
      <c r="C19" s="1540"/>
      <c r="D19" s="1540"/>
      <c r="E19" s="1540"/>
      <c r="F19" s="1540"/>
      <c r="G19" s="213"/>
      <c r="H19" s="227" t="s">
        <v>51</v>
      </c>
      <c r="I19" s="1541" t="str">
        <f>IF(ISBLANK(H4),"",IFERROR(INDEX($X$53:$X$72,MATCH($B$4,$A$53:$A$72,0)),""))</f>
        <v>Trop blanc = ajouter couleur + sauce + fruit</v>
      </c>
      <c r="J19" s="1541"/>
      <c r="K19" s="1541"/>
      <c r="L19" s="1541"/>
      <c r="M19" s="1541"/>
      <c r="O19" s="220"/>
      <c r="P19" s="221"/>
      <c r="Q19" s="222"/>
      <c r="R19" s="222"/>
      <c r="S19" s="222"/>
      <c r="T19" s="222"/>
    </row>
    <row r="20" spans="1:34" ht="15.75" x14ac:dyDescent="0.25">
      <c r="A20" s="228"/>
      <c r="B20" s="211"/>
      <c r="C20" s="211"/>
      <c r="D20" s="211"/>
      <c r="E20" s="211"/>
      <c r="F20" s="211"/>
      <c r="G20" s="210"/>
      <c r="H20" s="213"/>
      <c r="I20" s="207"/>
      <c r="J20" s="207"/>
      <c r="K20" s="207"/>
      <c r="L20" s="207"/>
      <c r="M20" s="207"/>
    </row>
    <row r="21" spans="1:34" ht="18.75" customHeight="1" x14ac:dyDescent="0.25">
      <c r="A21" s="213"/>
      <c r="B21" s="213"/>
      <c r="C21" s="213"/>
      <c r="D21" s="213"/>
      <c r="E21" s="213"/>
      <c r="F21" s="213"/>
      <c r="G21" s="213"/>
      <c r="H21" s="213"/>
      <c r="I21" s="213"/>
      <c r="J21" s="213"/>
      <c r="K21" s="213"/>
      <c r="L21" s="213"/>
      <c r="M21" s="213"/>
    </row>
    <row r="22" spans="1:34" ht="24" customHeight="1" x14ac:dyDescent="0.25">
      <c r="A22" s="229" t="s">
        <v>52</v>
      </c>
      <c r="B22" s="230"/>
      <c r="C22" s="230"/>
      <c r="D22" s="230"/>
      <c r="E22" s="230"/>
      <c r="F22" s="230"/>
      <c r="G22" s="230"/>
      <c r="H22" s="230"/>
      <c r="I22" s="230"/>
      <c r="J22" s="230"/>
      <c r="K22" s="230"/>
      <c r="L22" s="230"/>
      <c r="M22" s="230"/>
    </row>
    <row r="23" spans="1:34" ht="60" customHeight="1" x14ac:dyDescent="0.25">
      <c r="A23" s="251" t="s">
        <v>53</v>
      </c>
      <c r="B23" s="232" t="str">
        <f>IF(UPPER($H$4)="X",IFERROR(INDEX($R$53:$R$72,MATCH($B$4,$A$53:$A$72,0)),""),"Masqué")</f>
        <v>Brocolis, carottes ou autre légume vert/orange ; riz pilaf possible</v>
      </c>
      <c r="C23" s="231" t="s">
        <v>54</v>
      </c>
      <c r="D23" s="232" t="str">
        <f>IF(UPPER($H$4)="X",IFERROR(INDEX($S$53:$S$72,MATCH($B$4,$A$53:$A$72,0)),""),"Masqué")</f>
        <v>Sauce légère citron-herbes ou jus court</v>
      </c>
      <c r="E23" s="231" t="s">
        <v>55</v>
      </c>
      <c r="F23" s="232" t="str">
        <f>IF(UPPER($H$4)="X",IFERROR(INDEX($T$53:$T$72,MATCH($B$4,$A$53:$A$72,0)),""),"Masqué")</f>
        <v>Carottes râpées ou betteraves</v>
      </c>
      <c r="G23" s="231" t="s">
        <v>56</v>
      </c>
      <c r="H23" s="232" t="str">
        <f>IF(UPPER($H$4)="X",IFERROR(INDEX($U$53:$U$72,MATCH($B$4,$A$53:$A$72,0)),""),"Masqué")</f>
        <v>Fruit de saison coloré : orange, clémentine, pomme rouge</v>
      </c>
      <c r="I23" s="231" t="s">
        <v>57</v>
      </c>
      <c r="J23" s="232" t="str">
        <f>IF(UPPER($H$4)="X",IFERROR(INDEX($V$53:$V$72,MATCH($B$4,$A$53:$A$72,0)),""),"Masqué")</f>
        <v>Rendre le poisson plus acceptable pour des enfants</v>
      </c>
      <c r="K23" s="231" t="s">
        <v>58</v>
      </c>
      <c r="L23" s="232" t="str">
        <f>IF(UPPER($H$4)="X",IFERROR(INDEX($W$53:$W$72,MATCH($B$4,$A$53:$A$72,0)),""),"Masqué")</f>
        <v>Éviter le dessèchement du poisson au maintien chaud</v>
      </c>
      <c r="M23" s="213"/>
    </row>
    <row r="24" spans="1:34" ht="15.75" x14ac:dyDescent="0.25">
      <c r="A24" s="231"/>
      <c r="B24" s="232"/>
      <c r="C24" s="231"/>
      <c r="D24" s="232"/>
      <c r="E24" s="231"/>
      <c r="F24" s="232"/>
      <c r="G24" s="231"/>
      <c r="H24" s="232"/>
      <c r="I24" s="231"/>
      <c r="J24" s="232"/>
      <c r="K24" s="231"/>
      <c r="L24" s="232"/>
      <c r="M24" s="213"/>
    </row>
    <row r="25" spans="1:34" ht="15.75" x14ac:dyDescent="0.25">
      <c r="A25" s="213"/>
      <c r="B25" s="213"/>
      <c r="C25" s="213"/>
      <c r="D25" s="213"/>
      <c r="E25" s="213"/>
      <c r="F25" s="213"/>
      <c r="G25" s="213"/>
      <c r="H25" s="213"/>
      <c r="I25" s="213"/>
      <c r="J25" s="213"/>
      <c r="K25" s="213"/>
      <c r="L25" s="213"/>
      <c r="M25" s="213"/>
    </row>
    <row r="26" spans="1:34" ht="24" customHeight="1" x14ac:dyDescent="0.25">
      <c r="A26" s="1542" t="s">
        <v>59</v>
      </c>
      <c r="B26" s="252" t="s">
        <v>60</v>
      </c>
      <c r="C26" s="252" t="s">
        <v>61</v>
      </c>
      <c r="D26" s="252" t="s">
        <v>62</v>
      </c>
      <c r="E26" s="252" t="s">
        <v>63</v>
      </c>
      <c r="F26" s="252" t="s">
        <v>64</v>
      </c>
      <c r="G26" s="253"/>
      <c r="H26" s="254" t="s">
        <v>65</v>
      </c>
      <c r="I26" s="254" t="s">
        <v>61</v>
      </c>
      <c r="J26" s="254" t="s">
        <v>62</v>
      </c>
      <c r="K26" s="254" t="s">
        <v>63</v>
      </c>
      <c r="L26" s="254" t="s">
        <v>64</v>
      </c>
      <c r="M26" s="213"/>
    </row>
    <row r="27" spans="1:34" ht="24" customHeight="1" x14ac:dyDescent="0.25">
      <c r="A27" s="1542"/>
      <c r="B27" s="252" t="s">
        <v>66</v>
      </c>
      <c r="C27" s="252" t="s">
        <v>67</v>
      </c>
      <c r="D27" s="252" t="s">
        <v>68</v>
      </c>
      <c r="E27" s="252" t="s">
        <v>69</v>
      </c>
      <c r="F27" s="252" t="s">
        <v>64</v>
      </c>
      <c r="G27" s="255"/>
      <c r="H27" s="254" t="s">
        <v>66</v>
      </c>
      <c r="I27" s="256" t="s">
        <v>67</v>
      </c>
      <c r="J27" s="256" t="s">
        <v>68</v>
      </c>
      <c r="K27" s="256" t="s">
        <v>69</v>
      </c>
      <c r="L27" s="256" t="s">
        <v>64</v>
      </c>
      <c r="M27" s="213"/>
      <c r="AA27" s="238" t="s">
        <v>70</v>
      </c>
      <c r="AB27" s="238" t="s">
        <v>61</v>
      </c>
      <c r="AC27" s="238" t="s">
        <v>71</v>
      </c>
      <c r="AD27" s="238" t="s">
        <v>72</v>
      </c>
      <c r="AE27" s="238" t="s">
        <v>73</v>
      </c>
      <c r="AF27" s="238" t="s">
        <v>74</v>
      </c>
      <c r="AG27" s="238" t="s">
        <v>75</v>
      </c>
      <c r="AH27" s="238" t="s">
        <v>76</v>
      </c>
    </row>
    <row r="28" spans="1:34" ht="24" customHeight="1" x14ac:dyDescent="0.25">
      <c r="A28" s="1542"/>
      <c r="B28" s="226" t="str">
        <f t="shared" ref="B28:B33" si="0">$AA28</f>
        <v>Diagnostic du problème</v>
      </c>
      <c r="C28" s="239">
        <f t="shared" ref="C28:C33" si="1">$AB28</f>
        <v>4</v>
      </c>
      <c r="D28" s="239">
        <f t="shared" ref="D28:D33" si="2">IF($B28="","",IF(OR(AND($AI$4&lt;&gt;"",ISNUMBER(SEARCH($AI$4,$AA$4))),AND($AC28&lt;&gt;"",ISNUMBER(SEARCH($AC28,$AA$4))),AND($AD28&lt;&gt;"",ISNUMBER(SEARCH($AD28,$AA$4))),AND($AE28&lt;&gt;"",ISNUMBER(SEARCH($AE28,$AA$4)))),$C28,0))</f>
        <v>4</v>
      </c>
      <c r="E28" s="239">
        <f t="shared" ref="E28:E33" si="3">IF(COUNTA($B$15:$B$16)=0,"",IF(OR(AND($AI$4&lt;&gt;"",ISNUMBER(SEARCH($AI$4,$AA$5))),AND($AC28&lt;&gt;"",ISNUMBER(SEARCH($AC28,$AA$5))),AND($AD28&lt;&gt;"",ISNUMBER(SEARCH($AD28,$AA$5))),AND($AE28&lt;&gt;"",ISNUMBER(SEARCH($AE28,$AA$5)))),$C28,0))</f>
        <v>4</v>
      </c>
      <c r="F28" s="240" t="str">
        <f t="shared" ref="F28:F33" si="4">IF(COUNTA($B$15:$B$16)=0,IF($D28&gt;0,"OK initial","Manque"),IF($E28&gt;0,IF($D28&gt;0,"OK","Corrigé"),"Manque"))</f>
        <v>OK</v>
      </c>
      <c r="G28" s="257"/>
      <c r="H28" s="227" t="str">
        <f t="shared" ref="H28:H33" si="5">$AA28</f>
        <v>Diagnostic du problème</v>
      </c>
      <c r="I28" s="239">
        <f t="shared" ref="I28:I33" si="6">$AB28</f>
        <v>4</v>
      </c>
      <c r="J28" s="239">
        <f t="shared" ref="J28:J33" si="7">IF($H28="","",IF(OR(AND($AI$5&lt;&gt;"",ISNUMBER(SEARCH($AI$5,$AA$6))),AND($AF28&lt;&gt;"",ISNUMBER(SEARCH($AF28,$AA$6))),AND($AG28&lt;&gt;"",ISNUMBER(SEARCH($AG28,$AA$6))),AND($AH28&lt;&gt;"",ISNUMBER(SEARCH($AH28,$AA$6)))),$I28,0))</f>
        <v>4</v>
      </c>
      <c r="K28" s="239">
        <f t="shared" ref="K28:K33" si="8">IF(COUNTA($I$15:$I$16)=0,"",IF(OR(AND($AI$5&lt;&gt;"",ISNUMBER(SEARCH($AI$5,$AA$7))),AND($AF28&lt;&gt;"",ISNUMBER(SEARCH($AF28,$AA$7))),AND($AG28&lt;&gt;"",ISNUMBER(SEARCH($AG28,$AA$7))),AND($AH28&lt;&gt;"",ISNUMBER(SEARCH($AH28,$AA$7)))),$I28,0))</f>
        <v>4</v>
      </c>
      <c r="L28" s="240" t="str">
        <f t="shared" ref="L28:L33" si="9">IF(COUNTA($I$15:$I$16)=0,IF($J28&gt;0,"OK initial","Manque"),IF($K28&gt;0,IF($J28&gt;0,"OK","Corrigé"),"Manque"))</f>
        <v>OK</v>
      </c>
      <c r="M28" s="213"/>
      <c r="AA28" s="250" t="str">
        <f>IFERROR(INDEX($Y$53:$Y$72,MATCH($B$4,$A$53:$A$72,0)),"")</f>
        <v>Diagnostic du problème</v>
      </c>
      <c r="AB28" s="258">
        <f>IFERROR(INDEX($Z$53:$Z$72,MATCH($B$4,$A$53:$A$72,0)),0)</f>
        <v>4</v>
      </c>
      <c r="AC28" s="258" t="str">
        <f>IFERROR(INDEX($AA$53:$AA$72,MATCH($B$4,$A$53:$A$72,0)),"")</f>
        <v>blanc</v>
      </c>
      <c r="AD28" s="258" t="str">
        <f>IFERROR(INDEX($AB$53:$AB$72,MATCH($B$4,$A$53:$A$72,0)),"")</f>
        <v>pale</v>
      </c>
      <c r="AE28" s="258" t="str">
        <f>IFERROR(INDEX($AC$53:$AC$72,MATCH($B$4,$A$53:$A$72,0)),"")</f>
        <v>sec</v>
      </c>
      <c r="AF28" s="258" t="str">
        <f>IFERROR(INDEX($AD$53:$AD$72,MATCH($B$4,$A$53:$A$72,0)),"")</f>
        <v>blanc</v>
      </c>
      <c r="AG28" s="258" t="str">
        <f>IFERROR(INDEX($AE$53:$AE$72,MATCH($B$4,$A$53:$A$72,0)),"")</f>
        <v>sec</v>
      </c>
      <c r="AH28" s="258" t="str">
        <f>IFERROR(INDEX($AF$53:$AF$72,MATCH($B$4,$A$53:$A$72,0)),"")</f>
        <v>pas envie</v>
      </c>
    </row>
    <row r="29" spans="1:34" ht="24" customHeight="1" x14ac:dyDescent="0.25">
      <c r="A29" s="1542"/>
      <c r="B29" s="226" t="str">
        <f t="shared" si="0"/>
        <v>Correction garniture / sauce</v>
      </c>
      <c r="C29" s="239">
        <f t="shared" si="1"/>
        <v>4</v>
      </c>
      <c r="D29" s="239">
        <f t="shared" si="2"/>
        <v>4</v>
      </c>
      <c r="E29" s="239">
        <f t="shared" si="3"/>
        <v>4</v>
      </c>
      <c r="F29" s="240" t="str">
        <f t="shared" si="4"/>
        <v>OK</v>
      </c>
      <c r="G29" s="257"/>
      <c r="H29" s="227" t="str">
        <f t="shared" si="5"/>
        <v>Correction garniture / sauce</v>
      </c>
      <c r="I29" s="239">
        <f t="shared" si="6"/>
        <v>4</v>
      </c>
      <c r="J29" s="239">
        <f t="shared" si="7"/>
        <v>4</v>
      </c>
      <c r="K29" s="239">
        <f t="shared" si="8"/>
        <v>4</v>
      </c>
      <c r="L29" s="240" t="str">
        <f t="shared" si="9"/>
        <v>OK</v>
      </c>
      <c r="M29" s="213"/>
      <c r="AA29" s="250" t="str">
        <f>IFERROR(INDEX($AG$53:$AG$72,MATCH($B$4,$A$53:$A$72,0)),"")</f>
        <v>Correction garniture / sauce</v>
      </c>
      <c r="AB29" s="258">
        <f>IFERROR(INDEX($AH$53:$AH$72,MATCH($B$4,$A$53:$A$72,0)),0)</f>
        <v>4</v>
      </c>
      <c r="AC29" s="258" t="str">
        <f>IFERROR(INDEX($AI$53:$AI$72,MATCH($B$4,$A$53:$A$72,0)),"")</f>
        <v>sauce</v>
      </c>
      <c r="AD29" s="258" t="str">
        <f>IFERROR(INDEX($AJ$53:$AJ$72,MATCH($B$4,$A$53:$A$72,0)),"")</f>
        <v>herbes</v>
      </c>
      <c r="AE29" s="258" t="str">
        <f>IFERROR(INDEX($AK$53:$AK$72,MATCH($B$4,$A$53:$A$72,0)),"")</f>
        <v>brocolis</v>
      </c>
      <c r="AF29" s="258" t="str">
        <f>IFERROR(INDEX($AL$53:$AL$72,MATCH($B$4,$A$53:$A$72,0)),"")</f>
        <v>sauce</v>
      </c>
      <c r="AG29" s="258" t="str">
        <f>IFERROR(INDEX($AM$53:$AM$72,MATCH($B$4,$A$53:$A$72,0)),"")</f>
        <v>carottes</v>
      </c>
      <c r="AH29" s="258" t="str">
        <f>IFERROR(INDEX($AN$53:$AN$72,MATCH($B$4,$A$53:$A$72,0)),"")</f>
        <v>brocolis</v>
      </c>
    </row>
    <row r="30" spans="1:34" ht="24" customHeight="1" x14ac:dyDescent="0.25">
      <c r="A30" s="1542"/>
      <c r="B30" s="226" t="str">
        <f t="shared" si="0"/>
        <v>Correction entrée / dessert</v>
      </c>
      <c r="C30" s="239">
        <f t="shared" si="1"/>
        <v>4</v>
      </c>
      <c r="D30" s="239">
        <f t="shared" si="2"/>
        <v>0</v>
      </c>
      <c r="E30" s="239">
        <f t="shared" si="3"/>
        <v>4</v>
      </c>
      <c r="F30" s="240" t="str">
        <f t="shared" si="4"/>
        <v>Corrigé</v>
      </c>
      <c r="G30" s="257"/>
      <c r="H30" s="227" t="str">
        <f t="shared" si="5"/>
        <v>Correction entrée / dessert</v>
      </c>
      <c r="I30" s="239">
        <f t="shared" si="6"/>
        <v>4</v>
      </c>
      <c r="J30" s="239">
        <f t="shared" si="7"/>
        <v>0</v>
      </c>
      <c r="K30" s="239">
        <f t="shared" si="8"/>
        <v>4</v>
      </c>
      <c r="L30" s="240" t="str">
        <f t="shared" si="9"/>
        <v>Corrigé</v>
      </c>
      <c r="M30" s="213"/>
      <c r="AA30" s="250" t="str">
        <f>IFERROR(INDEX($AO$53:$AO$72,MATCH($B$4,$A$53:$A$72,0)),"")</f>
        <v>Correction entrée / dessert</v>
      </c>
      <c r="AB30" s="258">
        <f>IFERROR(INDEX($AP$53:$AP$72,MATCH($B$4,$A$53:$A$72,0)),0)</f>
        <v>4</v>
      </c>
      <c r="AC30" s="258" t="str">
        <f>IFERROR(INDEX($AQ$53:$AQ$72,MATCH($B$4,$A$53:$A$72,0)),"")</f>
        <v>entree</v>
      </c>
      <c r="AD30" s="258" t="str">
        <f>IFERROR(INDEX($AR$53:$AR$72,MATCH($B$4,$A$53:$A$72,0)),"")</f>
        <v>fruit</v>
      </c>
      <c r="AE30" s="258" t="str">
        <f>IFERROR(INDEX($AS$53:$AS$72,MATCH($B$4,$A$53:$A$72,0)),"")</f>
        <v>dessert</v>
      </c>
      <c r="AF30" s="258" t="str">
        <f>IFERROR(INDEX($AT$53:$AT$72,MATCH($B$4,$A$53:$A$72,0)),"")</f>
        <v>entree</v>
      </c>
      <c r="AG30" s="258" t="str">
        <f>IFERROR(INDEX($AU$53:$AU$72,MATCH($B$4,$A$53:$A$72,0)),"")</f>
        <v>fruit</v>
      </c>
      <c r="AH30" s="258" t="str">
        <f>IFERROR(INDEX($AV$53:$AV$72,MATCH($B$4,$A$53:$A$72,0)),"")</f>
        <v>fromage blanc</v>
      </c>
    </row>
    <row r="31" spans="1:34" ht="24" customHeight="1" x14ac:dyDescent="0.25">
      <c r="A31" s="1542"/>
      <c r="B31" s="226" t="str">
        <f t="shared" si="0"/>
        <v>Adaptation convive</v>
      </c>
      <c r="C31" s="239">
        <f t="shared" si="1"/>
        <v>3</v>
      </c>
      <c r="D31" s="239">
        <f t="shared" si="2"/>
        <v>0</v>
      </c>
      <c r="E31" s="239">
        <f t="shared" si="3"/>
        <v>3</v>
      </c>
      <c r="F31" s="240" t="str">
        <f t="shared" si="4"/>
        <v>Corrigé</v>
      </c>
      <c r="G31" s="257"/>
      <c r="H31" s="227" t="str">
        <f t="shared" si="5"/>
        <v>Adaptation convive</v>
      </c>
      <c r="I31" s="239">
        <f t="shared" si="6"/>
        <v>3</v>
      </c>
      <c r="J31" s="239">
        <f t="shared" si="7"/>
        <v>0</v>
      </c>
      <c r="K31" s="239">
        <f t="shared" si="8"/>
        <v>0</v>
      </c>
      <c r="L31" s="240" t="str">
        <f t="shared" si="9"/>
        <v>Manque</v>
      </c>
      <c r="M31" s="213"/>
      <c r="AA31" s="250" t="str">
        <f>IFERROR(INDEX($AW$53:$AW$72,MATCH($B$4,$A$53:$A$72,0)),"")</f>
        <v>Adaptation convive</v>
      </c>
      <c r="AB31" s="258">
        <f>IFERROR(INDEX($AX$53:$AX$72,MATCH($B$4,$A$53:$A$72,0)),0)</f>
        <v>3</v>
      </c>
      <c r="AC31" s="258" t="str">
        <f>IFERROR(INDEX($AY$53:$AY$72,MATCH($B$4,$A$53:$A$72,0)),"")</f>
        <v>enfants</v>
      </c>
      <c r="AD31" s="258" t="str">
        <f>IFERROR(INDEX($AZ$53:$AZ$72,MATCH($B$4,$A$53:$A$72,0)),"")</f>
        <v>scolaire</v>
      </c>
      <c r="AE31" s="258" t="str">
        <f>IFERROR(INDEX($BA$53:$BA$72,MATCH($B$4,$A$53:$A$72,0)),"")</f>
        <v>primaire</v>
      </c>
      <c r="AF31" s="258" t="str">
        <f>IFERROR(INDEX($BB$53:$BB$72,MATCH($B$4,$A$53:$A$72,0)),"")</f>
        <v>enfants</v>
      </c>
      <c r="AG31" s="258" t="str">
        <f>IFERROR(INDEX($BC$53:$BC$72,MATCH($B$4,$A$53:$A$72,0)),"")</f>
        <v>eleves</v>
      </c>
      <c r="AH31" s="258" t="str">
        <f>IFERROR(INDEX($BD$53:$BD$72,MATCH($B$4,$A$53:$A$72,0)),"")</f>
        <v>cantine</v>
      </c>
    </row>
    <row r="32" spans="1:34" ht="24" customHeight="1" x14ac:dyDescent="0.25">
      <c r="A32" s="1542"/>
      <c r="B32" s="226" t="str">
        <f t="shared" si="0"/>
        <v>Faisabilité production</v>
      </c>
      <c r="C32" s="239">
        <f t="shared" si="1"/>
        <v>2</v>
      </c>
      <c r="D32" s="239">
        <f t="shared" si="2"/>
        <v>0</v>
      </c>
      <c r="E32" s="239">
        <f t="shared" si="3"/>
        <v>2</v>
      </c>
      <c r="F32" s="240" t="str">
        <f t="shared" si="4"/>
        <v>Corrigé</v>
      </c>
      <c r="G32" s="257"/>
      <c r="H32" s="227" t="str">
        <f t="shared" si="5"/>
        <v>Faisabilité production</v>
      </c>
      <c r="I32" s="239">
        <f t="shared" si="6"/>
        <v>2</v>
      </c>
      <c r="J32" s="239">
        <f t="shared" si="7"/>
        <v>2</v>
      </c>
      <c r="K32" s="239">
        <f t="shared" si="8"/>
        <v>2</v>
      </c>
      <c r="L32" s="240" t="str">
        <f t="shared" si="9"/>
        <v>OK</v>
      </c>
      <c r="M32" s="213"/>
      <c r="AA32" s="250" t="str">
        <f>IFERROR(INDEX($BE$53:$BE$72,MATCH($B$4,$A$53:$A$72,0)),"")</f>
        <v>Faisabilité production</v>
      </c>
      <c r="AB32" s="258">
        <f>IFERROR(INDEX($BF$53:$BF$72,MATCH($B$4,$A$53:$A$72,0)),0)</f>
        <v>2</v>
      </c>
      <c r="AC32" s="258" t="str">
        <f>IFERROR(INDEX($BG$53:$BG$72,MATCH($B$4,$A$53:$A$72,0)),"")</f>
        <v>maintien</v>
      </c>
      <c r="AD32" s="258" t="str">
        <f>IFERROR(INDEX($BH$53:$BH$72,MATCH($B$4,$A$53:$A$72,0)),"")</f>
        <v>chaud</v>
      </c>
      <c r="AE32" s="258" t="str">
        <f>IFERROR(INDEX($BI$53:$BI$72,MATCH($B$4,$A$53:$A$72,0)),"")</f>
        <v>dessechement</v>
      </c>
      <c r="AF32" s="258" t="str">
        <f>IFERROR(INDEX($BJ$53:$BJ$72,MATCH($B$4,$A$53:$A$72,0)),"")</f>
        <v>attend</v>
      </c>
      <c r="AG32" s="258" t="str">
        <f>IFERROR(INDEX($BK$53:$BK$72,MATCH($B$4,$A$53:$A$72,0)),"")</f>
        <v>chaud</v>
      </c>
      <c r="AH32" s="258" t="str">
        <f>IFERROR(INDEX($BL$53:$BL$72,MATCH($B$4,$A$53:$A$72,0)),"")</f>
        <v>sec</v>
      </c>
    </row>
    <row r="33" spans="1:34" ht="24" customHeight="1" x14ac:dyDescent="0.25">
      <c r="A33" s="1542"/>
      <c r="B33" s="226" t="str">
        <f t="shared" si="0"/>
        <v>Justification claire</v>
      </c>
      <c r="C33" s="239">
        <f t="shared" si="1"/>
        <v>3</v>
      </c>
      <c r="D33" s="239">
        <f t="shared" si="2"/>
        <v>3</v>
      </c>
      <c r="E33" s="239">
        <f t="shared" si="3"/>
        <v>3</v>
      </c>
      <c r="F33" s="240" t="str">
        <f t="shared" si="4"/>
        <v>OK</v>
      </c>
      <c r="G33" s="257"/>
      <c r="H33" s="227" t="str">
        <f t="shared" si="5"/>
        <v>Justification claire</v>
      </c>
      <c r="I33" s="239">
        <f t="shared" si="6"/>
        <v>3</v>
      </c>
      <c r="J33" s="239">
        <f t="shared" si="7"/>
        <v>0</v>
      </c>
      <c r="K33" s="239">
        <f t="shared" si="8"/>
        <v>0</v>
      </c>
      <c r="L33" s="240" t="str">
        <f t="shared" si="9"/>
        <v>Manque</v>
      </c>
      <c r="M33" s="213"/>
      <c r="AA33" s="250" t="str">
        <f>IFERROR(INDEX($BM$53:$BM$72,MATCH($B$4,$A$53:$A$72,0)),"")</f>
        <v>Justification claire</v>
      </c>
      <c r="AB33" s="258">
        <f>IFERROR(INDEX($BN$53:$BN$72,MATCH($B$4,$A$53:$A$72,0)),0)</f>
        <v>3</v>
      </c>
      <c r="AC33" s="258" t="str">
        <f>IFERROR(INDEX($BO$53:$BO$72,MATCH($B$4,$A$53:$A$72,0)),"")</f>
        <v>parce</v>
      </c>
      <c r="AD33" s="258" t="str">
        <f>IFERROR(INDEX($BP$53:$BP$72,MATCH($B$4,$A$53:$A$72,0)),"")</f>
        <v>corrige</v>
      </c>
      <c r="AE33" s="258" t="str">
        <f>IFERROR(INDEX($BQ$53:$BQ$72,MATCH($B$4,$A$53:$A$72,0)),"")</f>
        <v>evite</v>
      </c>
      <c r="AF33" s="258" t="str">
        <f>IFERROR(INDEX($BR$53:$BR$72,MATCH($B$4,$A$53:$A$72,0)),"")</f>
        <v>parce</v>
      </c>
      <c r="AG33" s="258" t="str">
        <f>IFERROR(INDEX($BS$53:$BS$72,MATCH($B$4,$A$53:$A$72,0)),"")</f>
        <v>pour</v>
      </c>
      <c r="AH33" s="258" t="str">
        <f>IFERROR(INDEX($BT$53:$BT$72,MATCH($B$4,$A$53:$A$72,0)),"")</f>
        <v>eviter</v>
      </c>
    </row>
    <row r="34" spans="1:34" ht="24" customHeight="1" x14ac:dyDescent="0.25">
      <c r="A34" s="1542"/>
      <c r="B34" s="226" t="s">
        <v>77</v>
      </c>
      <c r="C34" s="252">
        <f>SUM($D$28:$D$33)</f>
        <v>11</v>
      </c>
      <c r="D34" s="259"/>
      <c r="E34" s="259"/>
      <c r="F34" s="259"/>
      <c r="G34" s="260"/>
      <c r="H34" s="227" t="s">
        <v>78</v>
      </c>
      <c r="I34" s="254">
        <f>SUM($J$28:$J$33)</f>
        <v>10</v>
      </c>
      <c r="J34" s="259"/>
      <c r="K34" s="259"/>
      <c r="L34" s="259"/>
      <c r="M34" s="213"/>
    </row>
    <row r="35" spans="1:34" ht="24" customHeight="1" x14ac:dyDescent="0.25">
      <c r="A35" s="1542"/>
      <c r="B35" s="226" t="s">
        <v>79</v>
      </c>
      <c r="C35" s="252">
        <f>IF(COUNTA($B$15:$B$16)=0,"",SUM($E$28:$E$33))</f>
        <v>20</v>
      </c>
      <c r="D35" s="259"/>
      <c r="E35" s="259"/>
      <c r="F35" s="259"/>
      <c r="G35" s="260"/>
      <c r="H35" s="227" t="s">
        <v>80</v>
      </c>
      <c r="I35" s="254">
        <f>IF(COUNTA($I$15:$I$16)=0,"",SUM($K$28:$K$33))</f>
        <v>14</v>
      </c>
      <c r="J35" s="259"/>
      <c r="K35" s="259"/>
      <c r="L35" s="259"/>
      <c r="M35" s="213"/>
    </row>
    <row r="36" spans="1:34" ht="24" customHeight="1" x14ac:dyDescent="0.25">
      <c r="A36" s="1542"/>
      <c r="B36" s="261" t="s">
        <v>81</v>
      </c>
      <c r="C36" s="262">
        <f>IF($C$35="","",$C$35-$C$34)</f>
        <v>9</v>
      </c>
      <c r="D36" s="245"/>
      <c r="E36" s="245"/>
      <c r="F36" s="245"/>
      <c r="G36" s="210"/>
      <c r="H36" s="261" t="s">
        <v>82</v>
      </c>
      <c r="I36" s="262">
        <f>IF($I$35="","",$I$35-$I$34)</f>
        <v>4</v>
      </c>
      <c r="J36" s="245"/>
      <c r="K36" s="245"/>
      <c r="L36" s="245"/>
      <c r="M36" s="213"/>
    </row>
    <row r="37" spans="1:34" ht="15.75" x14ac:dyDescent="0.25">
      <c r="A37" s="195"/>
      <c r="B37" s="194"/>
      <c r="C37" s="195"/>
      <c r="D37" s="195"/>
      <c r="E37" s="195"/>
      <c r="F37" s="195"/>
      <c r="G37" s="195"/>
      <c r="H37" s="195"/>
      <c r="I37" s="195"/>
      <c r="J37" s="246"/>
      <c r="K37" s="246"/>
      <c r="L37" s="246"/>
      <c r="M37" s="246"/>
    </row>
    <row r="52" spans="1:72" ht="27.95" customHeight="1" x14ac:dyDescent="0.25">
      <c r="A52" s="247" t="s">
        <v>83</v>
      </c>
      <c r="B52" s="247" t="s">
        <v>5</v>
      </c>
      <c r="C52" s="247" t="s">
        <v>6</v>
      </c>
      <c r="D52" s="247" t="s">
        <v>84</v>
      </c>
      <c r="E52" s="247" t="s">
        <v>85</v>
      </c>
      <c r="F52" s="247" t="s">
        <v>86</v>
      </c>
      <c r="G52" s="247" t="s">
        <v>87</v>
      </c>
      <c r="H52" s="247" t="s">
        <v>88</v>
      </c>
      <c r="I52" s="247" t="s">
        <v>89</v>
      </c>
      <c r="J52" s="247" t="s">
        <v>90</v>
      </c>
      <c r="K52" s="247" t="s">
        <v>91</v>
      </c>
      <c r="L52" s="247" t="s">
        <v>92</v>
      </c>
      <c r="M52" s="247" t="s">
        <v>93</v>
      </c>
      <c r="N52" s="247" t="s">
        <v>94</v>
      </c>
      <c r="O52" s="247" t="s">
        <v>95</v>
      </c>
      <c r="P52" s="247" t="s">
        <v>96</v>
      </c>
      <c r="Q52" s="247" t="s">
        <v>97</v>
      </c>
      <c r="R52" s="247" t="s">
        <v>98</v>
      </c>
      <c r="S52" s="247" t="s">
        <v>99</v>
      </c>
      <c r="T52" s="247" t="s">
        <v>100</v>
      </c>
      <c r="U52" s="247" t="s">
        <v>101</v>
      </c>
      <c r="V52" s="247" t="s">
        <v>102</v>
      </c>
      <c r="W52" s="247" t="s">
        <v>103</v>
      </c>
      <c r="X52" s="247" t="s">
        <v>104</v>
      </c>
      <c r="Y52" s="248" t="s">
        <v>105</v>
      </c>
      <c r="Z52" s="248" t="s">
        <v>106</v>
      </c>
      <c r="AA52" s="248" t="s">
        <v>107</v>
      </c>
      <c r="AB52" s="248" t="s">
        <v>108</v>
      </c>
      <c r="AC52" s="248" t="s">
        <v>109</v>
      </c>
      <c r="AD52" s="248" t="s">
        <v>110</v>
      </c>
      <c r="AE52" s="248" t="s">
        <v>111</v>
      </c>
      <c r="AF52" s="248" t="s">
        <v>112</v>
      </c>
      <c r="AG52" s="248" t="s">
        <v>113</v>
      </c>
      <c r="AH52" s="248" t="s">
        <v>114</v>
      </c>
      <c r="AI52" s="248" t="s">
        <v>115</v>
      </c>
      <c r="AJ52" s="248" t="s">
        <v>116</v>
      </c>
      <c r="AK52" s="248" t="s">
        <v>117</v>
      </c>
      <c r="AL52" s="248" t="s">
        <v>118</v>
      </c>
      <c r="AM52" s="248" t="s">
        <v>119</v>
      </c>
      <c r="AN52" s="248" t="s">
        <v>120</v>
      </c>
      <c r="AO52" s="248" t="s">
        <v>121</v>
      </c>
      <c r="AP52" s="248" t="s">
        <v>122</v>
      </c>
      <c r="AQ52" s="248" t="s">
        <v>123</v>
      </c>
      <c r="AR52" s="248" t="s">
        <v>124</v>
      </c>
      <c r="AS52" s="248" t="s">
        <v>125</v>
      </c>
      <c r="AT52" s="248" t="s">
        <v>126</v>
      </c>
      <c r="AU52" s="248" t="s">
        <v>127</v>
      </c>
      <c r="AV52" s="248" t="s">
        <v>128</v>
      </c>
      <c r="AW52" s="248" t="s">
        <v>129</v>
      </c>
      <c r="AX52" s="248" t="s">
        <v>130</v>
      </c>
      <c r="AY52" s="248" t="s">
        <v>131</v>
      </c>
      <c r="AZ52" s="248" t="s">
        <v>132</v>
      </c>
      <c r="BA52" s="248" t="s">
        <v>133</v>
      </c>
      <c r="BB52" s="248" t="s">
        <v>134</v>
      </c>
      <c r="BC52" s="248" t="s">
        <v>135</v>
      </c>
      <c r="BD52" s="248" t="s">
        <v>136</v>
      </c>
      <c r="BE52" s="248" t="s">
        <v>137</v>
      </c>
      <c r="BF52" s="248" t="s">
        <v>138</v>
      </c>
      <c r="BG52" s="248" t="s">
        <v>139</v>
      </c>
      <c r="BH52" s="248" t="s">
        <v>140</v>
      </c>
      <c r="BI52" s="248" t="s">
        <v>141</v>
      </c>
      <c r="BJ52" s="248" t="s">
        <v>142</v>
      </c>
      <c r="BK52" s="248" t="s">
        <v>143</v>
      </c>
      <c r="BL52" s="248" t="s">
        <v>144</v>
      </c>
      <c r="BM52" s="248" t="s">
        <v>145</v>
      </c>
      <c r="BN52" s="248" t="s">
        <v>146</v>
      </c>
      <c r="BO52" s="248" t="s">
        <v>147</v>
      </c>
      <c r="BP52" s="248" t="s">
        <v>148</v>
      </c>
      <c r="BQ52" s="248" t="s">
        <v>149</v>
      </c>
      <c r="BR52" s="248" t="s">
        <v>150</v>
      </c>
      <c r="BS52" s="248" t="s">
        <v>151</v>
      </c>
      <c r="BT52" s="248" t="s">
        <v>152</v>
      </c>
    </row>
    <row r="53" spans="1:72" ht="54.95" customHeight="1" x14ac:dyDescent="0.25">
      <c r="A53" s="249">
        <v>1</v>
      </c>
      <c r="B53" s="191" t="s">
        <v>153</v>
      </c>
      <c r="C53" s="191" t="s">
        <v>154</v>
      </c>
      <c r="D53" s="191" t="s">
        <v>155</v>
      </c>
      <c r="E53" s="191" t="s">
        <v>156</v>
      </c>
      <c r="F53" s="191" t="s">
        <v>157</v>
      </c>
      <c r="G53" s="191" t="s">
        <v>158</v>
      </c>
      <c r="H53" s="191" t="s">
        <v>37</v>
      </c>
      <c r="I53" s="191" t="s">
        <v>41</v>
      </c>
      <c r="J53" s="191" t="s">
        <v>159</v>
      </c>
      <c r="K53" s="191" t="s">
        <v>160</v>
      </c>
      <c r="L53" s="191" t="s">
        <v>161</v>
      </c>
      <c r="M53" s="191" t="s">
        <v>162</v>
      </c>
      <c r="N53" s="191" t="s">
        <v>163</v>
      </c>
      <c r="O53" s="249">
        <v>20</v>
      </c>
      <c r="P53" s="191" t="s">
        <v>164</v>
      </c>
      <c r="Q53" s="191" t="s">
        <v>165</v>
      </c>
      <c r="R53" s="191" t="s">
        <v>166</v>
      </c>
      <c r="S53" s="191" t="s">
        <v>167</v>
      </c>
      <c r="T53" s="191" t="s">
        <v>168</v>
      </c>
      <c r="U53" s="191" t="s">
        <v>169</v>
      </c>
      <c r="V53" s="191" t="s">
        <v>170</v>
      </c>
      <c r="W53" s="191" t="s">
        <v>171</v>
      </c>
      <c r="X53" s="191" t="s">
        <v>172</v>
      </c>
      <c r="Y53" s="223" t="s">
        <v>173</v>
      </c>
      <c r="Z53" s="223">
        <v>4</v>
      </c>
      <c r="AA53" s="223" t="s">
        <v>174</v>
      </c>
      <c r="AB53" s="223" t="s">
        <v>175</v>
      </c>
      <c r="AC53" s="223" t="s">
        <v>176</v>
      </c>
      <c r="AD53" s="223" t="s">
        <v>174</v>
      </c>
      <c r="AE53" s="223" t="s">
        <v>176</v>
      </c>
      <c r="AF53" s="223" t="s">
        <v>177</v>
      </c>
      <c r="AG53" s="223" t="s">
        <v>178</v>
      </c>
      <c r="AH53" s="223">
        <v>4</v>
      </c>
      <c r="AI53" s="223" t="s">
        <v>179</v>
      </c>
      <c r="AJ53" s="223" t="s">
        <v>180</v>
      </c>
      <c r="AK53" s="223" t="s">
        <v>181</v>
      </c>
      <c r="AL53" s="223" t="s">
        <v>179</v>
      </c>
      <c r="AM53" s="223" t="s">
        <v>182</v>
      </c>
      <c r="AN53" s="223" t="s">
        <v>181</v>
      </c>
      <c r="AO53" s="223" t="s">
        <v>183</v>
      </c>
      <c r="AP53" s="223">
        <v>4</v>
      </c>
      <c r="AQ53" s="223" t="s">
        <v>184</v>
      </c>
      <c r="AR53" s="223" t="s">
        <v>185</v>
      </c>
      <c r="AS53" s="223" t="s">
        <v>186</v>
      </c>
      <c r="AT53" s="223" t="s">
        <v>184</v>
      </c>
      <c r="AU53" s="223" t="s">
        <v>185</v>
      </c>
      <c r="AV53" s="223" t="s">
        <v>187</v>
      </c>
      <c r="AW53" s="223" t="s">
        <v>57</v>
      </c>
      <c r="AX53" s="223">
        <v>3</v>
      </c>
      <c r="AY53" s="223" t="s">
        <v>188</v>
      </c>
      <c r="AZ53" s="223" t="s">
        <v>189</v>
      </c>
      <c r="BA53" s="223" t="s">
        <v>190</v>
      </c>
      <c r="BB53" s="223" t="s">
        <v>188</v>
      </c>
      <c r="BC53" s="223" t="s">
        <v>191</v>
      </c>
      <c r="BD53" s="223" t="s">
        <v>192</v>
      </c>
      <c r="BE53" s="223" t="s">
        <v>193</v>
      </c>
      <c r="BF53" s="223">
        <v>2</v>
      </c>
      <c r="BG53" s="223" t="s">
        <v>194</v>
      </c>
      <c r="BH53" s="223" t="s">
        <v>195</v>
      </c>
      <c r="BI53" s="223" t="s">
        <v>196</v>
      </c>
      <c r="BJ53" s="223" t="s">
        <v>197</v>
      </c>
      <c r="BK53" s="223" t="s">
        <v>195</v>
      </c>
      <c r="BL53" s="223" t="s">
        <v>176</v>
      </c>
      <c r="BM53" s="223" t="s">
        <v>198</v>
      </c>
      <c r="BN53" s="223">
        <v>3</v>
      </c>
      <c r="BO53" s="223" t="s">
        <v>199</v>
      </c>
      <c r="BP53" s="223" t="s">
        <v>200</v>
      </c>
      <c r="BQ53" s="223" t="s">
        <v>201</v>
      </c>
      <c r="BR53" s="223" t="s">
        <v>199</v>
      </c>
      <c r="BS53" s="223" t="s">
        <v>202</v>
      </c>
      <c r="BT53" s="223" t="s">
        <v>203</v>
      </c>
    </row>
    <row r="54" spans="1:72" ht="54.95" customHeight="1" x14ac:dyDescent="0.25">
      <c r="A54" s="249">
        <v>2</v>
      </c>
      <c r="B54" s="191" t="s">
        <v>204</v>
      </c>
      <c r="C54" s="191" t="s">
        <v>205</v>
      </c>
      <c r="D54" s="191" t="s">
        <v>206</v>
      </c>
      <c r="E54" s="191" t="s">
        <v>207</v>
      </c>
      <c r="F54" s="191" t="s">
        <v>208</v>
      </c>
      <c r="G54" s="191" t="s">
        <v>209</v>
      </c>
      <c r="H54" s="191" t="s">
        <v>210</v>
      </c>
      <c r="I54" s="191" t="s">
        <v>211</v>
      </c>
      <c r="J54" s="191" t="s">
        <v>212</v>
      </c>
      <c r="K54" s="191" t="s">
        <v>213</v>
      </c>
      <c r="L54" s="191" t="s">
        <v>214</v>
      </c>
      <c r="M54" s="191" t="s">
        <v>215</v>
      </c>
      <c r="N54" s="191" t="s">
        <v>216</v>
      </c>
      <c r="O54" s="249">
        <v>20</v>
      </c>
      <c r="P54" s="191" t="s">
        <v>164</v>
      </c>
      <c r="Q54" s="191" t="s">
        <v>217</v>
      </c>
      <c r="R54" s="191" t="s">
        <v>218</v>
      </c>
      <c r="S54" s="191" t="s">
        <v>219</v>
      </c>
      <c r="T54" s="191" t="s">
        <v>220</v>
      </c>
      <c r="U54" s="191" t="s">
        <v>221</v>
      </c>
      <c r="V54" s="191" t="s">
        <v>222</v>
      </c>
      <c r="W54" s="191" t="s">
        <v>223</v>
      </c>
      <c r="X54" s="191" t="s">
        <v>224</v>
      </c>
      <c r="Y54" s="223" t="s">
        <v>173</v>
      </c>
      <c r="Z54" s="223">
        <v>4</v>
      </c>
      <c r="AA54" s="223" t="s">
        <v>225</v>
      </c>
      <c r="AB54" s="223" t="s">
        <v>226</v>
      </c>
      <c r="AC54" s="223" t="s">
        <v>227</v>
      </c>
      <c r="AD54" s="223" t="s">
        <v>225</v>
      </c>
      <c r="AE54" s="223" t="s">
        <v>226</v>
      </c>
      <c r="AF54" s="223" t="s">
        <v>228</v>
      </c>
      <c r="AG54" s="223" t="s">
        <v>178</v>
      </c>
      <c r="AH54" s="223">
        <v>4</v>
      </c>
      <c r="AI54" s="223" t="s">
        <v>229</v>
      </c>
      <c r="AJ54" s="223" t="s">
        <v>230</v>
      </c>
      <c r="AK54" s="223" t="s">
        <v>231</v>
      </c>
      <c r="AL54" s="223" t="s">
        <v>232</v>
      </c>
      <c r="AM54" s="223" t="s">
        <v>233</v>
      </c>
      <c r="AN54" s="223" t="s">
        <v>231</v>
      </c>
      <c r="AO54" s="223" t="s">
        <v>183</v>
      </c>
      <c r="AP54" s="223">
        <v>4</v>
      </c>
      <c r="AQ54" s="223" t="s">
        <v>234</v>
      </c>
      <c r="AR54" s="223" t="s">
        <v>185</v>
      </c>
      <c r="AS54" s="223" t="s">
        <v>235</v>
      </c>
      <c r="AT54" s="223" t="s">
        <v>234</v>
      </c>
      <c r="AU54" s="223" t="s">
        <v>185</v>
      </c>
      <c r="AV54" s="223" t="s">
        <v>236</v>
      </c>
      <c r="AW54" s="223" t="s">
        <v>57</v>
      </c>
      <c r="AX54" s="223">
        <v>3</v>
      </c>
      <c r="AY54" s="223" t="s">
        <v>237</v>
      </c>
      <c r="AZ54" s="223" t="s">
        <v>238</v>
      </c>
      <c r="BA54" s="223" t="s">
        <v>239</v>
      </c>
      <c r="BB54" s="223" t="s">
        <v>237</v>
      </c>
      <c r="BC54" s="223" t="s">
        <v>239</v>
      </c>
      <c r="BD54" s="223" t="s">
        <v>240</v>
      </c>
      <c r="BE54" s="223" t="s">
        <v>193</v>
      </c>
      <c r="BF54" s="223">
        <v>2</v>
      </c>
      <c r="BG54" s="223" t="s">
        <v>179</v>
      </c>
      <c r="BH54" s="223" t="s">
        <v>241</v>
      </c>
      <c r="BI54" s="223" t="s">
        <v>242</v>
      </c>
      <c r="BJ54" s="223" t="s">
        <v>179</v>
      </c>
      <c r="BK54" s="223" t="s">
        <v>243</v>
      </c>
      <c r="BL54" s="223" t="s">
        <v>241</v>
      </c>
      <c r="BM54" s="223" t="s">
        <v>198</v>
      </c>
      <c r="BN54" s="223">
        <v>3</v>
      </c>
      <c r="BO54" s="223" t="s">
        <v>199</v>
      </c>
      <c r="BP54" s="223" t="s">
        <v>244</v>
      </c>
      <c r="BQ54" s="223" t="s">
        <v>201</v>
      </c>
      <c r="BR54" s="223" t="s">
        <v>199</v>
      </c>
      <c r="BS54" s="223" t="s">
        <v>202</v>
      </c>
      <c r="BT54" s="223" t="s">
        <v>245</v>
      </c>
    </row>
    <row r="55" spans="1:72" ht="54.95" customHeight="1" x14ac:dyDescent="0.25">
      <c r="A55" s="249">
        <v>3</v>
      </c>
      <c r="B55" s="191" t="s">
        <v>246</v>
      </c>
      <c r="C55" s="191" t="s">
        <v>247</v>
      </c>
      <c r="D55" s="191" t="s">
        <v>248</v>
      </c>
      <c r="E55" s="191" t="s">
        <v>249</v>
      </c>
      <c r="F55" s="191" t="s">
        <v>250</v>
      </c>
      <c r="G55" s="191" t="s">
        <v>251</v>
      </c>
      <c r="H55" s="191" t="s">
        <v>252</v>
      </c>
      <c r="I55" s="191" t="s">
        <v>253</v>
      </c>
      <c r="J55" s="191" t="s">
        <v>254</v>
      </c>
      <c r="K55" s="191" t="s">
        <v>255</v>
      </c>
      <c r="L55" s="191" t="s">
        <v>256</v>
      </c>
      <c r="M55" s="191" t="s">
        <v>257</v>
      </c>
      <c r="N55" s="191" t="s">
        <v>258</v>
      </c>
      <c r="O55" s="249">
        <v>20</v>
      </c>
      <c r="P55" s="191" t="s">
        <v>259</v>
      </c>
      <c r="Q55" s="191" t="s">
        <v>260</v>
      </c>
      <c r="R55" s="191" t="s">
        <v>261</v>
      </c>
      <c r="S55" s="191" t="s">
        <v>262</v>
      </c>
      <c r="T55" s="191" t="s">
        <v>263</v>
      </c>
      <c r="U55" s="191" t="s">
        <v>264</v>
      </c>
      <c r="V55" s="191" t="s">
        <v>265</v>
      </c>
      <c r="W55" s="191" t="s">
        <v>266</v>
      </c>
      <c r="X55" s="191" t="s">
        <v>267</v>
      </c>
      <c r="Y55" s="223" t="s">
        <v>173</v>
      </c>
      <c r="Z55" s="223">
        <v>4</v>
      </c>
      <c r="AA55" s="223" t="s">
        <v>268</v>
      </c>
      <c r="AB55" s="223" t="s">
        <v>269</v>
      </c>
      <c r="AC55" s="223" t="s">
        <v>270</v>
      </c>
      <c r="AD55" s="223" t="s">
        <v>271</v>
      </c>
      <c r="AE55" s="223" t="s">
        <v>272</v>
      </c>
      <c r="AF55" s="223" t="s">
        <v>273</v>
      </c>
      <c r="AG55" s="223" t="s">
        <v>178</v>
      </c>
      <c r="AH55" s="223">
        <v>4</v>
      </c>
      <c r="AI55" s="223" t="s">
        <v>274</v>
      </c>
      <c r="AJ55" s="223" t="s">
        <v>275</v>
      </c>
      <c r="AK55" s="223" t="s">
        <v>276</v>
      </c>
      <c r="AL55" s="223" t="s">
        <v>274</v>
      </c>
      <c r="AM55" s="223" t="s">
        <v>275</v>
      </c>
      <c r="AN55" s="223" t="s">
        <v>276</v>
      </c>
      <c r="AO55" s="223" t="s">
        <v>183</v>
      </c>
      <c r="AP55" s="223">
        <v>4</v>
      </c>
      <c r="AQ55" s="223" t="s">
        <v>277</v>
      </c>
      <c r="AR55" s="223" t="s">
        <v>278</v>
      </c>
      <c r="AS55" s="223" t="s">
        <v>187</v>
      </c>
      <c r="AT55" s="223" t="s">
        <v>279</v>
      </c>
      <c r="AU55" s="223" t="s">
        <v>278</v>
      </c>
      <c r="AV55" s="223" t="s">
        <v>185</v>
      </c>
      <c r="AW55" s="223" t="s">
        <v>57</v>
      </c>
      <c r="AX55" s="223">
        <v>3</v>
      </c>
      <c r="AY55" s="223" t="s">
        <v>280</v>
      </c>
      <c r="AZ55" s="223" t="s">
        <v>281</v>
      </c>
      <c r="BA55" s="223" t="s">
        <v>282</v>
      </c>
      <c r="BB55" s="223" t="s">
        <v>283</v>
      </c>
      <c r="BC55" s="223" t="s">
        <v>284</v>
      </c>
      <c r="BD55" s="223" t="s">
        <v>191</v>
      </c>
      <c r="BE55" s="223" t="s">
        <v>193</v>
      </c>
      <c r="BF55" s="223">
        <v>2</v>
      </c>
      <c r="BG55" s="223" t="s">
        <v>285</v>
      </c>
      <c r="BH55" s="223" t="s">
        <v>276</v>
      </c>
      <c r="BI55" s="223" t="s">
        <v>179</v>
      </c>
      <c r="BJ55" s="223" t="s">
        <v>286</v>
      </c>
      <c r="BK55" s="223" t="s">
        <v>274</v>
      </c>
      <c r="BL55" s="223" t="s">
        <v>179</v>
      </c>
      <c r="BM55" s="223" t="s">
        <v>198</v>
      </c>
      <c r="BN55" s="223">
        <v>3</v>
      </c>
      <c r="BO55" s="223" t="s">
        <v>199</v>
      </c>
      <c r="BP55" s="223" t="s">
        <v>287</v>
      </c>
      <c r="BQ55" s="223" t="s">
        <v>288</v>
      </c>
      <c r="BR55" s="223" t="s">
        <v>199</v>
      </c>
      <c r="BS55" s="223" t="s">
        <v>202</v>
      </c>
      <c r="BT55" s="223" t="s">
        <v>289</v>
      </c>
    </row>
    <row r="56" spans="1:72" ht="54.95" customHeight="1" x14ac:dyDescent="0.25">
      <c r="A56" s="249">
        <v>4</v>
      </c>
      <c r="B56" s="191" t="s">
        <v>290</v>
      </c>
      <c r="C56" s="191" t="s">
        <v>154</v>
      </c>
      <c r="D56" s="191" t="s">
        <v>291</v>
      </c>
      <c r="E56" s="191" t="s">
        <v>292</v>
      </c>
      <c r="F56" s="191" t="s">
        <v>293</v>
      </c>
      <c r="G56" s="191" t="s">
        <v>294</v>
      </c>
      <c r="H56" s="191" t="s">
        <v>295</v>
      </c>
      <c r="I56" s="191" t="s">
        <v>296</v>
      </c>
      <c r="J56" s="191" t="s">
        <v>297</v>
      </c>
      <c r="K56" s="191" t="s">
        <v>298</v>
      </c>
      <c r="L56" s="191" t="s">
        <v>299</v>
      </c>
      <c r="M56" s="191" t="s">
        <v>300</v>
      </c>
      <c r="N56" s="191" t="s">
        <v>301</v>
      </c>
      <c r="O56" s="249">
        <v>20</v>
      </c>
      <c r="P56" s="191" t="s">
        <v>259</v>
      </c>
      <c r="Q56" s="191" t="s">
        <v>302</v>
      </c>
      <c r="R56" s="191" t="s">
        <v>303</v>
      </c>
      <c r="S56" s="191" t="s">
        <v>304</v>
      </c>
      <c r="T56" s="191" t="s">
        <v>305</v>
      </c>
      <c r="U56" s="191" t="s">
        <v>306</v>
      </c>
      <c r="V56" s="191" t="s">
        <v>307</v>
      </c>
      <c r="W56" s="191" t="s">
        <v>308</v>
      </c>
      <c r="X56" s="191" t="s">
        <v>309</v>
      </c>
      <c r="Y56" s="223" t="s">
        <v>173</v>
      </c>
      <c r="Z56" s="223">
        <v>4</v>
      </c>
      <c r="AA56" s="223" t="s">
        <v>176</v>
      </c>
      <c r="AB56" s="223" t="s">
        <v>310</v>
      </c>
      <c r="AC56" s="223" t="s">
        <v>311</v>
      </c>
      <c r="AD56" s="223" t="s">
        <v>176</v>
      </c>
      <c r="AE56" s="223" t="s">
        <v>312</v>
      </c>
      <c r="AF56" s="223" t="s">
        <v>313</v>
      </c>
      <c r="AG56" s="223" t="s">
        <v>178</v>
      </c>
      <c r="AH56" s="223">
        <v>4</v>
      </c>
      <c r="AI56" s="223" t="s">
        <v>179</v>
      </c>
      <c r="AJ56" s="223" t="s">
        <v>231</v>
      </c>
      <c r="AK56" s="223" t="s">
        <v>314</v>
      </c>
      <c r="AL56" s="223" t="s">
        <v>179</v>
      </c>
      <c r="AM56" s="223" t="s">
        <v>231</v>
      </c>
      <c r="AN56" s="223" t="s">
        <v>314</v>
      </c>
      <c r="AO56" s="223" t="s">
        <v>183</v>
      </c>
      <c r="AP56" s="223">
        <v>4</v>
      </c>
      <c r="AQ56" s="223" t="s">
        <v>315</v>
      </c>
      <c r="AR56" s="223" t="s">
        <v>235</v>
      </c>
      <c r="AS56" s="223" t="s">
        <v>316</v>
      </c>
      <c r="AT56" s="223" t="s">
        <v>315</v>
      </c>
      <c r="AU56" s="223" t="s">
        <v>235</v>
      </c>
      <c r="AV56" s="223" t="s">
        <v>186</v>
      </c>
      <c r="AW56" s="223" t="s">
        <v>57</v>
      </c>
      <c r="AX56" s="223">
        <v>3</v>
      </c>
      <c r="AY56" s="223" t="s">
        <v>317</v>
      </c>
      <c r="AZ56" s="223" t="s">
        <v>318</v>
      </c>
      <c r="BA56" s="223" t="s">
        <v>319</v>
      </c>
      <c r="BB56" s="223" t="s">
        <v>318</v>
      </c>
      <c r="BC56" s="223" t="s">
        <v>320</v>
      </c>
      <c r="BD56" s="223" t="s">
        <v>317</v>
      </c>
      <c r="BE56" s="223" t="s">
        <v>193</v>
      </c>
      <c r="BF56" s="223">
        <v>2</v>
      </c>
      <c r="BG56" s="223" t="s">
        <v>194</v>
      </c>
      <c r="BH56" s="223" t="s">
        <v>321</v>
      </c>
      <c r="BI56" s="223" t="s">
        <v>195</v>
      </c>
      <c r="BJ56" s="223" t="s">
        <v>195</v>
      </c>
      <c r="BK56" s="223" t="s">
        <v>321</v>
      </c>
      <c r="BL56" s="223" t="s">
        <v>243</v>
      </c>
      <c r="BM56" s="223" t="s">
        <v>198</v>
      </c>
      <c r="BN56" s="223">
        <v>3</v>
      </c>
      <c r="BO56" s="223" t="s">
        <v>199</v>
      </c>
      <c r="BP56" s="223" t="s">
        <v>322</v>
      </c>
      <c r="BQ56" s="223" t="s">
        <v>201</v>
      </c>
      <c r="BR56" s="223" t="s">
        <v>199</v>
      </c>
      <c r="BS56" s="223" t="s">
        <v>202</v>
      </c>
      <c r="BT56" s="223" t="s">
        <v>323</v>
      </c>
    </row>
    <row r="57" spans="1:72" ht="54.95" customHeight="1" x14ac:dyDescent="0.25">
      <c r="A57" s="249">
        <v>5</v>
      </c>
      <c r="B57" s="191" t="s">
        <v>324</v>
      </c>
      <c r="C57" s="191" t="s">
        <v>325</v>
      </c>
      <c r="D57" s="191" t="s">
        <v>326</v>
      </c>
      <c r="E57" s="191" t="s">
        <v>327</v>
      </c>
      <c r="F57" s="191" t="s">
        <v>328</v>
      </c>
      <c r="G57" s="191" t="s">
        <v>329</v>
      </c>
      <c r="H57" s="191" t="s">
        <v>330</v>
      </c>
      <c r="I57" s="191" t="s">
        <v>331</v>
      </c>
      <c r="J57" s="191" t="s">
        <v>332</v>
      </c>
      <c r="K57" s="191" t="s">
        <v>333</v>
      </c>
      <c r="L57" s="191" t="s">
        <v>334</v>
      </c>
      <c r="M57" s="191" t="s">
        <v>335</v>
      </c>
      <c r="N57" s="191" t="s">
        <v>336</v>
      </c>
      <c r="O57" s="249">
        <v>20</v>
      </c>
      <c r="P57" s="191" t="s">
        <v>259</v>
      </c>
      <c r="Q57" s="191" t="s">
        <v>337</v>
      </c>
      <c r="R57" s="191" t="s">
        <v>338</v>
      </c>
      <c r="S57" s="191" t="s">
        <v>339</v>
      </c>
      <c r="T57" s="191" t="s">
        <v>340</v>
      </c>
      <c r="U57" s="191" t="s">
        <v>341</v>
      </c>
      <c r="V57" s="191" t="s">
        <v>342</v>
      </c>
      <c r="W57" s="191" t="s">
        <v>343</v>
      </c>
      <c r="X57" s="191" t="s">
        <v>344</v>
      </c>
      <c r="Y57" s="223" t="s">
        <v>173</v>
      </c>
      <c r="Z57" s="223">
        <v>4</v>
      </c>
      <c r="AA57" s="223" t="s">
        <v>345</v>
      </c>
      <c r="AB57" s="223" t="s">
        <v>346</v>
      </c>
      <c r="AC57" s="223" t="s">
        <v>347</v>
      </c>
      <c r="AD57" s="223" t="s">
        <v>346</v>
      </c>
      <c r="AE57" s="223" t="s">
        <v>347</v>
      </c>
      <c r="AF57" s="223" t="s">
        <v>345</v>
      </c>
      <c r="AG57" s="223" t="s">
        <v>178</v>
      </c>
      <c r="AH57" s="223">
        <v>4</v>
      </c>
      <c r="AI57" s="223" t="s">
        <v>179</v>
      </c>
      <c r="AJ57" s="223" t="s">
        <v>182</v>
      </c>
      <c r="AK57" s="223" t="s">
        <v>348</v>
      </c>
      <c r="AL57" s="223" t="s">
        <v>179</v>
      </c>
      <c r="AM57" s="223" t="s">
        <v>182</v>
      </c>
      <c r="AN57" s="223" t="s">
        <v>348</v>
      </c>
      <c r="AO57" s="223" t="s">
        <v>183</v>
      </c>
      <c r="AP57" s="223">
        <v>4</v>
      </c>
      <c r="AQ57" s="223" t="s">
        <v>349</v>
      </c>
      <c r="AR57" s="223" t="s">
        <v>184</v>
      </c>
      <c r="AS57" s="223" t="s">
        <v>350</v>
      </c>
      <c r="AT57" s="223" t="s">
        <v>349</v>
      </c>
      <c r="AU57" s="223" t="s">
        <v>184</v>
      </c>
      <c r="AV57" s="223" t="s">
        <v>185</v>
      </c>
      <c r="AW57" s="223" t="s">
        <v>57</v>
      </c>
      <c r="AX57" s="223">
        <v>3</v>
      </c>
      <c r="AY57" s="223" t="s">
        <v>190</v>
      </c>
      <c r="AZ57" s="223" t="s">
        <v>188</v>
      </c>
      <c r="BA57" s="223" t="s">
        <v>189</v>
      </c>
      <c r="BB57" s="223" t="s">
        <v>188</v>
      </c>
      <c r="BC57" s="223" t="s">
        <v>191</v>
      </c>
      <c r="BD57" s="223" t="s">
        <v>190</v>
      </c>
      <c r="BE57" s="223" t="s">
        <v>193</v>
      </c>
      <c r="BF57" s="223">
        <v>2</v>
      </c>
      <c r="BG57" s="223" t="s">
        <v>351</v>
      </c>
      <c r="BH57" s="223" t="s">
        <v>285</v>
      </c>
      <c r="BI57" s="223" t="s">
        <v>243</v>
      </c>
      <c r="BJ57" s="223" t="s">
        <v>351</v>
      </c>
      <c r="BK57" s="223" t="s">
        <v>243</v>
      </c>
      <c r="BL57" s="223" t="s">
        <v>195</v>
      </c>
      <c r="BM57" s="223" t="s">
        <v>198</v>
      </c>
      <c r="BN57" s="223">
        <v>3</v>
      </c>
      <c r="BO57" s="223" t="s">
        <v>199</v>
      </c>
      <c r="BP57" s="223" t="s">
        <v>352</v>
      </c>
      <c r="BQ57" s="223" t="s">
        <v>201</v>
      </c>
      <c r="BR57" s="223" t="s">
        <v>199</v>
      </c>
      <c r="BS57" s="223" t="s">
        <v>202</v>
      </c>
      <c r="BT57" s="223" t="s">
        <v>353</v>
      </c>
    </row>
    <row r="58" spans="1:72" ht="54.95" customHeight="1" x14ac:dyDescent="0.25">
      <c r="A58" s="249">
        <v>6</v>
      </c>
      <c r="B58" s="191" t="s">
        <v>354</v>
      </c>
      <c r="C58" s="191" t="s">
        <v>154</v>
      </c>
      <c r="D58" s="191" t="s">
        <v>355</v>
      </c>
      <c r="E58" s="191" t="s">
        <v>356</v>
      </c>
      <c r="F58" s="191" t="s">
        <v>357</v>
      </c>
      <c r="G58" s="191" t="s">
        <v>358</v>
      </c>
      <c r="H58" s="191" t="s">
        <v>359</v>
      </c>
      <c r="I58" s="191" t="s">
        <v>360</v>
      </c>
      <c r="J58" s="191" t="s">
        <v>361</v>
      </c>
      <c r="K58" s="191" t="s">
        <v>362</v>
      </c>
      <c r="L58" s="191" t="s">
        <v>363</v>
      </c>
      <c r="M58" s="191" t="s">
        <v>364</v>
      </c>
      <c r="N58" s="191" t="s">
        <v>216</v>
      </c>
      <c r="O58" s="249">
        <v>20</v>
      </c>
      <c r="P58" s="191" t="s">
        <v>164</v>
      </c>
      <c r="Q58" s="191" t="s">
        <v>365</v>
      </c>
      <c r="R58" s="191" t="s">
        <v>366</v>
      </c>
      <c r="S58" s="191" t="s">
        <v>367</v>
      </c>
      <c r="T58" s="191" t="s">
        <v>368</v>
      </c>
      <c r="U58" s="191" t="s">
        <v>369</v>
      </c>
      <c r="V58" s="191" t="s">
        <v>370</v>
      </c>
      <c r="W58" s="191" t="s">
        <v>371</v>
      </c>
      <c r="X58" s="191" t="s">
        <v>372</v>
      </c>
      <c r="Y58" s="223" t="s">
        <v>173</v>
      </c>
      <c r="Z58" s="223">
        <v>4</v>
      </c>
      <c r="AA58" s="223" t="s">
        <v>373</v>
      </c>
      <c r="AB58" s="223" t="s">
        <v>321</v>
      </c>
      <c r="AC58" s="223" t="s">
        <v>374</v>
      </c>
      <c r="AD58" s="223" t="s">
        <v>373</v>
      </c>
      <c r="AE58" s="223" t="s">
        <v>375</v>
      </c>
      <c r="AF58" s="223" t="s">
        <v>321</v>
      </c>
      <c r="AG58" s="223" t="s">
        <v>178</v>
      </c>
      <c r="AH58" s="223">
        <v>4</v>
      </c>
      <c r="AI58" s="223" t="s">
        <v>279</v>
      </c>
      <c r="AJ58" s="223" t="s">
        <v>376</v>
      </c>
      <c r="AK58" s="223" t="s">
        <v>377</v>
      </c>
      <c r="AL58" s="223" t="s">
        <v>279</v>
      </c>
      <c r="AM58" s="223" t="s">
        <v>377</v>
      </c>
      <c r="AN58" s="223" t="s">
        <v>241</v>
      </c>
      <c r="AO58" s="223" t="s">
        <v>183</v>
      </c>
      <c r="AP58" s="223">
        <v>4</v>
      </c>
      <c r="AQ58" s="223" t="s">
        <v>234</v>
      </c>
      <c r="AR58" s="223" t="s">
        <v>378</v>
      </c>
      <c r="AS58" s="223" t="s">
        <v>184</v>
      </c>
      <c r="AT58" s="223" t="s">
        <v>234</v>
      </c>
      <c r="AU58" s="223" t="s">
        <v>185</v>
      </c>
      <c r="AV58" s="223" t="s">
        <v>279</v>
      </c>
      <c r="AW58" s="223" t="s">
        <v>57</v>
      </c>
      <c r="AX58" s="223">
        <v>3</v>
      </c>
      <c r="AY58" s="223" t="s">
        <v>237</v>
      </c>
      <c r="AZ58" s="223" t="s">
        <v>379</v>
      </c>
      <c r="BA58" s="223" t="s">
        <v>310</v>
      </c>
      <c r="BB58" s="223" t="s">
        <v>237</v>
      </c>
      <c r="BC58" s="223" t="s">
        <v>353</v>
      </c>
      <c r="BD58" s="223" t="s">
        <v>312</v>
      </c>
      <c r="BE58" s="223" t="s">
        <v>193</v>
      </c>
      <c r="BF58" s="223">
        <v>2</v>
      </c>
      <c r="BG58" s="223" t="s">
        <v>321</v>
      </c>
      <c r="BH58" s="223" t="s">
        <v>380</v>
      </c>
      <c r="BI58" s="223" t="s">
        <v>310</v>
      </c>
      <c r="BJ58" s="223" t="s">
        <v>381</v>
      </c>
      <c r="BK58" s="223" t="s">
        <v>321</v>
      </c>
      <c r="BL58" s="223" t="s">
        <v>382</v>
      </c>
      <c r="BM58" s="223" t="s">
        <v>198</v>
      </c>
      <c r="BN58" s="223">
        <v>3</v>
      </c>
      <c r="BO58" s="223" t="s">
        <v>199</v>
      </c>
      <c r="BP58" s="223" t="s">
        <v>383</v>
      </c>
      <c r="BQ58" s="223" t="s">
        <v>201</v>
      </c>
      <c r="BR58" s="223" t="s">
        <v>199</v>
      </c>
      <c r="BS58" s="223" t="s">
        <v>202</v>
      </c>
      <c r="BT58" s="223" t="s">
        <v>384</v>
      </c>
    </row>
    <row r="59" spans="1:72" ht="54.95" customHeight="1" x14ac:dyDescent="0.25">
      <c r="A59" s="249">
        <v>7</v>
      </c>
      <c r="B59" s="191" t="s">
        <v>385</v>
      </c>
      <c r="C59" s="191" t="s">
        <v>205</v>
      </c>
      <c r="D59" s="191" t="s">
        <v>386</v>
      </c>
      <c r="E59" s="191" t="s">
        <v>387</v>
      </c>
      <c r="F59" s="191" t="s">
        <v>388</v>
      </c>
      <c r="G59" s="191" t="s">
        <v>389</v>
      </c>
      <c r="H59" s="191" t="s">
        <v>390</v>
      </c>
      <c r="I59" s="191" t="s">
        <v>391</v>
      </c>
      <c r="J59" s="191" t="s">
        <v>392</v>
      </c>
      <c r="K59" s="191" t="s">
        <v>393</v>
      </c>
      <c r="L59" s="191" t="s">
        <v>394</v>
      </c>
      <c r="M59" s="191" t="s">
        <v>395</v>
      </c>
      <c r="N59" s="191" t="s">
        <v>216</v>
      </c>
      <c r="O59" s="249">
        <v>20</v>
      </c>
      <c r="P59" s="191" t="s">
        <v>164</v>
      </c>
      <c r="Q59" s="191" t="s">
        <v>396</v>
      </c>
      <c r="R59" s="191" t="s">
        <v>397</v>
      </c>
      <c r="S59" s="191" t="s">
        <v>398</v>
      </c>
      <c r="T59" s="191" t="s">
        <v>399</v>
      </c>
      <c r="U59" s="191" t="s">
        <v>400</v>
      </c>
      <c r="V59" s="191" t="s">
        <v>401</v>
      </c>
      <c r="W59" s="191" t="s">
        <v>402</v>
      </c>
      <c r="X59" s="191" t="s">
        <v>403</v>
      </c>
      <c r="Y59" s="223" t="s">
        <v>173</v>
      </c>
      <c r="Z59" s="223">
        <v>4</v>
      </c>
      <c r="AA59" s="223" t="s">
        <v>404</v>
      </c>
      <c r="AB59" s="223" t="s">
        <v>405</v>
      </c>
      <c r="AC59" s="223" t="s">
        <v>226</v>
      </c>
      <c r="AD59" s="223" t="s">
        <v>405</v>
      </c>
      <c r="AE59" s="223" t="s">
        <v>404</v>
      </c>
      <c r="AF59" s="223" t="s">
        <v>226</v>
      </c>
      <c r="AG59" s="223" t="s">
        <v>178</v>
      </c>
      <c r="AH59" s="223">
        <v>4</v>
      </c>
      <c r="AI59" s="223" t="s">
        <v>406</v>
      </c>
      <c r="AJ59" s="223" t="s">
        <v>407</v>
      </c>
      <c r="AK59" s="223" t="s">
        <v>408</v>
      </c>
      <c r="AL59" s="223" t="s">
        <v>406</v>
      </c>
      <c r="AM59" s="223" t="s">
        <v>407</v>
      </c>
      <c r="AN59" s="223" t="s">
        <v>408</v>
      </c>
      <c r="AO59" s="223" t="s">
        <v>183</v>
      </c>
      <c r="AP59" s="223">
        <v>4</v>
      </c>
      <c r="AQ59" s="223" t="s">
        <v>185</v>
      </c>
      <c r="AR59" s="223" t="s">
        <v>184</v>
      </c>
      <c r="AS59" s="223" t="s">
        <v>186</v>
      </c>
      <c r="AT59" s="223" t="s">
        <v>185</v>
      </c>
      <c r="AU59" s="223" t="s">
        <v>184</v>
      </c>
      <c r="AV59" s="223" t="s">
        <v>186</v>
      </c>
      <c r="AW59" s="223" t="s">
        <v>57</v>
      </c>
      <c r="AX59" s="223">
        <v>3</v>
      </c>
      <c r="AY59" s="223" t="s">
        <v>237</v>
      </c>
      <c r="AZ59" s="223" t="s">
        <v>409</v>
      </c>
      <c r="BA59" s="223" t="s">
        <v>410</v>
      </c>
      <c r="BB59" s="223" t="s">
        <v>237</v>
      </c>
      <c r="BC59" s="223" t="s">
        <v>411</v>
      </c>
      <c r="BD59" s="223" t="s">
        <v>409</v>
      </c>
      <c r="BE59" s="223" t="s">
        <v>193</v>
      </c>
      <c r="BF59" s="223">
        <v>2</v>
      </c>
      <c r="BG59" s="223" t="s">
        <v>179</v>
      </c>
      <c r="BH59" s="223" t="s">
        <v>412</v>
      </c>
      <c r="BI59" s="223" t="s">
        <v>243</v>
      </c>
      <c r="BJ59" s="223" t="s">
        <v>243</v>
      </c>
      <c r="BK59" s="223" t="s">
        <v>179</v>
      </c>
      <c r="BL59" s="223" t="s">
        <v>413</v>
      </c>
      <c r="BM59" s="223" t="s">
        <v>198</v>
      </c>
      <c r="BN59" s="223">
        <v>3</v>
      </c>
      <c r="BO59" s="223" t="s">
        <v>199</v>
      </c>
      <c r="BP59" s="223" t="s">
        <v>383</v>
      </c>
      <c r="BQ59" s="223" t="s">
        <v>414</v>
      </c>
      <c r="BR59" s="223" t="s">
        <v>199</v>
      </c>
      <c r="BS59" s="223" t="s">
        <v>202</v>
      </c>
      <c r="BT59" s="223" t="s">
        <v>414</v>
      </c>
    </row>
    <row r="60" spans="1:72" ht="54.95" customHeight="1" x14ac:dyDescent="0.25">
      <c r="A60" s="249">
        <v>8</v>
      </c>
      <c r="B60" s="191" t="s">
        <v>415</v>
      </c>
      <c r="C60" s="191" t="s">
        <v>247</v>
      </c>
      <c r="D60" s="191" t="s">
        <v>416</v>
      </c>
      <c r="E60" s="191" t="s">
        <v>417</v>
      </c>
      <c r="F60" s="191" t="s">
        <v>418</v>
      </c>
      <c r="G60" s="191" t="s">
        <v>419</v>
      </c>
      <c r="H60" s="191" t="s">
        <v>420</v>
      </c>
      <c r="I60" s="191" t="s">
        <v>421</v>
      </c>
      <c r="J60" s="191" t="s">
        <v>422</v>
      </c>
      <c r="K60" s="191" t="s">
        <v>423</v>
      </c>
      <c r="L60" s="191" t="s">
        <v>424</v>
      </c>
      <c r="M60" s="191" t="s">
        <v>425</v>
      </c>
      <c r="N60" s="191" t="s">
        <v>163</v>
      </c>
      <c r="O60" s="249">
        <v>20</v>
      </c>
      <c r="P60" s="191" t="s">
        <v>164</v>
      </c>
      <c r="Q60" s="191" t="s">
        <v>426</v>
      </c>
      <c r="R60" s="191" t="s">
        <v>427</v>
      </c>
      <c r="S60" s="191" t="s">
        <v>428</v>
      </c>
      <c r="T60" s="191" t="s">
        <v>429</v>
      </c>
      <c r="U60" s="191" t="s">
        <v>430</v>
      </c>
      <c r="V60" s="191" t="s">
        <v>431</v>
      </c>
      <c r="W60" s="191" t="s">
        <v>432</v>
      </c>
      <c r="X60" s="191" t="s">
        <v>433</v>
      </c>
      <c r="Y60" s="223" t="s">
        <v>173</v>
      </c>
      <c r="Z60" s="223">
        <v>4</v>
      </c>
      <c r="AA60" s="223" t="s">
        <v>176</v>
      </c>
      <c r="AB60" s="223" t="s">
        <v>434</v>
      </c>
      <c r="AC60" s="223" t="s">
        <v>435</v>
      </c>
      <c r="AD60" s="223" t="s">
        <v>434</v>
      </c>
      <c r="AE60" s="223" t="s">
        <v>435</v>
      </c>
      <c r="AF60" s="223" t="s">
        <v>176</v>
      </c>
      <c r="AG60" s="223" t="s">
        <v>178</v>
      </c>
      <c r="AH60" s="223">
        <v>4</v>
      </c>
      <c r="AI60" s="223" t="s">
        <v>231</v>
      </c>
      <c r="AJ60" s="223" t="s">
        <v>179</v>
      </c>
      <c r="AK60" s="223" t="s">
        <v>436</v>
      </c>
      <c r="AL60" s="223" t="s">
        <v>231</v>
      </c>
      <c r="AM60" s="223" t="s">
        <v>179</v>
      </c>
      <c r="AN60" s="223" t="s">
        <v>232</v>
      </c>
      <c r="AO60" s="223" t="s">
        <v>183</v>
      </c>
      <c r="AP60" s="223">
        <v>4</v>
      </c>
      <c r="AQ60" s="223" t="s">
        <v>234</v>
      </c>
      <c r="AR60" s="223" t="s">
        <v>185</v>
      </c>
      <c r="AS60" s="223" t="s">
        <v>437</v>
      </c>
      <c r="AT60" s="223" t="s">
        <v>234</v>
      </c>
      <c r="AU60" s="223" t="s">
        <v>185</v>
      </c>
      <c r="AV60" s="223" t="s">
        <v>437</v>
      </c>
      <c r="AW60" s="223" t="s">
        <v>57</v>
      </c>
      <c r="AX60" s="223">
        <v>3</v>
      </c>
      <c r="AY60" s="223" t="s">
        <v>438</v>
      </c>
      <c r="AZ60" s="223" t="s">
        <v>283</v>
      </c>
      <c r="BA60" s="223" t="s">
        <v>439</v>
      </c>
      <c r="BB60" s="223" t="s">
        <v>438</v>
      </c>
      <c r="BC60" s="223" t="s">
        <v>283</v>
      </c>
      <c r="BD60" s="223" t="s">
        <v>440</v>
      </c>
      <c r="BE60" s="223" t="s">
        <v>193</v>
      </c>
      <c r="BF60" s="223">
        <v>2</v>
      </c>
      <c r="BG60" s="223" t="s">
        <v>441</v>
      </c>
      <c r="BH60" s="223" t="s">
        <v>195</v>
      </c>
      <c r="BI60" s="223" t="s">
        <v>196</v>
      </c>
      <c r="BJ60" s="223" t="s">
        <v>195</v>
      </c>
      <c r="BK60" s="223" t="s">
        <v>197</v>
      </c>
      <c r="BL60" s="223" t="s">
        <v>176</v>
      </c>
      <c r="BM60" s="223" t="s">
        <v>198</v>
      </c>
      <c r="BN60" s="223">
        <v>3</v>
      </c>
      <c r="BO60" s="223" t="s">
        <v>199</v>
      </c>
      <c r="BP60" s="223" t="s">
        <v>442</v>
      </c>
      <c r="BQ60" s="223" t="s">
        <v>443</v>
      </c>
      <c r="BR60" s="223" t="s">
        <v>199</v>
      </c>
      <c r="BS60" s="223" t="s">
        <v>202</v>
      </c>
      <c r="BT60" s="223" t="s">
        <v>442</v>
      </c>
    </row>
    <row r="61" spans="1:72" ht="54.95" customHeight="1" x14ac:dyDescent="0.25">
      <c r="A61" s="249">
        <v>9</v>
      </c>
      <c r="B61" s="191" t="s">
        <v>444</v>
      </c>
      <c r="C61" s="191" t="s">
        <v>154</v>
      </c>
      <c r="D61" s="191" t="s">
        <v>445</v>
      </c>
      <c r="E61" s="191" t="s">
        <v>446</v>
      </c>
      <c r="F61" s="191" t="s">
        <v>447</v>
      </c>
      <c r="G61" s="191" t="s">
        <v>448</v>
      </c>
      <c r="H61" s="191" t="s">
        <v>449</v>
      </c>
      <c r="I61" s="191" t="s">
        <v>450</v>
      </c>
      <c r="J61" s="191" t="s">
        <v>451</v>
      </c>
      <c r="K61" s="191" t="s">
        <v>452</v>
      </c>
      <c r="L61" s="191" t="s">
        <v>453</v>
      </c>
      <c r="M61" s="191" t="s">
        <v>454</v>
      </c>
      <c r="N61" s="191" t="s">
        <v>258</v>
      </c>
      <c r="O61" s="249">
        <v>20</v>
      </c>
      <c r="P61" s="191" t="s">
        <v>259</v>
      </c>
      <c r="Q61" s="191" t="s">
        <v>455</v>
      </c>
      <c r="R61" s="191" t="s">
        <v>456</v>
      </c>
      <c r="S61" s="191" t="s">
        <v>457</v>
      </c>
      <c r="T61" s="191" t="s">
        <v>429</v>
      </c>
      <c r="U61" s="191" t="s">
        <v>458</v>
      </c>
      <c r="V61" s="191" t="s">
        <v>459</v>
      </c>
      <c r="W61" s="191" t="s">
        <v>460</v>
      </c>
      <c r="X61" s="191" t="s">
        <v>461</v>
      </c>
      <c r="Y61" s="223" t="s">
        <v>173</v>
      </c>
      <c r="Z61" s="223">
        <v>4</v>
      </c>
      <c r="AA61" s="223" t="s">
        <v>268</v>
      </c>
      <c r="AB61" s="223" t="s">
        <v>352</v>
      </c>
      <c r="AC61" s="223" t="s">
        <v>462</v>
      </c>
      <c r="AD61" s="223" t="s">
        <v>271</v>
      </c>
      <c r="AE61" s="223" t="s">
        <v>463</v>
      </c>
      <c r="AF61" s="223" t="s">
        <v>464</v>
      </c>
      <c r="AG61" s="223" t="s">
        <v>178</v>
      </c>
      <c r="AH61" s="223">
        <v>4</v>
      </c>
      <c r="AI61" s="223" t="s">
        <v>465</v>
      </c>
      <c r="AJ61" s="223" t="s">
        <v>276</v>
      </c>
      <c r="AK61" s="223" t="s">
        <v>466</v>
      </c>
      <c r="AL61" s="223" t="s">
        <v>465</v>
      </c>
      <c r="AM61" s="223" t="s">
        <v>466</v>
      </c>
      <c r="AN61" s="223" t="s">
        <v>179</v>
      </c>
      <c r="AO61" s="223" t="s">
        <v>183</v>
      </c>
      <c r="AP61" s="223">
        <v>4</v>
      </c>
      <c r="AQ61" s="223" t="s">
        <v>234</v>
      </c>
      <c r="AR61" s="223" t="s">
        <v>278</v>
      </c>
      <c r="AS61" s="223" t="s">
        <v>185</v>
      </c>
      <c r="AT61" s="223" t="s">
        <v>234</v>
      </c>
      <c r="AU61" s="223" t="s">
        <v>278</v>
      </c>
      <c r="AV61" s="223" t="s">
        <v>185</v>
      </c>
      <c r="AW61" s="223" t="s">
        <v>57</v>
      </c>
      <c r="AX61" s="223">
        <v>3</v>
      </c>
      <c r="AY61" s="223" t="s">
        <v>282</v>
      </c>
      <c r="AZ61" s="223" t="s">
        <v>467</v>
      </c>
      <c r="BA61" s="223" t="s">
        <v>191</v>
      </c>
      <c r="BB61" s="223" t="s">
        <v>191</v>
      </c>
      <c r="BC61" s="223" t="s">
        <v>467</v>
      </c>
      <c r="BD61" s="223" t="s">
        <v>283</v>
      </c>
      <c r="BE61" s="223" t="s">
        <v>193</v>
      </c>
      <c r="BF61" s="223">
        <v>2</v>
      </c>
      <c r="BG61" s="223" t="s">
        <v>468</v>
      </c>
      <c r="BH61" s="223" t="s">
        <v>179</v>
      </c>
      <c r="BI61" s="223" t="s">
        <v>412</v>
      </c>
      <c r="BJ61" s="223" t="s">
        <v>468</v>
      </c>
      <c r="BK61" s="223" t="s">
        <v>179</v>
      </c>
      <c r="BL61" s="223" t="s">
        <v>462</v>
      </c>
      <c r="BM61" s="223" t="s">
        <v>198</v>
      </c>
      <c r="BN61" s="223">
        <v>3</v>
      </c>
      <c r="BO61" s="223" t="s">
        <v>199</v>
      </c>
      <c r="BP61" s="223" t="s">
        <v>469</v>
      </c>
      <c r="BQ61" s="223" t="s">
        <v>470</v>
      </c>
      <c r="BR61" s="223" t="s">
        <v>199</v>
      </c>
      <c r="BS61" s="223" t="s">
        <v>202</v>
      </c>
      <c r="BT61" s="223" t="s">
        <v>471</v>
      </c>
    </row>
    <row r="62" spans="1:72" ht="54.95" customHeight="1" x14ac:dyDescent="0.25">
      <c r="A62" s="249">
        <v>10</v>
      </c>
      <c r="B62" s="191" t="s">
        <v>472</v>
      </c>
      <c r="C62" s="191" t="s">
        <v>247</v>
      </c>
      <c r="D62" s="191" t="s">
        <v>473</v>
      </c>
      <c r="E62" s="191" t="s">
        <v>474</v>
      </c>
      <c r="F62" s="191" t="s">
        <v>475</v>
      </c>
      <c r="G62" s="191" t="s">
        <v>476</v>
      </c>
      <c r="H62" s="191" t="s">
        <v>477</v>
      </c>
      <c r="I62" s="191" t="s">
        <v>478</v>
      </c>
      <c r="J62" s="191" t="s">
        <v>479</v>
      </c>
      <c r="K62" s="191" t="s">
        <v>480</v>
      </c>
      <c r="L62" s="191" t="s">
        <v>481</v>
      </c>
      <c r="M62" s="191" t="s">
        <v>482</v>
      </c>
      <c r="N62" s="191" t="s">
        <v>483</v>
      </c>
      <c r="O62" s="249">
        <v>20</v>
      </c>
      <c r="P62" s="191" t="s">
        <v>484</v>
      </c>
      <c r="Q62" s="191" t="s">
        <v>485</v>
      </c>
      <c r="R62" s="191" t="s">
        <v>486</v>
      </c>
      <c r="S62" s="191" t="s">
        <v>487</v>
      </c>
      <c r="T62" s="191" t="s">
        <v>488</v>
      </c>
      <c r="U62" s="191" t="s">
        <v>489</v>
      </c>
      <c r="V62" s="191" t="s">
        <v>490</v>
      </c>
      <c r="W62" s="191" t="s">
        <v>491</v>
      </c>
      <c r="X62" s="191" t="s">
        <v>492</v>
      </c>
      <c r="Y62" s="223" t="s">
        <v>173</v>
      </c>
      <c r="Z62" s="223">
        <v>4</v>
      </c>
      <c r="AA62" s="223" t="s">
        <v>493</v>
      </c>
      <c r="AB62" s="223" t="s">
        <v>494</v>
      </c>
      <c r="AC62" s="223" t="s">
        <v>495</v>
      </c>
      <c r="AD62" s="223" t="s">
        <v>496</v>
      </c>
      <c r="AE62" s="223" t="s">
        <v>497</v>
      </c>
      <c r="AF62" s="223" t="s">
        <v>495</v>
      </c>
      <c r="AG62" s="223" t="s">
        <v>178</v>
      </c>
      <c r="AH62" s="223">
        <v>4</v>
      </c>
      <c r="AI62" s="223" t="s">
        <v>498</v>
      </c>
      <c r="AJ62" s="223" t="s">
        <v>230</v>
      </c>
      <c r="AK62" s="223" t="s">
        <v>499</v>
      </c>
      <c r="AL62" s="223" t="s">
        <v>233</v>
      </c>
      <c r="AM62" s="223" t="s">
        <v>499</v>
      </c>
      <c r="AN62" s="223" t="s">
        <v>232</v>
      </c>
      <c r="AO62" s="223" t="s">
        <v>183</v>
      </c>
      <c r="AP62" s="223">
        <v>4</v>
      </c>
      <c r="AQ62" s="223" t="s">
        <v>500</v>
      </c>
      <c r="AR62" s="223" t="s">
        <v>185</v>
      </c>
      <c r="AS62" s="223" t="s">
        <v>235</v>
      </c>
      <c r="AT62" s="223" t="s">
        <v>235</v>
      </c>
      <c r="AU62" s="223" t="s">
        <v>185</v>
      </c>
      <c r="AV62" s="223" t="s">
        <v>186</v>
      </c>
      <c r="AW62" s="223" t="s">
        <v>57</v>
      </c>
      <c r="AX62" s="223">
        <v>3</v>
      </c>
      <c r="AY62" s="223" t="s">
        <v>497</v>
      </c>
      <c r="AZ62" s="223" t="s">
        <v>494</v>
      </c>
      <c r="BA62" s="223" t="s">
        <v>321</v>
      </c>
      <c r="BB62" s="223" t="s">
        <v>497</v>
      </c>
      <c r="BC62" s="223" t="s">
        <v>501</v>
      </c>
      <c r="BD62" s="223" t="s">
        <v>321</v>
      </c>
      <c r="BE62" s="223" t="s">
        <v>193</v>
      </c>
      <c r="BF62" s="223">
        <v>2</v>
      </c>
      <c r="BG62" s="223" t="s">
        <v>310</v>
      </c>
      <c r="BH62" s="223" t="s">
        <v>243</v>
      </c>
      <c r="BI62" s="223" t="s">
        <v>502</v>
      </c>
      <c r="BJ62" s="223" t="s">
        <v>312</v>
      </c>
      <c r="BK62" s="223" t="s">
        <v>243</v>
      </c>
      <c r="BL62" s="223" t="s">
        <v>503</v>
      </c>
      <c r="BM62" s="223" t="s">
        <v>198</v>
      </c>
      <c r="BN62" s="223">
        <v>3</v>
      </c>
      <c r="BO62" s="223" t="s">
        <v>199</v>
      </c>
      <c r="BP62" s="223" t="s">
        <v>504</v>
      </c>
      <c r="BQ62" s="223" t="s">
        <v>505</v>
      </c>
      <c r="BR62" s="223" t="s">
        <v>199</v>
      </c>
      <c r="BS62" s="223" t="s">
        <v>202</v>
      </c>
      <c r="BT62" s="223" t="s">
        <v>505</v>
      </c>
    </row>
    <row r="63" spans="1:72" ht="54.95" customHeight="1" x14ac:dyDescent="0.25">
      <c r="A63" s="249">
        <v>11</v>
      </c>
      <c r="B63" s="191" t="s">
        <v>506</v>
      </c>
      <c r="C63" s="191" t="s">
        <v>247</v>
      </c>
      <c r="D63" s="191" t="s">
        <v>507</v>
      </c>
      <c r="E63" s="191" t="s">
        <v>508</v>
      </c>
      <c r="F63" s="191" t="s">
        <v>509</v>
      </c>
      <c r="G63" s="191" t="s">
        <v>510</v>
      </c>
      <c r="H63" s="191" t="s">
        <v>511</v>
      </c>
      <c r="I63" s="191" t="s">
        <v>512</v>
      </c>
      <c r="J63" s="191" t="s">
        <v>513</v>
      </c>
      <c r="K63" s="191" t="s">
        <v>514</v>
      </c>
      <c r="L63" s="191" t="s">
        <v>515</v>
      </c>
      <c r="M63" s="191" t="s">
        <v>516</v>
      </c>
      <c r="N63" s="191" t="s">
        <v>258</v>
      </c>
      <c r="O63" s="249">
        <v>20</v>
      </c>
      <c r="P63" s="191" t="s">
        <v>164</v>
      </c>
      <c r="Q63" s="191" t="s">
        <v>517</v>
      </c>
      <c r="R63" s="191" t="s">
        <v>518</v>
      </c>
      <c r="S63" s="191" t="s">
        <v>519</v>
      </c>
      <c r="T63" s="191" t="s">
        <v>520</v>
      </c>
      <c r="U63" s="191" t="s">
        <v>521</v>
      </c>
      <c r="V63" s="191" t="s">
        <v>522</v>
      </c>
      <c r="W63" s="191" t="s">
        <v>523</v>
      </c>
      <c r="X63" s="191" t="s">
        <v>524</v>
      </c>
      <c r="Y63" s="223" t="s">
        <v>173</v>
      </c>
      <c r="Z63" s="223">
        <v>4</v>
      </c>
      <c r="AA63" s="223" t="s">
        <v>525</v>
      </c>
      <c r="AB63" s="223" t="s">
        <v>526</v>
      </c>
      <c r="AC63" s="223" t="s">
        <v>226</v>
      </c>
      <c r="AD63" s="223" t="s">
        <v>525</v>
      </c>
      <c r="AE63" s="223" t="s">
        <v>527</v>
      </c>
      <c r="AF63" s="223" t="s">
        <v>226</v>
      </c>
      <c r="AG63" s="223" t="s">
        <v>178</v>
      </c>
      <c r="AH63" s="223">
        <v>4</v>
      </c>
      <c r="AI63" s="223" t="s">
        <v>279</v>
      </c>
      <c r="AJ63" s="223" t="s">
        <v>234</v>
      </c>
      <c r="AK63" s="223" t="s">
        <v>232</v>
      </c>
      <c r="AL63" s="223" t="s">
        <v>279</v>
      </c>
      <c r="AM63" s="223" t="s">
        <v>234</v>
      </c>
      <c r="AN63" s="223" t="s">
        <v>528</v>
      </c>
      <c r="AO63" s="223" t="s">
        <v>183</v>
      </c>
      <c r="AP63" s="223">
        <v>4</v>
      </c>
      <c r="AQ63" s="223" t="s">
        <v>185</v>
      </c>
      <c r="AR63" s="223" t="s">
        <v>186</v>
      </c>
      <c r="AS63" s="223" t="s">
        <v>529</v>
      </c>
      <c r="AT63" s="223" t="s">
        <v>185</v>
      </c>
      <c r="AU63" s="223" t="s">
        <v>186</v>
      </c>
      <c r="AV63" s="223" t="s">
        <v>529</v>
      </c>
      <c r="AW63" s="223" t="s">
        <v>57</v>
      </c>
      <c r="AX63" s="223">
        <v>3</v>
      </c>
      <c r="AY63" s="223" t="s">
        <v>281</v>
      </c>
      <c r="AZ63" s="223" t="s">
        <v>191</v>
      </c>
      <c r="BA63" s="223" t="s">
        <v>270</v>
      </c>
      <c r="BB63" s="223" t="s">
        <v>281</v>
      </c>
      <c r="BC63" s="223" t="s">
        <v>191</v>
      </c>
      <c r="BD63" s="223" t="s">
        <v>272</v>
      </c>
      <c r="BE63" s="223" t="s">
        <v>193</v>
      </c>
      <c r="BF63" s="223">
        <v>2</v>
      </c>
      <c r="BG63" s="223" t="s">
        <v>530</v>
      </c>
      <c r="BH63" s="223" t="s">
        <v>243</v>
      </c>
      <c r="BI63" s="223" t="s">
        <v>531</v>
      </c>
      <c r="BJ63" s="223" t="s">
        <v>530</v>
      </c>
      <c r="BK63" s="223" t="s">
        <v>243</v>
      </c>
      <c r="BL63" s="223" t="s">
        <v>532</v>
      </c>
      <c r="BM63" s="223" t="s">
        <v>198</v>
      </c>
      <c r="BN63" s="223">
        <v>3</v>
      </c>
      <c r="BO63" s="223" t="s">
        <v>199</v>
      </c>
      <c r="BP63" s="223" t="s">
        <v>244</v>
      </c>
      <c r="BQ63" s="223" t="s">
        <v>201</v>
      </c>
      <c r="BR63" s="223" t="s">
        <v>199</v>
      </c>
      <c r="BS63" s="223" t="s">
        <v>202</v>
      </c>
      <c r="BT63" s="223" t="s">
        <v>533</v>
      </c>
    </row>
    <row r="64" spans="1:72" ht="54.95" customHeight="1" x14ac:dyDescent="0.25">
      <c r="A64" s="249">
        <v>12</v>
      </c>
      <c r="B64" s="191" t="s">
        <v>534</v>
      </c>
      <c r="C64" s="191" t="s">
        <v>325</v>
      </c>
      <c r="D64" s="191" t="s">
        <v>535</v>
      </c>
      <c r="E64" s="191" t="s">
        <v>536</v>
      </c>
      <c r="F64" s="191" t="s">
        <v>537</v>
      </c>
      <c r="G64" s="191" t="s">
        <v>538</v>
      </c>
      <c r="H64" s="191" t="s">
        <v>539</v>
      </c>
      <c r="I64" s="191" t="s">
        <v>540</v>
      </c>
      <c r="J64" s="191" t="s">
        <v>541</v>
      </c>
      <c r="K64" s="191" t="s">
        <v>542</v>
      </c>
      <c r="L64" s="191" t="s">
        <v>543</v>
      </c>
      <c r="M64" s="191" t="s">
        <v>544</v>
      </c>
      <c r="N64" s="191" t="s">
        <v>545</v>
      </c>
      <c r="O64" s="249">
        <v>20</v>
      </c>
      <c r="P64" s="191" t="s">
        <v>484</v>
      </c>
      <c r="Q64" s="191" t="s">
        <v>546</v>
      </c>
      <c r="R64" s="191" t="s">
        <v>547</v>
      </c>
      <c r="S64" s="191" t="s">
        <v>548</v>
      </c>
      <c r="T64" s="191" t="s">
        <v>549</v>
      </c>
      <c r="U64" s="191" t="s">
        <v>550</v>
      </c>
      <c r="V64" s="191" t="s">
        <v>551</v>
      </c>
      <c r="W64" s="191" t="s">
        <v>552</v>
      </c>
      <c r="X64" s="191" t="s">
        <v>553</v>
      </c>
      <c r="Y64" s="223" t="s">
        <v>173</v>
      </c>
      <c r="Z64" s="223">
        <v>4</v>
      </c>
      <c r="AA64" s="223" t="s">
        <v>554</v>
      </c>
      <c r="AB64" s="223" t="s">
        <v>555</v>
      </c>
      <c r="AC64" s="223" t="s">
        <v>556</v>
      </c>
      <c r="AD64" s="223" t="s">
        <v>557</v>
      </c>
      <c r="AE64" s="223" t="s">
        <v>556</v>
      </c>
      <c r="AF64" s="223" t="s">
        <v>558</v>
      </c>
      <c r="AG64" s="223" t="s">
        <v>178</v>
      </c>
      <c r="AH64" s="223">
        <v>4</v>
      </c>
      <c r="AI64" s="223" t="s">
        <v>559</v>
      </c>
      <c r="AJ64" s="223" t="s">
        <v>560</v>
      </c>
      <c r="AK64" s="223" t="s">
        <v>348</v>
      </c>
      <c r="AL64" s="223" t="s">
        <v>179</v>
      </c>
      <c r="AM64" s="223" t="s">
        <v>466</v>
      </c>
      <c r="AN64" s="223" t="s">
        <v>348</v>
      </c>
      <c r="AO64" s="223" t="s">
        <v>183</v>
      </c>
      <c r="AP64" s="223">
        <v>4</v>
      </c>
      <c r="AQ64" s="223" t="s">
        <v>235</v>
      </c>
      <c r="AR64" s="223" t="s">
        <v>561</v>
      </c>
      <c r="AS64" s="223" t="s">
        <v>562</v>
      </c>
      <c r="AT64" s="223" t="s">
        <v>235</v>
      </c>
      <c r="AU64" s="223" t="s">
        <v>185</v>
      </c>
      <c r="AV64" s="223" t="s">
        <v>563</v>
      </c>
      <c r="AW64" s="223" t="s">
        <v>57</v>
      </c>
      <c r="AX64" s="223">
        <v>3</v>
      </c>
      <c r="AY64" s="223" t="s">
        <v>555</v>
      </c>
      <c r="AZ64" s="223" t="s">
        <v>319</v>
      </c>
      <c r="BA64" s="223" t="s">
        <v>310</v>
      </c>
      <c r="BB64" s="223" t="s">
        <v>564</v>
      </c>
      <c r="BC64" s="223" t="s">
        <v>319</v>
      </c>
      <c r="BD64" s="223" t="s">
        <v>312</v>
      </c>
      <c r="BE64" s="223" t="s">
        <v>193</v>
      </c>
      <c r="BF64" s="223">
        <v>2</v>
      </c>
      <c r="BG64" s="223" t="s">
        <v>565</v>
      </c>
      <c r="BH64" s="223" t="s">
        <v>566</v>
      </c>
      <c r="BI64" s="223" t="s">
        <v>567</v>
      </c>
      <c r="BJ64" s="223" t="s">
        <v>565</v>
      </c>
      <c r="BK64" s="223" t="s">
        <v>568</v>
      </c>
      <c r="BL64" s="223" t="s">
        <v>566</v>
      </c>
      <c r="BM64" s="223" t="s">
        <v>198</v>
      </c>
      <c r="BN64" s="223">
        <v>3</v>
      </c>
      <c r="BO64" s="223" t="s">
        <v>199</v>
      </c>
      <c r="BP64" s="223" t="s">
        <v>569</v>
      </c>
      <c r="BQ64" s="223" t="s">
        <v>503</v>
      </c>
      <c r="BR64" s="223" t="s">
        <v>199</v>
      </c>
      <c r="BS64" s="223" t="s">
        <v>202</v>
      </c>
      <c r="BT64" s="223" t="s">
        <v>568</v>
      </c>
    </row>
    <row r="65" spans="1:72" ht="54.95" customHeight="1" x14ac:dyDescent="0.25">
      <c r="A65" s="249">
        <v>13</v>
      </c>
      <c r="B65" s="191" t="s">
        <v>385</v>
      </c>
      <c r="C65" s="191" t="s">
        <v>570</v>
      </c>
      <c r="D65" s="191" t="s">
        <v>571</v>
      </c>
      <c r="E65" s="191" t="s">
        <v>572</v>
      </c>
      <c r="F65" s="191" t="s">
        <v>573</v>
      </c>
      <c r="G65" s="191" t="s">
        <v>574</v>
      </c>
      <c r="H65" s="191" t="s">
        <v>575</v>
      </c>
      <c r="I65" s="191" t="s">
        <v>576</v>
      </c>
      <c r="J65" s="191" t="s">
        <v>577</v>
      </c>
      <c r="K65" s="191" t="s">
        <v>578</v>
      </c>
      <c r="L65" s="191" t="s">
        <v>579</v>
      </c>
      <c r="M65" s="191" t="s">
        <v>580</v>
      </c>
      <c r="N65" s="191" t="s">
        <v>216</v>
      </c>
      <c r="O65" s="249">
        <v>20</v>
      </c>
      <c r="P65" s="191" t="s">
        <v>164</v>
      </c>
      <c r="Q65" s="191" t="s">
        <v>581</v>
      </c>
      <c r="R65" s="191" t="s">
        <v>582</v>
      </c>
      <c r="S65" s="191" t="s">
        <v>583</v>
      </c>
      <c r="T65" s="191" t="s">
        <v>584</v>
      </c>
      <c r="U65" s="191" t="s">
        <v>585</v>
      </c>
      <c r="V65" s="191" t="s">
        <v>586</v>
      </c>
      <c r="W65" s="191" t="s">
        <v>587</v>
      </c>
      <c r="X65" s="191" t="s">
        <v>588</v>
      </c>
      <c r="Y65" s="223" t="s">
        <v>173</v>
      </c>
      <c r="Z65" s="223">
        <v>4</v>
      </c>
      <c r="AA65" s="223" t="s">
        <v>589</v>
      </c>
      <c r="AB65" s="223" t="s">
        <v>590</v>
      </c>
      <c r="AC65" s="223" t="s">
        <v>591</v>
      </c>
      <c r="AD65" s="223" t="s">
        <v>589</v>
      </c>
      <c r="AE65" s="223" t="s">
        <v>590</v>
      </c>
      <c r="AF65" s="223" t="s">
        <v>592</v>
      </c>
      <c r="AG65" s="223" t="s">
        <v>178</v>
      </c>
      <c r="AH65" s="223">
        <v>4</v>
      </c>
      <c r="AI65" s="223" t="s">
        <v>349</v>
      </c>
      <c r="AJ65" s="223" t="s">
        <v>593</v>
      </c>
      <c r="AK65" s="223" t="s">
        <v>594</v>
      </c>
      <c r="AL65" s="223" t="s">
        <v>349</v>
      </c>
      <c r="AM65" s="223" t="s">
        <v>593</v>
      </c>
      <c r="AN65" s="223" t="s">
        <v>594</v>
      </c>
      <c r="AO65" s="223" t="s">
        <v>183</v>
      </c>
      <c r="AP65" s="223">
        <v>4</v>
      </c>
      <c r="AQ65" s="223" t="s">
        <v>595</v>
      </c>
      <c r="AR65" s="223" t="s">
        <v>596</v>
      </c>
      <c r="AS65" s="223" t="s">
        <v>597</v>
      </c>
      <c r="AT65" s="223" t="s">
        <v>185</v>
      </c>
      <c r="AU65" s="223" t="s">
        <v>596</v>
      </c>
      <c r="AV65" s="223" t="s">
        <v>597</v>
      </c>
      <c r="AW65" s="223" t="s">
        <v>57</v>
      </c>
      <c r="AX65" s="223">
        <v>3</v>
      </c>
      <c r="AY65" s="223" t="s">
        <v>598</v>
      </c>
      <c r="AZ65" s="223" t="s">
        <v>237</v>
      </c>
      <c r="BA65" s="223" t="s">
        <v>411</v>
      </c>
      <c r="BB65" s="223" t="s">
        <v>598</v>
      </c>
      <c r="BC65" s="223" t="s">
        <v>411</v>
      </c>
      <c r="BD65" s="223" t="s">
        <v>237</v>
      </c>
      <c r="BE65" s="223" t="s">
        <v>193</v>
      </c>
      <c r="BF65" s="223">
        <v>2</v>
      </c>
      <c r="BG65" s="223" t="s">
        <v>411</v>
      </c>
      <c r="BH65" s="223" t="s">
        <v>437</v>
      </c>
      <c r="BI65" s="223" t="s">
        <v>243</v>
      </c>
      <c r="BJ65" s="223" t="s">
        <v>437</v>
      </c>
      <c r="BK65" s="223" t="s">
        <v>411</v>
      </c>
      <c r="BL65" s="223" t="s">
        <v>243</v>
      </c>
      <c r="BM65" s="223" t="s">
        <v>198</v>
      </c>
      <c r="BN65" s="223">
        <v>3</v>
      </c>
      <c r="BO65" s="223" t="s">
        <v>199</v>
      </c>
      <c r="BP65" s="223" t="s">
        <v>599</v>
      </c>
      <c r="BQ65" s="223" t="s">
        <v>383</v>
      </c>
      <c r="BR65" s="223" t="s">
        <v>199</v>
      </c>
      <c r="BS65" s="223" t="s">
        <v>202</v>
      </c>
      <c r="BT65" s="223" t="s">
        <v>599</v>
      </c>
    </row>
    <row r="66" spans="1:72" ht="54.95" customHeight="1" x14ac:dyDescent="0.25">
      <c r="A66" s="249">
        <v>14</v>
      </c>
      <c r="B66" s="191" t="s">
        <v>600</v>
      </c>
      <c r="C66" s="191" t="s">
        <v>154</v>
      </c>
      <c r="D66" s="191" t="s">
        <v>601</v>
      </c>
      <c r="E66" s="191" t="s">
        <v>602</v>
      </c>
      <c r="F66" s="191" t="s">
        <v>603</v>
      </c>
      <c r="G66" s="191" t="s">
        <v>604</v>
      </c>
      <c r="H66" s="191" t="s">
        <v>605</v>
      </c>
      <c r="I66" s="191" t="s">
        <v>606</v>
      </c>
      <c r="J66" s="191" t="s">
        <v>607</v>
      </c>
      <c r="K66" s="191" t="s">
        <v>608</v>
      </c>
      <c r="L66" s="191" t="s">
        <v>609</v>
      </c>
      <c r="M66" s="191" t="s">
        <v>610</v>
      </c>
      <c r="N66" s="191" t="s">
        <v>216</v>
      </c>
      <c r="O66" s="249">
        <v>20</v>
      </c>
      <c r="P66" s="191" t="s">
        <v>164</v>
      </c>
      <c r="Q66" s="191" t="s">
        <v>611</v>
      </c>
      <c r="R66" s="191" t="s">
        <v>612</v>
      </c>
      <c r="S66" s="191" t="s">
        <v>613</v>
      </c>
      <c r="T66" s="191" t="s">
        <v>614</v>
      </c>
      <c r="U66" s="191" t="s">
        <v>615</v>
      </c>
      <c r="V66" s="191" t="s">
        <v>616</v>
      </c>
      <c r="W66" s="191" t="s">
        <v>617</v>
      </c>
      <c r="X66" s="191" t="s">
        <v>618</v>
      </c>
      <c r="Y66" s="223" t="s">
        <v>173</v>
      </c>
      <c r="Z66" s="223">
        <v>4</v>
      </c>
      <c r="AA66" s="223" t="s">
        <v>619</v>
      </c>
      <c r="AB66" s="223" t="s">
        <v>620</v>
      </c>
      <c r="AC66" s="223" t="s">
        <v>528</v>
      </c>
      <c r="AD66" s="223" t="s">
        <v>619</v>
      </c>
      <c r="AE66" s="223" t="s">
        <v>226</v>
      </c>
      <c r="AF66" s="223" t="s">
        <v>528</v>
      </c>
      <c r="AG66" s="223" t="s">
        <v>178</v>
      </c>
      <c r="AH66" s="223">
        <v>4</v>
      </c>
      <c r="AI66" s="223" t="s">
        <v>234</v>
      </c>
      <c r="AJ66" s="223" t="s">
        <v>621</v>
      </c>
      <c r="AK66" s="223" t="s">
        <v>622</v>
      </c>
      <c r="AL66" s="223" t="s">
        <v>234</v>
      </c>
      <c r="AM66" s="223" t="s">
        <v>621</v>
      </c>
      <c r="AN66" s="223" t="s">
        <v>622</v>
      </c>
      <c r="AO66" s="223" t="s">
        <v>183</v>
      </c>
      <c r="AP66" s="223">
        <v>4</v>
      </c>
      <c r="AQ66" s="223" t="s">
        <v>623</v>
      </c>
      <c r="AR66" s="223" t="s">
        <v>185</v>
      </c>
      <c r="AS66" s="223" t="s">
        <v>624</v>
      </c>
      <c r="AT66" s="223" t="s">
        <v>185</v>
      </c>
      <c r="AU66" s="223" t="s">
        <v>623</v>
      </c>
      <c r="AV66" s="223" t="s">
        <v>624</v>
      </c>
      <c r="AW66" s="223" t="s">
        <v>57</v>
      </c>
      <c r="AX66" s="223">
        <v>3</v>
      </c>
      <c r="AY66" s="223" t="s">
        <v>237</v>
      </c>
      <c r="AZ66" s="223" t="s">
        <v>625</v>
      </c>
      <c r="BA66" s="223" t="s">
        <v>238</v>
      </c>
      <c r="BB66" s="223" t="s">
        <v>237</v>
      </c>
      <c r="BC66" s="223" t="s">
        <v>239</v>
      </c>
      <c r="BD66" s="223" t="s">
        <v>238</v>
      </c>
      <c r="BE66" s="223" t="s">
        <v>193</v>
      </c>
      <c r="BF66" s="223">
        <v>2</v>
      </c>
      <c r="BG66" s="223" t="s">
        <v>240</v>
      </c>
      <c r="BH66" s="223" t="s">
        <v>243</v>
      </c>
      <c r="BI66" s="223" t="s">
        <v>195</v>
      </c>
      <c r="BJ66" s="223" t="s">
        <v>240</v>
      </c>
      <c r="BK66" s="223" t="s">
        <v>243</v>
      </c>
      <c r="BL66" s="223" t="s">
        <v>195</v>
      </c>
      <c r="BM66" s="223" t="s">
        <v>198</v>
      </c>
      <c r="BN66" s="223">
        <v>3</v>
      </c>
      <c r="BO66" s="223" t="s">
        <v>199</v>
      </c>
      <c r="BP66" s="223" t="s">
        <v>244</v>
      </c>
      <c r="BQ66" s="223" t="s">
        <v>626</v>
      </c>
      <c r="BR66" s="223" t="s">
        <v>199</v>
      </c>
      <c r="BS66" s="223" t="s">
        <v>202</v>
      </c>
      <c r="BT66" s="223" t="s">
        <v>528</v>
      </c>
    </row>
    <row r="67" spans="1:72" ht="54.95" customHeight="1" x14ac:dyDescent="0.25">
      <c r="A67" s="249">
        <v>15</v>
      </c>
      <c r="B67" s="191" t="s">
        <v>627</v>
      </c>
      <c r="C67" s="191" t="s">
        <v>247</v>
      </c>
      <c r="D67" s="191" t="s">
        <v>628</v>
      </c>
      <c r="E67" s="191" t="s">
        <v>629</v>
      </c>
      <c r="F67" s="191" t="s">
        <v>630</v>
      </c>
      <c r="G67" s="191" t="s">
        <v>631</v>
      </c>
      <c r="H67" s="191" t="s">
        <v>632</v>
      </c>
      <c r="I67" s="191" t="s">
        <v>633</v>
      </c>
      <c r="J67" s="191" t="s">
        <v>634</v>
      </c>
      <c r="K67" s="191" t="s">
        <v>635</v>
      </c>
      <c r="L67" s="191" t="s">
        <v>636</v>
      </c>
      <c r="M67" s="191" t="s">
        <v>637</v>
      </c>
      <c r="N67" s="191" t="s">
        <v>216</v>
      </c>
      <c r="O67" s="249">
        <v>20</v>
      </c>
      <c r="P67" s="191" t="s">
        <v>484</v>
      </c>
      <c r="Q67" s="191" t="s">
        <v>638</v>
      </c>
      <c r="R67" s="191" t="s">
        <v>639</v>
      </c>
      <c r="S67" s="191" t="s">
        <v>640</v>
      </c>
      <c r="T67" s="191" t="s">
        <v>641</v>
      </c>
      <c r="U67" s="191" t="s">
        <v>642</v>
      </c>
      <c r="V67" s="191" t="s">
        <v>643</v>
      </c>
      <c r="W67" s="191" t="s">
        <v>644</v>
      </c>
      <c r="X67" s="191" t="s">
        <v>645</v>
      </c>
      <c r="Y67" s="223" t="s">
        <v>173</v>
      </c>
      <c r="Z67" s="223">
        <v>4</v>
      </c>
      <c r="AA67" s="223" t="s">
        <v>646</v>
      </c>
      <c r="AB67" s="223" t="s">
        <v>647</v>
      </c>
      <c r="AC67" s="223" t="s">
        <v>648</v>
      </c>
      <c r="AD67" s="223" t="s">
        <v>646</v>
      </c>
      <c r="AE67" s="223" t="s">
        <v>649</v>
      </c>
      <c r="AF67" s="223" t="s">
        <v>437</v>
      </c>
      <c r="AG67" s="223" t="s">
        <v>178</v>
      </c>
      <c r="AH67" s="223">
        <v>4</v>
      </c>
      <c r="AI67" s="223" t="s">
        <v>650</v>
      </c>
      <c r="AJ67" s="223" t="s">
        <v>651</v>
      </c>
      <c r="AK67" s="223" t="s">
        <v>498</v>
      </c>
      <c r="AL67" s="223" t="s">
        <v>650</v>
      </c>
      <c r="AM67" s="223" t="s">
        <v>651</v>
      </c>
      <c r="AN67" s="223" t="s">
        <v>413</v>
      </c>
      <c r="AO67" s="223" t="s">
        <v>183</v>
      </c>
      <c r="AP67" s="223">
        <v>4</v>
      </c>
      <c r="AQ67" s="223" t="s">
        <v>500</v>
      </c>
      <c r="AR67" s="223" t="s">
        <v>562</v>
      </c>
      <c r="AS67" s="223" t="s">
        <v>179</v>
      </c>
      <c r="AT67" s="223" t="s">
        <v>186</v>
      </c>
      <c r="AU67" s="223" t="s">
        <v>184</v>
      </c>
      <c r="AV67" s="223" t="s">
        <v>179</v>
      </c>
      <c r="AW67" s="223" t="s">
        <v>57</v>
      </c>
      <c r="AX67" s="223">
        <v>3</v>
      </c>
      <c r="AY67" s="223" t="s">
        <v>317</v>
      </c>
      <c r="AZ67" s="223" t="s">
        <v>652</v>
      </c>
      <c r="BA67" s="223" t="s">
        <v>653</v>
      </c>
      <c r="BB67" s="223" t="s">
        <v>317</v>
      </c>
      <c r="BC67" s="223" t="s">
        <v>653</v>
      </c>
      <c r="BD67" s="223" t="s">
        <v>654</v>
      </c>
      <c r="BE67" s="223" t="s">
        <v>193</v>
      </c>
      <c r="BF67" s="223">
        <v>2</v>
      </c>
      <c r="BG67" s="223" t="s">
        <v>566</v>
      </c>
      <c r="BH67" s="223" t="s">
        <v>321</v>
      </c>
      <c r="BI67" s="223" t="s">
        <v>655</v>
      </c>
      <c r="BJ67" s="223" t="s">
        <v>566</v>
      </c>
      <c r="BK67" s="223" t="s">
        <v>321</v>
      </c>
      <c r="BL67" s="223" t="s">
        <v>656</v>
      </c>
      <c r="BM67" s="223" t="s">
        <v>198</v>
      </c>
      <c r="BN67" s="223">
        <v>3</v>
      </c>
      <c r="BO67" s="223" t="s">
        <v>199</v>
      </c>
      <c r="BP67" s="223" t="s">
        <v>657</v>
      </c>
      <c r="BQ67" s="223" t="s">
        <v>658</v>
      </c>
      <c r="BR67" s="223" t="s">
        <v>199</v>
      </c>
      <c r="BS67" s="223" t="s">
        <v>202</v>
      </c>
      <c r="BT67" s="223" t="s">
        <v>471</v>
      </c>
    </row>
    <row r="68" spans="1:72" ht="54.95" customHeight="1" x14ac:dyDescent="0.25">
      <c r="A68" s="249">
        <v>16</v>
      </c>
      <c r="B68" s="191" t="s">
        <v>246</v>
      </c>
      <c r="C68" s="191" t="s">
        <v>247</v>
      </c>
      <c r="D68" s="191" t="s">
        <v>659</v>
      </c>
      <c r="E68" s="191" t="s">
        <v>660</v>
      </c>
      <c r="F68" s="191" t="s">
        <v>661</v>
      </c>
      <c r="G68" s="191" t="s">
        <v>662</v>
      </c>
      <c r="H68" s="191" t="s">
        <v>663</v>
      </c>
      <c r="I68" s="191" t="s">
        <v>664</v>
      </c>
      <c r="J68" s="191" t="s">
        <v>665</v>
      </c>
      <c r="K68" s="191" t="s">
        <v>666</v>
      </c>
      <c r="L68" s="191" t="s">
        <v>667</v>
      </c>
      <c r="M68" s="191" t="s">
        <v>668</v>
      </c>
      <c r="N68" s="191" t="s">
        <v>483</v>
      </c>
      <c r="O68" s="249">
        <v>20</v>
      </c>
      <c r="P68" s="191" t="s">
        <v>259</v>
      </c>
      <c r="Q68" s="191" t="s">
        <v>669</v>
      </c>
      <c r="R68" s="191" t="s">
        <v>670</v>
      </c>
      <c r="S68" s="191" t="s">
        <v>671</v>
      </c>
      <c r="T68" s="191" t="s">
        <v>672</v>
      </c>
      <c r="U68" s="191" t="s">
        <v>673</v>
      </c>
      <c r="V68" s="191" t="s">
        <v>674</v>
      </c>
      <c r="W68" s="191" t="s">
        <v>675</v>
      </c>
      <c r="X68" s="191" t="s">
        <v>676</v>
      </c>
      <c r="Y68" s="223" t="s">
        <v>173</v>
      </c>
      <c r="Z68" s="223">
        <v>4</v>
      </c>
      <c r="AA68" s="223" t="s">
        <v>677</v>
      </c>
      <c r="AB68" s="223" t="s">
        <v>678</v>
      </c>
      <c r="AC68" s="223" t="s">
        <v>679</v>
      </c>
      <c r="AD68" s="223" t="s">
        <v>677</v>
      </c>
      <c r="AE68" s="223" t="s">
        <v>680</v>
      </c>
      <c r="AF68" s="223" t="s">
        <v>679</v>
      </c>
      <c r="AG68" s="223" t="s">
        <v>178</v>
      </c>
      <c r="AH68" s="223">
        <v>4</v>
      </c>
      <c r="AI68" s="223" t="s">
        <v>681</v>
      </c>
      <c r="AJ68" s="223" t="s">
        <v>682</v>
      </c>
      <c r="AK68" s="223" t="s">
        <v>231</v>
      </c>
      <c r="AL68" s="223" t="s">
        <v>681</v>
      </c>
      <c r="AM68" s="223" t="s">
        <v>408</v>
      </c>
      <c r="AN68" s="223" t="s">
        <v>231</v>
      </c>
      <c r="AO68" s="223" t="s">
        <v>183</v>
      </c>
      <c r="AP68" s="223">
        <v>4</v>
      </c>
      <c r="AQ68" s="223" t="s">
        <v>683</v>
      </c>
      <c r="AR68" s="223" t="s">
        <v>234</v>
      </c>
      <c r="AS68" s="223" t="s">
        <v>185</v>
      </c>
      <c r="AT68" s="223" t="s">
        <v>684</v>
      </c>
      <c r="AU68" s="223" t="s">
        <v>234</v>
      </c>
      <c r="AV68" s="223" t="s">
        <v>185</v>
      </c>
      <c r="AW68" s="223" t="s">
        <v>57</v>
      </c>
      <c r="AX68" s="223">
        <v>3</v>
      </c>
      <c r="AY68" s="223" t="s">
        <v>685</v>
      </c>
      <c r="AZ68" s="223" t="s">
        <v>281</v>
      </c>
      <c r="BA68" s="223" t="s">
        <v>282</v>
      </c>
      <c r="BB68" s="223" t="s">
        <v>686</v>
      </c>
      <c r="BC68" s="223" t="s">
        <v>281</v>
      </c>
      <c r="BD68" s="223" t="s">
        <v>282</v>
      </c>
      <c r="BE68" s="223" t="s">
        <v>193</v>
      </c>
      <c r="BF68" s="223">
        <v>2</v>
      </c>
      <c r="BG68" s="223" t="s">
        <v>687</v>
      </c>
      <c r="BH68" s="223" t="s">
        <v>679</v>
      </c>
      <c r="BI68" s="223" t="s">
        <v>243</v>
      </c>
      <c r="BJ68" s="223" t="s">
        <v>679</v>
      </c>
      <c r="BK68" s="223" t="s">
        <v>243</v>
      </c>
      <c r="BL68" s="223" t="s">
        <v>688</v>
      </c>
      <c r="BM68" s="223" t="s">
        <v>198</v>
      </c>
      <c r="BN68" s="223">
        <v>3</v>
      </c>
      <c r="BO68" s="223" t="s">
        <v>199</v>
      </c>
      <c r="BP68" s="223" t="s">
        <v>689</v>
      </c>
      <c r="BQ68" s="223" t="s">
        <v>690</v>
      </c>
      <c r="BR68" s="223" t="s">
        <v>199</v>
      </c>
      <c r="BS68" s="223" t="s">
        <v>202</v>
      </c>
      <c r="BT68" s="223" t="s">
        <v>691</v>
      </c>
    </row>
    <row r="69" spans="1:72" ht="54.95" customHeight="1" x14ac:dyDescent="0.25">
      <c r="A69" s="249">
        <v>17</v>
      </c>
      <c r="B69" s="191" t="s">
        <v>506</v>
      </c>
      <c r="C69" s="191" t="s">
        <v>247</v>
      </c>
      <c r="D69" s="191" t="s">
        <v>692</v>
      </c>
      <c r="E69" s="191" t="s">
        <v>693</v>
      </c>
      <c r="F69" s="191" t="s">
        <v>694</v>
      </c>
      <c r="G69" s="191" t="s">
        <v>695</v>
      </c>
      <c r="H69" s="191" t="s">
        <v>696</v>
      </c>
      <c r="I69" s="191" t="s">
        <v>697</v>
      </c>
      <c r="J69" s="191" t="s">
        <v>698</v>
      </c>
      <c r="K69" s="191" t="s">
        <v>699</v>
      </c>
      <c r="L69" s="191" t="s">
        <v>700</v>
      </c>
      <c r="M69" s="191" t="s">
        <v>701</v>
      </c>
      <c r="N69" s="191" t="s">
        <v>258</v>
      </c>
      <c r="O69" s="249">
        <v>20</v>
      </c>
      <c r="P69" s="191" t="s">
        <v>164</v>
      </c>
      <c r="Q69" s="191" t="s">
        <v>702</v>
      </c>
      <c r="R69" s="191" t="s">
        <v>703</v>
      </c>
      <c r="S69" s="191" t="s">
        <v>704</v>
      </c>
      <c r="T69" s="191" t="s">
        <v>705</v>
      </c>
      <c r="U69" s="191" t="s">
        <v>521</v>
      </c>
      <c r="V69" s="191" t="s">
        <v>706</v>
      </c>
      <c r="W69" s="191" t="s">
        <v>707</v>
      </c>
      <c r="X69" s="191" t="s">
        <v>708</v>
      </c>
      <c r="Y69" s="223" t="s">
        <v>173</v>
      </c>
      <c r="Z69" s="223">
        <v>4</v>
      </c>
      <c r="AA69" s="223" t="s">
        <v>709</v>
      </c>
      <c r="AB69" s="223" t="s">
        <v>710</v>
      </c>
      <c r="AC69" s="223" t="s">
        <v>225</v>
      </c>
      <c r="AD69" s="223" t="s">
        <v>710</v>
      </c>
      <c r="AE69" s="223" t="s">
        <v>711</v>
      </c>
      <c r="AF69" s="223" t="s">
        <v>709</v>
      </c>
      <c r="AG69" s="223" t="s">
        <v>178</v>
      </c>
      <c r="AH69" s="223">
        <v>4</v>
      </c>
      <c r="AI69" s="223" t="s">
        <v>232</v>
      </c>
      <c r="AJ69" s="223" t="s">
        <v>230</v>
      </c>
      <c r="AK69" s="223" t="s">
        <v>179</v>
      </c>
      <c r="AL69" s="223" t="s">
        <v>232</v>
      </c>
      <c r="AM69" s="223" t="s">
        <v>233</v>
      </c>
      <c r="AN69" s="223" t="s">
        <v>179</v>
      </c>
      <c r="AO69" s="223" t="s">
        <v>183</v>
      </c>
      <c r="AP69" s="223">
        <v>4</v>
      </c>
      <c r="AQ69" s="223" t="s">
        <v>234</v>
      </c>
      <c r="AR69" s="223" t="s">
        <v>185</v>
      </c>
      <c r="AS69" s="223" t="s">
        <v>184</v>
      </c>
      <c r="AT69" s="223" t="s">
        <v>234</v>
      </c>
      <c r="AU69" s="223" t="s">
        <v>185</v>
      </c>
      <c r="AV69" s="223" t="s">
        <v>528</v>
      </c>
      <c r="AW69" s="223" t="s">
        <v>57</v>
      </c>
      <c r="AX69" s="223">
        <v>3</v>
      </c>
      <c r="AY69" s="223" t="s">
        <v>281</v>
      </c>
      <c r="AZ69" s="223" t="s">
        <v>191</v>
      </c>
      <c r="BA69" s="223" t="s">
        <v>352</v>
      </c>
      <c r="BB69" s="223" t="s">
        <v>281</v>
      </c>
      <c r="BC69" s="223" t="s">
        <v>191</v>
      </c>
      <c r="BD69" s="223" t="s">
        <v>712</v>
      </c>
      <c r="BE69" s="223" t="s">
        <v>193</v>
      </c>
      <c r="BF69" s="223">
        <v>2</v>
      </c>
      <c r="BG69" s="223" t="s">
        <v>713</v>
      </c>
      <c r="BH69" s="223" t="s">
        <v>714</v>
      </c>
      <c r="BI69" s="223" t="s">
        <v>243</v>
      </c>
      <c r="BJ69" s="223" t="s">
        <v>713</v>
      </c>
      <c r="BK69" s="223" t="s">
        <v>243</v>
      </c>
      <c r="BL69" s="223" t="s">
        <v>714</v>
      </c>
      <c r="BM69" s="223" t="s">
        <v>198</v>
      </c>
      <c r="BN69" s="223">
        <v>3</v>
      </c>
      <c r="BO69" s="223" t="s">
        <v>199</v>
      </c>
      <c r="BP69" s="223" t="s">
        <v>715</v>
      </c>
      <c r="BQ69" s="223" t="s">
        <v>716</v>
      </c>
      <c r="BR69" s="223" t="s">
        <v>199</v>
      </c>
      <c r="BS69" s="223" t="s">
        <v>202</v>
      </c>
      <c r="BT69" s="223" t="s">
        <v>717</v>
      </c>
    </row>
    <row r="70" spans="1:72" ht="54.95" customHeight="1" x14ac:dyDescent="0.25">
      <c r="A70" s="249">
        <v>18</v>
      </c>
      <c r="B70" s="191" t="s">
        <v>385</v>
      </c>
      <c r="C70" s="191" t="s">
        <v>205</v>
      </c>
      <c r="D70" s="191" t="s">
        <v>718</v>
      </c>
      <c r="E70" s="191" t="s">
        <v>719</v>
      </c>
      <c r="F70" s="191" t="s">
        <v>720</v>
      </c>
      <c r="G70" s="191" t="s">
        <v>721</v>
      </c>
      <c r="H70" s="191" t="s">
        <v>722</v>
      </c>
      <c r="I70" s="191" t="s">
        <v>723</v>
      </c>
      <c r="J70" s="191" t="s">
        <v>724</v>
      </c>
      <c r="K70" s="191" t="s">
        <v>725</v>
      </c>
      <c r="L70" s="191" t="s">
        <v>726</v>
      </c>
      <c r="M70" s="191" t="s">
        <v>727</v>
      </c>
      <c r="N70" s="191" t="s">
        <v>216</v>
      </c>
      <c r="O70" s="249">
        <v>20</v>
      </c>
      <c r="P70" s="191" t="s">
        <v>259</v>
      </c>
      <c r="Q70" s="191" t="s">
        <v>728</v>
      </c>
      <c r="R70" s="191" t="s">
        <v>729</v>
      </c>
      <c r="S70" s="191" t="s">
        <v>730</v>
      </c>
      <c r="T70" s="191" t="s">
        <v>731</v>
      </c>
      <c r="U70" s="191" t="s">
        <v>732</v>
      </c>
      <c r="V70" s="191" t="s">
        <v>733</v>
      </c>
      <c r="W70" s="191" t="s">
        <v>734</v>
      </c>
      <c r="X70" s="191" t="s">
        <v>735</v>
      </c>
      <c r="Y70" s="223" t="s">
        <v>173</v>
      </c>
      <c r="Z70" s="223">
        <v>4</v>
      </c>
      <c r="AA70" s="223" t="s">
        <v>268</v>
      </c>
      <c r="AB70" s="223" t="s">
        <v>373</v>
      </c>
      <c r="AC70" s="223" t="s">
        <v>321</v>
      </c>
      <c r="AD70" s="223" t="s">
        <v>271</v>
      </c>
      <c r="AE70" s="223" t="s">
        <v>373</v>
      </c>
      <c r="AF70" s="223" t="s">
        <v>375</v>
      </c>
      <c r="AG70" s="223" t="s">
        <v>178</v>
      </c>
      <c r="AH70" s="223">
        <v>4</v>
      </c>
      <c r="AI70" s="223" t="s">
        <v>736</v>
      </c>
      <c r="AJ70" s="223" t="s">
        <v>737</v>
      </c>
      <c r="AK70" s="223" t="s">
        <v>376</v>
      </c>
      <c r="AL70" s="223" t="s">
        <v>466</v>
      </c>
      <c r="AM70" s="223" t="s">
        <v>737</v>
      </c>
      <c r="AN70" s="223" t="s">
        <v>408</v>
      </c>
      <c r="AO70" s="223" t="s">
        <v>183</v>
      </c>
      <c r="AP70" s="223">
        <v>4</v>
      </c>
      <c r="AQ70" s="223" t="s">
        <v>234</v>
      </c>
      <c r="AR70" s="223" t="s">
        <v>279</v>
      </c>
      <c r="AS70" s="223" t="s">
        <v>378</v>
      </c>
      <c r="AT70" s="223" t="s">
        <v>234</v>
      </c>
      <c r="AU70" s="223" t="s">
        <v>279</v>
      </c>
      <c r="AV70" s="223" t="s">
        <v>185</v>
      </c>
      <c r="AW70" s="223" t="s">
        <v>57</v>
      </c>
      <c r="AX70" s="223">
        <v>3</v>
      </c>
      <c r="AY70" s="223" t="s">
        <v>237</v>
      </c>
      <c r="AZ70" s="223" t="s">
        <v>310</v>
      </c>
      <c r="BA70" s="223" t="s">
        <v>379</v>
      </c>
      <c r="BB70" s="223" t="s">
        <v>237</v>
      </c>
      <c r="BC70" s="223" t="s">
        <v>312</v>
      </c>
      <c r="BD70" s="223" t="s">
        <v>379</v>
      </c>
      <c r="BE70" s="223" t="s">
        <v>193</v>
      </c>
      <c r="BF70" s="223">
        <v>2</v>
      </c>
      <c r="BG70" s="223" t="s">
        <v>321</v>
      </c>
      <c r="BH70" s="223" t="s">
        <v>243</v>
      </c>
      <c r="BI70" s="223" t="s">
        <v>285</v>
      </c>
      <c r="BJ70" s="223" t="s">
        <v>321</v>
      </c>
      <c r="BK70" s="223" t="s">
        <v>243</v>
      </c>
      <c r="BL70" s="223" t="s">
        <v>285</v>
      </c>
      <c r="BM70" s="223" t="s">
        <v>198</v>
      </c>
      <c r="BN70" s="223">
        <v>3</v>
      </c>
      <c r="BO70" s="223" t="s">
        <v>199</v>
      </c>
      <c r="BP70" s="223" t="s">
        <v>383</v>
      </c>
      <c r="BQ70" s="223" t="s">
        <v>738</v>
      </c>
      <c r="BR70" s="223" t="s">
        <v>199</v>
      </c>
      <c r="BS70" s="223" t="s">
        <v>202</v>
      </c>
      <c r="BT70" s="223" t="s">
        <v>384</v>
      </c>
    </row>
    <row r="71" spans="1:72" ht="54.95" customHeight="1" x14ac:dyDescent="0.25">
      <c r="A71" s="249">
        <v>19</v>
      </c>
      <c r="B71" s="191" t="s">
        <v>739</v>
      </c>
      <c r="C71" s="191" t="s">
        <v>325</v>
      </c>
      <c r="D71" s="191" t="s">
        <v>740</v>
      </c>
      <c r="E71" s="191" t="s">
        <v>741</v>
      </c>
      <c r="F71" s="191" t="s">
        <v>742</v>
      </c>
      <c r="G71" s="191" t="s">
        <v>743</v>
      </c>
      <c r="H71" s="191" t="s">
        <v>744</v>
      </c>
      <c r="I71" s="191" t="s">
        <v>745</v>
      </c>
      <c r="J71" s="191" t="s">
        <v>746</v>
      </c>
      <c r="K71" s="191" t="s">
        <v>747</v>
      </c>
      <c r="L71" s="191" t="s">
        <v>748</v>
      </c>
      <c r="M71" s="191" t="s">
        <v>749</v>
      </c>
      <c r="N71" s="191" t="s">
        <v>258</v>
      </c>
      <c r="O71" s="249">
        <v>20</v>
      </c>
      <c r="P71" s="191" t="s">
        <v>164</v>
      </c>
      <c r="Q71" s="191" t="s">
        <v>750</v>
      </c>
      <c r="R71" s="191" t="s">
        <v>751</v>
      </c>
      <c r="S71" s="191" t="s">
        <v>752</v>
      </c>
      <c r="T71" s="191" t="s">
        <v>753</v>
      </c>
      <c r="U71" s="191" t="s">
        <v>754</v>
      </c>
      <c r="V71" s="191" t="s">
        <v>755</v>
      </c>
      <c r="W71" s="191" t="s">
        <v>756</v>
      </c>
      <c r="X71" s="191" t="s">
        <v>757</v>
      </c>
      <c r="Y71" s="223" t="s">
        <v>173</v>
      </c>
      <c r="Z71" s="223">
        <v>4</v>
      </c>
      <c r="AA71" s="223" t="s">
        <v>758</v>
      </c>
      <c r="AB71" s="223" t="s">
        <v>270</v>
      </c>
      <c r="AC71" s="223" t="s">
        <v>236</v>
      </c>
      <c r="AD71" s="223" t="s">
        <v>758</v>
      </c>
      <c r="AE71" s="223" t="s">
        <v>759</v>
      </c>
      <c r="AF71" s="223" t="s">
        <v>236</v>
      </c>
      <c r="AG71" s="223" t="s">
        <v>178</v>
      </c>
      <c r="AH71" s="223">
        <v>4</v>
      </c>
      <c r="AI71" s="223" t="s">
        <v>760</v>
      </c>
      <c r="AJ71" s="223" t="s">
        <v>277</v>
      </c>
      <c r="AK71" s="223" t="s">
        <v>737</v>
      </c>
      <c r="AL71" s="223" t="s">
        <v>760</v>
      </c>
      <c r="AM71" s="223" t="s">
        <v>277</v>
      </c>
      <c r="AN71" s="223" t="s">
        <v>272</v>
      </c>
      <c r="AO71" s="223" t="s">
        <v>183</v>
      </c>
      <c r="AP71" s="223">
        <v>4</v>
      </c>
      <c r="AQ71" s="223" t="s">
        <v>185</v>
      </c>
      <c r="AR71" s="223" t="s">
        <v>761</v>
      </c>
      <c r="AS71" s="223" t="s">
        <v>186</v>
      </c>
      <c r="AT71" s="223" t="s">
        <v>185</v>
      </c>
      <c r="AU71" s="223" t="s">
        <v>278</v>
      </c>
      <c r="AV71" s="223" t="s">
        <v>186</v>
      </c>
      <c r="AW71" s="223" t="s">
        <v>57</v>
      </c>
      <c r="AX71" s="223">
        <v>3</v>
      </c>
      <c r="AY71" s="223" t="s">
        <v>762</v>
      </c>
      <c r="AZ71" s="223" t="s">
        <v>763</v>
      </c>
      <c r="BA71" s="223" t="s">
        <v>283</v>
      </c>
      <c r="BB71" s="223" t="s">
        <v>762</v>
      </c>
      <c r="BC71" s="223" t="s">
        <v>283</v>
      </c>
      <c r="BD71" s="223" t="s">
        <v>764</v>
      </c>
      <c r="BE71" s="223" t="s">
        <v>193</v>
      </c>
      <c r="BF71" s="223">
        <v>2</v>
      </c>
      <c r="BG71" s="223" t="s">
        <v>530</v>
      </c>
      <c r="BH71" s="223" t="s">
        <v>243</v>
      </c>
      <c r="BI71" s="223" t="s">
        <v>687</v>
      </c>
      <c r="BJ71" s="223" t="s">
        <v>530</v>
      </c>
      <c r="BK71" s="223" t="s">
        <v>243</v>
      </c>
      <c r="BL71" s="223" t="s">
        <v>241</v>
      </c>
      <c r="BM71" s="223" t="s">
        <v>198</v>
      </c>
      <c r="BN71" s="223">
        <v>3</v>
      </c>
      <c r="BO71" s="223" t="s">
        <v>199</v>
      </c>
      <c r="BP71" s="223" t="s">
        <v>270</v>
      </c>
      <c r="BQ71" s="223" t="s">
        <v>715</v>
      </c>
      <c r="BR71" s="223" t="s">
        <v>199</v>
      </c>
      <c r="BS71" s="223" t="s">
        <v>202</v>
      </c>
      <c r="BT71" s="223" t="s">
        <v>241</v>
      </c>
    </row>
    <row r="72" spans="1:72" ht="54.95" customHeight="1" x14ac:dyDescent="0.25">
      <c r="A72" s="249">
        <v>20</v>
      </c>
      <c r="B72" s="191" t="s">
        <v>765</v>
      </c>
      <c r="C72" s="191" t="s">
        <v>154</v>
      </c>
      <c r="D72" s="191" t="s">
        <v>766</v>
      </c>
      <c r="E72" s="191" t="s">
        <v>767</v>
      </c>
      <c r="F72" s="191" t="s">
        <v>768</v>
      </c>
      <c r="G72" s="191" t="s">
        <v>769</v>
      </c>
      <c r="H72" s="191" t="s">
        <v>770</v>
      </c>
      <c r="I72" s="191" t="s">
        <v>771</v>
      </c>
      <c r="J72" s="191" t="s">
        <v>772</v>
      </c>
      <c r="K72" s="191" t="s">
        <v>773</v>
      </c>
      <c r="L72" s="191" t="s">
        <v>774</v>
      </c>
      <c r="M72" s="191" t="s">
        <v>775</v>
      </c>
      <c r="N72" s="191" t="s">
        <v>163</v>
      </c>
      <c r="O72" s="249">
        <v>20</v>
      </c>
      <c r="P72" s="191" t="s">
        <v>164</v>
      </c>
      <c r="Q72" s="191" t="s">
        <v>776</v>
      </c>
      <c r="R72" s="191" t="s">
        <v>777</v>
      </c>
      <c r="S72" s="191" t="s">
        <v>778</v>
      </c>
      <c r="T72" s="191" t="s">
        <v>779</v>
      </c>
      <c r="U72" s="191" t="s">
        <v>780</v>
      </c>
      <c r="V72" s="191" t="s">
        <v>781</v>
      </c>
      <c r="W72" s="191" t="s">
        <v>782</v>
      </c>
      <c r="X72" s="191" t="s">
        <v>783</v>
      </c>
      <c r="Y72" s="223" t="s">
        <v>173</v>
      </c>
      <c r="Z72" s="223">
        <v>4</v>
      </c>
      <c r="AA72" s="223" t="s">
        <v>784</v>
      </c>
      <c r="AB72" s="223" t="s">
        <v>176</v>
      </c>
      <c r="AC72" s="223" t="s">
        <v>785</v>
      </c>
      <c r="AD72" s="223" t="s">
        <v>784</v>
      </c>
      <c r="AE72" s="223" t="s">
        <v>176</v>
      </c>
      <c r="AF72" s="223" t="s">
        <v>654</v>
      </c>
      <c r="AG72" s="223" t="s">
        <v>178</v>
      </c>
      <c r="AH72" s="223">
        <v>4</v>
      </c>
      <c r="AI72" s="223" t="s">
        <v>231</v>
      </c>
      <c r="AJ72" s="223" t="s">
        <v>682</v>
      </c>
      <c r="AK72" s="223" t="s">
        <v>498</v>
      </c>
      <c r="AL72" s="223" t="s">
        <v>231</v>
      </c>
      <c r="AM72" s="223" t="s">
        <v>437</v>
      </c>
      <c r="AN72" s="223" t="s">
        <v>408</v>
      </c>
      <c r="AO72" s="223" t="s">
        <v>183</v>
      </c>
      <c r="AP72" s="223">
        <v>4</v>
      </c>
      <c r="AQ72" s="223" t="s">
        <v>185</v>
      </c>
      <c r="AR72" s="223" t="s">
        <v>186</v>
      </c>
      <c r="AS72" s="223" t="s">
        <v>184</v>
      </c>
      <c r="AT72" s="223" t="s">
        <v>185</v>
      </c>
      <c r="AU72" s="223" t="s">
        <v>186</v>
      </c>
      <c r="AV72" s="223" t="s">
        <v>184</v>
      </c>
      <c r="AW72" s="223" t="s">
        <v>57</v>
      </c>
      <c r="AX72" s="223">
        <v>3</v>
      </c>
      <c r="AY72" s="223" t="s">
        <v>786</v>
      </c>
      <c r="AZ72" s="223" t="s">
        <v>410</v>
      </c>
      <c r="BA72" s="223" t="s">
        <v>787</v>
      </c>
      <c r="BB72" s="223" t="s">
        <v>379</v>
      </c>
      <c r="BC72" s="223" t="s">
        <v>788</v>
      </c>
      <c r="BD72" s="223" t="s">
        <v>353</v>
      </c>
      <c r="BE72" s="223" t="s">
        <v>193</v>
      </c>
      <c r="BF72" s="223">
        <v>2</v>
      </c>
      <c r="BG72" s="223" t="s">
        <v>194</v>
      </c>
      <c r="BH72" s="223" t="s">
        <v>195</v>
      </c>
      <c r="BI72" s="223" t="s">
        <v>243</v>
      </c>
      <c r="BJ72" s="223" t="s">
        <v>195</v>
      </c>
      <c r="BK72" s="223" t="s">
        <v>243</v>
      </c>
      <c r="BL72" s="223" t="s">
        <v>197</v>
      </c>
      <c r="BM72" s="223" t="s">
        <v>198</v>
      </c>
      <c r="BN72" s="223">
        <v>3</v>
      </c>
      <c r="BO72" s="223" t="s">
        <v>199</v>
      </c>
      <c r="BP72" s="223" t="s">
        <v>443</v>
      </c>
      <c r="BQ72" s="223" t="s">
        <v>658</v>
      </c>
      <c r="BR72" s="223" t="s">
        <v>199</v>
      </c>
      <c r="BS72" s="223" t="s">
        <v>202</v>
      </c>
      <c r="BT72" s="223" t="s">
        <v>471</v>
      </c>
    </row>
  </sheetData>
  <mergeCells count="15">
    <mergeCell ref="B19:F19"/>
    <mergeCell ref="I19:M19"/>
    <mergeCell ref="A26:A36"/>
    <mergeCell ref="B15:F15"/>
    <mergeCell ref="I15:M15"/>
    <mergeCell ref="B16:F16"/>
    <mergeCell ref="I16:M16"/>
    <mergeCell ref="B17:F17"/>
    <mergeCell ref="I17:M17"/>
    <mergeCell ref="I13:M13"/>
    <mergeCell ref="I9:M9"/>
    <mergeCell ref="B11:F11"/>
    <mergeCell ref="I11:M11"/>
    <mergeCell ref="B12:F12"/>
    <mergeCell ref="I12:M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23AE-3B66-44AC-96BB-FB029E0CE1D0}">
  <dimension ref="A1:BT82"/>
  <sheetViews>
    <sheetView workbookViewId="0">
      <selection activeCell="E46" sqref="E46"/>
    </sheetView>
  </sheetViews>
  <sheetFormatPr baseColWidth="10" defaultColWidth="9" defaultRowHeight="15" x14ac:dyDescent="0.25"/>
  <cols>
    <col min="1" max="1" width="31.75" style="196" customWidth="1"/>
    <col min="2" max="2" width="37.625" style="196" customWidth="1"/>
    <col min="3" max="3" width="14.625" style="196" customWidth="1"/>
    <col min="4" max="4" width="37.625" style="196" customWidth="1"/>
    <col min="5" max="5" width="16.625" style="196" customWidth="1"/>
    <col min="6" max="6" width="33.625" style="196" customWidth="1"/>
    <col min="7" max="7" width="18" style="196" customWidth="1"/>
    <col min="8" max="8" width="31.625" style="196" customWidth="1"/>
    <col min="9" max="9" width="38.625" style="196" customWidth="1"/>
    <col min="10" max="10" width="31.625" style="196" customWidth="1"/>
    <col min="11" max="11" width="18.625" style="196" customWidth="1"/>
    <col min="12" max="12" width="31.625" style="196" customWidth="1"/>
    <col min="13" max="13" width="16" style="196" customWidth="1"/>
    <col min="14" max="15" width="18" style="196" customWidth="1"/>
    <col min="16" max="16" width="22" style="196" customWidth="1"/>
    <col min="17" max="17" width="18" style="196" customWidth="1"/>
    <col min="18" max="24" width="30" style="196" customWidth="1"/>
    <col min="25" max="26" width="14" style="192" customWidth="1"/>
    <col min="27" max="27" width="27.75" style="192" customWidth="1"/>
    <col min="28" max="34" width="14" style="192" customWidth="1"/>
    <col min="35" max="35" width="15" style="192" customWidth="1"/>
    <col min="36" max="72" width="14" style="192" customWidth="1"/>
    <col min="73" max="16384" width="9" style="196"/>
  </cols>
  <sheetData>
    <row r="1" spans="1:35" ht="24" customHeight="1" x14ac:dyDescent="0.25">
      <c r="A1" s="188" t="s">
        <v>4845</v>
      </c>
      <c r="B1" s="189"/>
      <c r="C1" s="190"/>
      <c r="D1" s="190"/>
      <c r="E1" s="190"/>
      <c r="F1" s="190"/>
      <c r="G1" s="190"/>
      <c r="H1" s="190"/>
      <c r="I1" s="190"/>
      <c r="J1" s="190"/>
      <c r="K1" s="190"/>
      <c r="L1" s="190"/>
      <c r="M1" s="190"/>
      <c r="N1" s="191"/>
      <c r="O1" s="191"/>
      <c r="P1" s="191"/>
      <c r="Q1" s="191"/>
      <c r="R1" s="191"/>
      <c r="S1" s="191"/>
      <c r="T1" s="191"/>
      <c r="U1" s="191"/>
      <c r="V1" s="191"/>
      <c r="W1" s="191"/>
      <c r="X1" s="191"/>
    </row>
    <row r="2" spans="1:35" ht="20.100000000000001" customHeight="1" x14ac:dyDescent="0.25">
      <c r="A2" s="193" t="s">
        <v>789</v>
      </c>
      <c r="B2" s="194"/>
      <c r="C2" s="195"/>
      <c r="D2" s="195"/>
      <c r="E2" s="195"/>
      <c r="F2" s="195"/>
      <c r="G2" s="195"/>
      <c r="H2" s="195"/>
      <c r="I2" s="195"/>
      <c r="J2" s="195"/>
      <c r="K2" s="195"/>
      <c r="L2" s="195"/>
      <c r="M2" s="195"/>
    </row>
    <row r="3" spans="1:35" ht="15.75" x14ac:dyDescent="0.25">
      <c r="A3" s="197"/>
      <c r="B3" s="197"/>
      <c r="C3" s="197"/>
      <c r="D3" s="197"/>
      <c r="E3" s="197"/>
      <c r="F3" s="197"/>
      <c r="G3" s="197"/>
      <c r="H3" s="198" t="s">
        <v>1</v>
      </c>
      <c r="I3" s="197"/>
      <c r="J3" s="197"/>
      <c r="K3" s="197"/>
      <c r="L3" s="197"/>
      <c r="M3" s="197"/>
      <c r="AA3" s="199" t="s">
        <v>2</v>
      </c>
      <c r="AI3" s="199" t="s">
        <v>3</v>
      </c>
    </row>
    <row r="4" spans="1:35" ht="24" customHeight="1" x14ac:dyDescent="0.25">
      <c r="A4" s="200" t="s">
        <v>4</v>
      </c>
      <c r="B4" s="201">
        <v>1</v>
      </c>
      <c r="C4" s="200" t="s">
        <v>5</v>
      </c>
      <c r="D4" s="202" t="str">
        <f>IFERROR(INDEX($B$53:$B$82,MATCH($B$4,$A$53:$A$82,0)),"")</f>
        <v>Crèche</v>
      </c>
      <c r="E4" s="200" t="s">
        <v>6</v>
      </c>
      <c r="F4" s="202" t="str">
        <f>IFERROR(INDEX($C$53:$C$82,MATCH($B$4,$A$53:$A$82,0)),"")</f>
        <v>Printemps</v>
      </c>
      <c r="G4" s="200" t="s">
        <v>7</v>
      </c>
      <c r="H4" s="203" t="s">
        <v>8</v>
      </c>
      <c r="I4" s="200" t="s">
        <v>9</v>
      </c>
      <c r="J4" s="202" t="str">
        <f>IFERROR(INDEX($Q$53:$Q$82,MATCH($B$4,$A$53:$A$82,0)),"")</f>
        <v>Petite enfance / sécurité</v>
      </c>
      <c r="L4" s="200" t="s">
        <v>10</v>
      </c>
      <c r="M4" s="202" t="str">
        <f>IFERROR(INDEX($P$53:$P$82,MATCH($B$4,$A$53:$A$82,0)),"")</f>
        <v>Facile</v>
      </c>
      <c r="AA4" s="199"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"&amp;$B$12),CHAR(160)," ")," "," "),CHAR(10)," "),CHAR(13)," "),CHAR(9)," "),"’","'"),"."," "),","," "),";"," "),":"," "),"-"," "),"("," "),")"," "),"?"," "),"!"," "),"/"," "),"é","e"),"è","e"),"ê","e"),"ë","e"),"à","a"),"â","a"),"ä","a"),"ù","u"),"û","u"),"ü","u"),"ô","o"),"ö","o"),"î","i"),"ï","i"),"ç","c")))</f>
        <v>pour la creche il faut adapter les morceaux verifier l'absence d'aretes rendre les petits pois et le riz faciles a manger</v>
      </c>
      <c r="AI4" s="199"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H$53:$H$82,MATCH($B$4,$A$53:$A$82,0)),"")),CHAR(160)," ")," "," "),CHAR(10)," "),CHAR(13)," "),CHAR(9)," "),"’","'"),"."," "),","," "),";"," "),":"," "),"-"," "),"("," "),")"," "),"?"," "),"!"," "),"/"," "),"é","e"),"è","e"),"ê","e"),"ë","e"),"à","a"),"â","a"),"ä","a"),"ù","u"),"û","u"),"ü","u"),"ô","o"),"ö","o"),"î","i"),"ï","i"),"ç","c")))</f>
        <v>pour la creche il faut adapter les morceaux verifier l'absence d'aretes rendre les petits pois et le riz faciles a manger ajouter une sauce douce au poisson et remplacer la pomme crue par une compote ou un fruit adapte la priorite est la securite la texture et la progression alimentaire</v>
      </c>
    </row>
    <row r="5" spans="1:35" ht="24" customHeight="1" x14ac:dyDescent="0.25">
      <c r="A5" s="204" t="s">
        <v>11</v>
      </c>
      <c r="B5" s="202" t="str">
        <f>IFERROR(INDEX($E$53:$E$82,MATCH($B$4,$A$53:$A$82,0)),"")</f>
        <v>Menu non sécurisé pour petite enfance : morceaux durs, arêtes et texture à adapter</v>
      </c>
      <c r="C5" s="205"/>
      <c r="D5" s="205"/>
      <c r="E5" s="206"/>
      <c r="F5" s="206"/>
      <c r="G5" s="207"/>
      <c r="H5" s="206"/>
      <c r="I5" s="206"/>
      <c r="J5" s="206"/>
      <c r="K5" s="206"/>
      <c r="L5" s="206"/>
      <c r="M5" s="206"/>
      <c r="AA5" s="199"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"&amp;$B$12&amp;" "&amp;$B$15&amp;" "&amp;$B$16),CHAR(160)," ")," "," "),CHAR(10)," "),CHAR(13)," "),CHAR(9)," "),"’","'"),"."," "),","," "),";"," "),":"," "),"-"," "),"("," "),")"," "),"?"," "),"!"," "),"/"," "),"é","e"),"è","e"),"ê","e"),"ë","e"),"à","a"),"â","a"),"ä","a"),"ù","u"),"û","u"),"ü","u"),"ô","o"),"ö","o"),"î","i"),"ï","i"),"ç","c")))</f>
        <v>pour la creche il faut adapter les morceaux verifier l'absence d'aretes rendre les petits pois et le riz faciles a manger ajouter une sauce douce au poisson et remplacer la pomme crue par une compote ou un fruit adapte la priorite est la securite la texture et la progression alimentaire</v>
      </c>
      <c r="AI5" s="199"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I$53:$I$82,MATCH($B$4,$A$53:$A$82,0)),"")),CHAR(160)," ")," "," "),CHAR(10)," "),CHAR(13)," "),CHAR(9)," "),"’","'"),"."," "),","," "),";"," "),":"," "),"-"," "),"("," "),")"," "),"?"," "),"!"," "),"/"," "),"é","e"),"è","e"),"ê","e"),"ë","e"),"à","a"),"â","a"),"ä","a"),"ù","u"),"û","u"),"ü","u"),"ô","o"),"ö","o"),"î","i"),"ï","i"),"ç","c")))</f>
        <v>pour les tout petits on ne donne pas des morceaux durs je verifie le poisson je mets de la sauce j'adapte le riz et les petits pois et je remplace la pomme crue par une compote</v>
      </c>
    </row>
    <row r="6" spans="1:35" ht="24" customHeight="1" x14ac:dyDescent="0.25">
      <c r="A6" s="204" t="s">
        <v>12</v>
      </c>
      <c r="B6" s="208" t="str">
        <f>IFERROR(INDEX($D$53:$D$82,MATCH($B$4,$A$53:$A$82,0)),"")</f>
        <v>Radis ; poisson blanc ; riz ; petits pois ; pomme crue</v>
      </c>
      <c r="C6" s="209"/>
      <c r="D6" s="209"/>
      <c r="E6" s="209"/>
      <c r="F6" s="209"/>
      <c r="G6" s="207"/>
      <c r="H6" s="206"/>
      <c r="I6" s="206"/>
      <c r="J6" s="206"/>
      <c r="K6" s="206"/>
      <c r="L6" s="206"/>
      <c r="M6" s="206"/>
      <c r="AA6" s="199"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"&amp;$I$12),CHAR(160)," ")," "," "),CHAR(10)," "),CHAR(13)," "),CHAR(9)," "),"’","'"),"."," "),","," "),";"," "),":"," "),"-"," "),"("," "),")"," "),"?"," "),"!"," "),"/"," "),"é","e"),"è","e"),"ê","e"),"ë","e"),"à","a"),"â","a"),"ä","a"),"ù","u"),"û","u"),"ü","u"),"ô","o"),"ö","o"),"î","i"),"ï","i"),"ç","c")))</f>
        <v>pour les tout petits on ne donne pas des morceaux durs je verifie le poisson je mets de la sauce</v>
      </c>
    </row>
    <row r="7" spans="1:35" ht="15.75" x14ac:dyDescent="0.25">
      <c r="A7" s="210"/>
      <c r="B7" s="211"/>
      <c r="C7" s="211"/>
      <c r="D7" s="211"/>
      <c r="E7" s="211"/>
      <c r="F7" s="211"/>
      <c r="G7" s="210"/>
      <c r="H7" s="210"/>
      <c r="I7" s="211"/>
      <c r="J7" s="211"/>
      <c r="K7" s="211"/>
      <c r="L7" s="211"/>
      <c r="M7" s="211"/>
      <c r="AA7" s="199"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"&amp;$I$12&amp;" "&amp;$I$15&amp;" "&amp;$I$16),CHAR(160)," ")," "," "),CHAR(10)," "),CHAR(13)," "),CHAR(9)," "),"’","'"),"."," "),","," "),";"," "),":"," "),"-"," "),"("," "),")"," "),"?"," "),"!"," "),"/"," "),"é","e"),"è","e"),"ê","e"),"ë","e"),"à","a"),"â","a"),"ä","a"),"ù","u"),"û","u"),"ü","u"),"ô","o"),"ö","o"),"î","i"),"ï","i"),"ç","c")))</f>
        <v>pour les tout petits on ne donne pas des morceaux durs je verifie le poisson je mets de la sauce j'adapte le riz et les petits pois et je remplace la pomme crue par une compote</v>
      </c>
    </row>
    <row r="8" spans="1:35" ht="24" customHeight="1" x14ac:dyDescent="0.25">
      <c r="A8" s="212" t="s">
        <v>13</v>
      </c>
      <c r="B8" s="212"/>
      <c r="C8" s="212"/>
      <c r="D8" s="212"/>
      <c r="E8" s="212"/>
      <c r="F8" s="212"/>
      <c r="G8" s="213"/>
      <c r="H8" s="214" t="s">
        <v>14</v>
      </c>
      <c r="I8" s="214"/>
      <c r="J8" s="214"/>
      <c r="K8" s="214"/>
      <c r="L8" s="214"/>
      <c r="M8" s="214"/>
      <c r="O8" s="215" t="s">
        <v>15</v>
      </c>
      <c r="P8" s="216"/>
      <c r="Q8" s="216"/>
      <c r="R8" s="216"/>
      <c r="S8" s="216"/>
      <c r="T8" s="216"/>
      <c r="V8" s="192"/>
      <c r="W8" s="192"/>
      <c r="X8" s="192"/>
    </row>
    <row r="9" spans="1:35" ht="54.95" customHeight="1" x14ac:dyDescent="0.25">
      <c r="A9" s="217" t="s">
        <v>16</v>
      </c>
      <c r="B9" s="218" t="str">
        <f>IFERROR(INDEX($F$53:$F$82,MATCH($B$4,$A$53:$A$82,0)),"")</f>
        <v>Identifiez les contraintes du convive petite enfance et adaptez texture, sauce, dessert et présentation.</v>
      </c>
      <c r="C9" s="218"/>
      <c r="D9" s="218"/>
      <c r="E9" s="218"/>
      <c r="F9" s="218"/>
      <c r="G9" s="213"/>
      <c r="H9" s="219" t="s">
        <v>17</v>
      </c>
      <c r="I9" s="1547" t="str">
        <f>IFERROR(INDEX($G$53:$G$82,MATCH($B$4,$A$53:$A$82,0)),"")</f>
        <v>Pourquoi ce menu n’est-il pas servi tel quel à des tout-petits ? Que changes-tu pour que ce soit sûr ?</v>
      </c>
      <c r="J9" s="1547"/>
      <c r="K9" s="1547"/>
      <c r="L9" s="1547"/>
      <c r="M9" s="1547"/>
      <c r="O9" s="220" t="s">
        <v>18</v>
      </c>
      <c r="P9" s="221" t="s">
        <v>19</v>
      </c>
      <c r="Q9" s="222"/>
      <c r="R9" s="222"/>
      <c r="S9" s="222"/>
      <c r="T9" s="222"/>
      <c r="V9" s="223"/>
      <c r="W9" s="223"/>
      <c r="X9" s="223"/>
    </row>
    <row r="10" spans="1:35" ht="15.75" x14ac:dyDescent="0.25">
      <c r="A10" s="210"/>
      <c r="B10" s="211"/>
      <c r="C10" s="211"/>
      <c r="D10" s="211"/>
      <c r="E10" s="211"/>
      <c r="F10" s="211"/>
      <c r="G10" s="210"/>
      <c r="H10" s="210"/>
      <c r="I10" s="211"/>
      <c r="J10" s="211"/>
      <c r="K10" s="211"/>
      <c r="L10" s="211"/>
      <c r="M10" s="211"/>
      <c r="O10" s="220" t="s">
        <v>20</v>
      </c>
      <c r="P10" s="221" t="s">
        <v>790</v>
      </c>
      <c r="Q10" s="222"/>
      <c r="R10" s="222"/>
      <c r="S10" s="222"/>
      <c r="T10" s="222"/>
      <c r="V10" s="223"/>
      <c r="W10" s="223"/>
      <c r="X10" s="223"/>
    </row>
    <row r="11" spans="1:35" ht="35.1" customHeight="1" x14ac:dyDescent="0.25">
      <c r="A11" s="1545" t="s">
        <v>22</v>
      </c>
      <c r="B11" s="1539" t="s">
        <v>4846</v>
      </c>
      <c r="C11" s="1539"/>
      <c r="D11" s="1539"/>
      <c r="E11" s="1539"/>
      <c r="F11" s="1539"/>
      <c r="G11" s="213"/>
      <c r="H11" s="219" t="s">
        <v>23</v>
      </c>
      <c r="I11" s="1539" t="s">
        <v>4825</v>
      </c>
      <c r="J11" s="1539"/>
      <c r="K11" s="1539"/>
      <c r="L11" s="1539"/>
      <c r="M11" s="1539"/>
      <c r="O11" s="220" t="s">
        <v>25</v>
      </c>
      <c r="P11" s="221" t="s">
        <v>793</v>
      </c>
      <c r="Q11" s="222"/>
      <c r="R11" s="222"/>
      <c r="S11" s="222"/>
      <c r="T11" s="222"/>
      <c r="V11" s="223"/>
      <c r="W11" s="223"/>
      <c r="X11" s="223"/>
    </row>
    <row r="12" spans="1:35" ht="35.1" customHeight="1" x14ac:dyDescent="0.25">
      <c r="A12" s="1545"/>
      <c r="B12" s="1539" t="s">
        <v>4847</v>
      </c>
      <c r="C12" s="1539"/>
      <c r="D12" s="1539"/>
      <c r="E12" s="1539"/>
      <c r="F12" s="1539"/>
      <c r="G12" s="213"/>
      <c r="H12" s="219"/>
      <c r="I12" s="1539" t="s">
        <v>4826</v>
      </c>
      <c r="J12" s="1539"/>
      <c r="K12" s="1539"/>
      <c r="L12" s="1539"/>
      <c r="M12" s="1539"/>
      <c r="O12" s="220" t="s">
        <v>28</v>
      </c>
      <c r="P12" s="221" t="s">
        <v>794</v>
      </c>
      <c r="Q12" s="222"/>
      <c r="R12" s="222"/>
      <c r="S12" s="222"/>
      <c r="T12" s="222"/>
      <c r="V12" s="223"/>
      <c r="W12" s="223"/>
      <c r="X12" s="223"/>
    </row>
    <row r="13" spans="1:35" ht="54.95" customHeight="1" x14ac:dyDescent="0.25">
      <c r="A13" s="217" t="s">
        <v>30</v>
      </c>
      <c r="B13" s="224" t="str">
        <f>IFERROR(INDEX($J$53:$J$82,MATCH($B$4,$A$53:$A$82,0)),"")</f>
        <v>Si la réponse reste nutritionnelle, ramener l’apprenant sur le risque physique : morceaux durs, arêtes, mastication, âge.</v>
      </c>
      <c r="C13" s="224"/>
      <c r="D13" s="224"/>
      <c r="E13" s="224"/>
      <c r="F13" s="224"/>
      <c r="G13" s="213"/>
      <c r="H13" s="219" t="s">
        <v>31</v>
      </c>
      <c r="I13" s="1537" t="str">
        <f>IFERROR(INDEX($K$53:$K$82,MATCH($B$4,$A$53:$A$82,0)),"")</f>
        <v>Demander : « Est-ce qu’un tout-petit peut mâcher ça sans risque ? »</v>
      </c>
      <c r="J13" s="1537"/>
      <c r="K13" s="1537"/>
      <c r="L13" s="1537"/>
      <c r="M13" s="1537"/>
      <c r="O13" s="220" t="s">
        <v>32</v>
      </c>
      <c r="P13" s="221" t="s">
        <v>795</v>
      </c>
      <c r="Q13" s="222"/>
      <c r="R13" s="222"/>
      <c r="S13" s="222"/>
      <c r="T13" s="222"/>
      <c r="V13" s="223"/>
      <c r="W13" s="223"/>
      <c r="X13" s="223"/>
    </row>
    <row r="14" spans="1:35" ht="15.75" x14ac:dyDescent="0.25">
      <c r="A14" s="210"/>
      <c r="B14" s="211"/>
      <c r="C14" s="211"/>
      <c r="D14" s="211"/>
      <c r="E14" s="211"/>
      <c r="F14" s="211"/>
      <c r="G14" s="210"/>
      <c r="H14" s="210"/>
      <c r="I14" s="211"/>
      <c r="J14" s="211"/>
      <c r="K14" s="211"/>
      <c r="L14" s="211"/>
      <c r="M14" s="211"/>
      <c r="O14" s="220" t="s">
        <v>34</v>
      </c>
      <c r="P14" s="221" t="s">
        <v>35</v>
      </c>
      <c r="Q14" s="222"/>
      <c r="R14" s="222"/>
      <c r="S14" s="222"/>
      <c r="T14" s="222"/>
      <c r="V14" s="223"/>
      <c r="W14" s="223"/>
      <c r="X14" s="223"/>
    </row>
    <row r="15" spans="1:35" ht="35.1" customHeight="1" x14ac:dyDescent="0.25">
      <c r="A15" s="1546" t="s">
        <v>36</v>
      </c>
      <c r="B15" s="1539" t="s">
        <v>4848</v>
      </c>
      <c r="C15" s="1539"/>
      <c r="D15" s="1539"/>
      <c r="E15" s="1539"/>
      <c r="F15" s="1539"/>
      <c r="G15" s="213"/>
      <c r="H15" s="225" t="s">
        <v>38</v>
      </c>
      <c r="I15" s="1539" t="s">
        <v>4851</v>
      </c>
      <c r="J15" s="1539"/>
      <c r="K15" s="1539"/>
      <c r="L15" s="1539"/>
      <c r="M15" s="1539"/>
      <c r="O15" s="220" t="s">
        <v>39</v>
      </c>
      <c r="P15" s="221" t="s">
        <v>40</v>
      </c>
      <c r="Q15" s="222"/>
      <c r="R15" s="222"/>
      <c r="S15" s="222"/>
      <c r="T15" s="222"/>
      <c r="V15" s="223"/>
      <c r="W15" s="223"/>
      <c r="X15" s="223"/>
    </row>
    <row r="16" spans="1:35" ht="35.1" customHeight="1" x14ac:dyDescent="0.25">
      <c r="A16" s="1546"/>
      <c r="B16" s="1539" t="s">
        <v>4824</v>
      </c>
      <c r="C16" s="1539"/>
      <c r="D16" s="1539"/>
      <c r="E16" s="1539"/>
      <c r="F16" s="1539"/>
      <c r="G16" s="213"/>
      <c r="H16" s="225"/>
      <c r="I16" s="1539" t="s">
        <v>4850</v>
      </c>
      <c r="J16" s="1539"/>
      <c r="K16" s="1539"/>
      <c r="L16" s="1539"/>
      <c r="M16" s="1539"/>
      <c r="O16" s="220" t="s">
        <v>42</v>
      </c>
      <c r="P16" s="221" t="s">
        <v>43</v>
      </c>
      <c r="Q16" s="222"/>
      <c r="R16" s="222"/>
      <c r="S16" s="222"/>
      <c r="T16" s="222"/>
      <c r="V16" s="223"/>
      <c r="W16" s="223"/>
      <c r="X16" s="223"/>
    </row>
    <row r="17" spans="1:34" ht="54.95" customHeight="1" x14ac:dyDescent="0.25">
      <c r="A17" s="217" t="s">
        <v>44</v>
      </c>
      <c r="B17" s="1544" t="str">
        <f>IF(UPPER($H$4)="X",IFERROR(INDEX($H$53:$H$82,MATCH($B$4,$A$53:$A$82,0)),""),"Réponse attendue masquée — saisir X en H4 pour afficher")</f>
        <v>Pour la crèche, il faut adapter les morceaux, vérifier l’absence d’arêtes, rendre les petits pois et le riz faciles à manger, ajouter une sauce douce au poisson et remplacer la pomme crue par une compote ou un fruit adapté. La priorité est la sécurité, la texture et la progression alimentaire.</v>
      </c>
      <c r="C17" s="1544"/>
      <c r="D17" s="1544"/>
      <c r="E17" s="1544"/>
      <c r="F17" s="1544"/>
      <c r="G17" s="213"/>
      <c r="H17" s="225" t="s">
        <v>45</v>
      </c>
      <c r="I17" s="1537" t="str">
        <f>IF(UPPER($H$4)="X",IFERROR(INDEX($I$53:$I$82,MATCH($B$4,$A$53:$A$82,0)),""),"Réponse attendue masquée — saisir X en H4 pour afficher")</f>
        <v>Pour les tout-petits, on ne donne pas des morceaux durs. Je vérifie le poisson, je mets de la sauce, j’adapte le riz et les petits pois, et je remplace la pomme crue par une compote.</v>
      </c>
      <c r="J17" s="1537"/>
      <c r="K17" s="1537"/>
      <c r="L17" s="1537"/>
      <c r="M17" s="1537"/>
      <c r="O17" s="220" t="s">
        <v>46</v>
      </c>
      <c r="P17" s="221" t="s">
        <v>796</v>
      </c>
      <c r="Q17" s="222"/>
      <c r="R17" s="222"/>
      <c r="S17" s="222"/>
      <c r="T17" s="222"/>
      <c r="V17" s="223"/>
      <c r="W17" s="223"/>
      <c r="X17" s="223"/>
    </row>
    <row r="18" spans="1:34" ht="15.75" x14ac:dyDescent="0.25">
      <c r="A18" s="210"/>
      <c r="B18" s="211"/>
      <c r="C18" s="211"/>
      <c r="D18" s="211"/>
      <c r="E18" s="211"/>
      <c r="F18" s="211"/>
      <c r="G18" s="210"/>
      <c r="H18" s="210"/>
      <c r="I18" s="211"/>
      <c r="J18" s="211"/>
      <c r="K18" s="211"/>
      <c r="L18" s="211"/>
      <c r="M18" s="211"/>
      <c r="O18" s="220" t="s">
        <v>48</v>
      </c>
      <c r="P18" s="221" t="s">
        <v>797</v>
      </c>
      <c r="Q18" s="222"/>
      <c r="R18" s="222"/>
      <c r="S18" s="222"/>
      <c r="T18" s="222"/>
      <c r="U18" s="223"/>
      <c r="V18" s="223"/>
      <c r="W18" s="223"/>
      <c r="X18" s="223"/>
    </row>
    <row r="19" spans="1:34" ht="54.95" customHeight="1" x14ac:dyDescent="0.25">
      <c r="A19" s="226" t="s">
        <v>50</v>
      </c>
      <c r="B19" s="1544" t="str">
        <f>IF(TRIM($H$4)="","",IF(UPPER(TRIM($H$4))="X",IFERROR(INDEX($M$53:$M$82,MATCH($B$4,$A$53:$A$82,0)),""),"Mots-clés masqués — saisir X en H4 pour afficher"))</f>
        <v>crèche ; sécurité ; absence d’arêtes ; morceaux adaptés ; texture adaptée ; sauce douce ; fruit adapté ou compote ; petite portion ; progression alimentaire</v>
      </c>
      <c r="C19" s="1544"/>
      <c r="D19" s="1544"/>
      <c r="E19" s="1544"/>
      <c r="F19" s="1544"/>
      <c r="G19" s="213"/>
      <c r="H19" s="227" t="s">
        <v>51</v>
      </c>
      <c r="I19" s="1541" t="str">
        <f>IF(ISBLANK(H4),"",IFERROR(INDEX($X$53:$X$82,MATCH($B$4,$A$53:$A$82,0)),""))</f>
        <v>Petite enfance = sécurité + texture avant tout</v>
      </c>
      <c r="J19" s="1541"/>
      <c r="K19" s="1541"/>
      <c r="L19" s="1541"/>
      <c r="M19" s="1541"/>
      <c r="O19" s="220"/>
      <c r="P19" s="221"/>
      <c r="Q19" s="222"/>
      <c r="R19" s="222"/>
      <c r="S19" s="222"/>
      <c r="T19" s="222"/>
    </row>
    <row r="20" spans="1:34" ht="15.75" x14ac:dyDescent="0.25">
      <c r="A20" s="228"/>
      <c r="B20" s="211"/>
      <c r="C20" s="211"/>
      <c r="D20" s="211"/>
      <c r="E20" s="211"/>
      <c r="F20" s="211"/>
      <c r="G20" s="210"/>
      <c r="H20" s="213"/>
      <c r="I20" s="207"/>
      <c r="J20" s="207"/>
      <c r="K20" s="207"/>
      <c r="L20" s="207"/>
      <c r="M20" s="207"/>
    </row>
    <row r="21" spans="1:34" ht="18.75" customHeight="1" x14ac:dyDescent="0.25">
      <c r="A21" s="213"/>
      <c r="B21" s="213"/>
      <c r="C21" s="213"/>
      <c r="D21" s="213"/>
      <c r="E21" s="213"/>
      <c r="F21" s="213"/>
      <c r="G21" s="213"/>
      <c r="H21" s="213"/>
      <c r="I21" s="213"/>
      <c r="J21" s="213"/>
      <c r="K21" s="213"/>
      <c r="L21" s="213"/>
      <c r="M21" s="213"/>
    </row>
    <row r="22" spans="1:34" ht="24" customHeight="1" x14ac:dyDescent="0.25">
      <c r="A22" s="229" t="s">
        <v>52</v>
      </c>
      <c r="B22" s="230"/>
      <c r="C22" s="230"/>
      <c r="D22" s="230"/>
      <c r="E22" s="230"/>
      <c r="F22" s="230"/>
      <c r="G22" s="230"/>
      <c r="H22" s="230"/>
      <c r="I22" s="230"/>
      <c r="J22" s="230"/>
      <c r="K22" s="230"/>
      <c r="L22" s="230"/>
      <c r="M22" s="230"/>
    </row>
    <row r="23" spans="1:34" ht="60" customHeight="1" x14ac:dyDescent="0.25">
      <c r="A23" s="231" t="s">
        <v>53</v>
      </c>
      <c r="B23" s="232" t="str">
        <f>IF(UPPER($H$4)="X",IFERROR(INDEX($R$53:$R$82,MATCH($B$4,$A$53:$A$82,0)),""),"Masqué")</f>
        <v>Riz moelleux ; petits pois écrasés ou adaptés selon âge</v>
      </c>
      <c r="C23" s="231" t="s">
        <v>54</v>
      </c>
      <c r="D23" s="232" t="str">
        <f>IF(UPPER($H$4)="X",IFERROR(INDEX($S$53:$S$82,MATCH($B$4,$A$53:$A$82,0)),""),"Masqué")</f>
        <v>Sauce douce pour humidifier le poisson</v>
      </c>
      <c r="E23" s="231" t="s">
        <v>55</v>
      </c>
      <c r="F23" s="232" t="str">
        <f>IF(UPPER($H$4)="X",IFERROR(INDEX($T$53:$T$82,MATCH($B$4,$A$53:$A$82,0)),""),"Masqué")</f>
        <v>Entrée remplacée ou adaptée en texture</v>
      </c>
      <c r="G23" s="231" t="s">
        <v>56</v>
      </c>
      <c r="H23" s="232" t="str">
        <f>IF(UPPER($H$4)="X",IFERROR(INDEX($U$53:$U$82,MATCH($B$4,$A$53:$A$82,0)),""),"Masqué")</f>
        <v>Compote ou fruit adapté</v>
      </c>
      <c r="I23" s="231" t="s">
        <v>57</v>
      </c>
      <c r="J23" s="232" t="str">
        <f>IF(UPPER($H$4)="X",IFERROR(INDEX($V$53:$V$82,MATCH($B$4,$A$53:$A$82,0)),""),"Masqué")</f>
        <v>Texture, taille des morceaux, allergènes, arêtes, âge</v>
      </c>
      <c r="K23" s="231" t="s">
        <v>58</v>
      </c>
      <c r="L23" s="232" t="str">
        <f>IF(UPPER($H$4)="X",IFERROR(INDEX($W$53:$W$82,MATCH($B$4,$A$53:$A$82,0)),""),"Masqué")</f>
        <v>Contrôle arêtes, cuisson fondante, service tiède</v>
      </c>
      <c r="M23" s="213"/>
    </row>
    <row r="24" spans="1:34" ht="15.75" x14ac:dyDescent="0.25">
      <c r="A24" s="231"/>
      <c r="B24" s="232"/>
      <c r="C24" s="231"/>
      <c r="D24" s="232"/>
      <c r="E24" s="231"/>
      <c r="F24" s="232"/>
      <c r="G24" s="231"/>
      <c r="H24" s="232"/>
      <c r="I24" s="231"/>
      <c r="J24" s="232"/>
      <c r="K24" s="231"/>
      <c r="L24" s="232"/>
      <c r="M24" s="213"/>
    </row>
    <row r="25" spans="1:34" ht="15.75" x14ac:dyDescent="0.25">
      <c r="A25" s="213"/>
      <c r="B25" s="213"/>
      <c r="C25" s="213"/>
      <c r="D25" s="213"/>
      <c r="E25" s="213"/>
      <c r="F25" s="213"/>
      <c r="G25" s="213"/>
      <c r="H25" s="213"/>
      <c r="I25" s="213" t="s">
        <v>792</v>
      </c>
      <c r="J25" s="213"/>
      <c r="K25" s="213"/>
      <c r="L25" s="213"/>
      <c r="M25" s="213"/>
    </row>
    <row r="26" spans="1:34" ht="24" customHeight="1" x14ac:dyDescent="0.25">
      <c r="A26" s="233" t="s">
        <v>59</v>
      </c>
      <c r="B26" s="234" t="s">
        <v>60</v>
      </c>
      <c r="C26" s="234" t="s">
        <v>61</v>
      </c>
      <c r="D26" s="234" t="s">
        <v>62</v>
      </c>
      <c r="E26" s="234" t="s">
        <v>63</v>
      </c>
      <c r="F26" s="234" t="s">
        <v>64</v>
      </c>
      <c r="G26" s="235"/>
      <c r="H26" s="225" t="s">
        <v>65</v>
      </c>
      <c r="I26" s="225" t="s">
        <v>61</v>
      </c>
      <c r="J26" s="225" t="s">
        <v>62</v>
      </c>
      <c r="K26" s="225" t="s">
        <v>63</v>
      </c>
      <c r="L26" s="225" t="s">
        <v>64</v>
      </c>
      <c r="M26" s="213"/>
    </row>
    <row r="27" spans="1:34" ht="24" customHeight="1" x14ac:dyDescent="0.25">
      <c r="A27" s="233"/>
      <c r="B27" s="234" t="s">
        <v>66</v>
      </c>
      <c r="C27" s="234" t="s">
        <v>67</v>
      </c>
      <c r="D27" s="234" t="s">
        <v>68</v>
      </c>
      <c r="E27" s="234" t="s">
        <v>69</v>
      </c>
      <c r="F27" s="234" t="s">
        <v>64</v>
      </c>
      <c r="G27" s="236"/>
      <c r="H27" s="225" t="s">
        <v>66</v>
      </c>
      <c r="I27" s="237" t="s">
        <v>67</v>
      </c>
      <c r="J27" s="237" t="s">
        <v>68</v>
      </c>
      <c r="K27" s="237" t="s">
        <v>69</v>
      </c>
      <c r="L27" s="237" t="s">
        <v>64</v>
      </c>
      <c r="M27" s="213"/>
      <c r="AA27" s="238" t="s">
        <v>70</v>
      </c>
      <c r="AB27" s="238" t="s">
        <v>61</v>
      </c>
      <c r="AC27" s="238" t="s">
        <v>71</v>
      </c>
      <c r="AD27" s="238" t="s">
        <v>72</v>
      </c>
      <c r="AE27" s="238" t="s">
        <v>73</v>
      </c>
      <c r="AF27" s="238" t="s">
        <v>74</v>
      </c>
      <c r="AG27" s="238" t="s">
        <v>75</v>
      </c>
      <c r="AH27" s="238" t="s">
        <v>76</v>
      </c>
    </row>
    <row r="28" spans="1:34" ht="24" customHeight="1" x14ac:dyDescent="0.25">
      <c r="A28" s="233"/>
      <c r="B28" s="217" t="str">
        <f t="shared" ref="B28:B33" si="0">$AA28</f>
        <v>Contraintes du convive</v>
      </c>
      <c r="C28" s="239">
        <f t="shared" ref="C28:C33" si="1">$AB28</f>
        <v>4</v>
      </c>
      <c r="D28" s="239">
        <f t="shared" ref="D28:D33" si="2">IF($B28="","",IF(OR(AND($AC28&lt;&gt;"",ISNUMBER(SEARCH($AC28,$AA$4))),AND($AD28&lt;&gt;"",ISNUMBER(SEARCH($AD28,$AA$4))),AND($AE28&lt;&gt;"",ISNUMBER(SEARCH($AE28,$AA$4)))),$C28,0))</f>
        <v>4</v>
      </c>
      <c r="E28" s="239">
        <f t="shared" ref="E28:E33" si="3">IF(COUNTA($B$15:$B$16)=0,"",IF(OR(AND($AC28&lt;&gt;"",ISNUMBER(SEARCH($AC28,$AA$5))),AND($AD28&lt;&gt;"",ISNUMBER(SEARCH($AD28,$AA$5))),AND($AE28&lt;&gt;"",ISNUMBER(SEARCH($AE28,$AA$5)))),$C28,0))</f>
        <v>4</v>
      </c>
      <c r="F28" s="240" t="str">
        <f t="shared" ref="F28:F33" si="4">IF(COUNTA($B$15:$B$16)=0,IF($D28&gt;0,"OK initial","Manque"),IF($E28&gt;0,IF($D28&gt;0,"OK","Corrigé"),"Manque"))</f>
        <v>OK</v>
      </c>
      <c r="G28" s="241"/>
      <c r="H28" s="219" t="str">
        <f t="shared" ref="H28:H33" si="5">$AA28</f>
        <v>Contraintes du convive</v>
      </c>
      <c r="I28" s="239">
        <f t="shared" ref="I28:I33" si="6">$AB28</f>
        <v>4</v>
      </c>
      <c r="J28" s="239">
        <f t="shared" ref="J28:J33" si="7">IF($H28="","",IF(OR(AND($AF28&lt;&gt;"",ISNUMBER(SEARCH($AF28,$AA$6))),AND($AG28&lt;&gt;"",ISNUMBER(SEARCH($AG28,$AA$6))),AND($AH28&lt;&gt;"",ISNUMBER(SEARCH($AH28,$AA$6)))),$I28,0))</f>
        <v>4</v>
      </c>
      <c r="K28" s="239">
        <f t="shared" ref="K28:K33" si="8">IF(COUNTA($I$15:$I$16)=0,"",IF(OR(AND($AF28&lt;&gt;"",ISNUMBER(SEARCH($AF28,$AA$7))),AND($AG28&lt;&gt;"",ISNUMBER(SEARCH($AG28,$AA$7))),AND($AH28&lt;&gt;"",ISNUMBER(SEARCH($AH28,$AA$7)))),$I28,0))</f>
        <v>4</v>
      </c>
      <c r="L28" s="240" t="str">
        <f t="shared" ref="L28:L33" si="9">IF(COUNTA($I$15:$I$16)=0,IF($J28&gt;0,"OK initial","Manque"),IF($K28&gt;0,IF($J28&gt;0,"OK","Corrigé"),"Manque"))</f>
        <v>OK</v>
      </c>
      <c r="M28" s="213"/>
      <c r="AA28" s="199" t="str">
        <f>IFERROR(INDEX($Y$53:$Y$82,MATCH($B$4,$A$53:$A$82,0)),"")</f>
        <v>Contraintes du convive</v>
      </c>
      <c r="AB28" s="242">
        <f>IFERROR(INDEX($Z$53:$Z$82,MATCH($B$4,$A$53:$A$82,0)),0)</f>
        <v>4</v>
      </c>
      <c r="AC28"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A$53:$AA$82,MATCH($B$4,$A$53:$A$82,0))),CHAR(160)," ")," "," "),CHAR(10)," "),CHAR(13)," "),CHAR(9)," "),"’","'"),"."," "),","," "),";"," "),":"," "),"-"," "),"("," "),")"," "),"?"," "),"!"," "),"/"," "),"é","e"),"è","e"),"ê","e"),"ë","e"),"à","a"),"â","a"),"ä","a"),"ù","u"),"û","u"),"ü","u"),"ô","o"),"ö","o"),"î","i"),"ï","i"),"ç","c"))),"")</f>
        <v>creche</v>
      </c>
      <c r="AD28"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B$53:$AB$82,MATCH($B$4,$A$53:$A$82,0))),CHAR(160)," ")," "," "),CHAR(10)," "),CHAR(13)," "),CHAR(9)," "),"’","'"),"."," "),","," "),";"," "),":"," "),"-"," "),"("," "),")"," "),"?"," "),"!"," "),"/"," "),"é","e"),"è","e"),"ê","e"),"ë","e"),"à","a"),"â","a"),"ä","a"),"ù","u"),"û","u"),"ü","u"),"ô","o"),"ö","o"),"î","i"),"ï","i"),"ç","c"))),"")</f>
        <v>petite enfance</v>
      </c>
      <c r="AE28"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C$53:$AC$82,MATCH($B$4,$A$53:$A$82,0))),CHAR(160)," ")," "," "),CHAR(10)," "),CHAR(13)," "),CHAR(9)," "),"’","'"),"."," "),","," "),";"," "),":"," "),"-"," "),"("," "),")"," "),"?"," "),"!"," "),"/"," "),"é","e"),"è","e"),"ê","e"),"ë","e"),"à","a"),"â","a"),"ä","a"),"ù","u"),"û","u"),"ü","u"),"ô","o"),"ö","o"),"î","i"),"ï","i"),"ç","c"))),"")</f>
        <v>age</v>
      </c>
      <c r="AF28"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D$53:$AD$82,MATCH($B$4,$A$53:$A$82,0))),CHAR(160)," ")," "," "),CHAR(10)," "),CHAR(13)," "),CHAR(9)," "),"’","'"),"."," "),","," "),";"," "),":"," "),"-"," "),"("," "),")"," "),"?"," "),"!"," "),"/"," "),"é","e"),"è","e"),"ê","e"),"ë","e"),"à","a"),"â","a"),"ä","a"),"ù","u"),"û","u"),"ü","u"),"ô","o"),"ö","o"),"î","i"),"ï","i"),"ç","c"))),"")</f>
        <v>tout petits</v>
      </c>
      <c r="AG28"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E$53:$AE$82,MATCH($B$4,$A$53:$A$82,0))),CHAR(160)," ")," "," "),CHAR(10)," "),CHAR(13)," "),CHAR(9)," "),"’","'"),"."," "),","," "),";"," "),":"," "),"-"," "),"("," "),")"," "),"?"," "),"!"," "),"/"," "),"é","e"),"è","e"),"ê","e"),"ë","e"),"à","a"),"â","a"),"ä","a"),"ù","u"),"û","u"),"ü","u"),"ô","o"),"ö","o"),"î","i"),"ï","i"),"ç","c"))),"")</f>
        <v>bebes</v>
      </c>
      <c r="AH28"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F$53:$AF$82,MATCH($B$4,$A$53:$A$82,0))),CHAR(160)," ")," "," "),CHAR(10)," "),CHAR(13)," "),CHAR(9)," "),"’","'"),"."," "),","," "),";"," "),":"," "),"-"," "),"("," "),")"," "),"?"," "),"!"," "),"/"," "),"é","e"),"è","e"),"ê","e"),"ë","e"),"à","a"),"â","a"),"ä","a"),"ù","u"),"û","u"),"ü","u"),"ô","o"),"ö","o"),"î","i"),"ï","i"),"ç","c"))),"")</f>
        <v>enfants</v>
      </c>
    </row>
    <row r="29" spans="1:34" ht="24" customHeight="1" x14ac:dyDescent="0.25">
      <c r="A29" s="233"/>
      <c r="B29" s="217" t="str">
        <f t="shared" si="0"/>
        <v>Texture / mastication</v>
      </c>
      <c r="C29" s="239">
        <f t="shared" si="1"/>
        <v>4</v>
      </c>
      <c r="D29" s="239">
        <f t="shared" si="2"/>
        <v>4</v>
      </c>
      <c r="E29" s="239">
        <f t="shared" si="3"/>
        <v>4</v>
      </c>
      <c r="F29" s="240" t="str">
        <f t="shared" si="4"/>
        <v>OK</v>
      </c>
      <c r="G29" s="241"/>
      <c r="H29" s="219" t="str">
        <f t="shared" si="5"/>
        <v>Texture / mastication</v>
      </c>
      <c r="I29" s="239">
        <f t="shared" si="6"/>
        <v>4</v>
      </c>
      <c r="J29" s="239">
        <f t="shared" si="7"/>
        <v>4</v>
      </c>
      <c r="K29" s="239">
        <f t="shared" si="8"/>
        <v>4</v>
      </c>
      <c r="L29" s="240" t="str">
        <f t="shared" si="9"/>
        <v>OK</v>
      </c>
      <c r="M29" s="213"/>
      <c r="AA29" s="199" t="str">
        <f>IFERROR(INDEX($AG$53:$AG$82,MATCH($B$4,$A$53:$A$82,0)),"")</f>
        <v>Texture / mastication</v>
      </c>
      <c r="AB29" s="242">
        <f>IFERROR(INDEX($AH$53:$AH$82,MATCH($B$4,$A$53:$A$82,0)),0)</f>
        <v>4</v>
      </c>
      <c r="AC29"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I$53:$AI$82,MATCH($B$4,$A$53:$A$82,0))),CHAR(160)," ")," "," "),CHAR(10)," "),CHAR(13)," "),CHAR(9)," "),"’","'"),"."," "),","," "),";"," "),":"," "),"-"," "),"("," "),")"," "),"?"," "),"!"," "),"/"," "),"é","e"),"è","e"),"ê","e"),"ë","e"),"à","a"),"â","a"),"ä","a"),"ù","u"),"û","u"),"ü","u"),"ô","o"),"ö","o"),"î","i"),"ï","i"),"ç","c"))),"")</f>
        <v>morceaux</v>
      </c>
      <c r="AD29"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J$53:$AJ$82,MATCH($B$4,$A$53:$A$82,0))),CHAR(160)," ")," "," "),CHAR(10)," "),CHAR(13)," "),CHAR(9)," "),"’","'"),"."," "),","," "),";"," "),":"," "),"-"," "),"("," "),")"," "),"?"," "),"!"," "),"/"," "),"é","e"),"è","e"),"ê","e"),"ë","e"),"à","a"),"â","a"),"ä","a"),"ù","u"),"û","u"),"ü","u"),"ô","o"),"ö","o"),"î","i"),"ï","i"),"ç","c"))),"")</f>
        <v>aretes</v>
      </c>
      <c r="AE29"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K$53:$AK$82,MATCH($B$4,$A$53:$A$82,0))),CHAR(160)," ")," "," "),CHAR(10)," "),CHAR(13)," "),CHAR(9)," "),"’","'"),"."," "),","," "),";"," "),":"," "),"-"," "),"("," "),")"," "),"?"," "),"!"," "),"/"," "),"é","e"),"è","e"),"ê","e"),"ë","e"),"à","a"),"â","a"),"ä","a"),"ù","u"),"û","u"),"ü","u"),"ô","o"),"ö","o"),"î","i"),"ï","i"),"ç","c"))),"")</f>
        <v>texture</v>
      </c>
      <c r="AF29"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L$53:$AL$82,MATCH($B$4,$A$53:$A$82,0))),CHAR(160)," ")," "," "),CHAR(10)," "),CHAR(13)," "),CHAR(9)," "),"’","'"),"."," "),","," "),";"," "),":"," "),"-"," "),"("," "),")"," "),"?"," "),"!"," "),"/"," "),"é","e"),"è","e"),"ê","e"),"ë","e"),"à","a"),"â","a"),"ä","a"),"ù","u"),"û","u"),"ü","u"),"ô","o"),"ö","o"),"î","i"),"ï","i"),"ç","c"))),"")</f>
        <v>morceaux</v>
      </c>
      <c r="AG29"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M$53:$AM$82,MATCH($B$4,$A$53:$A$82,0))),CHAR(160)," ")," "," "),CHAR(10)," "),CHAR(13)," "),CHAR(9)," "),"’","'"),"."," "),","," "),";"," "),":"," "),"-"," "),"("," "),")"," "),"?"," "),"!"," "),"/"," "),"é","e"),"è","e"),"ê","e"),"ë","e"),"à","a"),"â","a"),"ä","a"),"ù","u"),"û","u"),"ü","u"),"ô","o"),"ö","o"),"î","i"),"ï","i"),"ç","c"))),"")</f>
        <v>macher</v>
      </c>
      <c r="AH29"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N$53:$AN$82,MATCH($B$4,$A$53:$A$82,0))),CHAR(160)," ")," "," "),CHAR(10)," "),CHAR(13)," "),CHAR(9)," "),"’","'"),"."," "),","," "),";"," "),":"," "),"-"," "),"("," "),")"," "),"?"," "),"!"," "),"/"," "),"é","e"),"è","e"),"ê","e"),"ë","e"),"à","a"),"â","a"),"ä","a"),"ù","u"),"û","u"),"ü","u"),"ô","o"),"ö","o"),"î","i"),"ï","i"),"ç","c"))),"")</f>
        <v>dur</v>
      </c>
    </row>
    <row r="30" spans="1:34" ht="24" customHeight="1" x14ac:dyDescent="0.25">
      <c r="A30" s="233"/>
      <c r="B30" s="217" t="str">
        <f t="shared" si="0"/>
        <v>Portion / satiété</v>
      </c>
      <c r="C30" s="239">
        <f t="shared" si="1"/>
        <v>3</v>
      </c>
      <c r="D30" s="239">
        <f t="shared" si="2"/>
        <v>0</v>
      </c>
      <c r="E30" s="239">
        <f t="shared" si="3"/>
        <v>3</v>
      </c>
      <c r="F30" s="240" t="str">
        <f t="shared" si="4"/>
        <v>Corrigé</v>
      </c>
      <c r="G30" s="241"/>
      <c r="H30" s="219" t="str">
        <f t="shared" si="5"/>
        <v>Portion / satiété</v>
      </c>
      <c r="I30" s="239">
        <f t="shared" si="6"/>
        <v>3</v>
      </c>
      <c r="J30" s="239">
        <f t="shared" si="7"/>
        <v>3</v>
      </c>
      <c r="K30" s="239">
        <f t="shared" si="8"/>
        <v>3</v>
      </c>
      <c r="L30" s="240" t="str">
        <f t="shared" si="9"/>
        <v>OK</v>
      </c>
      <c r="M30" s="213"/>
      <c r="AA30" s="199" t="str">
        <f>IFERROR(INDEX($AO$53:$AO$82,MATCH($B$4,$A$53:$A$82,0)),"")</f>
        <v>Portion / satiété</v>
      </c>
      <c r="AB30" s="242">
        <f>IFERROR(INDEX($AP$53:$AP$82,MATCH($B$4,$A$53:$A$82,0)),0)</f>
        <v>3</v>
      </c>
      <c r="AC30"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Q$53:$AQ$82,MATCH($B$4,$A$53:$A$82,0))),CHAR(160)," ")," "," "),CHAR(10)," "),CHAR(13)," "),CHAR(9)," "),"’","'"),"."," "),","," "),";"," "),":"," "),"-"," "),"("," "),")"," "),"?"," "),"!"," "),"/"," "),"é","e"),"è","e"),"ê","e"),"ë","e"),"à","a"),"â","a"),"ä","a"),"ù","u"),"û","u"),"ü","u"),"ô","o"),"ö","o"),"î","i"),"ï","i"),"ç","c"))),"")</f>
        <v>portion</v>
      </c>
      <c r="AD30"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R$53:$AR$82,MATCH($B$4,$A$53:$A$82,0))),CHAR(160)," ")," "," "),CHAR(10)," "),CHAR(13)," "),CHAR(9)," "),"’","'"),"."," "),","," "),";"," "),":"," "),"-"," "),"("," "),")"," "),"?"," "),"!"," "),"/"," "),"é","e"),"è","e"),"ê","e"),"ë","e"),"à","a"),"â","a"),"ä","a"),"ù","u"),"û","u"),"ü","u"),"ô","o"),"ö","o"),"î","i"),"ï","i"),"ç","c"))),"")</f>
        <v>progression</v>
      </c>
      <c r="AE30"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S$53:$AS$82,MATCH($B$4,$A$53:$A$82,0))),CHAR(160)," ")," "," "),CHAR(10)," "),CHAR(13)," "),CHAR(9)," "),"’","'"),"."," "),","," "),";"," "),":"," "),"-"," "),"("," "),")"," "),"?"," "),"!"," "),"/"," "),"é","e"),"è","e"),"ê","e"),"ë","e"),"à","a"),"â","a"),"ä","a"),"ù","u"),"û","u"),"ü","u"),"ô","o"),"ö","o"),"î","i"),"ï","i"),"ç","c"))),"")</f>
        <v>quantite</v>
      </c>
      <c r="AF30"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T$53:$AT$82,MATCH($B$4,$A$53:$A$82,0))),CHAR(160)," ")," "," "),CHAR(10)," "),CHAR(13)," "),CHAR(9)," "),"’","'"),"."," "),","," "),";"," "),":"," "),"-"," "),"("," "),")"," "),"?"," "),"!"," "),"/"," "),"é","e"),"è","e"),"ê","e"),"ë","e"),"à","a"),"â","a"),"ä","a"),"ù","u"),"û","u"),"ü","u"),"ô","o"),"ö","o"),"î","i"),"ï","i"),"ç","c"))),"")</f>
        <v>petite portion</v>
      </c>
      <c r="AG30"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U$53:$AU$82,MATCH($B$4,$A$53:$A$82,0))),CHAR(160)," ")," "," "),CHAR(10)," "),CHAR(13)," "),CHAR(9)," "),"’","'"),"."," "),","," "),";"," "),":"," "),"-"," "),"("," "),")"," "),"?"," "),"!"," "),"/"," "),"é","e"),"è","e"),"ê","e"),"ë","e"),"à","a"),"â","a"),"ä","a"),"ù","u"),"û","u"),"ü","u"),"ô","o"),"ö","o"),"î","i"),"ï","i"),"ç","c"))),"")</f>
        <v>petit</v>
      </c>
      <c r="AH30"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V$53:$AV$82,MATCH($B$4,$A$53:$A$82,0))),CHAR(160)," ")," "," "),CHAR(10)," "),CHAR(13)," "),CHAR(9)," "),"’","'"),"."," "),","," "),";"," "),":"," "),"-"," "),"("," "),")"," "),"?"," "),"!"," "),"/"," "),"é","e"),"è","e"),"ê","e"),"ë","e"),"à","a"),"â","a"),"ä","a"),"ù","u"),"û","u"),"ü","u"),"ô","o"),"ö","o"),"î","i"),"ï","i"),"ç","c"))),"")</f>
        <v>adapte</v>
      </c>
    </row>
    <row r="31" spans="1:34" ht="24" customHeight="1" x14ac:dyDescent="0.25">
      <c r="A31" s="233"/>
      <c r="B31" s="217" t="str">
        <f t="shared" si="0"/>
        <v>Sauce / présentation</v>
      </c>
      <c r="C31" s="239">
        <f t="shared" si="1"/>
        <v>3</v>
      </c>
      <c r="D31" s="239">
        <f t="shared" si="2"/>
        <v>0</v>
      </c>
      <c r="E31" s="239">
        <f t="shared" si="3"/>
        <v>3</v>
      </c>
      <c r="F31" s="240" t="str">
        <f t="shared" si="4"/>
        <v>Corrigé</v>
      </c>
      <c r="G31" s="241"/>
      <c r="H31" s="219" t="str">
        <f t="shared" si="5"/>
        <v>Sauce / présentation</v>
      </c>
      <c r="I31" s="239">
        <f t="shared" si="6"/>
        <v>3</v>
      </c>
      <c r="J31" s="239">
        <f t="shared" si="7"/>
        <v>3</v>
      </c>
      <c r="K31" s="239">
        <f t="shared" si="8"/>
        <v>3</v>
      </c>
      <c r="L31" s="240" t="str">
        <f t="shared" si="9"/>
        <v>OK</v>
      </c>
      <c r="M31" s="213"/>
      <c r="AA31" s="199" t="str">
        <f>IFERROR(INDEX($AW$53:$AW$82,MATCH($B$4,$A$53:$A$82,0)),"")</f>
        <v>Sauce / présentation</v>
      </c>
      <c r="AB31" s="242">
        <f>IFERROR(INDEX($AX$53:$AX$82,MATCH($B$4,$A$53:$A$82,0)),0)</f>
        <v>3</v>
      </c>
      <c r="AC31"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Y$53:$AY$82,MATCH($B$4,$A$53:$A$82,0))),CHAR(160)," ")," "," "),CHAR(10)," "),CHAR(13)," "),CHAR(9)," "),"’","'"),"."," "),","," "),";"," "),":"," "),"-"," "),"("," "),")"," "),"?"," "),"!"," "),"/"," "),"é","e"),"è","e"),"ê","e"),"ë","e"),"à","a"),"â","a"),"ä","a"),"ù","u"),"û","u"),"ü","u"),"ô","o"),"ö","o"),"î","i"),"ï","i"),"ç","c"))),"")</f>
        <v>sauce</v>
      </c>
      <c r="AD31"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AZ$53:$AZ$82,MATCH($B$4,$A$53:$A$82,0))),CHAR(160)," ")," "," "),CHAR(10)," "),CHAR(13)," "),CHAR(9)," "),"’","'"),"."," "),","," "),";"," "),":"," "),"-"," "),"("," "),")"," "),"?"," "),"!"," "),"/"," "),"é","e"),"è","e"),"ê","e"),"ë","e"),"à","a"),"â","a"),"ä","a"),"ù","u"),"û","u"),"ü","u"),"ô","o"),"ö","o"),"î","i"),"ï","i"),"ç","c"))),"")</f>
        <v>douce</v>
      </c>
      <c r="AE31"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A$53:$BA$82,MATCH($B$4,$A$53:$A$82,0))),CHAR(160)," ")," "," "),CHAR(10)," "),CHAR(13)," "),CHAR(9)," "),"’","'"),"."," "),","," "),";"," "),":"," "),"-"," "),"("," "),")"," "),"?"," "),"!"," "),"/"," "),"é","e"),"è","e"),"ê","e"),"ë","e"),"à","a"),"â","a"),"ä","a"),"ù","u"),"û","u"),"ü","u"),"ô","o"),"ö","o"),"î","i"),"ï","i"),"ç","c"))),"")</f>
        <v>presentation</v>
      </c>
      <c r="AF31"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B$53:$BB$82,MATCH($B$4,$A$53:$A$82,0))),CHAR(160)," ")," "," "),CHAR(10)," "),CHAR(13)," "),CHAR(9)," "),"’","'"),"."," "),","," "),";"," "),":"," "),"-"," "),"("," "),")"," "),"?"," "),"!"," "),"/"," "),"é","e"),"è","e"),"ê","e"),"ë","e"),"à","a"),"â","a"),"ä","a"),"ù","u"),"û","u"),"ü","u"),"ô","o"),"ö","o"),"î","i"),"ï","i"),"ç","c"))),"")</f>
        <v>sauce</v>
      </c>
      <c r="AG31"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C$53:$BC$82,MATCH($B$4,$A$53:$A$82,0))),CHAR(160)," ")," "," "),CHAR(10)," "),CHAR(13)," "),CHAR(9)," "),"’","'"),"."," "),","," "),";"," "),":"," "),"-"," "),"("," "),")"," "),"?"," "),"!"," "),"/"," "),"é","e"),"è","e"),"ê","e"),"ë","e"),"à","a"),"â","a"),"ä","a"),"ù","u"),"û","u"),"ü","u"),"ô","o"),"ö","o"),"î","i"),"ï","i"),"ç","c"))),"")</f>
        <v>doux</v>
      </c>
      <c r="AH31"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D$53:$BD$82,MATCH($B$4,$A$53:$A$82,0))),CHAR(160)," ")," "," "),CHAR(10)," "),CHAR(13)," "),CHAR(9)," "),"’","'"),"."," "),","," "),";"," "),":"," "),"-"," "),"("," "),")"," "),"?"," "),"!"," "),"/"," "),"é","e"),"è","e"),"ê","e"),"ë","e"),"à","a"),"â","a"),"ä","a"),"ù","u"),"û","u"),"ü","u"),"ô","o"),"ö","o"),"î","i"),"ï","i"),"ç","c"))),"")</f>
        <v>joli</v>
      </c>
    </row>
    <row r="32" spans="1:34" ht="24" customHeight="1" x14ac:dyDescent="0.25">
      <c r="A32" s="233"/>
      <c r="B32" s="217" t="str">
        <f t="shared" si="0"/>
        <v>Dessert / correction</v>
      </c>
      <c r="C32" s="239">
        <f t="shared" si="1"/>
        <v>3</v>
      </c>
      <c r="D32" s="239">
        <f t="shared" si="2"/>
        <v>0</v>
      </c>
      <c r="E32" s="239">
        <f t="shared" si="3"/>
        <v>3</v>
      </c>
      <c r="F32" s="240" t="str">
        <f t="shared" si="4"/>
        <v>Corrigé</v>
      </c>
      <c r="G32" s="241"/>
      <c r="H32" s="219" t="str">
        <f t="shared" si="5"/>
        <v>Dessert / correction</v>
      </c>
      <c r="I32" s="239">
        <f t="shared" si="6"/>
        <v>3</v>
      </c>
      <c r="J32" s="239">
        <f t="shared" si="7"/>
        <v>0</v>
      </c>
      <c r="K32" s="239">
        <f t="shared" si="8"/>
        <v>3</v>
      </c>
      <c r="L32" s="240" t="str">
        <f t="shared" si="9"/>
        <v>Corrigé</v>
      </c>
      <c r="M32" s="213"/>
      <c r="AA32" s="199" t="str">
        <f>IFERROR(INDEX($BE$53:$BE$82,MATCH($B$4,$A$53:$A$82,0)),"")</f>
        <v>Dessert / correction</v>
      </c>
      <c r="AB32" s="242">
        <f>IFERROR(INDEX($BF$53:$BF$82,MATCH($B$4,$A$53:$A$82,0)),0)</f>
        <v>3</v>
      </c>
      <c r="AC32"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G$53:$BG$82,MATCH($B$4,$A$53:$A$82,0))),CHAR(160)," ")," "," "),CHAR(10)," "),CHAR(13)," "),CHAR(9)," "),"’","'"),"."," "),","," "),";"," "),":"," "),"-"," "),"("," "),")"," "),"?"," "),"!"," "),"/"," "),"é","e"),"è","e"),"ê","e"),"ë","e"),"à","a"),"â","a"),"ä","a"),"ù","u"),"û","u"),"ü","u"),"ô","o"),"ö","o"),"î","i"),"ï","i"),"ç","c"))),"")</f>
        <v>compote</v>
      </c>
      <c r="AD32"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H$53:$BH$82,MATCH($B$4,$A$53:$A$82,0))),CHAR(160)," ")," "," "),CHAR(10)," "),CHAR(13)," "),CHAR(9)," "),"’","'"),"."," "),","," "),";"," "),":"," "),"-"," "),"("," "),")"," "),"?"," "),"!"," "),"/"," "),"é","e"),"è","e"),"ê","e"),"ë","e"),"à","a"),"â","a"),"ä","a"),"ù","u"),"û","u"),"ü","u"),"ô","o"),"ö","o"),"î","i"),"ï","i"),"ç","c"))),"")</f>
        <v>fruit adapte</v>
      </c>
      <c r="AE32"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I$53:$BI$82,MATCH($B$4,$A$53:$A$82,0))),CHAR(160)," ")," "," "),CHAR(10)," "),CHAR(13)," "),CHAR(9)," "),"’","'"),"."," "),","," "),";"," "),":"," "),"-"," "),"("," "),")"," "),"?"," "),"!"," "),"/"," "),"é","e"),"è","e"),"ê","e"),"ë","e"),"à","a"),"â","a"),"ä","a"),"ù","u"),"û","u"),"ü","u"),"ô","o"),"ö","o"),"î","i"),"ï","i"),"ç","c"))),"")</f>
        <v>dessert</v>
      </c>
      <c r="AF32"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J$53:$BJ$82,MATCH($B$4,$A$53:$A$82,0))),CHAR(160)," ")," "," "),CHAR(10)," "),CHAR(13)," "),CHAR(9)," "),"’","'"),"."," "),","," "),";"," "),":"," "),"-"," "),"("," "),")"," "),"?"," "),"!"," "),"/"," "),"é","e"),"è","e"),"ê","e"),"ë","e"),"à","a"),"â","a"),"ä","a"),"ù","u"),"û","u"),"ü","u"),"ô","o"),"ö","o"),"î","i"),"ï","i"),"ç","c"))),"")</f>
        <v>compote</v>
      </c>
      <c r="AG32"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K$53:$BK$82,MATCH($B$4,$A$53:$A$82,0))),CHAR(160)," ")," "," "),CHAR(10)," "),CHAR(13)," "),CHAR(9)," "),"’","'"),"."," "),","," "),";"," "),":"," "),"-"," "),"("," "),")"," "),"?"," "),"!"," "),"/"," "),"é","e"),"è","e"),"ê","e"),"ë","e"),"à","a"),"â","a"),"ä","a"),"ù","u"),"û","u"),"ü","u"),"ô","o"),"ö","o"),"î","i"),"ï","i"),"ç","c"))),"")</f>
        <v>fruit</v>
      </c>
      <c r="AH32"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L$53:$BL$82,MATCH($B$4,$A$53:$A$82,0))),CHAR(160)," ")," "," "),CHAR(10)," "),CHAR(13)," "),CHAR(9)," "),"’","'"),"."," "),","," "),";"," "),":"," "),"-"," "),"("," "),")"," "),"?"," "),"!"," "),"/"," "),"é","e"),"è","e"),"ê","e"),"ë","e"),"à","a"),"â","a"),"ä","a"),"ù","u"),"û","u"),"ü","u"),"ô","o"),"ö","o"),"î","i"),"ï","i"),"ç","c"))),"")</f>
        <v>dessert</v>
      </c>
    </row>
    <row r="33" spans="1:34" ht="24" customHeight="1" x14ac:dyDescent="0.25">
      <c r="A33" s="233"/>
      <c r="B33" s="217" t="str">
        <f t="shared" si="0"/>
        <v>Justification claire</v>
      </c>
      <c r="C33" s="239">
        <f t="shared" si="1"/>
        <v>3</v>
      </c>
      <c r="D33" s="239">
        <f t="shared" si="2"/>
        <v>3</v>
      </c>
      <c r="E33" s="239">
        <f t="shared" si="3"/>
        <v>3</v>
      </c>
      <c r="F33" s="240" t="str">
        <f t="shared" si="4"/>
        <v>OK</v>
      </c>
      <c r="G33" s="241"/>
      <c r="H33" s="219" t="str">
        <f t="shared" si="5"/>
        <v>Justification claire</v>
      </c>
      <c r="I33" s="239">
        <f t="shared" si="6"/>
        <v>3</v>
      </c>
      <c r="J33" s="239">
        <f t="shared" si="7"/>
        <v>3</v>
      </c>
      <c r="K33" s="239">
        <f t="shared" si="8"/>
        <v>3</v>
      </c>
      <c r="L33" s="240" t="str">
        <f t="shared" si="9"/>
        <v>OK</v>
      </c>
      <c r="M33" s="213"/>
      <c r="AA33" s="199" t="str">
        <f>IFERROR(INDEX($BM$53:$BM$82,MATCH($B$4,$A$53:$A$82,0)),"")</f>
        <v>Justification claire</v>
      </c>
      <c r="AB33" s="242">
        <f>IFERROR(INDEX($BN$53:$BN$82,MATCH($B$4,$A$53:$A$82,0)),0)</f>
        <v>3</v>
      </c>
      <c r="AC33"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O$53:$BO$82,MATCH($B$4,$A$53:$A$82,0))),CHAR(160)," ")," "," "),CHAR(10)," "),CHAR(13)," "),CHAR(9)," "),"’","'"),"."," "),","," "),";"," "),":"," "),"-"," "),"("," "),")"," "),"?"," "),"!"," "),"/"," "),"é","e"),"è","e"),"ê","e"),"ë","e"),"à","a"),"â","a"),"ä","a"),"ù","u"),"û","u"),"ü","u"),"ô","o"),"ö","o"),"î","i"),"ï","i"),"ç","c"))),"")</f>
        <v>securite</v>
      </c>
      <c r="AD33"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P$53:$BP$82,MATCH($B$4,$A$53:$A$82,0))),CHAR(160)," ")," "," "),CHAR(10)," "),CHAR(13)," "),CHAR(9)," "),"’","'"),"."," "),","," "),";"," "),":"," "),"-"," "),"("," "),")"," "),"?"," "),"!"," "),"/"," "),"é","e"),"è","e"),"ê","e"),"ë","e"),"à","a"),"â","a"),"ä","a"),"ù","u"),"û","u"),"ü","u"),"ô","o"),"ö","o"),"î","i"),"ï","i"),"ç","c"))),"")</f>
        <v>adapte</v>
      </c>
      <c r="AE33"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Q$53:$BQ$82,MATCH($B$4,$A$53:$A$82,0))),CHAR(160)," ")," "," "),CHAR(10)," "),CHAR(13)," "),CHAR(9)," "),"’","'"),"."," "),","," "),";"," "),":"," "),"-"," "),"("," "),")"," "),"?"," "),"!"," "),"/"," "),"é","e"),"è","e"),"ê","e"),"ë","e"),"à","a"),"â","a"),"ä","a"),"ù","u"),"û","u"),"ü","u"),"ô","o"),"ö","o"),"î","i"),"ï","i"),"ç","c"))),"")</f>
        <v>risque</v>
      </c>
      <c r="AF33"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R$53:$BR$82,MATCH($B$4,$A$53:$A$82,0))),CHAR(160)," ")," "," "),CHAR(10)," "),CHAR(13)," "),CHAR(9)," "),"’","'"),"."," "),","," "),";"," "),":"," "),"-"," "),"("," "),")"," "),"?"," "),"!"," "),"/"," "),"é","e"),"è","e"),"ê","e"),"ë","e"),"à","a"),"â","a"),"ä","a"),"ù","u"),"û","u"),"ü","u"),"ô","o"),"ö","o"),"î","i"),"ï","i"),"ç","c"))),"")</f>
        <v>sur</v>
      </c>
      <c r="AG33"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S$53:$BS$82,MATCH($B$4,$A$53:$A$82,0))),CHAR(160)," ")," "," "),CHAR(10)," "),CHAR(13)," "),CHAR(9)," "),"’","'"),"."," "),","," "),";"," "),":"," "),"-"," "),"("," "),")"," "),"?"," "),"!"," "),"/"," "),"é","e"),"è","e"),"ê","e"),"ë","e"),"à","a"),"â","a"),"ä","a"),"ù","u"),"û","u"),"ü","u"),"ô","o"),"ö","o"),"î","i"),"ï","i"),"ç","c"))),"")</f>
        <v>pour</v>
      </c>
      <c r="AH33" s="242" t="str">
        <f>IFERROR(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NDEX($BT$53:$BT$82,MATCH($B$4,$A$53:$A$82,0))),CHAR(160)," ")," "," "),CHAR(10)," "),CHAR(13)," "),CHAR(9)," "),"’","'"),"."," "),","," "),";"," "),":"," "),"-"," "),"("," "),")"," "),"?"," "),"!"," "),"/"," "),"é","e"),"è","e"),"ê","e"),"ë","e"),"à","a"),"â","a"),"ä","a"),"ù","u"),"û","u"),"ü","u"),"ô","o"),"ö","o"),"î","i"),"ï","i"),"ç","c"))),"")</f>
        <v>risque</v>
      </c>
    </row>
    <row r="34" spans="1:34" ht="24" customHeight="1" x14ac:dyDescent="0.25">
      <c r="A34" s="233"/>
      <c r="B34" s="217" t="s">
        <v>77</v>
      </c>
      <c r="C34" s="234">
        <f>SUM($D$28:$D$33)</f>
        <v>11</v>
      </c>
      <c r="D34" s="243"/>
      <c r="E34" s="243"/>
      <c r="F34" s="243"/>
      <c r="G34" s="244"/>
      <c r="H34" s="219" t="s">
        <v>78</v>
      </c>
      <c r="I34" s="225">
        <f>SUM($J$28:$J$33)</f>
        <v>17</v>
      </c>
      <c r="J34" s="243"/>
      <c r="K34" s="243"/>
      <c r="L34" s="243"/>
      <c r="M34" s="213"/>
    </row>
    <row r="35" spans="1:34" ht="24" customHeight="1" x14ac:dyDescent="0.25">
      <c r="A35" s="233"/>
      <c r="B35" s="217" t="s">
        <v>79</v>
      </c>
      <c r="C35" s="234">
        <f>IF(COUNTA($B$15:$B$16)=0,"",SUM($E$28:$E$33))</f>
        <v>20</v>
      </c>
      <c r="D35" s="243"/>
      <c r="E35" s="243"/>
      <c r="F35" s="243"/>
      <c r="G35" s="244"/>
      <c r="H35" s="219" t="s">
        <v>80</v>
      </c>
      <c r="I35" s="225">
        <f>IF(COUNTA($I$15:$I$16)=0,"",SUM($K$28:$K$33))</f>
        <v>20</v>
      </c>
      <c r="J35" s="243"/>
      <c r="K35" s="243"/>
      <c r="L35" s="243"/>
      <c r="M35" s="213"/>
    </row>
    <row r="36" spans="1:34" ht="24" customHeight="1" x14ac:dyDescent="0.25">
      <c r="A36" s="233"/>
      <c r="B36" s="261" t="s">
        <v>81</v>
      </c>
      <c r="C36" s="262">
        <f>IF($C$35="","",$C$35-$C$34)</f>
        <v>9</v>
      </c>
      <c r="D36" s="245"/>
      <c r="E36" s="245"/>
      <c r="F36" s="245"/>
      <c r="G36" s="210"/>
      <c r="H36" s="261" t="s">
        <v>82</v>
      </c>
      <c r="I36" s="262">
        <f>IF($I$35="","",$I$35-$I$34)</f>
        <v>3</v>
      </c>
      <c r="J36" s="245"/>
      <c r="K36" s="245"/>
      <c r="L36" s="245"/>
      <c r="M36" s="213"/>
    </row>
    <row r="37" spans="1:34" ht="15.75" x14ac:dyDescent="0.25">
      <c r="A37" s="195"/>
      <c r="B37" s="194"/>
      <c r="C37" s="195"/>
      <c r="D37" s="195"/>
      <c r="E37" s="195"/>
      <c r="F37" s="195"/>
      <c r="G37" s="195"/>
      <c r="H37" s="195"/>
      <c r="I37" s="195"/>
      <c r="J37" s="246"/>
      <c r="K37" s="246"/>
      <c r="L37" s="246"/>
      <c r="M37" s="246"/>
    </row>
    <row r="52" spans="1:72" ht="27.95" customHeight="1" x14ac:dyDescent="0.25">
      <c r="A52" s="247" t="s">
        <v>83</v>
      </c>
      <c r="B52" s="247" t="s">
        <v>5</v>
      </c>
      <c r="C52" s="247" t="s">
        <v>6</v>
      </c>
      <c r="D52" s="247" t="s">
        <v>84</v>
      </c>
      <c r="E52" s="247" t="s">
        <v>85</v>
      </c>
      <c r="F52" s="247" t="s">
        <v>86</v>
      </c>
      <c r="G52" s="247" t="s">
        <v>87</v>
      </c>
      <c r="H52" s="247" t="s">
        <v>88</v>
      </c>
      <c r="I52" s="247" t="s">
        <v>89</v>
      </c>
      <c r="J52" s="247" t="s">
        <v>90</v>
      </c>
      <c r="K52" s="247" t="s">
        <v>91</v>
      </c>
      <c r="L52" s="247" t="s">
        <v>92</v>
      </c>
      <c r="M52" s="247" t="s">
        <v>93</v>
      </c>
      <c r="N52" s="247" t="s">
        <v>94</v>
      </c>
      <c r="O52" s="247" t="s">
        <v>95</v>
      </c>
      <c r="P52" s="247" t="s">
        <v>96</v>
      </c>
      <c r="Q52" s="247" t="s">
        <v>97</v>
      </c>
      <c r="R52" s="247" t="s">
        <v>98</v>
      </c>
      <c r="S52" s="247" t="s">
        <v>99</v>
      </c>
      <c r="T52" s="247" t="s">
        <v>100</v>
      </c>
      <c r="U52" s="247" t="s">
        <v>101</v>
      </c>
      <c r="V52" s="247" t="s">
        <v>102</v>
      </c>
      <c r="W52" s="247" t="s">
        <v>103</v>
      </c>
      <c r="X52" s="247" t="s">
        <v>104</v>
      </c>
      <c r="Y52" s="248" t="s">
        <v>105</v>
      </c>
      <c r="Z52" s="248" t="s">
        <v>106</v>
      </c>
      <c r="AA52" s="248" t="s">
        <v>107</v>
      </c>
      <c r="AB52" s="248" t="s">
        <v>108</v>
      </c>
      <c r="AC52" s="248" t="s">
        <v>109</v>
      </c>
      <c r="AD52" s="248" t="s">
        <v>110</v>
      </c>
      <c r="AE52" s="248" t="s">
        <v>111</v>
      </c>
      <c r="AF52" s="248" t="s">
        <v>112</v>
      </c>
      <c r="AG52" s="248" t="s">
        <v>113</v>
      </c>
      <c r="AH52" s="248" t="s">
        <v>114</v>
      </c>
      <c r="AI52" s="248" t="s">
        <v>115</v>
      </c>
      <c r="AJ52" s="248" t="s">
        <v>116</v>
      </c>
      <c r="AK52" s="248" t="s">
        <v>117</v>
      </c>
      <c r="AL52" s="248" t="s">
        <v>118</v>
      </c>
      <c r="AM52" s="248" t="s">
        <v>119</v>
      </c>
      <c r="AN52" s="248" t="s">
        <v>120</v>
      </c>
      <c r="AO52" s="248" t="s">
        <v>121</v>
      </c>
      <c r="AP52" s="248" t="s">
        <v>122</v>
      </c>
      <c r="AQ52" s="248" t="s">
        <v>123</v>
      </c>
      <c r="AR52" s="248" t="s">
        <v>124</v>
      </c>
      <c r="AS52" s="248" t="s">
        <v>125</v>
      </c>
      <c r="AT52" s="248" t="s">
        <v>126</v>
      </c>
      <c r="AU52" s="248" t="s">
        <v>127</v>
      </c>
      <c r="AV52" s="248" t="s">
        <v>128</v>
      </c>
      <c r="AW52" s="248" t="s">
        <v>129</v>
      </c>
      <c r="AX52" s="248" t="s">
        <v>130</v>
      </c>
      <c r="AY52" s="248" t="s">
        <v>131</v>
      </c>
      <c r="AZ52" s="248" t="s">
        <v>132</v>
      </c>
      <c r="BA52" s="248" t="s">
        <v>133</v>
      </c>
      <c r="BB52" s="248" t="s">
        <v>134</v>
      </c>
      <c r="BC52" s="248" t="s">
        <v>135</v>
      </c>
      <c r="BD52" s="248" t="s">
        <v>136</v>
      </c>
      <c r="BE52" s="248" t="s">
        <v>137</v>
      </c>
      <c r="BF52" s="248" t="s">
        <v>138</v>
      </c>
      <c r="BG52" s="248" t="s">
        <v>139</v>
      </c>
      <c r="BH52" s="248" t="s">
        <v>140</v>
      </c>
      <c r="BI52" s="248" t="s">
        <v>141</v>
      </c>
      <c r="BJ52" s="248" t="s">
        <v>142</v>
      </c>
      <c r="BK52" s="248" t="s">
        <v>143</v>
      </c>
      <c r="BL52" s="248" t="s">
        <v>144</v>
      </c>
      <c r="BM52" s="248" t="s">
        <v>145</v>
      </c>
      <c r="BN52" s="248" t="s">
        <v>146</v>
      </c>
      <c r="BO52" s="248" t="s">
        <v>147</v>
      </c>
      <c r="BP52" s="248" t="s">
        <v>148</v>
      </c>
      <c r="BQ52" s="248" t="s">
        <v>149</v>
      </c>
      <c r="BR52" s="248" t="s">
        <v>150</v>
      </c>
      <c r="BS52" s="248" t="s">
        <v>151</v>
      </c>
      <c r="BT52" s="248" t="s">
        <v>152</v>
      </c>
    </row>
    <row r="53" spans="1:72" ht="54.95" customHeight="1" x14ac:dyDescent="0.25">
      <c r="A53" s="249">
        <v>1</v>
      </c>
      <c r="B53" s="191" t="s">
        <v>798</v>
      </c>
      <c r="C53" s="191" t="s">
        <v>325</v>
      </c>
      <c r="D53" s="191" t="s">
        <v>799</v>
      </c>
      <c r="E53" s="191" t="s">
        <v>800</v>
      </c>
      <c r="F53" s="191" t="s">
        <v>801</v>
      </c>
      <c r="G53" s="191" t="s">
        <v>802</v>
      </c>
      <c r="H53" s="191" t="s">
        <v>791</v>
      </c>
      <c r="I53" s="191" t="s">
        <v>792</v>
      </c>
      <c r="J53" s="191" t="s">
        <v>803</v>
      </c>
      <c r="K53" s="191" t="s">
        <v>804</v>
      </c>
      <c r="L53" s="191" t="s">
        <v>805</v>
      </c>
      <c r="M53" s="191" t="s">
        <v>806</v>
      </c>
      <c r="N53" s="191" t="s">
        <v>807</v>
      </c>
      <c r="O53" s="249">
        <v>20</v>
      </c>
      <c r="P53" s="191" t="s">
        <v>164</v>
      </c>
      <c r="Q53" s="191" t="s">
        <v>808</v>
      </c>
      <c r="R53" s="191" t="s">
        <v>809</v>
      </c>
      <c r="S53" s="191" t="s">
        <v>548</v>
      </c>
      <c r="T53" s="191" t="s">
        <v>810</v>
      </c>
      <c r="U53" s="191" t="s">
        <v>550</v>
      </c>
      <c r="V53" s="191" t="s">
        <v>811</v>
      </c>
      <c r="W53" s="191" t="s">
        <v>812</v>
      </c>
      <c r="X53" s="191" t="s">
        <v>813</v>
      </c>
      <c r="Y53" s="223" t="s">
        <v>814</v>
      </c>
      <c r="Z53" s="223">
        <v>4</v>
      </c>
      <c r="AA53" s="223" t="s">
        <v>815</v>
      </c>
      <c r="AB53" s="223" t="s">
        <v>555</v>
      </c>
      <c r="AC53" s="223" t="s">
        <v>319</v>
      </c>
      <c r="AD53" s="223" t="s">
        <v>816</v>
      </c>
      <c r="AE53" s="223" t="s">
        <v>817</v>
      </c>
      <c r="AF53" s="223" t="s">
        <v>188</v>
      </c>
      <c r="AG53" s="223" t="s">
        <v>818</v>
      </c>
      <c r="AH53" s="223">
        <v>4</v>
      </c>
      <c r="AI53" s="223" t="s">
        <v>556</v>
      </c>
      <c r="AJ53" s="223" t="s">
        <v>819</v>
      </c>
      <c r="AK53" s="223" t="s">
        <v>321</v>
      </c>
      <c r="AL53" s="223" t="s">
        <v>556</v>
      </c>
      <c r="AM53" s="223" t="s">
        <v>820</v>
      </c>
      <c r="AN53" s="223" t="s">
        <v>558</v>
      </c>
      <c r="AO53" s="223" t="s">
        <v>821</v>
      </c>
      <c r="AP53" s="223">
        <v>3</v>
      </c>
      <c r="AQ53" s="223" t="s">
        <v>530</v>
      </c>
      <c r="AR53" s="223" t="s">
        <v>822</v>
      </c>
      <c r="AS53" s="223" t="s">
        <v>823</v>
      </c>
      <c r="AT53" s="223" t="s">
        <v>824</v>
      </c>
      <c r="AU53" s="223" t="s">
        <v>825</v>
      </c>
      <c r="AV53" s="223" t="s">
        <v>826</v>
      </c>
      <c r="AW53" s="223" t="s">
        <v>827</v>
      </c>
      <c r="AX53" s="223">
        <v>3</v>
      </c>
      <c r="AY53" s="223" t="s">
        <v>179</v>
      </c>
      <c r="AZ53" s="223" t="s">
        <v>828</v>
      </c>
      <c r="BA53" s="223" t="s">
        <v>829</v>
      </c>
      <c r="BB53" s="223" t="s">
        <v>179</v>
      </c>
      <c r="BC53" s="223" t="s">
        <v>830</v>
      </c>
      <c r="BD53" s="223" t="s">
        <v>831</v>
      </c>
      <c r="BE53" s="223" t="s">
        <v>832</v>
      </c>
      <c r="BF53" s="223">
        <v>3</v>
      </c>
      <c r="BG53" s="223" t="s">
        <v>235</v>
      </c>
      <c r="BH53" s="223" t="s">
        <v>833</v>
      </c>
      <c r="BI53" s="223" t="s">
        <v>186</v>
      </c>
      <c r="BJ53" s="223" t="s">
        <v>235</v>
      </c>
      <c r="BK53" s="223" t="s">
        <v>185</v>
      </c>
      <c r="BL53" s="223" t="s">
        <v>186</v>
      </c>
      <c r="BM53" s="223" t="s">
        <v>198</v>
      </c>
      <c r="BN53" s="223">
        <v>3</v>
      </c>
      <c r="BO53" s="223" t="s">
        <v>834</v>
      </c>
      <c r="BP53" s="223" t="s">
        <v>826</v>
      </c>
      <c r="BQ53" s="223" t="s">
        <v>568</v>
      </c>
      <c r="BR53" s="223" t="s">
        <v>835</v>
      </c>
      <c r="BS53" s="223" t="s">
        <v>202</v>
      </c>
      <c r="BT53" s="223" t="s">
        <v>568</v>
      </c>
    </row>
    <row r="54" spans="1:72" ht="54.95" customHeight="1" x14ac:dyDescent="0.25">
      <c r="A54" s="249">
        <v>2</v>
      </c>
      <c r="B54" s="191" t="s">
        <v>836</v>
      </c>
      <c r="C54" s="191" t="s">
        <v>154</v>
      </c>
      <c r="D54" s="191" t="s">
        <v>837</v>
      </c>
      <c r="E54" s="191" t="s">
        <v>838</v>
      </c>
      <c r="F54" s="191" t="s">
        <v>839</v>
      </c>
      <c r="G54" s="191" t="s">
        <v>840</v>
      </c>
      <c r="H54" s="191" t="s">
        <v>841</v>
      </c>
      <c r="I54" s="191" t="s">
        <v>842</v>
      </c>
      <c r="J54" s="191" t="s">
        <v>843</v>
      </c>
      <c r="K54" s="191" t="s">
        <v>844</v>
      </c>
      <c r="L54" s="191" t="s">
        <v>805</v>
      </c>
      <c r="M54" s="191" t="s">
        <v>845</v>
      </c>
      <c r="N54" s="191" t="s">
        <v>807</v>
      </c>
      <c r="O54" s="249">
        <v>20</v>
      </c>
      <c r="P54" s="191" t="s">
        <v>164</v>
      </c>
      <c r="Q54" s="191" t="s">
        <v>846</v>
      </c>
      <c r="R54" s="191" t="s">
        <v>847</v>
      </c>
      <c r="S54" s="191" t="s">
        <v>848</v>
      </c>
      <c r="T54" s="191" t="s">
        <v>849</v>
      </c>
      <c r="U54" s="191" t="s">
        <v>850</v>
      </c>
      <c r="V54" s="191" t="s">
        <v>851</v>
      </c>
      <c r="W54" s="191" t="s">
        <v>852</v>
      </c>
      <c r="X54" s="191" t="s">
        <v>853</v>
      </c>
      <c r="Y54" s="223" t="s">
        <v>814</v>
      </c>
      <c r="Z54" s="223">
        <v>4</v>
      </c>
      <c r="AA54" s="223" t="s">
        <v>854</v>
      </c>
      <c r="AB54" s="223" t="s">
        <v>855</v>
      </c>
      <c r="AC54" s="223" t="s">
        <v>856</v>
      </c>
      <c r="AD54" s="223" t="s">
        <v>557</v>
      </c>
      <c r="AE54" s="223" t="s">
        <v>188</v>
      </c>
      <c r="AF54" s="223" t="s">
        <v>854</v>
      </c>
      <c r="AG54" s="223" t="s">
        <v>818</v>
      </c>
      <c r="AH54" s="223">
        <v>4</v>
      </c>
      <c r="AI54" s="223" t="s">
        <v>556</v>
      </c>
      <c r="AJ54" s="223" t="s">
        <v>310</v>
      </c>
      <c r="AK54" s="223" t="s">
        <v>857</v>
      </c>
      <c r="AL54" s="223" t="s">
        <v>858</v>
      </c>
      <c r="AM54" s="223" t="s">
        <v>556</v>
      </c>
      <c r="AN54" s="223" t="s">
        <v>353</v>
      </c>
      <c r="AO54" s="223" t="s">
        <v>821</v>
      </c>
      <c r="AP54" s="223">
        <v>3</v>
      </c>
      <c r="AQ54" s="223" t="s">
        <v>530</v>
      </c>
      <c r="AR54" s="223" t="s">
        <v>823</v>
      </c>
      <c r="AS54" s="223" t="s">
        <v>859</v>
      </c>
      <c r="AT54" s="223" t="s">
        <v>530</v>
      </c>
      <c r="AU54" s="223" t="s">
        <v>825</v>
      </c>
      <c r="AV54" s="223" t="s">
        <v>823</v>
      </c>
      <c r="AW54" s="223" t="s">
        <v>827</v>
      </c>
      <c r="AX54" s="223">
        <v>3</v>
      </c>
      <c r="AY54" s="223" t="s">
        <v>231</v>
      </c>
      <c r="AZ54" s="223" t="s">
        <v>179</v>
      </c>
      <c r="BA54" s="223" t="s">
        <v>829</v>
      </c>
      <c r="BB54" s="223" t="s">
        <v>231</v>
      </c>
      <c r="BC54" s="223" t="s">
        <v>179</v>
      </c>
      <c r="BD54" s="223" t="s">
        <v>860</v>
      </c>
      <c r="BE54" s="223" t="s">
        <v>832</v>
      </c>
      <c r="BF54" s="223">
        <v>3</v>
      </c>
      <c r="BG54" s="223" t="s">
        <v>278</v>
      </c>
      <c r="BH54" s="223" t="s">
        <v>185</v>
      </c>
      <c r="BI54" s="223" t="s">
        <v>186</v>
      </c>
      <c r="BJ54" s="223" t="s">
        <v>278</v>
      </c>
      <c r="BK54" s="223" t="s">
        <v>185</v>
      </c>
      <c r="BL54" s="223" t="s">
        <v>186</v>
      </c>
      <c r="BM54" s="223" t="s">
        <v>198</v>
      </c>
      <c r="BN54" s="223">
        <v>3</v>
      </c>
      <c r="BO54" s="223" t="s">
        <v>199</v>
      </c>
      <c r="BP54" s="223" t="s">
        <v>826</v>
      </c>
      <c r="BQ54" s="223" t="s">
        <v>176</v>
      </c>
      <c r="BR54" s="223" t="s">
        <v>202</v>
      </c>
      <c r="BS54" s="223" t="s">
        <v>861</v>
      </c>
      <c r="BT54" s="223" t="s">
        <v>176</v>
      </c>
    </row>
    <row r="55" spans="1:72" ht="54.95" customHeight="1" x14ac:dyDescent="0.25">
      <c r="A55" s="249">
        <v>3</v>
      </c>
      <c r="B55" s="191" t="s">
        <v>324</v>
      </c>
      <c r="C55" s="191" t="s">
        <v>325</v>
      </c>
      <c r="D55" s="191" t="s">
        <v>326</v>
      </c>
      <c r="E55" s="191" t="s">
        <v>862</v>
      </c>
      <c r="F55" s="191" t="s">
        <v>863</v>
      </c>
      <c r="G55" s="191" t="s">
        <v>864</v>
      </c>
      <c r="H55" s="191" t="s">
        <v>865</v>
      </c>
      <c r="I55" s="191" t="s">
        <v>866</v>
      </c>
      <c r="J55" s="191" t="s">
        <v>867</v>
      </c>
      <c r="K55" s="191" t="s">
        <v>868</v>
      </c>
      <c r="L55" s="191" t="s">
        <v>805</v>
      </c>
      <c r="M55" s="191" t="s">
        <v>869</v>
      </c>
      <c r="N55" s="191" t="s">
        <v>807</v>
      </c>
      <c r="O55" s="249">
        <v>20</v>
      </c>
      <c r="P55" s="191" t="s">
        <v>259</v>
      </c>
      <c r="Q55" s="191" t="s">
        <v>870</v>
      </c>
      <c r="R55" s="191" t="s">
        <v>871</v>
      </c>
      <c r="S55" s="191" t="s">
        <v>872</v>
      </c>
      <c r="T55" s="191" t="s">
        <v>873</v>
      </c>
      <c r="U55" s="191" t="s">
        <v>874</v>
      </c>
      <c r="V55" s="191" t="s">
        <v>875</v>
      </c>
      <c r="W55" s="191" t="s">
        <v>876</v>
      </c>
      <c r="X55" s="191" t="s">
        <v>877</v>
      </c>
      <c r="Y55" s="223" t="s">
        <v>814</v>
      </c>
      <c r="Z55" s="223">
        <v>4</v>
      </c>
      <c r="AA55" s="223" t="s">
        <v>190</v>
      </c>
      <c r="AB55" s="223" t="s">
        <v>188</v>
      </c>
      <c r="AC55" s="223" t="s">
        <v>856</v>
      </c>
      <c r="AD55" s="223" t="s">
        <v>188</v>
      </c>
      <c r="AE55" s="223" t="s">
        <v>878</v>
      </c>
      <c r="AF55" s="223" t="s">
        <v>345</v>
      </c>
      <c r="AG55" s="223" t="s">
        <v>818</v>
      </c>
      <c r="AH55" s="223">
        <v>4</v>
      </c>
      <c r="AI55" s="223" t="s">
        <v>321</v>
      </c>
      <c r="AJ55" s="223" t="s">
        <v>176</v>
      </c>
      <c r="AK55" s="223" t="s">
        <v>233</v>
      </c>
      <c r="AL55" s="223" t="s">
        <v>176</v>
      </c>
      <c r="AM55" s="223" t="s">
        <v>353</v>
      </c>
      <c r="AN55" s="223" t="s">
        <v>346</v>
      </c>
      <c r="AO55" s="223" t="s">
        <v>821</v>
      </c>
      <c r="AP55" s="223">
        <v>3</v>
      </c>
      <c r="AQ55" s="223" t="s">
        <v>530</v>
      </c>
      <c r="AR55" s="223" t="s">
        <v>270</v>
      </c>
      <c r="AS55" s="223" t="s">
        <v>823</v>
      </c>
      <c r="AT55" s="223" t="s">
        <v>530</v>
      </c>
      <c r="AU55" s="223" t="s">
        <v>272</v>
      </c>
      <c r="AV55" s="223" t="s">
        <v>823</v>
      </c>
      <c r="AW55" s="223" t="s">
        <v>827</v>
      </c>
      <c r="AX55" s="223">
        <v>3</v>
      </c>
      <c r="AY55" s="223" t="s">
        <v>179</v>
      </c>
      <c r="AZ55" s="223" t="s">
        <v>879</v>
      </c>
      <c r="BA55" s="223" t="s">
        <v>278</v>
      </c>
      <c r="BB55" s="223" t="s">
        <v>179</v>
      </c>
      <c r="BC55" s="223" t="s">
        <v>830</v>
      </c>
      <c r="BD55" s="223" t="s">
        <v>880</v>
      </c>
      <c r="BE55" s="223" t="s">
        <v>832</v>
      </c>
      <c r="BF55" s="223">
        <v>3</v>
      </c>
      <c r="BG55" s="223" t="s">
        <v>350</v>
      </c>
      <c r="BH55" s="223" t="s">
        <v>235</v>
      </c>
      <c r="BI55" s="223" t="s">
        <v>185</v>
      </c>
      <c r="BJ55" s="223" t="s">
        <v>350</v>
      </c>
      <c r="BK55" s="223" t="s">
        <v>235</v>
      </c>
      <c r="BL55" s="223" t="s">
        <v>186</v>
      </c>
      <c r="BM55" s="223" t="s">
        <v>198</v>
      </c>
      <c r="BN55" s="223">
        <v>3</v>
      </c>
      <c r="BO55" s="223" t="s">
        <v>199</v>
      </c>
      <c r="BP55" s="223" t="s">
        <v>345</v>
      </c>
      <c r="BQ55" s="223" t="s">
        <v>826</v>
      </c>
      <c r="BR55" s="223" t="s">
        <v>199</v>
      </c>
      <c r="BS55" s="223" t="s">
        <v>202</v>
      </c>
      <c r="BT55" s="223" t="s">
        <v>345</v>
      </c>
    </row>
    <row r="56" spans="1:72" ht="54.95" customHeight="1" x14ac:dyDescent="0.25">
      <c r="A56" s="249">
        <v>4</v>
      </c>
      <c r="B56" s="191" t="s">
        <v>246</v>
      </c>
      <c r="C56" s="191" t="s">
        <v>154</v>
      </c>
      <c r="D56" s="191" t="s">
        <v>445</v>
      </c>
      <c r="E56" s="191" t="s">
        <v>881</v>
      </c>
      <c r="F56" s="191" t="s">
        <v>882</v>
      </c>
      <c r="G56" s="191" t="s">
        <v>883</v>
      </c>
      <c r="H56" s="191" t="s">
        <v>884</v>
      </c>
      <c r="I56" s="191" t="s">
        <v>885</v>
      </c>
      <c r="J56" s="191" t="s">
        <v>886</v>
      </c>
      <c r="K56" s="191" t="s">
        <v>887</v>
      </c>
      <c r="L56" s="191" t="s">
        <v>805</v>
      </c>
      <c r="M56" s="191" t="s">
        <v>888</v>
      </c>
      <c r="N56" s="191" t="s">
        <v>807</v>
      </c>
      <c r="O56" s="249">
        <v>20</v>
      </c>
      <c r="P56" s="191" t="s">
        <v>259</v>
      </c>
      <c r="Q56" s="191" t="s">
        <v>889</v>
      </c>
      <c r="R56" s="191" t="s">
        <v>890</v>
      </c>
      <c r="S56" s="191" t="s">
        <v>891</v>
      </c>
      <c r="T56" s="191" t="s">
        <v>892</v>
      </c>
      <c r="U56" s="191" t="s">
        <v>893</v>
      </c>
      <c r="V56" s="191" t="s">
        <v>894</v>
      </c>
      <c r="W56" s="191" t="s">
        <v>895</v>
      </c>
      <c r="X56" s="191" t="s">
        <v>896</v>
      </c>
      <c r="Y56" s="223" t="s">
        <v>814</v>
      </c>
      <c r="Z56" s="223">
        <v>4</v>
      </c>
      <c r="AA56" s="223" t="s">
        <v>280</v>
      </c>
      <c r="AB56" s="223" t="s">
        <v>897</v>
      </c>
      <c r="AC56" s="223" t="s">
        <v>856</v>
      </c>
      <c r="AD56" s="223" t="s">
        <v>878</v>
      </c>
      <c r="AE56" s="223" t="s">
        <v>283</v>
      </c>
      <c r="AF56" s="223" t="s">
        <v>897</v>
      </c>
      <c r="AG56" s="223" t="s">
        <v>818</v>
      </c>
      <c r="AH56" s="223">
        <v>4</v>
      </c>
      <c r="AI56" s="223" t="s">
        <v>321</v>
      </c>
      <c r="AJ56" s="223" t="s">
        <v>898</v>
      </c>
      <c r="AK56" s="223" t="s">
        <v>465</v>
      </c>
      <c r="AL56" s="223" t="s">
        <v>465</v>
      </c>
      <c r="AM56" s="223" t="s">
        <v>353</v>
      </c>
      <c r="AN56" s="223" t="s">
        <v>470</v>
      </c>
      <c r="AO56" s="223" t="s">
        <v>821</v>
      </c>
      <c r="AP56" s="223">
        <v>3</v>
      </c>
      <c r="AQ56" s="223" t="s">
        <v>270</v>
      </c>
      <c r="AR56" s="223" t="s">
        <v>530</v>
      </c>
      <c r="AS56" s="223" t="s">
        <v>899</v>
      </c>
      <c r="AT56" s="223" t="s">
        <v>900</v>
      </c>
      <c r="AU56" s="223" t="s">
        <v>530</v>
      </c>
      <c r="AV56" s="223" t="s">
        <v>466</v>
      </c>
      <c r="AW56" s="223" t="s">
        <v>827</v>
      </c>
      <c r="AX56" s="223">
        <v>3</v>
      </c>
      <c r="AY56" s="223" t="s">
        <v>179</v>
      </c>
      <c r="AZ56" s="223" t="s">
        <v>829</v>
      </c>
      <c r="BA56" s="223" t="s">
        <v>901</v>
      </c>
      <c r="BB56" s="223" t="s">
        <v>179</v>
      </c>
      <c r="BC56" s="223" t="s">
        <v>902</v>
      </c>
      <c r="BD56" s="223" t="s">
        <v>880</v>
      </c>
      <c r="BE56" s="223" t="s">
        <v>832</v>
      </c>
      <c r="BF56" s="223">
        <v>3</v>
      </c>
      <c r="BG56" s="223" t="s">
        <v>278</v>
      </c>
      <c r="BH56" s="223" t="s">
        <v>185</v>
      </c>
      <c r="BI56" s="223" t="s">
        <v>186</v>
      </c>
      <c r="BJ56" s="223" t="s">
        <v>278</v>
      </c>
      <c r="BK56" s="223" t="s">
        <v>185</v>
      </c>
      <c r="BL56" s="223" t="s">
        <v>186</v>
      </c>
      <c r="BM56" s="223" t="s">
        <v>198</v>
      </c>
      <c r="BN56" s="223">
        <v>3</v>
      </c>
      <c r="BO56" s="223" t="s">
        <v>199</v>
      </c>
      <c r="BP56" s="223" t="s">
        <v>527</v>
      </c>
      <c r="BQ56" s="223" t="s">
        <v>469</v>
      </c>
      <c r="BR56" s="223" t="s">
        <v>199</v>
      </c>
      <c r="BS56" s="223" t="s">
        <v>202</v>
      </c>
      <c r="BT56" s="223" t="s">
        <v>470</v>
      </c>
    </row>
    <row r="57" spans="1:72" ht="54.95" customHeight="1" x14ac:dyDescent="0.25">
      <c r="A57" s="249">
        <v>5</v>
      </c>
      <c r="B57" s="191" t="s">
        <v>415</v>
      </c>
      <c r="C57" s="191" t="s">
        <v>247</v>
      </c>
      <c r="D57" s="191" t="s">
        <v>416</v>
      </c>
      <c r="E57" s="191" t="s">
        <v>903</v>
      </c>
      <c r="F57" s="191" t="s">
        <v>904</v>
      </c>
      <c r="G57" s="191" t="s">
        <v>905</v>
      </c>
      <c r="H57" s="191" t="s">
        <v>906</v>
      </c>
      <c r="I57" s="191" t="s">
        <v>907</v>
      </c>
      <c r="J57" s="191" t="s">
        <v>908</v>
      </c>
      <c r="K57" s="191" t="s">
        <v>909</v>
      </c>
      <c r="L57" s="191" t="s">
        <v>805</v>
      </c>
      <c r="M57" s="191" t="s">
        <v>910</v>
      </c>
      <c r="N57" s="191" t="s">
        <v>807</v>
      </c>
      <c r="O57" s="249">
        <v>20</v>
      </c>
      <c r="P57" s="191" t="s">
        <v>164</v>
      </c>
      <c r="Q57" s="191" t="s">
        <v>911</v>
      </c>
      <c r="R57" s="191" t="s">
        <v>912</v>
      </c>
      <c r="S57" s="191" t="s">
        <v>428</v>
      </c>
      <c r="T57" s="191" t="s">
        <v>913</v>
      </c>
      <c r="U57" s="191" t="s">
        <v>914</v>
      </c>
      <c r="V57" s="191" t="s">
        <v>915</v>
      </c>
      <c r="W57" s="191" t="s">
        <v>916</v>
      </c>
      <c r="X57" s="191" t="s">
        <v>917</v>
      </c>
      <c r="Y57" s="223" t="s">
        <v>814</v>
      </c>
      <c r="Z57" s="223">
        <v>4</v>
      </c>
      <c r="AA57" s="223" t="s">
        <v>415</v>
      </c>
      <c r="AB57" s="223" t="s">
        <v>440</v>
      </c>
      <c r="AC57" s="223" t="s">
        <v>283</v>
      </c>
      <c r="AD57" s="223" t="s">
        <v>415</v>
      </c>
      <c r="AE57" s="223" t="s">
        <v>918</v>
      </c>
      <c r="AF57" s="223" t="s">
        <v>283</v>
      </c>
      <c r="AG57" s="223" t="s">
        <v>818</v>
      </c>
      <c r="AH57" s="223">
        <v>4</v>
      </c>
      <c r="AI57" s="223" t="s">
        <v>176</v>
      </c>
      <c r="AJ57" s="223" t="s">
        <v>321</v>
      </c>
      <c r="AK57" s="223" t="s">
        <v>435</v>
      </c>
      <c r="AL57" s="223" t="s">
        <v>176</v>
      </c>
      <c r="AM57" s="223" t="s">
        <v>353</v>
      </c>
      <c r="AN57" s="223" t="s">
        <v>434</v>
      </c>
      <c r="AO57" s="223" t="s">
        <v>821</v>
      </c>
      <c r="AP57" s="223">
        <v>3</v>
      </c>
      <c r="AQ57" s="223" t="s">
        <v>530</v>
      </c>
      <c r="AR57" s="223" t="s">
        <v>270</v>
      </c>
      <c r="AS57" s="223" t="s">
        <v>823</v>
      </c>
      <c r="AT57" s="223" t="s">
        <v>272</v>
      </c>
      <c r="AU57" s="223" t="s">
        <v>530</v>
      </c>
      <c r="AV57" s="223" t="s">
        <v>823</v>
      </c>
      <c r="AW57" s="223" t="s">
        <v>827</v>
      </c>
      <c r="AX57" s="223">
        <v>3</v>
      </c>
      <c r="AY57" s="223" t="s">
        <v>231</v>
      </c>
      <c r="AZ57" s="223" t="s">
        <v>179</v>
      </c>
      <c r="BA57" s="223" t="s">
        <v>180</v>
      </c>
      <c r="BB57" s="223" t="s">
        <v>231</v>
      </c>
      <c r="BC57" s="223" t="s">
        <v>179</v>
      </c>
      <c r="BD57" s="223" t="s">
        <v>180</v>
      </c>
      <c r="BE57" s="223" t="s">
        <v>832</v>
      </c>
      <c r="BF57" s="223">
        <v>3</v>
      </c>
      <c r="BG57" s="223" t="s">
        <v>278</v>
      </c>
      <c r="BH57" s="223" t="s">
        <v>185</v>
      </c>
      <c r="BI57" s="223" t="s">
        <v>186</v>
      </c>
      <c r="BJ57" s="223" t="s">
        <v>278</v>
      </c>
      <c r="BK57" s="223" t="s">
        <v>185</v>
      </c>
      <c r="BL57" s="223" t="s">
        <v>186</v>
      </c>
      <c r="BM57" s="223" t="s">
        <v>198</v>
      </c>
      <c r="BN57" s="223">
        <v>3</v>
      </c>
      <c r="BO57" s="223" t="s">
        <v>199</v>
      </c>
      <c r="BP57" s="223" t="s">
        <v>200</v>
      </c>
      <c r="BQ57" s="223" t="s">
        <v>826</v>
      </c>
      <c r="BR57" s="223" t="s">
        <v>199</v>
      </c>
      <c r="BS57" s="223" t="s">
        <v>202</v>
      </c>
      <c r="BT57" s="223" t="s">
        <v>919</v>
      </c>
    </row>
    <row r="58" spans="1:72" ht="54.95" customHeight="1" x14ac:dyDescent="0.25">
      <c r="A58" s="249">
        <v>6</v>
      </c>
      <c r="B58" s="191" t="s">
        <v>739</v>
      </c>
      <c r="C58" s="191" t="s">
        <v>325</v>
      </c>
      <c r="D58" s="191" t="s">
        <v>740</v>
      </c>
      <c r="E58" s="191" t="s">
        <v>920</v>
      </c>
      <c r="F58" s="191" t="s">
        <v>921</v>
      </c>
      <c r="G58" s="191" t="s">
        <v>922</v>
      </c>
      <c r="H58" s="191" t="s">
        <v>923</v>
      </c>
      <c r="I58" s="191" t="s">
        <v>924</v>
      </c>
      <c r="J58" s="191" t="s">
        <v>925</v>
      </c>
      <c r="K58" s="191" t="s">
        <v>926</v>
      </c>
      <c r="L58" s="191" t="s">
        <v>805</v>
      </c>
      <c r="M58" s="191" t="s">
        <v>927</v>
      </c>
      <c r="N58" s="191" t="s">
        <v>807</v>
      </c>
      <c r="O58" s="249">
        <v>20</v>
      </c>
      <c r="P58" s="191" t="s">
        <v>259</v>
      </c>
      <c r="Q58" s="191" t="s">
        <v>928</v>
      </c>
      <c r="R58" s="191" t="s">
        <v>929</v>
      </c>
      <c r="S58" s="191" t="s">
        <v>930</v>
      </c>
      <c r="T58" s="191" t="s">
        <v>753</v>
      </c>
      <c r="U58" s="191" t="s">
        <v>931</v>
      </c>
      <c r="V58" s="191" t="s">
        <v>755</v>
      </c>
      <c r="W58" s="191" t="s">
        <v>932</v>
      </c>
      <c r="X58" s="191" t="s">
        <v>933</v>
      </c>
      <c r="Y58" s="223" t="s">
        <v>814</v>
      </c>
      <c r="Z58" s="223">
        <v>4</v>
      </c>
      <c r="AA58" s="223" t="s">
        <v>934</v>
      </c>
      <c r="AB58" s="223" t="s">
        <v>270</v>
      </c>
      <c r="AC58" s="223" t="s">
        <v>786</v>
      </c>
      <c r="AD58" s="223" t="s">
        <v>934</v>
      </c>
      <c r="AE58" s="223" t="s">
        <v>283</v>
      </c>
      <c r="AF58" s="223" t="s">
        <v>764</v>
      </c>
      <c r="AG58" s="223" t="s">
        <v>818</v>
      </c>
      <c r="AH58" s="223">
        <v>4</v>
      </c>
      <c r="AI58" s="223" t="s">
        <v>321</v>
      </c>
      <c r="AJ58" s="223" t="s">
        <v>935</v>
      </c>
      <c r="AK58" s="223" t="s">
        <v>314</v>
      </c>
      <c r="AL58" s="223" t="s">
        <v>935</v>
      </c>
      <c r="AM58" s="223" t="s">
        <v>353</v>
      </c>
      <c r="AN58" s="223" t="s">
        <v>314</v>
      </c>
      <c r="AO58" s="223" t="s">
        <v>821</v>
      </c>
      <c r="AP58" s="223">
        <v>3</v>
      </c>
      <c r="AQ58" s="223" t="s">
        <v>936</v>
      </c>
      <c r="AR58" s="223" t="s">
        <v>530</v>
      </c>
      <c r="AS58" s="223" t="s">
        <v>270</v>
      </c>
      <c r="AT58" s="223" t="s">
        <v>272</v>
      </c>
      <c r="AU58" s="223" t="s">
        <v>936</v>
      </c>
      <c r="AV58" s="223" t="s">
        <v>530</v>
      </c>
      <c r="AW58" s="223" t="s">
        <v>827</v>
      </c>
      <c r="AX58" s="223">
        <v>3</v>
      </c>
      <c r="AY58" s="223" t="s">
        <v>829</v>
      </c>
      <c r="AZ58" s="223" t="s">
        <v>937</v>
      </c>
      <c r="BA58" s="223" t="s">
        <v>179</v>
      </c>
      <c r="BB58" s="223" t="s">
        <v>902</v>
      </c>
      <c r="BC58" s="223" t="s">
        <v>938</v>
      </c>
      <c r="BD58" s="223" t="s">
        <v>880</v>
      </c>
      <c r="BE58" s="223" t="s">
        <v>832</v>
      </c>
      <c r="BF58" s="223">
        <v>3</v>
      </c>
      <c r="BG58" s="223" t="s">
        <v>278</v>
      </c>
      <c r="BH58" s="223" t="s">
        <v>185</v>
      </c>
      <c r="BI58" s="223" t="s">
        <v>186</v>
      </c>
      <c r="BJ58" s="223" t="s">
        <v>278</v>
      </c>
      <c r="BK58" s="223" t="s">
        <v>185</v>
      </c>
      <c r="BL58" s="223" t="s">
        <v>186</v>
      </c>
      <c r="BM58" s="223" t="s">
        <v>198</v>
      </c>
      <c r="BN58" s="223">
        <v>3</v>
      </c>
      <c r="BO58" s="223" t="s">
        <v>199</v>
      </c>
      <c r="BP58" s="223" t="s">
        <v>939</v>
      </c>
      <c r="BQ58" s="223" t="s">
        <v>826</v>
      </c>
      <c r="BR58" s="223" t="s">
        <v>199</v>
      </c>
      <c r="BS58" s="223" t="s">
        <v>202</v>
      </c>
      <c r="BT58" s="223" t="s">
        <v>272</v>
      </c>
    </row>
    <row r="59" spans="1:72" ht="54.95" customHeight="1" x14ac:dyDescent="0.25">
      <c r="A59" s="249">
        <v>7</v>
      </c>
      <c r="B59" s="191" t="s">
        <v>204</v>
      </c>
      <c r="C59" s="191" t="s">
        <v>205</v>
      </c>
      <c r="D59" s="191" t="s">
        <v>940</v>
      </c>
      <c r="E59" s="191" t="s">
        <v>941</v>
      </c>
      <c r="F59" s="191" t="s">
        <v>942</v>
      </c>
      <c r="G59" s="191" t="s">
        <v>943</v>
      </c>
      <c r="H59" s="191" t="s">
        <v>944</v>
      </c>
      <c r="I59" s="191" t="s">
        <v>945</v>
      </c>
      <c r="J59" s="191" t="s">
        <v>946</v>
      </c>
      <c r="K59" s="191" t="s">
        <v>947</v>
      </c>
      <c r="L59" s="191" t="s">
        <v>805</v>
      </c>
      <c r="M59" s="191" t="s">
        <v>948</v>
      </c>
      <c r="N59" s="191" t="s">
        <v>807</v>
      </c>
      <c r="O59" s="249">
        <v>20</v>
      </c>
      <c r="P59" s="191" t="s">
        <v>164</v>
      </c>
      <c r="Q59" s="191" t="s">
        <v>949</v>
      </c>
      <c r="R59" s="191" t="s">
        <v>950</v>
      </c>
      <c r="S59" s="191" t="s">
        <v>951</v>
      </c>
      <c r="T59" s="191" t="s">
        <v>220</v>
      </c>
      <c r="U59" s="191" t="s">
        <v>221</v>
      </c>
      <c r="V59" s="191" t="s">
        <v>952</v>
      </c>
      <c r="W59" s="191" t="s">
        <v>953</v>
      </c>
      <c r="X59" s="191" t="s">
        <v>954</v>
      </c>
      <c r="Y59" s="223" t="s">
        <v>814</v>
      </c>
      <c r="Z59" s="223">
        <v>4</v>
      </c>
      <c r="AA59" s="223" t="s">
        <v>237</v>
      </c>
      <c r="AB59" s="223" t="s">
        <v>239</v>
      </c>
      <c r="AC59" s="223" t="s">
        <v>240</v>
      </c>
      <c r="AD59" s="223" t="s">
        <v>237</v>
      </c>
      <c r="AE59" s="223" t="s">
        <v>239</v>
      </c>
      <c r="AF59" s="223" t="s">
        <v>238</v>
      </c>
      <c r="AG59" s="223" t="s">
        <v>818</v>
      </c>
      <c r="AH59" s="223">
        <v>4</v>
      </c>
      <c r="AI59" s="223" t="s">
        <v>321</v>
      </c>
      <c r="AJ59" s="223" t="s">
        <v>226</v>
      </c>
      <c r="AK59" s="223" t="s">
        <v>225</v>
      </c>
      <c r="AL59" s="223" t="s">
        <v>226</v>
      </c>
      <c r="AM59" s="223" t="s">
        <v>225</v>
      </c>
      <c r="AN59" s="223" t="s">
        <v>353</v>
      </c>
      <c r="AO59" s="223" t="s">
        <v>821</v>
      </c>
      <c r="AP59" s="223">
        <v>3</v>
      </c>
      <c r="AQ59" s="223" t="s">
        <v>530</v>
      </c>
      <c r="AR59" s="223" t="s">
        <v>240</v>
      </c>
      <c r="AS59" s="223" t="s">
        <v>955</v>
      </c>
      <c r="AT59" s="223" t="s">
        <v>530</v>
      </c>
      <c r="AU59" s="223" t="s">
        <v>272</v>
      </c>
      <c r="AV59" s="223" t="s">
        <v>240</v>
      </c>
      <c r="AW59" s="223" t="s">
        <v>827</v>
      </c>
      <c r="AX59" s="223">
        <v>3</v>
      </c>
      <c r="AY59" s="223" t="s">
        <v>179</v>
      </c>
      <c r="AZ59" s="223" t="s">
        <v>231</v>
      </c>
      <c r="BA59" s="223" t="s">
        <v>956</v>
      </c>
      <c r="BB59" s="223" t="s">
        <v>179</v>
      </c>
      <c r="BC59" s="223" t="s">
        <v>231</v>
      </c>
      <c r="BD59" s="223" t="s">
        <v>957</v>
      </c>
      <c r="BE59" s="223" t="s">
        <v>832</v>
      </c>
      <c r="BF59" s="223">
        <v>3</v>
      </c>
      <c r="BG59" s="223" t="s">
        <v>185</v>
      </c>
      <c r="BH59" s="223" t="s">
        <v>235</v>
      </c>
      <c r="BI59" s="223" t="s">
        <v>186</v>
      </c>
      <c r="BJ59" s="223" t="s">
        <v>185</v>
      </c>
      <c r="BK59" s="223" t="s">
        <v>235</v>
      </c>
      <c r="BL59" s="223" t="s">
        <v>186</v>
      </c>
      <c r="BM59" s="223" t="s">
        <v>198</v>
      </c>
      <c r="BN59" s="223">
        <v>3</v>
      </c>
      <c r="BO59" s="223" t="s">
        <v>199</v>
      </c>
      <c r="BP59" s="223" t="s">
        <v>861</v>
      </c>
      <c r="BQ59" s="223" t="s">
        <v>958</v>
      </c>
      <c r="BR59" s="223" t="s">
        <v>199</v>
      </c>
      <c r="BS59" s="223" t="s">
        <v>202</v>
      </c>
      <c r="BT59" s="223" t="s">
        <v>957</v>
      </c>
    </row>
    <row r="60" spans="1:72" ht="54.95" customHeight="1" x14ac:dyDescent="0.25">
      <c r="A60" s="249">
        <v>8</v>
      </c>
      <c r="B60" s="191" t="s">
        <v>959</v>
      </c>
      <c r="C60" s="191" t="s">
        <v>154</v>
      </c>
      <c r="D60" s="191" t="s">
        <v>601</v>
      </c>
      <c r="E60" s="191" t="s">
        <v>960</v>
      </c>
      <c r="F60" s="191" t="s">
        <v>961</v>
      </c>
      <c r="G60" s="191" t="s">
        <v>962</v>
      </c>
      <c r="H60" s="191" t="s">
        <v>963</v>
      </c>
      <c r="I60" s="191" t="s">
        <v>964</v>
      </c>
      <c r="J60" s="191" t="s">
        <v>965</v>
      </c>
      <c r="K60" s="191" t="s">
        <v>966</v>
      </c>
      <c r="L60" s="191" t="s">
        <v>805</v>
      </c>
      <c r="M60" s="191" t="s">
        <v>967</v>
      </c>
      <c r="N60" s="191" t="s">
        <v>807</v>
      </c>
      <c r="O60" s="249">
        <v>20</v>
      </c>
      <c r="P60" s="191" t="s">
        <v>259</v>
      </c>
      <c r="Q60" s="191" t="s">
        <v>968</v>
      </c>
      <c r="R60" s="191" t="s">
        <v>969</v>
      </c>
      <c r="S60" s="191" t="s">
        <v>613</v>
      </c>
      <c r="T60" s="191" t="s">
        <v>614</v>
      </c>
      <c r="U60" s="191" t="s">
        <v>970</v>
      </c>
      <c r="V60" s="191" t="s">
        <v>971</v>
      </c>
      <c r="W60" s="191" t="s">
        <v>972</v>
      </c>
      <c r="X60" s="191" t="s">
        <v>973</v>
      </c>
      <c r="Y60" s="223" t="s">
        <v>814</v>
      </c>
      <c r="Z60" s="223">
        <v>4</v>
      </c>
      <c r="AA60" s="223" t="s">
        <v>625</v>
      </c>
      <c r="AB60" s="223" t="s">
        <v>974</v>
      </c>
      <c r="AC60" s="223" t="s">
        <v>239</v>
      </c>
      <c r="AD60" s="223" t="s">
        <v>974</v>
      </c>
      <c r="AE60" s="223" t="s">
        <v>239</v>
      </c>
      <c r="AF60" s="223" t="s">
        <v>238</v>
      </c>
      <c r="AG60" s="223" t="s">
        <v>818</v>
      </c>
      <c r="AH60" s="223">
        <v>4</v>
      </c>
      <c r="AI60" s="223" t="s">
        <v>620</v>
      </c>
      <c r="AJ60" s="223" t="s">
        <v>195</v>
      </c>
      <c r="AK60" s="223" t="s">
        <v>321</v>
      </c>
      <c r="AL60" s="223" t="s">
        <v>195</v>
      </c>
      <c r="AM60" s="223" t="s">
        <v>226</v>
      </c>
      <c r="AN60" s="223" t="s">
        <v>620</v>
      </c>
      <c r="AO60" s="223" t="s">
        <v>821</v>
      </c>
      <c r="AP60" s="223">
        <v>3</v>
      </c>
      <c r="AQ60" s="223" t="s">
        <v>530</v>
      </c>
      <c r="AR60" s="223" t="s">
        <v>823</v>
      </c>
      <c r="AS60" s="223" t="s">
        <v>975</v>
      </c>
      <c r="AT60" s="223" t="s">
        <v>530</v>
      </c>
      <c r="AU60" s="223" t="s">
        <v>823</v>
      </c>
      <c r="AV60" s="223" t="s">
        <v>975</v>
      </c>
      <c r="AW60" s="223" t="s">
        <v>827</v>
      </c>
      <c r="AX60" s="223">
        <v>3</v>
      </c>
      <c r="AY60" s="223" t="s">
        <v>179</v>
      </c>
      <c r="AZ60" s="223" t="s">
        <v>976</v>
      </c>
      <c r="BA60" s="223" t="s">
        <v>829</v>
      </c>
      <c r="BB60" s="223" t="s">
        <v>528</v>
      </c>
      <c r="BC60" s="223" t="s">
        <v>179</v>
      </c>
      <c r="BD60" s="223" t="s">
        <v>902</v>
      </c>
      <c r="BE60" s="223" t="s">
        <v>832</v>
      </c>
      <c r="BF60" s="223">
        <v>3</v>
      </c>
      <c r="BG60" s="223" t="s">
        <v>185</v>
      </c>
      <c r="BH60" s="223" t="s">
        <v>977</v>
      </c>
      <c r="BI60" s="223" t="s">
        <v>186</v>
      </c>
      <c r="BJ60" s="223" t="s">
        <v>185</v>
      </c>
      <c r="BK60" s="223" t="s">
        <v>186</v>
      </c>
      <c r="BL60" s="223" t="s">
        <v>528</v>
      </c>
      <c r="BM60" s="223" t="s">
        <v>198</v>
      </c>
      <c r="BN60" s="223">
        <v>3</v>
      </c>
      <c r="BO60" s="223" t="s">
        <v>199</v>
      </c>
      <c r="BP60" s="223" t="s">
        <v>240</v>
      </c>
      <c r="BQ60" s="223" t="s">
        <v>826</v>
      </c>
      <c r="BR60" s="223" t="s">
        <v>199</v>
      </c>
      <c r="BS60" s="223" t="s">
        <v>202</v>
      </c>
      <c r="BT60" s="223" t="s">
        <v>240</v>
      </c>
    </row>
    <row r="61" spans="1:72" ht="54.95" customHeight="1" x14ac:dyDescent="0.25">
      <c r="A61" s="249">
        <v>9</v>
      </c>
      <c r="B61" s="191" t="s">
        <v>978</v>
      </c>
      <c r="C61" s="191" t="s">
        <v>154</v>
      </c>
      <c r="D61" s="191" t="s">
        <v>979</v>
      </c>
      <c r="E61" s="191" t="s">
        <v>980</v>
      </c>
      <c r="F61" s="191" t="s">
        <v>981</v>
      </c>
      <c r="G61" s="191" t="s">
        <v>982</v>
      </c>
      <c r="H61" s="191" t="s">
        <v>983</v>
      </c>
      <c r="I61" s="191" t="s">
        <v>984</v>
      </c>
      <c r="J61" s="191" t="s">
        <v>985</v>
      </c>
      <c r="K61" s="191" t="s">
        <v>986</v>
      </c>
      <c r="L61" s="191" t="s">
        <v>805</v>
      </c>
      <c r="M61" s="191" t="s">
        <v>987</v>
      </c>
      <c r="N61" s="191" t="s">
        <v>807</v>
      </c>
      <c r="O61" s="249">
        <v>20</v>
      </c>
      <c r="P61" s="191" t="s">
        <v>259</v>
      </c>
      <c r="Q61" s="191" t="s">
        <v>988</v>
      </c>
      <c r="R61" s="191" t="s">
        <v>989</v>
      </c>
      <c r="S61" s="191" t="s">
        <v>990</v>
      </c>
      <c r="T61" s="191" t="s">
        <v>991</v>
      </c>
      <c r="U61" s="191" t="s">
        <v>306</v>
      </c>
      <c r="V61" s="191" t="s">
        <v>992</v>
      </c>
      <c r="W61" s="191" t="s">
        <v>993</v>
      </c>
      <c r="X61" s="191" t="s">
        <v>994</v>
      </c>
      <c r="Y61" s="223" t="s">
        <v>814</v>
      </c>
      <c r="Z61" s="223">
        <v>4</v>
      </c>
      <c r="AA61" s="223" t="s">
        <v>978</v>
      </c>
      <c r="AB61" s="223" t="s">
        <v>995</v>
      </c>
      <c r="AC61" s="223" t="s">
        <v>311</v>
      </c>
      <c r="AD61" s="223" t="s">
        <v>995</v>
      </c>
      <c r="AE61" s="223" t="s">
        <v>653</v>
      </c>
      <c r="AF61" s="223" t="s">
        <v>978</v>
      </c>
      <c r="AG61" s="223" t="s">
        <v>818</v>
      </c>
      <c r="AH61" s="223">
        <v>4</v>
      </c>
      <c r="AI61" s="223" t="s">
        <v>310</v>
      </c>
      <c r="AJ61" s="223" t="s">
        <v>176</v>
      </c>
      <c r="AK61" s="223" t="s">
        <v>321</v>
      </c>
      <c r="AL61" s="223" t="s">
        <v>820</v>
      </c>
      <c r="AM61" s="223" t="s">
        <v>176</v>
      </c>
      <c r="AN61" s="223" t="s">
        <v>353</v>
      </c>
      <c r="AO61" s="223" t="s">
        <v>821</v>
      </c>
      <c r="AP61" s="223">
        <v>3</v>
      </c>
      <c r="AQ61" s="223" t="s">
        <v>530</v>
      </c>
      <c r="AR61" s="223" t="s">
        <v>996</v>
      </c>
      <c r="AS61" s="223" t="s">
        <v>823</v>
      </c>
      <c r="AT61" s="223" t="s">
        <v>530</v>
      </c>
      <c r="AU61" s="223" t="s">
        <v>996</v>
      </c>
      <c r="AV61" s="223" t="s">
        <v>823</v>
      </c>
      <c r="AW61" s="223" t="s">
        <v>827</v>
      </c>
      <c r="AX61" s="223">
        <v>3</v>
      </c>
      <c r="AY61" s="223" t="s">
        <v>179</v>
      </c>
      <c r="AZ61" s="223" t="s">
        <v>997</v>
      </c>
      <c r="BA61" s="223" t="s">
        <v>829</v>
      </c>
      <c r="BB61" s="223" t="s">
        <v>179</v>
      </c>
      <c r="BC61" s="223" t="s">
        <v>858</v>
      </c>
      <c r="BD61" s="223" t="s">
        <v>902</v>
      </c>
      <c r="BE61" s="223" t="s">
        <v>832</v>
      </c>
      <c r="BF61" s="223">
        <v>3</v>
      </c>
      <c r="BG61" s="223" t="s">
        <v>235</v>
      </c>
      <c r="BH61" s="223" t="s">
        <v>998</v>
      </c>
      <c r="BI61" s="223" t="s">
        <v>186</v>
      </c>
      <c r="BJ61" s="223" t="s">
        <v>235</v>
      </c>
      <c r="BK61" s="223" t="s">
        <v>186</v>
      </c>
      <c r="BL61" s="223" t="s">
        <v>323</v>
      </c>
      <c r="BM61" s="223" t="s">
        <v>198</v>
      </c>
      <c r="BN61" s="223">
        <v>3</v>
      </c>
      <c r="BO61" s="223" t="s">
        <v>199</v>
      </c>
      <c r="BP61" s="223" t="s">
        <v>826</v>
      </c>
      <c r="BQ61" s="223" t="s">
        <v>311</v>
      </c>
      <c r="BR61" s="223" t="s">
        <v>199</v>
      </c>
      <c r="BS61" s="223" t="s">
        <v>202</v>
      </c>
      <c r="BT61" s="223" t="s">
        <v>353</v>
      </c>
    </row>
    <row r="62" spans="1:72" ht="54.95" customHeight="1" x14ac:dyDescent="0.25">
      <c r="A62" s="249">
        <v>10</v>
      </c>
      <c r="B62" s="191" t="s">
        <v>472</v>
      </c>
      <c r="C62" s="191" t="s">
        <v>247</v>
      </c>
      <c r="D62" s="191" t="s">
        <v>999</v>
      </c>
      <c r="E62" s="191" t="s">
        <v>1000</v>
      </c>
      <c r="F62" s="191" t="s">
        <v>1001</v>
      </c>
      <c r="G62" s="191" t="s">
        <v>476</v>
      </c>
      <c r="H62" s="191" t="s">
        <v>1002</v>
      </c>
      <c r="I62" s="191" t="s">
        <v>1003</v>
      </c>
      <c r="J62" s="191" t="s">
        <v>1004</v>
      </c>
      <c r="K62" s="191" t="s">
        <v>1005</v>
      </c>
      <c r="L62" s="191" t="s">
        <v>805</v>
      </c>
      <c r="M62" s="191" t="s">
        <v>1006</v>
      </c>
      <c r="N62" s="191" t="s">
        <v>807</v>
      </c>
      <c r="O62" s="249">
        <v>20</v>
      </c>
      <c r="P62" s="191" t="s">
        <v>484</v>
      </c>
      <c r="Q62" s="191" t="s">
        <v>1007</v>
      </c>
      <c r="R62" s="191" t="s">
        <v>1008</v>
      </c>
      <c r="S62" s="191" t="s">
        <v>487</v>
      </c>
      <c r="T62" s="191" t="s">
        <v>488</v>
      </c>
      <c r="U62" s="191" t="s">
        <v>1009</v>
      </c>
      <c r="V62" s="191" t="s">
        <v>1010</v>
      </c>
      <c r="W62" s="191" t="s">
        <v>1011</v>
      </c>
      <c r="X62" s="191" t="s">
        <v>1012</v>
      </c>
      <c r="Y62" s="223" t="s">
        <v>814</v>
      </c>
      <c r="Z62" s="223">
        <v>4</v>
      </c>
      <c r="AA62" s="223" t="s">
        <v>493</v>
      </c>
      <c r="AB62" s="223" t="s">
        <v>494</v>
      </c>
      <c r="AC62" s="223" t="s">
        <v>497</v>
      </c>
      <c r="AD62" s="223" t="s">
        <v>1013</v>
      </c>
      <c r="AE62" s="223" t="s">
        <v>497</v>
      </c>
      <c r="AF62" s="223" t="s">
        <v>501</v>
      </c>
      <c r="AG62" s="223" t="s">
        <v>818</v>
      </c>
      <c r="AH62" s="223">
        <v>4</v>
      </c>
      <c r="AI62" s="223" t="s">
        <v>321</v>
      </c>
      <c r="AJ62" s="223" t="s">
        <v>310</v>
      </c>
      <c r="AK62" s="223" t="s">
        <v>1014</v>
      </c>
      <c r="AL62" s="223" t="s">
        <v>321</v>
      </c>
      <c r="AM62" s="223" t="s">
        <v>820</v>
      </c>
      <c r="AN62" s="223" t="s">
        <v>1014</v>
      </c>
      <c r="AO62" s="223" t="s">
        <v>821</v>
      </c>
      <c r="AP62" s="223">
        <v>3</v>
      </c>
      <c r="AQ62" s="223" t="s">
        <v>530</v>
      </c>
      <c r="AR62" s="223" t="s">
        <v>996</v>
      </c>
      <c r="AS62" s="223" t="s">
        <v>823</v>
      </c>
      <c r="AT62" s="223" t="s">
        <v>530</v>
      </c>
      <c r="AU62" s="223" t="s">
        <v>996</v>
      </c>
      <c r="AV62" s="223" t="s">
        <v>823</v>
      </c>
      <c r="AW62" s="223" t="s">
        <v>827</v>
      </c>
      <c r="AX62" s="223">
        <v>3</v>
      </c>
      <c r="AY62" s="223" t="s">
        <v>231</v>
      </c>
      <c r="AZ62" s="223" t="s">
        <v>826</v>
      </c>
      <c r="BA62" s="223" t="s">
        <v>829</v>
      </c>
      <c r="BB62" s="223" t="s">
        <v>231</v>
      </c>
      <c r="BC62" s="223" t="s">
        <v>826</v>
      </c>
      <c r="BD62" s="223" t="s">
        <v>902</v>
      </c>
      <c r="BE62" s="223" t="s">
        <v>832</v>
      </c>
      <c r="BF62" s="223">
        <v>3</v>
      </c>
      <c r="BG62" s="223" t="s">
        <v>186</v>
      </c>
      <c r="BH62" s="223" t="s">
        <v>235</v>
      </c>
      <c r="BI62" s="223" t="s">
        <v>1015</v>
      </c>
      <c r="BJ62" s="223" t="s">
        <v>186</v>
      </c>
      <c r="BK62" s="223" t="s">
        <v>235</v>
      </c>
      <c r="BL62" s="223" t="s">
        <v>1016</v>
      </c>
      <c r="BM62" s="223" t="s">
        <v>198</v>
      </c>
      <c r="BN62" s="223">
        <v>3</v>
      </c>
      <c r="BO62" s="223" t="s">
        <v>199</v>
      </c>
      <c r="BP62" s="223" t="s">
        <v>1017</v>
      </c>
      <c r="BQ62" s="223" t="s">
        <v>504</v>
      </c>
      <c r="BR62" s="223" t="s">
        <v>199</v>
      </c>
      <c r="BS62" s="223" t="s">
        <v>202</v>
      </c>
      <c r="BT62" s="223" t="s">
        <v>1017</v>
      </c>
    </row>
    <row r="63" spans="1:72" ht="54.95" customHeight="1" x14ac:dyDescent="0.25">
      <c r="A63" s="249">
        <v>11</v>
      </c>
      <c r="B63" s="191" t="s">
        <v>798</v>
      </c>
      <c r="C63" s="191" t="s">
        <v>570</v>
      </c>
      <c r="D63" s="191" t="s">
        <v>1018</v>
      </c>
      <c r="E63" s="191" t="s">
        <v>1019</v>
      </c>
      <c r="F63" s="191" t="s">
        <v>1020</v>
      </c>
      <c r="G63" s="191" t="s">
        <v>1021</v>
      </c>
      <c r="H63" s="191" t="s">
        <v>1022</v>
      </c>
      <c r="I63" s="191" t="s">
        <v>1023</v>
      </c>
      <c r="J63" s="191" t="s">
        <v>1024</v>
      </c>
      <c r="K63" s="191" t="s">
        <v>1025</v>
      </c>
      <c r="L63" s="191" t="s">
        <v>805</v>
      </c>
      <c r="M63" s="191" t="s">
        <v>1026</v>
      </c>
      <c r="N63" s="191" t="s">
        <v>807</v>
      </c>
      <c r="O63" s="249">
        <v>20</v>
      </c>
      <c r="P63" s="191" t="s">
        <v>259</v>
      </c>
      <c r="Q63" s="191" t="s">
        <v>1027</v>
      </c>
      <c r="R63" s="191" t="s">
        <v>1028</v>
      </c>
      <c r="S63" s="191" t="s">
        <v>1029</v>
      </c>
      <c r="T63" s="191" t="s">
        <v>1030</v>
      </c>
      <c r="U63" s="191" t="s">
        <v>1031</v>
      </c>
      <c r="V63" s="191" t="s">
        <v>1032</v>
      </c>
      <c r="W63" s="191" t="s">
        <v>1033</v>
      </c>
      <c r="X63" s="191" t="s">
        <v>1034</v>
      </c>
      <c r="Y63" s="223" t="s">
        <v>814</v>
      </c>
      <c r="Z63" s="223">
        <v>4</v>
      </c>
      <c r="AA63" s="223" t="s">
        <v>410</v>
      </c>
      <c r="AB63" s="223" t="s">
        <v>786</v>
      </c>
      <c r="AC63" s="223" t="s">
        <v>319</v>
      </c>
      <c r="AD63" s="223" t="s">
        <v>786</v>
      </c>
      <c r="AE63" s="223" t="s">
        <v>855</v>
      </c>
      <c r="AF63" s="223" t="s">
        <v>653</v>
      </c>
      <c r="AG63" s="223" t="s">
        <v>818</v>
      </c>
      <c r="AH63" s="223">
        <v>4</v>
      </c>
      <c r="AI63" s="223" t="s">
        <v>321</v>
      </c>
      <c r="AJ63" s="223" t="s">
        <v>310</v>
      </c>
      <c r="AK63" s="223" t="s">
        <v>556</v>
      </c>
      <c r="AL63" s="223" t="s">
        <v>556</v>
      </c>
      <c r="AM63" s="223" t="s">
        <v>353</v>
      </c>
      <c r="AN63" s="223" t="s">
        <v>312</v>
      </c>
      <c r="AO63" s="223" t="s">
        <v>821</v>
      </c>
      <c r="AP63" s="223">
        <v>3</v>
      </c>
      <c r="AQ63" s="223" t="s">
        <v>530</v>
      </c>
      <c r="AR63" s="223" t="s">
        <v>1035</v>
      </c>
      <c r="AS63" s="223" t="s">
        <v>1036</v>
      </c>
      <c r="AT63" s="223" t="s">
        <v>530</v>
      </c>
      <c r="AU63" s="223" t="s">
        <v>272</v>
      </c>
      <c r="AV63" s="223" t="s">
        <v>1036</v>
      </c>
      <c r="AW63" s="223" t="s">
        <v>827</v>
      </c>
      <c r="AX63" s="223">
        <v>3</v>
      </c>
      <c r="AY63" s="223" t="s">
        <v>179</v>
      </c>
      <c r="AZ63" s="223" t="s">
        <v>412</v>
      </c>
      <c r="BA63" s="223" t="s">
        <v>648</v>
      </c>
      <c r="BB63" s="223" t="s">
        <v>179</v>
      </c>
      <c r="BC63" s="223" t="s">
        <v>831</v>
      </c>
      <c r="BD63" s="223" t="s">
        <v>1037</v>
      </c>
      <c r="BE63" s="223" t="s">
        <v>832</v>
      </c>
      <c r="BF63" s="223">
        <v>3</v>
      </c>
      <c r="BG63" s="223" t="s">
        <v>186</v>
      </c>
      <c r="BH63" s="223" t="s">
        <v>185</v>
      </c>
      <c r="BI63" s="223" t="s">
        <v>761</v>
      </c>
      <c r="BJ63" s="223" t="s">
        <v>186</v>
      </c>
      <c r="BK63" s="223" t="s">
        <v>185</v>
      </c>
      <c r="BL63" s="223" t="s">
        <v>235</v>
      </c>
      <c r="BM63" s="223" t="s">
        <v>198</v>
      </c>
      <c r="BN63" s="223">
        <v>3</v>
      </c>
      <c r="BO63" s="223" t="s">
        <v>199</v>
      </c>
      <c r="BP63" s="223" t="s">
        <v>1038</v>
      </c>
      <c r="BQ63" s="223" t="s">
        <v>311</v>
      </c>
      <c r="BR63" s="223" t="s">
        <v>199</v>
      </c>
      <c r="BS63" s="223" t="s">
        <v>202</v>
      </c>
      <c r="BT63" s="223" t="s">
        <v>1038</v>
      </c>
    </row>
    <row r="64" spans="1:72" ht="54.95" customHeight="1" x14ac:dyDescent="0.25">
      <c r="A64" s="249">
        <v>12</v>
      </c>
      <c r="B64" s="191" t="s">
        <v>836</v>
      </c>
      <c r="C64" s="191" t="s">
        <v>205</v>
      </c>
      <c r="D64" s="191" t="s">
        <v>1039</v>
      </c>
      <c r="E64" s="191" t="s">
        <v>1040</v>
      </c>
      <c r="F64" s="191" t="s">
        <v>1041</v>
      </c>
      <c r="G64" s="191" t="s">
        <v>1042</v>
      </c>
      <c r="H64" s="191" t="s">
        <v>1043</v>
      </c>
      <c r="I64" s="191" t="s">
        <v>1044</v>
      </c>
      <c r="J64" s="191" t="s">
        <v>1045</v>
      </c>
      <c r="K64" s="191" t="s">
        <v>1046</v>
      </c>
      <c r="L64" s="191" t="s">
        <v>805</v>
      </c>
      <c r="M64" s="191" t="s">
        <v>1026</v>
      </c>
      <c r="N64" s="191" t="s">
        <v>807</v>
      </c>
      <c r="O64" s="249">
        <v>20</v>
      </c>
      <c r="P64" s="191" t="s">
        <v>259</v>
      </c>
      <c r="Q64" s="191" t="s">
        <v>1047</v>
      </c>
      <c r="R64" s="191" t="s">
        <v>1048</v>
      </c>
      <c r="S64" s="191" t="s">
        <v>1049</v>
      </c>
      <c r="T64" s="191" t="s">
        <v>1050</v>
      </c>
      <c r="U64" s="191" t="s">
        <v>1051</v>
      </c>
      <c r="V64" s="191" t="s">
        <v>1052</v>
      </c>
      <c r="W64" s="191" t="s">
        <v>1053</v>
      </c>
      <c r="X64" s="191" t="s">
        <v>1054</v>
      </c>
      <c r="Y64" s="223" t="s">
        <v>814</v>
      </c>
      <c r="Z64" s="223">
        <v>4</v>
      </c>
      <c r="AA64" s="223" t="s">
        <v>410</v>
      </c>
      <c r="AB64" s="223" t="s">
        <v>786</v>
      </c>
      <c r="AC64" s="223" t="s">
        <v>319</v>
      </c>
      <c r="AD64" s="223" t="s">
        <v>786</v>
      </c>
      <c r="AE64" s="223" t="s">
        <v>855</v>
      </c>
      <c r="AF64" s="223" t="s">
        <v>653</v>
      </c>
      <c r="AG64" s="223" t="s">
        <v>818</v>
      </c>
      <c r="AH64" s="223">
        <v>4</v>
      </c>
      <c r="AI64" s="223" t="s">
        <v>321</v>
      </c>
      <c r="AJ64" s="223" t="s">
        <v>310</v>
      </c>
      <c r="AK64" s="223" t="s">
        <v>556</v>
      </c>
      <c r="AL64" s="223" t="s">
        <v>556</v>
      </c>
      <c r="AM64" s="223" t="s">
        <v>353</v>
      </c>
      <c r="AN64" s="223" t="s">
        <v>312</v>
      </c>
      <c r="AO64" s="223" t="s">
        <v>821</v>
      </c>
      <c r="AP64" s="223">
        <v>3</v>
      </c>
      <c r="AQ64" s="223" t="s">
        <v>530</v>
      </c>
      <c r="AR64" s="223" t="s">
        <v>1035</v>
      </c>
      <c r="AS64" s="223" t="s">
        <v>1036</v>
      </c>
      <c r="AT64" s="223" t="s">
        <v>530</v>
      </c>
      <c r="AU64" s="223" t="s">
        <v>272</v>
      </c>
      <c r="AV64" s="223" t="s">
        <v>1036</v>
      </c>
      <c r="AW64" s="223" t="s">
        <v>827</v>
      </c>
      <c r="AX64" s="223">
        <v>3</v>
      </c>
      <c r="AY64" s="223" t="s">
        <v>179</v>
      </c>
      <c r="AZ64" s="223" t="s">
        <v>412</v>
      </c>
      <c r="BA64" s="223" t="s">
        <v>648</v>
      </c>
      <c r="BB64" s="223" t="s">
        <v>179</v>
      </c>
      <c r="BC64" s="223" t="s">
        <v>831</v>
      </c>
      <c r="BD64" s="223" t="s">
        <v>1037</v>
      </c>
      <c r="BE64" s="223" t="s">
        <v>832</v>
      </c>
      <c r="BF64" s="223">
        <v>3</v>
      </c>
      <c r="BG64" s="223" t="s">
        <v>186</v>
      </c>
      <c r="BH64" s="223" t="s">
        <v>185</v>
      </c>
      <c r="BI64" s="223" t="s">
        <v>761</v>
      </c>
      <c r="BJ64" s="223" t="s">
        <v>186</v>
      </c>
      <c r="BK64" s="223" t="s">
        <v>185</v>
      </c>
      <c r="BL64" s="223" t="s">
        <v>235</v>
      </c>
      <c r="BM64" s="223" t="s">
        <v>198</v>
      </c>
      <c r="BN64" s="223">
        <v>3</v>
      </c>
      <c r="BO64" s="223" t="s">
        <v>199</v>
      </c>
      <c r="BP64" s="223" t="s">
        <v>1038</v>
      </c>
      <c r="BQ64" s="223" t="s">
        <v>311</v>
      </c>
      <c r="BR64" s="223" t="s">
        <v>199</v>
      </c>
      <c r="BS64" s="223" t="s">
        <v>202</v>
      </c>
      <c r="BT64" s="223" t="s">
        <v>1038</v>
      </c>
    </row>
    <row r="65" spans="1:72" ht="54.95" customHeight="1" x14ac:dyDescent="0.25">
      <c r="A65" s="249">
        <v>13</v>
      </c>
      <c r="B65" s="191" t="s">
        <v>324</v>
      </c>
      <c r="C65" s="191" t="s">
        <v>154</v>
      </c>
      <c r="D65" s="191" t="s">
        <v>1055</v>
      </c>
      <c r="E65" s="191" t="s">
        <v>1056</v>
      </c>
      <c r="F65" s="191" t="s">
        <v>1057</v>
      </c>
      <c r="G65" s="191" t="s">
        <v>1058</v>
      </c>
      <c r="H65" s="191" t="s">
        <v>1059</v>
      </c>
      <c r="I65" s="191" t="s">
        <v>1060</v>
      </c>
      <c r="J65" s="191" t="s">
        <v>1061</v>
      </c>
      <c r="K65" s="191" t="s">
        <v>1062</v>
      </c>
      <c r="L65" s="191" t="s">
        <v>805</v>
      </c>
      <c r="M65" s="191" t="s">
        <v>1026</v>
      </c>
      <c r="N65" s="191" t="s">
        <v>807</v>
      </c>
      <c r="O65" s="249">
        <v>20</v>
      </c>
      <c r="P65" s="191" t="s">
        <v>164</v>
      </c>
      <c r="Q65" s="191" t="s">
        <v>1063</v>
      </c>
      <c r="R65" s="191" t="s">
        <v>1064</v>
      </c>
      <c r="S65" s="191" t="s">
        <v>1065</v>
      </c>
      <c r="T65" s="191" t="s">
        <v>1066</v>
      </c>
      <c r="U65" s="191" t="s">
        <v>1067</v>
      </c>
      <c r="V65" s="191" t="s">
        <v>1068</v>
      </c>
      <c r="W65" s="191" t="s">
        <v>1069</v>
      </c>
      <c r="X65" s="191" t="s">
        <v>1070</v>
      </c>
      <c r="Y65" s="223" t="s">
        <v>814</v>
      </c>
      <c r="Z65" s="223">
        <v>4</v>
      </c>
      <c r="AA65" s="223" t="s">
        <v>410</v>
      </c>
      <c r="AB65" s="223" t="s">
        <v>786</v>
      </c>
      <c r="AC65" s="223" t="s">
        <v>319</v>
      </c>
      <c r="AD65" s="223" t="s">
        <v>786</v>
      </c>
      <c r="AE65" s="223" t="s">
        <v>855</v>
      </c>
      <c r="AF65" s="223" t="s">
        <v>653</v>
      </c>
      <c r="AG65" s="223" t="s">
        <v>818</v>
      </c>
      <c r="AH65" s="223">
        <v>4</v>
      </c>
      <c r="AI65" s="223" t="s">
        <v>321</v>
      </c>
      <c r="AJ65" s="223" t="s">
        <v>310</v>
      </c>
      <c r="AK65" s="223" t="s">
        <v>556</v>
      </c>
      <c r="AL65" s="223" t="s">
        <v>556</v>
      </c>
      <c r="AM65" s="223" t="s">
        <v>353</v>
      </c>
      <c r="AN65" s="223" t="s">
        <v>312</v>
      </c>
      <c r="AO65" s="223" t="s">
        <v>821</v>
      </c>
      <c r="AP65" s="223">
        <v>3</v>
      </c>
      <c r="AQ65" s="223" t="s">
        <v>530</v>
      </c>
      <c r="AR65" s="223" t="s">
        <v>1035</v>
      </c>
      <c r="AS65" s="223" t="s">
        <v>1036</v>
      </c>
      <c r="AT65" s="223" t="s">
        <v>530</v>
      </c>
      <c r="AU65" s="223" t="s">
        <v>272</v>
      </c>
      <c r="AV65" s="223" t="s">
        <v>1036</v>
      </c>
      <c r="AW65" s="223" t="s">
        <v>827</v>
      </c>
      <c r="AX65" s="223">
        <v>3</v>
      </c>
      <c r="AY65" s="223" t="s">
        <v>179</v>
      </c>
      <c r="AZ65" s="223" t="s">
        <v>412</v>
      </c>
      <c r="BA65" s="223" t="s">
        <v>648</v>
      </c>
      <c r="BB65" s="223" t="s">
        <v>179</v>
      </c>
      <c r="BC65" s="223" t="s">
        <v>831</v>
      </c>
      <c r="BD65" s="223" t="s">
        <v>1037</v>
      </c>
      <c r="BE65" s="223" t="s">
        <v>832</v>
      </c>
      <c r="BF65" s="223">
        <v>3</v>
      </c>
      <c r="BG65" s="223" t="s">
        <v>186</v>
      </c>
      <c r="BH65" s="223" t="s">
        <v>185</v>
      </c>
      <c r="BI65" s="223" t="s">
        <v>761</v>
      </c>
      <c r="BJ65" s="223" t="s">
        <v>186</v>
      </c>
      <c r="BK65" s="223" t="s">
        <v>185</v>
      </c>
      <c r="BL65" s="223" t="s">
        <v>235</v>
      </c>
      <c r="BM65" s="223" t="s">
        <v>198</v>
      </c>
      <c r="BN65" s="223">
        <v>3</v>
      </c>
      <c r="BO65" s="223" t="s">
        <v>199</v>
      </c>
      <c r="BP65" s="223" t="s">
        <v>1038</v>
      </c>
      <c r="BQ65" s="223" t="s">
        <v>311</v>
      </c>
      <c r="BR65" s="223" t="s">
        <v>199</v>
      </c>
      <c r="BS65" s="223" t="s">
        <v>202</v>
      </c>
      <c r="BT65" s="223" t="s">
        <v>1038</v>
      </c>
    </row>
    <row r="66" spans="1:72" ht="54.95" customHeight="1" x14ac:dyDescent="0.25">
      <c r="A66" s="249">
        <v>14</v>
      </c>
      <c r="B66" s="191" t="s">
        <v>506</v>
      </c>
      <c r="C66" s="191" t="s">
        <v>247</v>
      </c>
      <c r="D66" s="191" t="s">
        <v>692</v>
      </c>
      <c r="E66" s="191" t="s">
        <v>1071</v>
      </c>
      <c r="F66" s="191" t="s">
        <v>1072</v>
      </c>
      <c r="G66" s="191" t="s">
        <v>1073</v>
      </c>
      <c r="H66" s="191" t="s">
        <v>1074</v>
      </c>
      <c r="I66" s="191" t="s">
        <v>1075</v>
      </c>
      <c r="J66" s="191" t="s">
        <v>1076</v>
      </c>
      <c r="K66" s="191" t="s">
        <v>1077</v>
      </c>
      <c r="L66" s="191" t="s">
        <v>805</v>
      </c>
      <c r="M66" s="191" t="s">
        <v>1026</v>
      </c>
      <c r="N66" s="191" t="s">
        <v>807</v>
      </c>
      <c r="O66" s="249">
        <v>20</v>
      </c>
      <c r="P66" s="191" t="s">
        <v>164</v>
      </c>
      <c r="Q66" s="191" t="s">
        <v>1078</v>
      </c>
      <c r="R66" s="191" t="s">
        <v>1079</v>
      </c>
      <c r="S66" s="191" t="s">
        <v>704</v>
      </c>
      <c r="T66" s="191" t="s">
        <v>705</v>
      </c>
      <c r="U66" s="191" t="s">
        <v>521</v>
      </c>
      <c r="V66" s="191" t="s">
        <v>1080</v>
      </c>
      <c r="W66" s="191" t="s">
        <v>1081</v>
      </c>
      <c r="X66" s="191" t="s">
        <v>708</v>
      </c>
      <c r="Y66" s="223" t="s">
        <v>814</v>
      </c>
      <c r="Z66" s="223">
        <v>4</v>
      </c>
      <c r="AA66" s="223" t="s">
        <v>410</v>
      </c>
      <c r="AB66" s="223" t="s">
        <v>786</v>
      </c>
      <c r="AC66" s="223" t="s">
        <v>319</v>
      </c>
      <c r="AD66" s="223" t="s">
        <v>786</v>
      </c>
      <c r="AE66" s="223" t="s">
        <v>855</v>
      </c>
      <c r="AF66" s="223" t="s">
        <v>653</v>
      </c>
      <c r="AG66" s="223" t="s">
        <v>818</v>
      </c>
      <c r="AH66" s="223">
        <v>4</v>
      </c>
      <c r="AI66" s="223" t="s">
        <v>321</v>
      </c>
      <c r="AJ66" s="223" t="s">
        <v>310</v>
      </c>
      <c r="AK66" s="223" t="s">
        <v>556</v>
      </c>
      <c r="AL66" s="223" t="s">
        <v>556</v>
      </c>
      <c r="AM66" s="223" t="s">
        <v>353</v>
      </c>
      <c r="AN66" s="223" t="s">
        <v>312</v>
      </c>
      <c r="AO66" s="223" t="s">
        <v>821</v>
      </c>
      <c r="AP66" s="223">
        <v>3</v>
      </c>
      <c r="AQ66" s="223" t="s">
        <v>530</v>
      </c>
      <c r="AR66" s="223" t="s">
        <v>1035</v>
      </c>
      <c r="AS66" s="223" t="s">
        <v>1036</v>
      </c>
      <c r="AT66" s="223" t="s">
        <v>530</v>
      </c>
      <c r="AU66" s="223" t="s">
        <v>272</v>
      </c>
      <c r="AV66" s="223" t="s">
        <v>1036</v>
      </c>
      <c r="AW66" s="223" t="s">
        <v>827</v>
      </c>
      <c r="AX66" s="223">
        <v>3</v>
      </c>
      <c r="AY66" s="223" t="s">
        <v>179</v>
      </c>
      <c r="AZ66" s="223" t="s">
        <v>412</v>
      </c>
      <c r="BA66" s="223" t="s">
        <v>648</v>
      </c>
      <c r="BB66" s="223" t="s">
        <v>179</v>
      </c>
      <c r="BC66" s="223" t="s">
        <v>831</v>
      </c>
      <c r="BD66" s="223" t="s">
        <v>1037</v>
      </c>
      <c r="BE66" s="223" t="s">
        <v>832</v>
      </c>
      <c r="BF66" s="223">
        <v>3</v>
      </c>
      <c r="BG66" s="223" t="s">
        <v>186</v>
      </c>
      <c r="BH66" s="223" t="s">
        <v>185</v>
      </c>
      <c r="BI66" s="223" t="s">
        <v>761</v>
      </c>
      <c r="BJ66" s="223" t="s">
        <v>186</v>
      </c>
      <c r="BK66" s="223" t="s">
        <v>185</v>
      </c>
      <c r="BL66" s="223" t="s">
        <v>235</v>
      </c>
      <c r="BM66" s="223" t="s">
        <v>198</v>
      </c>
      <c r="BN66" s="223">
        <v>3</v>
      </c>
      <c r="BO66" s="223" t="s">
        <v>199</v>
      </c>
      <c r="BP66" s="223" t="s">
        <v>1038</v>
      </c>
      <c r="BQ66" s="223" t="s">
        <v>311</v>
      </c>
      <c r="BR66" s="223" t="s">
        <v>199</v>
      </c>
      <c r="BS66" s="223" t="s">
        <v>202</v>
      </c>
      <c r="BT66" s="223" t="s">
        <v>1038</v>
      </c>
    </row>
    <row r="67" spans="1:72" ht="54.95" customHeight="1" x14ac:dyDescent="0.25">
      <c r="A67" s="249">
        <v>15</v>
      </c>
      <c r="B67" s="191" t="s">
        <v>444</v>
      </c>
      <c r="C67" s="191" t="s">
        <v>247</v>
      </c>
      <c r="D67" s="191" t="s">
        <v>507</v>
      </c>
      <c r="E67" s="191" t="s">
        <v>1082</v>
      </c>
      <c r="F67" s="191" t="s">
        <v>1083</v>
      </c>
      <c r="G67" s="191" t="s">
        <v>1084</v>
      </c>
      <c r="H67" s="191" t="s">
        <v>1085</v>
      </c>
      <c r="I67" s="191" t="s">
        <v>1086</v>
      </c>
      <c r="J67" s="191" t="s">
        <v>1087</v>
      </c>
      <c r="K67" s="191" t="s">
        <v>1088</v>
      </c>
      <c r="L67" s="191" t="s">
        <v>805</v>
      </c>
      <c r="M67" s="191" t="s">
        <v>1026</v>
      </c>
      <c r="N67" s="191" t="s">
        <v>807</v>
      </c>
      <c r="O67" s="249">
        <v>20</v>
      </c>
      <c r="P67" s="191" t="s">
        <v>164</v>
      </c>
      <c r="Q67" s="191" t="s">
        <v>1089</v>
      </c>
      <c r="R67" s="191" t="s">
        <v>518</v>
      </c>
      <c r="S67" s="191" t="s">
        <v>1090</v>
      </c>
      <c r="T67" s="191" t="s">
        <v>705</v>
      </c>
      <c r="U67" s="191" t="s">
        <v>521</v>
      </c>
      <c r="V67" s="191" t="s">
        <v>1091</v>
      </c>
      <c r="W67" s="191" t="s">
        <v>1092</v>
      </c>
      <c r="X67" s="191" t="s">
        <v>1093</v>
      </c>
      <c r="Y67" s="223" t="s">
        <v>814</v>
      </c>
      <c r="Z67" s="223">
        <v>4</v>
      </c>
      <c r="AA67" s="223" t="s">
        <v>410</v>
      </c>
      <c r="AB67" s="223" t="s">
        <v>786</v>
      </c>
      <c r="AC67" s="223" t="s">
        <v>319</v>
      </c>
      <c r="AD67" s="223" t="s">
        <v>786</v>
      </c>
      <c r="AE67" s="223" t="s">
        <v>855</v>
      </c>
      <c r="AF67" s="223" t="s">
        <v>653</v>
      </c>
      <c r="AG67" s="223" t="s">
        <v>818</v>
      </c>
      <c r="AH67" s="223">
        <v>4</v>
      </c>
      <c r="AI67" s="223" t="s">
        <v>321</v>
      </c>
      <c r="AJ67" s="223" t="s">
        <v>310</v>
      </c>
      <c r="AK67" s="223" t="s">
        <v>556</v>
      </c>
      <c r="AL67" s="223" t="s">
        <v>556</v>
      </c>
      <c r="AM67" s="223" t="s">
        <v>353</v>
      </c>
      <c r="AN67" s="223" t="s">
        <v>312</v>
      </c>
      <c r="AO67" s="223" t="s">
        <v>821</v>
      </c>
      <c r="AP67" s="223">
        <v>3</v>
      </c>
      <c r="AQ67" s="223" t="s">
        <v>530</v>
      </c>
      <c r="AR67" s="223" t="s">
        <v>1035</v>
      </c>
      <c r="AS67" s="223" t="s">
        <v>1036</v>
      </c>
      <c r="AT67" s="223" t="s">
        <v>530</v>
      </c>
      <c r="AU67" s="223" t="s">
        <v>272</v>
      </c>
      <c r="AV67" s="223" t="s">
        <v>1036</v>
      </c>
      <c r="AW67" s="223" t="s">
        <v>827</v>
      </c>
      <c r="AX67" s="223">
        <v>3</v>
      </c>
      <c r="AY67" s="223" t="s">
        <v>179</v>
      </c>
      <c r="AZ67" s="223" t="s">
        <v>412</v>
      </c>
      <c r="BA67" s="223" t="s">
        <v>648</v>
      </c>
      <c r="BB67" s="223" t="s">
        <v>179</v>
      </c>
      <c r="BC67" s="223" t="s">
        <v>831</v>
      </c>
      <c r="BD67" s="223" t="s">
        <v>1037</v>
      </c>
      <c r="BE67" s="223" t="s">
        <v>832</v>
      </c>
      <c r="BF67" s="223">
        <v>3</v>
      </c>
      <c r="BG67" s="223" t="s">
        <v>186</v>
      </c>
      <c r="BH67" s="223" t="s">
        <v>185</v>
      </c>
      <c r="BI67" s="223" t="s">
        <v>761</v>
      </c>
      <c r="BJ67" s="223" t="s">
        <v>186</v>
      </c>
      <c r="BK67" s="223" t="s">
        <v>185</v>
      </c>
      <c r="BL67" s="223" t="s">
        <v>235</v>
      </c>
      <c r="BM67" s="223" t="s">
        <v>198</v>
      </c>
      <c r="BN67" s="223">
        <v>3</v>
      </c>
      <c r="BO67" s="223" t="s">
        <v>199</v>
      </c>
      <c r="BP67" s="223" t="s">
        <v>1038</v>
      </c>
      <c r="BQ67" s="223" t="s">
        <v>311</v>
      </c>
      <c r="BR67" s="223" t="s">
        <v>199</v>
      </c>
      <c r="BS67" s="223" t="s">
        <v>202</v>
      </c>
      <c r="BT67" s="223" t="s">
        <v>1038</v>
      </c>
    </row>
    <row r="68" spans="1:72" ht="54.95" customHeight="1" x14ac:dyDescent="0.25">
      <c r="A68" s="249">
        <v>16</v>
      </c>
      <c r="B68" s="191" t="s">
        <v>415</v>
      </c>
      <c r="C68" s="191" t="s">
        <v>205</v>
      </c>
      <c r="D68" s="191" t="s">
        <v>1094</v>
      </c>
      <c r="E68" s="191" t="s">
        <v>1095</v>
      </c>
      <c r="F68" s="191" t="s">
        <v>1096</v>
      </c>
      <c r="G68" s="191" t="s">
        <v>1097</v>
      </c>
      <c r="H68" s="191" t="s">
        <v>1098</v>
      </c>
      <c r="I68" s="191" t="s">
        <v>1099</v>
      </c>
      <c r="J68" s="191" t="s">
        <v>1100</v>
      </c>
      <c r="K68" s="191" t="s">
        <v>1101</v>
      </c>
      <c r="L68" s="191" t="s">
        <v>805</v>
      </c>
      <c r="M68" s="191" t="s">
        <v>1026</v>
      </c>
      <c r="N68" s="191" t="s">
        <v>807</v>
      </c>
      <c r="O68" s="249">
        <v>20</v>
      </c>
      <c r="P68" s="191" t="s">
        <v>259</v>
      </c>
      <c r="Q68" s="191" t="s">
        <v>1102</v>
      </c>
      <c r="R68" s="191" t="s">
        <v>1103</v>
      </c>
      <c r="S68" s="191" t="s">
        <v>1104</v>
      </c>
      <c r="T68" s="191" t="s">
        <v>1105</v>
      </c>
      <c r="U68" s="191" t="s">
        <v>1106</v>
      </c>
      <c r="V68" s="191" t="s">
        <v>1107</v>
      </c>
      <c r="W68" s="191" t="s">
        <v>1108</v>
      </c>
      <c r="X68" s="191" t="s">
        <v>1109</v>
      </c>
      <c r="Y68" s="223" t="s">
        <v>814</v>
      </c>
      <c r="Z68" s="223">
        <v>4</v>
      </c>
      <c r="AA68" s="223" t="s">
        <v>410</v>
      </c>
      <c r="AB68" s="223" t="s">
        <v>786</v>
      </c>
      <c r="AC68" s="223" t="s">
        <v>319</v>
      </c>
      <c r="AD68" s="223" t="s">
        <v>786</v>
      </c>
      <c r="AE68" s="223" t="s">
        <v>855</v>
      </c>
      <c r="AF68" s="223" t="s">
        <v>653</v>
      </c>
      <c r="AG68" s="223" t="s">
        <v>818</v>
      </c>
      <c r="AH68" s="223">
        <v>4</v>
      </c>
      <c r="AI68" s="223" t="s">
        <v>321</v>
      </c>
      <c r="AJ68" s="223" t="s">
        <v>310</v>
      </c>
      <c r="AK68" s="223" t="s">
        <v>556</v>
      </c>
      <c r="AL68" s="223" t="s">
        <v>556</v>
      </c>
      <c r="AM68" s="223" t="s">
        <v>353</v>
      </c>
      <c r="AN68" s="223" t="s">
        <v>312</v>
      </c>
      <c r="AO68" s="223" t="s">
        <v>821</v>
      </c>
      <c r="AP68" s="223">
        <v>3</v>
      </c>
      <c r="AQ68" s="223" t="s">
        <v>530</v>
      </c>
      <c r="AR68" s="223" t="s">
        <v>1035</v>
      </c>
      <c r="AS68" s="223" t="s">
        <v>1036</v>
      </c>
      <c r="AT68" s="223" t="s">
        <v>530</v>
      </c>
      <c r="AU68" s="223" t="s">
        <v>272</v>
      </c>
      <c r="AV68" s="223" t="s">
        <v>1036</v>
      </c>
      <c r="AW68" s="223" t="s">
        <v>827</v>
      </c>
      <c r="AX68" s="223">
        <v>3</v>
      </c>
      <c r="AY68" s="223" t="s">
        <v>179</v>
      </c>
      <c r="AZ68" s="223" t="s">
        <v>412</v>
      </c>
      <c r="BA68" s="223" t="s">
        <v>648</v>
      </c>
      <c r="BB68" s="223" t="s">
        <v>179</v>
      </c>
      <c r="BC68" s="223" t="s">
        <v>831</v>
      </c>
      <c r="BD68" s="223" t="s">
        <v>1037</v>
      </c>
      <c r="BE68" s="223" t="s">
        <v>832</v>
      </c>
      <c r="BF68" s="223">
        <v>3</v>
      </c>
      <c r="BG68" s="223" t="s">
        <v>186</v>
      </c>
      <c r="BH68" s="223" t="s">
        <v>185</v>
      </c>
      <c r="BI68" s="223" t="s">
        <v>761</v>
      </c>
      <c r="BJ68" s="223" t="s">
        <v>186</v>
      </c>
      <c r="BK68" s="223" t="s">
        <v>185</v>
      </c>
      <c r="BL68" s="223" t="s">
        <v>235</v>
      </c>
      <c r="BM68" s="223" t="s">
        <v>198</v>
      </c>
      <c r="BN68" s="223">
        <v>3</v>
      </c>
      <c r="BO68" s="223" t="s">
        <v>199</v>
      </c>
      <c r="BP68" s="223" t="s">
        <v>1038</v>
      </c>
      <c r="BQ68" s="223" t="s">
        <v>311</v>
      </c>
      <c r="BR68" s="223" t="s">
        <v>199</v>
      </c>
      <c r="BS68" s="223" t="s">
        <v>202</v>
      </c>
      <c r="BT68" s="223" t="s">
        <v>1038</v>
      </c>
    </row>
    <row r="69" spans="1:72" ht="54.95" customHeight="1" x14ac:dyDescent="0.25">
      <c r="A69" s="249">
        <v>17</v>
      </c>
      <c r="B69" s="191" t="s">
        <v>739</v>
      </c>
      <c r="C69" s="191" t="s">
        <v>570</v>
      </c>
      <c r="D69" s="191" t="s">
        <v>1110</v>
      </c>
      <c r="E69" s="191" t="s">
        <v>1111</v>
      </c>
      <c r="F69" s="191" t="s">
        <v>1112</v>
      </c>
      <c r="G69" s="191" t="s">
        <v>1113</v>
      </c>
      <c r="H69" s="191" t="s">
        <v>1114</v>
      </c>
      <c r="I69" s="191" t="s">
        <v>1115</v>
      </c>
      <c r="J69" s="191" t="s">
        <v>1116</v>
      </c>
      <c r="K69" s="191" t="s">
        <v>1117</v>
      </c>
      <c r="L69" s="191" t="s">
        <v>805</v>
      </c>
      <c r="M69" s="191" t="s">
        <v>1026</v>
      </c>
      <c r="N69" s="191" t="s">
        <v>807</v>
      </c>
      <c r="O69" s="249">
        <v>20</v>
      </c>
      <c r="P69" s="191" t="s">
        <v>259</v>
      </c>
      <c r="Q69" s="191" t="s">
        <v>1118</v>
      </c>
      <c r="R69" s="191" t="s">
        <v>1119</v>
      </c>
      <c r="S69" s="191" t="s">
        <v>1120</v>
      </c>
      <c r="T69" s="191" t="s">
        <v>1121</v>
      </c>
      <c r="U69" s="191" t="s">
        <v>1122</v>
      </c>
      <c r="V69" s="191" t="s">
        <v>1123</v>
      </c>
      <c r="W69" s="191" t="s">
        <v>1124</v>
      </c>
      <c r="X69" s="191" t="s">
        <v>1125</v>
      </c>
      <c r="Y69" s="223" t="s">
        <v>814</v>
      </c>
      <c r="Z69" s="223">
        <v>4</v>
      </c>
      <c r="AA69" s="223" t="s">
        <v>410</v>
      </c>
      <c r="AB69" s="223" t="s">
        <v>786</v>
      </c>
      <c r="AC69" s="223" t="s">
        <v>319</v>
      </c>
      <c r="AD69" s="223" t="s">
        <v>786</v>
      </c>
      <c r="AE69" s="223" t="s">
        <v>855</v>
      </c>
      <c r="AF69" s="223" t="s">
        <v>653</v>
      </c>
      <c r="AG69" s="223" t="s">
        <v>818</v>
      </c>
      <c r="AH69" s="223">
        <v>4</v>
      </c>
      <c r="AI69" s="223" t="s">
        <v>321</v>
      </c>
      <c r="AJ69" s="223" t="s">
        <v>310</v>
      </c>
      <c r="AK69" s="223" t="s">
        <v>556</v>
      </c>
      <c r="AL69" s="223" t="s">
        <v>556</v>
      </c>
      <c r="AM69" s="223" t="s">
        <v>353</v>
      </c>
      <c r="AN69" s="223" t="s">
        <v>312</v>
      </c>
      <c r="AO69" s="223" t="s">
        <v>821</v>
      </c>
      <c r="AP69" s="223">
        <v>3</v>
      </c>
      <c r="AQ69" s="223" t="s">
        <v>530</v>
      </c>
      <c r="AR69" s="223" t="s">
        <v>1035</v>
      </c>
      <c r="AS69" s="223" t="s">
        <v>1036</v>
      </c>
      <c r="AT69" s="223" t="s">
        <v>530</v>
      </c>
      <c r="AU69" s="223" t="s">
        <v>272</v>
      </c>
      <c r="AV69" s="223" t="s">
        <v>1036</v>
      </c>
      <c r="AW69" s="223" t="s">
        <v>827</v>
      </c>
      <c r="AX69" s="223">
        <v>3</v>
      </c>
      <c r="AY69" s="223" t="s">
        <v>179</v>
      </c>
      <c r="AZ69" s="223" t="s">
        <v>412</v>
      </c>
      <c r="BA69" s="223" t="s">
        <v>648</v>
      </c>
      <c r="BB69" s="223" t="s">
        <v>179</v>
      </c>
      <c r="BC69" s="223" t="s">
        <v>831</v>
      </c>
      <c r="BD69" s="223" t="s">
        <v>1037</v>
      </c>
      <c r="BE69" s="223" t="s">
        <v>832</v>
      </c>
      <c r="BF69" s="223">
        <v>3</v>
      </c>
      <c r="BG69" s="223" t="s">
        <v>186</v>
      </c>
      <c r="BH69" s="223" t="s">
        <v>185</v>
      </c>
      <c r="BI69" s="223" t="s">
        <v>761</v>
      </c>
      <c r="BJ69" s="223" t="s">
        <v>186</v>
      </c>
      <c r="BK69" s="223" t="s">
        <v>185</v>
      </c>
      <c r="BL69" s="223" t="s">
        <v>235</v>
      </c>
      <c r="BM69" s="223" t="s">
        <v>198</v>
      </c>
      <c r="BN69" s="223">
        <v>3</v>
      </c>
      <c r="BO69" s="223" t="s">
        <v>199</v>
      </c>
      <c r="BP69" s="223" t="s">
        <v>1038</v>
      </c>
      <c r="BQ69" s="223" t="s">
        <v>311</v>
      </c>
      <c r="BR69" s="223" t="s">
        <v>199</v>
      </c>
      <c r="BS69" s="223" t="s">
        <v>202</v>
      </c>
      <c r="BT69" s="223" t="s">
        <v>1038</v>
      </c>
    </row>
    <row r="70" spans="1:72" ht="54.95" customHeight="1" x14ac:dyDescent="0.25">
      <c r="A70" s="249">
        <v>18</v>
      </c>
      <c r="B70" s="191" t="s">
        <v>385</v>
      </c>
      <c r="C70" s="191" t="s">
        <v>325</v>
      </c>
      <c r="D70" s="191" t="s">
        <v>1126</v>
      </c>
      <c r="E70" s="191" t="s">
        <v>1127</v>
      </c>
      <c r="F70" s="191" t="s">
        <v>1128</v>
      </c>
      <c r="G70" s="191" t="s">
        <v>1129</v>
      </c>
      <c r="H70" s="191" t="s">
        <v>1130</v>
      </c>
      <c r="I70" s="191" t="s">
        <v>1131</v>
      </c>
      <c r="J70" s="191" t="s">
        <v>1132</v>
      </c>
      <c r="K70" s="191" t="s">
        <v>1133</v>
      </c>
      <c r="L70" s="191" t="s">
        <v>805</v>
      </c>
      <c r="M70" s="191" t="s">
        <v>1026</v>
      </c>
      <c r="N70" s="191" t="s">
        <v>807</v>
      </c>
      <c r="O70" s="249">
        <v>20</v>
      </c>
      <c r="P70" s="191" t="s">
        <v>164</v>
      </c>
      <c r="Q70" s="191" t="s">
        <v>1134</v>
      </c>
      <c r="R70" s="191" t="s">
        <v>1135</v>
      </c>
      <c r="S70" s="191" t="s">
        <v>1136</v>
      </c>
      <c r="T70" s="191" t="s">
        <v>913</v>
      </c>
      <c r="U70" s="191" t="s">
        <v>1137</v>
      </c>
      <c r="V70" s="191" t="s">
        <v>1138</v>
      </c>
      <c r="W70" s="191" t="s">
        <v>1139</v>
      </c>
      <c r="X70" s="191" t="s">
        <v>1140</v>
      </c>
      <c r="Y70" s="223" t="s">
        <v>814</v>
      </c>
      <c r="Z70" s="223">
        <v>4</v>
      </c>
      <c r="AA70" s="223" t="s">
        <v>410</v>
      </c>
      <c r="AB70" s="223" t="s">
        <v>786</v>
      </c>
      <c r="AC70" s="223" t="s">
        <v>319</v>
      </c>
      <c r="AD70" s="223" t="s">
        <v>786</v>
      </c>
      <c r="AE70" s="223" t="s">
        <v>855</v>
      </c>
      <c r="AF70" s="223" t="s">
        <v>653</v>
      </c>
      <c r="AG70" s="223" t="s">
        <v>818</v>
      </c>
      <c r="AH70" s="223">
        <v>4</v>
      </c>
      <c r="AI70" s="223" t="s">
        <v>321</v>
      </c>
      <c r="AJ70" s="223" t="s">
        <v>310</v>
      </c>
      <c r="AK70" s="223" t="s">
        <v>556</v>
      </c>
      <c r="AL70" s="223" t="s">
        <v>556</v>
      </c>
      <c r="AM70" s="223" t="s">
        <v>353</v>
      </c>
      <c r="AN70" s="223" t="s">
        <v>312</v>
      </c>
      <c r="AO70" s="223" t="s">
        <v>821</v>
      </c>
      <c r="AP70" s="223">
        <v>3</v>
      </c>
      <c r="AQ70" s="223" t="s">
        <v>530</v>
      </c>
      <c r="AR70" s="223" t="s">
        <v>1035</v>
      </c>
      <c r="AS70" s="223" t="s">
        <v>1036</v>
      </c>
      <c r="AT70" s="223" t="s">
        <v>530</v>
      </c>
      <c r="AU70" s="223" t="s">
        <v>272</v>
      </c>
      <c r="AV70" s="223" t="s">
        <v>1036</v>
      </c>
      <c r="AW70" s="223" t="s">
        <v>827</v>
      </c>
      <c r="AX70" s="223">
        <v>3</v>
      </c>
      <c r="AY70" s="223" t="s">
        <v>179</v>
      </c>
      <c r="AZ70" s="223" t="s">
        <v>412</v>
      </c>
      <c r="BA70" s="223" t="s">
        <v>648</v>
      </c>
      <c r="BB70" s="223" t="s">
        <v>179</v>
      </c>
      <c r="BC70" s="223" t="s">
        <v>831</v>
      </c>
      <c r="BD70" s="223" t="s">
        <v>1037</v>
      </c>
      <c r="BE70" s="223" t="s">
        <v>832</v>
      </c>
      <c r="BF70" s="223">
        <v>3</v>
      </c>
      <c r="BG70" s="223" t="s">
        <v>186</v>
      </c>
      <c r="BH70" s="223" t="s">
        <v>185</v>
      </c>
      <c r="BI70" s="223" t="s">
        <v>761</v>
      </c>
      <c r="BJ70" s="223" t="s">
        <v>186</v>
      </c>
      <c r="BK70" s="223" t="s">
        <v>185</v>
      </c>
      <c r="BL70" s="223" t="s">
        <v>235</v>
      </c>
      <c r="BM70" s="223" t="s">
        <v>198</v>
      </c>
      <c r="BN70" s="223">
        <v>3</v>
      </c>
      <c r="BO70" s="223" t="s">
        <v>199</v>
      </c>
      <c r="BP70" s="223" t="s">
        <v>1038</v>
      </c>
      <c r="BQ70" s="223" t="s">
        <v>311</v>
      </c>
      <c r="BR70" s="223" t="s">
        <v>199</v>
      </c>
      <c r="BS70" s="223" t="s">
        <v>202</v>
      </c>
      <c r="BT70" s="223" t="s">
        <v>1038</v>
      </c>
    </row>
    <row r="71" spans="1:72" ht="54.95" customHeight="1" x14ac:dyDescent="0.25">
      <c r="A71" s="249">
        <v>19</v>
      </c>
      <c r="B71" s="191" t="s">
        <v>978</v>
      </c>
      <c r="C71" s="191" t="s">
        <v>247</v>
      </c>
      <c r="D71" s="191" t="s">
        <v>1141</v>
      </c>
      <c r="E71" s="191" t="s">
        <v>1142</v>
      </c>
      <c r="F71" s="191" t="s">
        <v>1143</v>
      </c>
      <c r="G71" s="191" t="s">
        <v>631</v>
      </c>
      <c r="H71" s="191" t="s">
        <v>1144</v>
      </c>
      <c r="I71" s="191" t="s">
        <v>1145</v>
      </c>
      <c r="J71" s="191" t="s">
        <v>1146</v>
      </c>
      <c r="K71" s="191" t="s">
        <v>1147</v>
      </c>
      <c r="L71" s="191" t="s">
        <v>805</v>
      </c>
      <c r="M71" s="191" t="s">
        <v>1026</v>
      </c>
      <c r="N71" s="191" t="s">
        <v>807</v>
      </c>
      <c r="O71" s="249">
        <v>20</v>
      </c>
      <c r="P71" s="191" t="s">
        <v>484</v>
      </c>
      <c r="Q71" s="191" t="s">
        <v>627</v>
      </c>
      <c r="R71" s="191" t="s">
        <v>639</v>
      </c>
      <c r="S71" s="191" t="s">
        <v>1148</v>
      </c>
      <c r="T71" s="191" t="s">
        <v>1149</v>
      </c>
      <c r="U71" s="191" t="s">
        <v>1150</v>
      </c>
      <c r="V71" s="191" t="s">
        <v>1151</v>
      </c>
      <c r="W71" s="191" t="s">
        <v>1152</v>
      </c>
      <c r="X71" s="191" t="s">
        <v>1153</v>
      </c>
      <c r="Y71" s="223" t="s">
        <v>814</v>
      </c>
      <c r="Z71" s="223">
        <v>4</v>
      </c>
      <c r="AA71" s="223" t="s">
        <v>410</v>
      </c>
      <c r="AB71" s="223" t="s">
        <v>786</v>
      </c>
      <c r="AC71" s="223" t="s">
        <v>319</v>
      </c>
      <c r="AD71" s="223" t="s">
        <v>786</v>
      </c>
      <c r="AE71" s="223" t="s">
        <v>855</v>
      </c>
      <c r="AF71" s="223" t="s">
        <v>653</v>
      </c>
      <c r="AG71" s="223" t="s">
        <v>818</v>
      </c>
      <c r="AH71" s="223">
        <v>4</v>
      </c>
      <c r="AI71" s="223" t="s">
        <v>321</v>
      </c>
      <c r="AJ71" s="223" t="s">
        <v>310</v>
      </c>
      <c r="AK71" s="223" t="s">
        <v>556</v>
      </c>
      <c r="AL71" s="223" t="s">
        <v>556</v>
      </c>
      <c r="AM71" s="223" t="s">
        <v>353</v>
      </c>
      <c r="AN71" s="223" t="s">
        <v>312</v>
      </c>
      <c r="AO71" s="223" t="s">
        <v>821</v>
      </c>
      <c r="AP71" s="223">
        <v>3</v>
      </c>
      <c r="AQ71" s="223" t="s">
        <v>530</v>
      </c>
      <c r="AR71" s="223" t="s">
        <v>1035</v>
      </c>
      <c r="AS71" s="223" t="s">
        <v>1036</v>
      </c>
      <c r="AT71" s="223" t="s">
        <v>530</v>
      </c>
      <c r="AU71" s="223" t="s">
        <v>272</v>
      </c>
      <c r="AV71" s="223" t="s">
        <v>1036</v>
      </c>
      <c r="AW71" s="223" t="s">
        <v>827</v>
      </c>
      <c r="AX71" s="223">
        <v>3</v>
      </c>
      <c r="AY71" s="223" t="s">
        <v>179</v>
      </c>
      <c r="AZ71" s="223" t="s">
        <v>412</v>
      </c>
      <c r="BA71" s="223" t="s">
        <v>648</v>
      </c>
      <c r="BB71" s="223" t="s">
        <v>179</v>
      </c>
      <c r="BC71" s="223" t="s">
        <v>831</v>
      </c>
      <c r="BD71" s="223" t="s">
        <v>1037</v>
      </c>
      <c r="BE71" s="223" t="s">
        <v>832</v>
      </c>
      <c r="BF71" s="223">
        <v>3</v>
      </c>
      <c r="BG71" s="223" t="s">
        <v>186</v>
      </c>
      <c r="BH71" s="223" t="s">
        <v>185</v>
      </c>
      <c r="BI71" s="223" t="s">
        <v>761</v>
      </c>
      <c r="BJ71" s="223" t="s">
        <v>186</v>
      </c>
      <c r="BK71" s="223" t="s">
        <v>185</v>
      </c>
      <c r="BL71" s="223" t="s">
        <v>235</v>
      </c>
      <c r="BM71" s="223" t="s">
        <v>198</v>
      </c>
      <c r="BN71" s="223">
        <v>3</v>
      </c>
      <c r="BO71" s="223" t="s">
        <v>199</v>
      </c>
      <c r="BP71" s="223" t="s">
        <v>1038</v>
      </c>
      <c r="BQ71" s="223" t="s">
        <v>311</v>
      </c>
      <c r="BR71" s="223" t="s">
        <v>199</v>
      </c>
      <c r="BS71" s="223" t="s">
        <v>202</v>
      </c>
      <c r="BT71" s="223" t="s">
        <v>1038</v>
      </c>
    </row>
    <row r="72" spans="1:72" ht="54.95" customHeight="1" x14ac:dyDescent="0.25">
      <c r="A72" s="249">
        <v>20</v>
      </c>
      <c r="B72" s="191" t="s">
        <v>472</v>
      </c>
      <c r="C72" s="191" t="s">
        <v>247</v>
      </c>
      <c r="D72" s="191" t="s">
        <v>1154</v>
      </c>
      <c r="E72" s="191" t="s">
        <v>1155</v>
      </c>
      <c r="F72" s="191" t="s">
        <v>1156</v>
      </c>
      <c r="G72" s="191" t="s">
        <v>1157</v>
      </c>
      <c r="H72" s="191" t="s">
        <v>1158</v>
      </c>
      <c r="I72" s="191" t="s">
        <v>1159</v>
      </c>
      <c r="J72" s="191" t="s">
        <v>1160</v>
      </c>
      <c r="K72" s="191" t="s">
        <v>1161</v>
      </c>
      <c r="L72" s="191" t="s">
        <v>805</v>
      </c>
      <c r="M72" s="191" t="s">
        <v>1026</v>
      </c>
      <c r="N72" s="191" t="s">
        <v>807</v>
      </c>
      <c r="O72" s="249">
        <v>20</v>
      </c>
      <c r="P72" s="191" t="s">
        <v>484</v>
      </c>
      <c r="Q72" s="191" t="s">
        <v>1162</v>
      </c>
      <c r="R72" s="191" t="s">
        <v>1163</v>
      </c>
      <c r="S72" s="191" t="s">
        <v>1164</v>
      </c>
      <c r="T72" s="191" t="s">
        <v>1165</v>
      </c>
      <c r="U72" s="191" t="s">
        <v>1166</v>
      </c>
      <c r="V72" s="191" t="s">
        <v>1167</v>
      </c>
      <c r="W72" s="191" t="s">
        <v>1168</v>
      </c>
      <c r="X72" s="191" t="s">
        <v>1169</v>
      </c>
      <c r="Y72" s="223" t="s">
        <v>814</v>
      </c>
      <c r="Z72" s="223">
        <v>4</v>
      </c>
      <c r="AA72" s="223" t="s">
        <v>410</v>
      </c>
      <c r="AB72" s="223" t="s">
        <v>786</v>
      </c>
      <c r="AC72" s="223" t="s">
        <v>319</v>
      </c>
      <c r="AD72" s="223" t="s">
        <v>786</v>
      </c>
      <c r="AE72" s="223" t="s">
        <v>855</v>
      </c>
      <c r="AF72" s="223" t="s">
        <v>653</v>
      </c>
      <c r="AG72" s="223" t="s">
        <v>818</v>
      </c>
      <c r="AH72" s="223">
        <v>4</v>
      </c>
      <c r="AI72" s="223" t="s">
        <v>321</v>
      </c>
      <c r="AJ72" s="223" t="s">
        <v>310</v>
      </c>
      <c r="AK72" s="223" t="s">
        <v>556</v>
      </c>
      <c r="AL72" s="223" t="s">
        <v>556</v>
      </c>
      <c r="AM72" s="223" t="s">
        <v>353</v>
      </c>
      <c r="AN72" s="223" t="s">
        <v>312</v>
      </c>
      <c r="AO72" s="223" t="s">
        <v>821</v>
      </c>
      <c r="AP72" s="223">
        <v>3</v>
      </c>
      <c r="AQ72" s="223" t="s">
        <v>530</v>
      </c>
      <c r="AR72" s="223" t="s">
        <v>1035</v>
      </c>
      <c r="AS72" s="223" t="s">
        <v>1036</v>
      </c>
      <c r="AT72" s="223" t="s">
        <v>530</v>
      </c>
      <c r="AU72" s="223" t="s">
        <v>272</v>
      </c>
      <c r="AV72" s="223" t="s">
        <v>1036</v>
      </c>
      <c r="AW72" s="223" t="s">
        <v>827</v>
      </c>
      <c r="AX72" s="223">
        <v>3</v>
      </c>
      <c r="AY72" s="223" t="s">
        <v>179</v>
      </c>
      <c r="AZ72" s="223" t="s">
        <v>412</v>
      </c>
      <c r="BA72" s="223" t="s">
        <v>648</v>
      </c>
      <c r="BB72" s="223" t="s">
        <v>179</v>
      </c>
      <c r="BC72" s="223" t="s">
        <v>831</v>
      </c>
      <c r="BD72" s="223" t="s">
        <v>1037</v>
      </c>
      <c r="BE72" s="223" t="s">
        <v>832</v>
      </c>
      <c r="BF72" s="223">
        <v>3</v>
      </c>
      <c r="BG72" s="223" t="s">
        <v>186</v>
      </c>
      <c r="BH72" s="223" t="s">
        <v>185</v>
      </c>
      <c r="BI72" s="223" t="s">
        <v>761</v>
      </c>
      <c r="BJ72" s="223" t="s">
        <v>186</v>
      </c>
      <c r="BK72" s="223" t="s">
        <v>185</v>
      </c>
      <c r="BL72" s="223" t="s">
        <v>235</v>
      </c>
      <c r="BM72" s="223" t="s">
        <v>198</v>
      </c>
      <c r="BN72" s="223">
        <v>3</v>
      </c>
      <c r="BO72" s="223" t="s">
        <v>199</v>
      </c>
      <c r="BP72" s="223" t="s">
        <v>1038</v>
      </c>
      <c r="BQ72" s="223" t="s">
        <v>311</v>
      </c>
      <c r="BR72" s="223" t="s">
        <v>199</v>
      </c>
      <c r="BS72" s="223" t="s">
        <v>202</v>
      </c>
      <c r="BT72" s="223" t="s">
        <v>1038</v>
      </c>
    </row>
    <row r="73" spans="1:72" x14ac:dyDescent="0.25">
      <c r="A73" s="192">
        <v>21</v>
      </c>
      <c r="B73" s="192" t="s">
        <v>798</v>
      </c>
      <c r="C73" s="192" t="s">
        <v>154</v>
      </c>
      <c r="D73" s="192" t="s">
        <v>1170</v>
      </c>
      <c r="E73" s="192" t="s">
        <v>1171</v>
      </c>
      <c r="F73" s="192" t="s">
        <v>1172</v>
      </c>
      <c r="G73" s="192" t="s">
        <v>1173</v>
      </c>
      <c r="H73" s="192" t="s">
        <v>1174</v>
      </c>
      <c r="I73" s="192" t="s">
        <v>1175</v>
      </c>
      <c r="J73" s="192" t="s">
        <v>1176</v>
      </c>
      <c r="K73" s="192" t="s">
        <v>1177</v>
      </c>
      <c r="L73" s="192" t="s">
        <v>805</v>
      </c>
      <c r="M73" s="192" t="s">
        <v>1026</v>
      </c>
      <c r="N73" s="192" t="s">
        <v>807</v>
      </c>
      <c r="O73" s="192">
        <v>20</v>
      </c>
      <c r="P73" s="192" t="s">
        <v>259</v>
      </c>
      <c r="Q73" s="192" t="s">
        <v>1178</v>
      </c>
      <c r="R73" s="192" t="s">
        <v>1179</v>
      </c>
      <c r="S73" s="192" t="s">
        <v>1180</v>
      </c>
      <c r="T73" s="192" t="s">
        <v>1181</v>
      </c>
      <c r="U73" s="192" t="s">
        <v>1182</v>
      </c>
      <c r="V73" s="192" t="s">
        <v>1183</v>
      </c>
      <c r="W73" s="192" t="s">
        <v>1184</v>
      </c>
      <c r="X73" s="192" t="s">
        <v>1185</v>
      </c>
      <c r="Y73" s="192" t="s">
        <v>814</v>
      </c>
      <c r="Z73" s="192">
        <v>4</v>
      </c>
      <c r="AA73" s="192" t="s">
        <v>410</v>
      </c>
      <c r="AB73" s="192" t="s">
        <v>786</v>
      </c>
      <c r="AC73" s="192" t="s">
        <v>319</v>
      </c>
      <c r="AD73" s="192" t="s">
        <v>786</v>
      </c>
      <c r="AE73" s="192" t="s">
        <v>855</v>
      </c>
      <c r="AF73" s="192" t="s">
        <v>653</v>
      </c>
      <c r="AG73" s="192" t="s">
        <v>818</v>
      </c>
      <c r="AH73" s="192">
        <v>4</v>
      </c>
      <c r="AI73" s="192" t="s">
        <v>321</v>
      </c>
      <c r="AJ73" s="192" t="s">
        <v>310</v>
      </c>
      <c r="AK73" s="192" t="s">
        <v>556</v>
      </c>
      <c r="AL73" s="192" t="s">
        <v>556</v>
      </c>
      <c r="AM73" s="192" t="s">
        <v>353</v>
      </c>
      <c r="AN73" s="192" t="s">
        <v>312</v>
      </c>
      <c r="AO73" s="192" t="s">
        <v>821</v>
      </c>
      <c r="AP73" s="192">
        <v>3</v>
      </c>
      <c r="AQ73" s="192" t="s">
        <v>530</v>
      </c>
      <c r="AR73" s="192" t="s">
        <v>1035</v>
      </c>
      <c r="AS73" s="192" t="s">
        <v>1036</v>
      </c>
      <c r="AT73" s="192" t="s">
        <v>530</v>
      </c>
      <c r="AU73" s="192" t="s">
        <v>272</v>
      </c>
      <c r="AV73" s="192" t="s">
        <v>1036</v>
      </c>
      <c r="AW73" s="192" t="s">
        <v>827</v>
      </c>
      <c r="AX73" s="192">
        <v>3</v>
      </c>
      <c r="AY73" s="192" t="s">
        <v>179</v>
      </c>
      <c r="AZ73" s="192" t="s">
        <v>412</v>
      </c>
      <c r="BA73" s="192" t="s">
        <v>648</v>
      </c>
      <c r="BB73" s="192" t="s">
        <v>179</v>
      </c>
      <c r="BC73" s="192" t="s">
        <v>831</v>
      </c>
      <c r="BD73" s="192" t="s">
        <v>1037</v>
      </c>
      <c r="BE73" s="192" t="s">
        <v>832</v>
      </c>
      <c r="BF73" s="192">
        <v>3</v>
      </c>
      <c r="BG73" s="192" t="s">
        <v>186</v>
      </c>
      <c r="BH73" s="192" t="s">
        <v>185</v>
      </c>
      <c r="BI73" s="192" t="s">
        <v>761</v>
      </c>
      <c r="BJ73" s="192" t="s">
        <v>186</v>
      </c>
      <c r="BK73" s="192" t="s">
        <v>185</v>
      </c>
      <c r="BL73" s="192" t="s">
        <v>235</v>
      </c>
      <c r="BM73" s="192" t="s">
        <v>198</v>
      </c>
      <c r="BN73" s="192">
        <v>3</v>
      </c>
      <c r="BO73" s="192" t="s">
        <v>199</v>
      </c>
      <c r="BP73" s="192" t="s">
        <v>1038</v>
      </c>
      <c r="BQ73" s="192" t="s">
        <v>311</v>
      </c>
      <c r="BR73" s="192" t="s">
        <v>199</v>
      </c>
      <c r="BS73" s="192" t="s">
        <v>202</v>
      </c>
      <c r="BT73" s="192" t="s">
        <v>1038</v>
      </c>
    </row>
    <row r="74" spans="1:72" x14ac:dyDescent="0.25">
      <c r="A74" s="192">
        <v>22</v>
      </c>
      <c r="B74" s="192" t="s">
        <v>836</v>
      </c>
      <c r="C74" s="192" t="s">
        <v>570</v>
      </c>
      <c r="D74" s="192" t="s">
        <v>1186</v>
      </c>
      <c r="E74" s="192" t="s">
        <v>1187</v>
      </c>
      <c r="F74" s="192" t="s">
        <v>1188</v>
      </c>
      <c r="G74" s="192" t="s">
        <v>1189</v>
      </c>
      <c r="H74" s="192" t="s">
        <v>1190</v>
      </c>
      <c r="I74" s="192" t="s">
        <v>1191</v>
      </c>
      <c r="J74" s="192" t="s">
        <v>1192</v>
      </c>
      <c r="K74" s="192" t="s">
        <v>1193</v>
      </c>
      <c r="L74" s="192" t="s">
        <v>805</v>
      </c>
      <c r="M74" s="192" t="s">
        <v>1026</v>
      </c>
      <c r="N74" s="192" t="s">
        <v>807</v>
      </c>
      <c r="O74" s="192">
        <v>20</v>
      </c>
      <c r="P74" s="192" t="s">
        <v>259</v>
      </c>
      <c r="Q74" s="192" t="s">
        <v>1194</v>
      </c>
      <c r="R74" s="192" t="s">
        <v>1195</v>
      </c>
      <c r="S74" s="192" t="s">
        <v>1196</v>
      </c>
      <c r="T74" s="192" t="s">
        <v>1197</v>
      </c>
      <c r="U74" s="192" t="s">
        <v>1198</v>
      </c>
      <c r="V74" s="192" t="s">
        <v>1199</v>
      </c>
      <c r="W74" s="192" t="s">
        <v>1200</v>
      </c>
      <c r="X74" s="192" t="s">
        <v>1201</v>
      </c>
      <c r="Y74" s="192" t="s">
        <v>814</v>
      </c>
      <c r="Z74" s="192">
        <v>4</v>
      </c>
      <c r="AA74" s="192" t="s">
        <v>410</v>
      </c>
      <c r="AB74" s="192" t="s">
        <v>786</v>
      </c>
      <c r="AC74" s="192" t="s">
        <v>319</v>
      </c>
      <c r="AD74" s="192" t="s">
        <v>786</v>
      </c>
      <c r="AE74" s="192" t="s">
        <v>855</v>
      </c>
      <c r="AF74" s="192" t="s">
        <v>653</v>
      </c>
      <c r="AG74" s="192" t="s">
        <v>818</v>
      </c>
      <c r="AH74" s="192">
        <v>4</v>
      </c>
      <c r="AI74" s="192" t="s">
        <v>321</v>
      </c>
      <c r="AJ74" s="192" t="s">
        <v>310</v>
      </c>
      <c r="AK74" s="192" t="s">
        <v>556</v>
      </c>
      <c r="AL74" s="192" t="s">
        <v>556</v>
      </c>
      <c r="AM74" s="192" t="s">
        <v>353</v>
      </c>
      <c r="AN74" s="192" t="s">
        <v>312</v>
      </c>
      <c r="AO74" s="192" t="s">
        <v>821</v>
      </c>
      <c r="AP74" s="192">
        <v>3</v>
      </c>
      <c r="AQ74" s="192" t="s">
        <v>530</v>
      </c>
      <c r="AR74" s="192" t="s">
        <v>1035</v>
      </c>
      <c r="AS74" s="192" t="s">
        <v>1036</v>
      </c>
      <c r="AT74" s="192" t="s">
        <v>530</v>
      </c>
      <c r="AU74" s="192" t="s">
        <v>272</v>
      </c>
      <c r="AV74" s="192" t="s">
        <v>1036</v>
      </c>
      <c r="AW74" s="192" t="s">
        <v>827</v>
      </c>
      <c r="AX74" s="192">
        <v>3</v>
      </c>
      <c r="AY74" s="192" t="s">
        <v>179</v>
      </c>
      <c r="AZ74" s="192" t="s">
        <v>412</v>
      </c>
      <c r="BA74" s="192" t="s">
        <v>648</v>
      </c>
      <c r="BB74" s="192" t="s">
        <v>179</v>
      </c>
      <c r="BC74" s="192" t="s">
        <v>831</v>
      </c>
      <c r="BD74" s="192" t="s">
        <v>1037</v>
      </c>
      <c r="BE74" s="192" t="s">
        <v>832</v>
      </c>
      <c r="BF74" s="192">
        <v>3</v>
      </c>
      <c r="BG74" s="192" t="s">
        <v>186</v>
      </c>
      <c r="BH74" s="192" t="s">
        <v>185</v>
      </c>
      <c r="BI74" s="192" t="s">
        <v>761</v>
      </c>
      <c r="BJ74" s="192" t="s">
        <v>186</v>
      </c>
      <c r="BK74" s="192" t="s">
        <v>185</v>
      </c>
      <c r="BL74" s="192" t="s">
        <v>235</v>
      </c>
      <c r="BM74" s="192" t="s">
        <v>198</v>
      </c>
      <c r="BN74" s="192">
        <v>3</v>
      </c>
      <c r="BO74" s="192" t="s">
        <v>199</v>
      </c>
      <c r="BP74" s="192" t="s">
        <v>1038</v>
      </c>
      <c r="BQ74" s="192" t="s">
        <v>311</v>
      </c>
      <c r="BR74" s="192" t="s">
        <v>199</v>
      </c>
      <c r="BS74" s="192" t="s">
        <v>202</v>
      </c>
      <c r="BT74" s="192" t="s">
        <v>1038</v>
      </c>
    </row>
    <row r="75" spans="1:72" x14ac:dyDescent="0.25">
      <c r="A75" s="192">
        <v>23</v>
      </c>
      <c r="B75" s="192" t="s">
        <v>324</v>
      </c>
      <c r="C75" s="192" t="s">
        <v>205</v>
      </c>
      <c r="D75" s="192" t="s">
        <v>1202</v>
      </c>
      <c r="E75" s="192" t="s">
        <v>1203</v>
      </c>
      <c r="F75" s="192" t="s">
        <v>1204</v>
      </c>
      <c r="G75" s="192" t="s">
        <v>1205</v>
      </c>
      <c r="H75" s="192" t="s">
        <v>1206</v>
      </c>
      <c r="I75" s="192" t="s">
        <v>1207</v>
      </c>
      <c r="J75" s="192" t="s">
        <v>1208</v>
      </c>
      <c r="K75" s="192" t="s">
        <v>1209</v>
      </c>
      <c r="L75" s="192" t="s">
        <v>805</v>
      </c>
      <c r="M75" s="192" t="s">
        <v>1026</v>
      </c>
      <c r="N75" s="192" t="s">
        <v>807</v>
      </c>
      <c r="O75" s="192">
        <v>20</v>
      </c>
      <c r="P75" s="192" t="s">
        <v>259</v>
      </c>
      <c r="Q75" s="192" t="s">
        <v>1210</v>
      </c>
      <c r="R75" s="192" t="s">
        <v>1211</v>
      </c>
      <c r="S75" s="192" t="s">
        <v>1212</v>
      </c>
      <c r="T75" s="192" t="s">
        <v>429</v>
      </c>
      <c r="U75" s="192" t="s">
        <v>521</v>
      </c>
      <c r="V75" s="192" t="s">
        <v>1213</v>
      </c>
      <c r="W75" s="192" t="s">
        <v>1214</v>
      </c>
      <c r="X75" s="192" t="s">
        <v>1215</v>
      </c>
      <c r="Y75" s="192" t="s">
        <v>814</v>
      </c>
      <c r="Z75" s="192">
        <v>4</v>
      </c>
      <c r="AA75" s="192" t="s">
        <v>410</v>
      </c>
      <c r="AB75" s="192" t="s">
        <v>786</v>
      </c>
      <c r="AC75" s="192" t="s">
        <v>319</v>
      </c>
      <c r="AD75" s="192" t="s">
        <v>786</v>
      </c>
      <c r="AE75" s="192" t="s">
        <v>855</v>
      </c>
      <c r="AF75" s="192" t="s">
        <v>653</v>
      </c>
      <c r="AG75" s="192" t="s">
        <v>818</v>
      </c>
      <c r="AH75" s="192">
        <v>4</v>
      </c>
      <c r="AI75" s="192" t="s">
        <v>321</v>
      </c>
      <c r="AJ75" s="192" t="s">
        <v>310</v>
      </c>
      <c r="AK75" s="192" t="s">
        <v>556</v>
      </c>
      <c r="AL75" s="192" t="s">
        <v>556</v>
      </c>
      <c r="AM75" s="192" t="s">
        <v>353</v>
      </c>
      <c r="AN75" s="192" t="s">
        <v>312</v>
      </c>
      <c r="AO75" s="192" t="s">
        <v>821</v>
      </c>
      <c r="AP75" s="192">
        <v>3</v>
      </c>
      <c r="AQ75" s="192" t="s">
        <v>530</v>
      </c>
      <c r="AR75" s="192" t="s">
        <v>1035</v>
      </c>
      <c r="AS75" s="192" t="s">
        <v>1036</v>
      </c>
      <c r="AT75" s="192" t="s">
        <v>530</v>
      </c>
      <c r="AU75" s="192" t="s">
        <v>272</v>
      </c>
      <c r="AV75" s="192" t="s">
        <v>1036</v>
      </c>
      <c r="AW75" s="192" t="s">
        <v>827</v>
      </c>
      <c r="AX75" s="192">
        <v>3</v>
      </c>
      <c r="AY75" s="192" t="s">
        <v>179</v>
      </c>
      <c r="AZ75" s="192" t="s">
        <v>412</v>
      </c>
      <c r="BA75" s="192" t="s">
        <v>648</v>
      </c>
      <c r="BB75" s="192" t="s">
        <v>179</v>
      </c>
      <c r="BC75" s="192" t="s">
        <v>831</v>
      </c>
      <c r="BD75" s="192" t="s">
        <v>1037</v>
      </c>
      <c r="BE75" s="192" t="s">
        <v>832</v>
      </c>
      <c r="BF75" s="192">
        <v>3</v>
      </c>
      <c r="BG75" s="192" t="s">
        <v>186</v>
      </c>
      <c r="BH75" s="192" t="s">
        <v>185</v>
      </c>
      <c r="BI75" s="192" t="s">
        <v>761</v>
      </c>
      <c r="BJ75" s="192" t="s">
        <v>186</v>
      </c>
      <c r="BK75" s="192" t="s">
        <v>185</v>
      </c>
      <c r="BL75" s="192" t="s">
        <v>235</v>
      </c>
      <c r="BM75" s="192" t="s">
        <v>198</v>
      </c>
      <c r="BN75" s="192">
        <v>3</v>
      </c>
      <c r="BO75" s="192" t="s">
        <v>199</v>
      </c>
      <c r="BP75" s="192" t="s">
        <v>1038</v>
      </c>
      <c r="BQ75" s="192" t="s">
        <v>311</v>
      </c>
      <c r="BR75" s="192" t="s">
        <v>199</v>
      </c>
      <c r="BS75" s="192" t="s">
        <v>202</v>
      </c>
      <c r="BT75" s="192" t="s">
        <v>1038</v>
      </c>
    </row>
    <row r="76" spans="1:72" x14ac:dyDescent="0.25">
      <c r="A76" s="192">
        <v>24</v>
      </c>
      <c r="B76" s="192" t="s">
        <v>246</v>
      </c>
      <c r="C76" s="192" t="s">
        <v>247</v>
      </c>
      <c r="D76" s="192" t="s">
        <v>1216</v>
      </c>
      <c r="E76" s="192" t="s">
        <v>1217</v>
      </c>
      <c r="F76" s="192" t="s">
        <v>1218</v>
      </c>
      <c r="G76" s="192" t="s">
        <v>1219</v>
      </c>
      <c r="H76" s="192" t="s">
        <v>1220</v>
      </c>
      <c r="I76" s="192" t="s">
        <v>1221</v>
      </c>
      <c r="J76" s="192" t="s">
        <v>1222</v>
      </c>
      <c r="K76" s="192" t="s">
        <v>1223</v>
      </c>
      <c r="L76" s="192" t="s">
        <v>805</v>
      </c>
      <c r="M76" s="192" t="s">
        <v>1026</v>
      </c>
      <c r="N76" s="192" t="s">
        <v>807</v>
      </c>
      <c r="O76" s="192">
        <v>20</v>
      </c>
      <c r="P76" s="192" t="s">
        <v>164</v>
      </c>
      <c r="Q76" s="192" t="s">
        <v>1224</v>
      </c>
      <c r="R76" s="192" t="s">
        <v>1225</v>
      </c>
      <c r="S76" s="192" t="s">
        <v>1226</v>
      </c>
      <c r="T76" s="192" t="s">
        <v>1227</v>
      </c>
      <c r="U76" s="192" t="s">
        <v>1228</v>
      </c>
      <c r="V76" s="192" t="s">
        <v>1229</v>
      </c>
      <c r="W76" s="192" t="s">
        <v>1230</v>
      </c>
      <c r="X76" s="192" t="s">
        <v>1231</v>
      </c>
      <c r="Y76" s="192" t="s">
        <v>814</v>
      </c>
      <c r="Z76" s="192">
        <v>4</v>
      </c>
      <c r="AA76" s="192" t="s">
        <v>410</v>
      </c>
      <c r="AB76" s="192" t="s">
        <v>786</v>
      </c>
      <c r="AC76" s="192" t="s">
        <v>319</v>
      </c>
      <c r="AD76" s="192" t="s">
        <v>786</v>
      </c>
      <c r="AE76" s="192" t="s">
        <v>855</v>
      </c>
      <c r="AF76" s="192" t="s">
        <v>653</v>
      </c>
      <c r="AG76" s="192" t="s">
        <v>818</v>
      </c>
      <c r="AH76" s="192">
        <v>4</v>
      </c>
      <c r="AI76" s="192" t="s">
        <v>321</v>
      </c>
      <c r="AJ76" s="192" t="s">
        <v>310</v>
      </c>
      <c r="AK76" s="192" t="s">
        <v>556</v>
      </c>
      <c r="AL76" s="192" t="s">
        <v>556</v>
      </c>
      <c r="AM76" s="192" t="s">
        <v>353</v>
      </c>
      <c r="AN76" s="192" t="s">
        <v>312</v>
      </c>
      <c r="AO76" s="192" t="s">
        <v>821</v>
      </c>
      <c r="AP76" s="192">
        <v>3</v>
      </c>
      <c r="AQ76" s="192" t="s">
        <v>530</v>
      </c>
      <c r="AR76" s="192" t="s">
        <v>1035</v>
      </c>
      <c r="AS76" s="192" t="s">
        <v>1036</v>
      </c>
      <c r="AT76" s="192" t="s">
        <v>530</v>
      </c>
      <c r="AU76" s="192" t="s">
        <v>272</v>
      </c>
      <c r="AV76" s="192" t="s">
        <v>1036</v>
      </c>
      <c r="AW76" s="192" t="s">
        <v>827</v>
      </c>
      <c r="AX76" s="192">
        <v>3</v>
      </c>
      <c r="AY76" s="192" t="s">
        <v>179</v>
      </c>
      <c r="AZ76" s="192" t="s">
        <v>412</v>
      </c>
      <c r="BA76" s="192" t="s">
        <v>648</v>
      </c>
      <c r="BB76" s="192" t="s">
        <v>179</v>
      </c>
      <c r="BC76" s="192" t="s">
        <v>831</v>
      </c>
      <c r="BD76" s="192" t="s">
        <v>1037</v>
      </c>
      <c r="BE76" s="192" t="s">
        <v>832</v>
      </c>
      <c r="BF76" s="192">
        <v>3</v>
      </c>
      <c r="BG76" s="192" t="s">
        <v>186</v>
      </c>
      <c r="BH76" s="192" t="s">
        <v>185</v>
      </c>
      <c r="BI76" s="192" t="s">
        <v>761</v>
      </c>
      <c r="BJ76" s="192" t="s">
        <v>186</v>
      </c>
      <c r="BK76" s="192" t="s">
        <v>185</v>
      </c>
      <c r="BL76" s="192" t="s">
        <v>235</v>
      </c>
      <c r="BM76" s="192" t="s">
        <v>198</v>
      </c>
      <c r="BN76" s="192">
        <v>3</v>
      </c>
      <c r="BO76" s="192" t="s">
        <v>199</v>
      </c>
      <c r="BP76" s="192" t="s">
        <v>1038</v>
      </c>
      <c r="BQ76" s="192" t="s">
        <v>311</v>
      </c>
      <c r="BR76" s="192" t="s">
        <v>199</v>
      </c>
      <c r="BS76" s="192" t="s">
        <v>202</v>
      </c>
      <c r="BT76" s="192" t="s">
        <v>1038</v>
      </c>
    </row>
    <row r="77" spans="1:72" x14ac:dyDescent="0.25">
      <c r="A77" s="192">
        <v>25</v>
      </c>
      <c r="B77" s="192" t="s">
        <v>415</v>
      </c>
      <c r="C77" s="192" t="s">
        <v>205</v>
      </c>
      <c r="D77" s="192" t="s">
        <v>1232</v>
      </c>
      <c r="E77" s="192" t="s">
        <v>1233</v>
      </c>
      <c r="F77" s="192" t="s">
        <v>1234</v>
      </c>
      <c r="G77" s="192" t="s">
        <v>1235</v>
      </c>
      <c r="H77" s="192" t="s">
        <v>1236</v>
      </c>
      <c r="I77" s="192" t="s">
        <v>1237</v>
      </c>
      <c r="J77" s="192" t="s">
        <v>1238</v>
      </c>
      <c r="K77" s="192" t="s">
        <v>1239</v>
      </c>
      <c r="L77" s="192" t="s">
        <v>805</v>
      </c>
      <c r="M77" s="192" t="s">
        <v>1026</v>
      </c>
      <c r="N77" s="192" t="s">
        <v>807</v>
      </c>
      <c r="O77" s="192">
        <v>20</v>
      </c>
      <c r="P77" s="192" t="s">
        <v>259</v>
      </c>
      <c r="Q77" s="192" t="s">
        <v>1240</v>
      </c>
      <c r="R77" s="192" t="s">
        <v>612</v>
      </c>
      <c r="S77" s="192" t="s">
        <v>1241</v>
      </c>
      <c r="T77" s="192" t="s">
        <v>1242</v>
      </c>
      <c r="U77" s="192" t="s">
        <v>1243</v>
      </c>
      <c r="V77" s="192" t="s">
        <v>1244</v>
      </c>
      <c r="W77" s="192" t="s">
        <v>1245</v>
      </c>
      <c r="X77" s="192" t="s">
        <v>1246</v>
      </c>
      <c r="Y77" s="192" t="s">
        <v>814</v>
      </c>
      <c r="Z77" s="192">
        <v>4</v>
      </c>
      <c r="AA77" s="192" t="s">
        <v>410</v>
      </c>
      <c r="AB77" s="192" t="s">
        <v>786</v>
      </c>
      <c r="AC77" s="192" t="s">
        <v>319</v>
      </c>
      <c r="AD77" s="192" t="s">
        <v>786</v>
      </c>
      <c r="AE77" s="192" t="s">
        <v>855</v>
      </c>
      <c r="AF77" s="192" t="s">
        <v>653</v>
      </c>
      <c r="AG77" s="192" t="s">
        <v>818</v>
      </c>
      <c r="AH77" s="192">
        <v>4</v>
      </c>
      <c r="AI77" s="192" t="s">
        <v>321</v>
      </c>
      <c r="AJ77" s="192" t="s">
        <v>310</v>
      </c>
      <c r="AK77" s="192" t="s">
        <v>556</v>
      </c>
      <c r="AL77" s="192" t="s">
        <v>556</v>
      </c>
      <c r="AM77" s="192" t="s">
        <v>353</v>
      </c>
      <c r="AN77" s="192" t="s">
        <v>312</v>
      </c>
      <c r="AO77" s="192" t="s">
        <v>821</v>
      </c>
      <c r="AP77" s="192">
        <v>3</v>
      </c>
      <c r="AQ77" s="192" t="s">
        <v>530</v>
      </c>
      <c r="AR77" s="192" t="s">
        <v>1035</v>
      </c>
      <c r="AS77" s="192" t="s">
        <v>1036</v>
      </c>
      <c r="AT77" s="192" t="s">
        <v>530</v>
      </c>
      <c r="AU77" s="192" t="s">
        <v>272</v>
      </c>
      <c r="AV77" s="192" t="s">
        <v>1036</v>
      </c>
      <c r="AW77" s="192" t="s">
        <v>827</v>
      </c>
      <c r="AX77" s="192">
        <v>3</v>
      </c>
      <c r="AY77" s="192" t="s">
        <v>179</v>
      </c>
      <c r="AZ77" s="192" t="s">
        <v>412</v>
      </c>
      <c r="BA77" s="192" t="s">
        <v>648</v>
      </c>
      <c r="BB77" s="192" t="s">
        <v>179</v>
      </c>
      <c r="BC77" s="192" t="s">
        <v>831</v>
      </c>
      <c r="BD77" s="192" t="s">
        <v>1037</v>
      </c>
      <c r="BE77" s="192" t="s">
        <v>832</v>
      </c>
      <c r="BF77" s="192">
        <v>3</v>
      </c>
      <c r="BG77" s="192" t="s">
        <v>186</v>
      </c>
      <c r="BH77" s="192" t="s">
        <v>185</v>
      </c>
      <c r="BI77" s="192" t="s">
        <v>761</v>
      </c>
      <c r="BJ77" s="192" t="s">
        <v>186</v>
      </c>
      <c r="BK77" s="192" t="s">
        <v>185</v>
      </c>
      <c r="BL77" s="192" t="s">
        <v>235</v>
      </c>
      <c r="BM77" s="192" t="s">
        <v>198</v>
      </c>
      <c r="BN77" s="192">
        <v>3</v>
      </c>
      <c r="BO77" s="192" t="s">
        <v>199</v>
      </c>
      <c r="BP77" s="192" t="s">
        <v>1038</v>
      </c>
      <c r="BQ77" s="192" t="s">
        <v>311</v>
      </c>
      <c r="BR77" s="192" t="s">
        <v>199</v>
      </c>
      <c r="BS77" s="192" t="s">
        <v>202</v>
      </c>
      <c r="BT77" s="192" t="s">
        <v>1038</v>
      </c>
    </row>
    <row r="78" spans="1:72" x14ac:dyDescent="0.25">
      <c r="A78" s="192">
        <v>26</v>
      </c>
      <c r="B78" s="192" t="s">
        <v>739</v>
      </c>
      <c r="C78" s="192" t="s">
        <v>154</v>
      </c>
      <c r="D78" s="192" t="s">
        <v>1247</v>
      </c>
      <c r="E78" s="192" t="s">
        <v>1248</v>
      </c>
      <c r="F78" s="192" t="s">
        <v>1249</v>
      </c>
      <c r="G78" s="192" t="s">
        <v>1250</v>
      </c>
      <c r="H78" s="192" t="s">
        <v>1251</v>
      </c>
      <c r="I78" s="192" t="s">
        <v>1252</v>
      </c>
      <c r="J78" s="192" t="s">
        <v>1253</v>
      </c>
      <c r="K78" s="192" t="s">
        <v>1254</v>
      </c>
      <c r="L78" s="192" t="s">
        <v>805</v>
      </c>
      <c r="M78" s="192" t="s">
        <v>1026</v>
      </c>
      <c r="N78" s="192" t="s">
        <v>807</v>
      </c>
      <c r="O78" s="192">
        <v>20</v>
      </c>
      <c r="P78" s="192" t="s">
        <v>259</v>
      </c>
      <c r="Q78" s="192" t="s">
        <v>1255</v>
      </c>
      <c r="R78" s="192" t="s">
        <v>1256</v>
      </c>
      <c r="S78" s="192" t="s">
        <v>1257</v>
      </c>
      <c r="T78" s="192" t="s">
        <v>1258</v>
      </c>
      <c r="U78" s="192" t="s">
        <v>1259</v>
      </c>
      <c r="V78" s="192" t="s">
        <v>1091</v>
      </c>
      <c r="W78" s="192" t="s">
        <v>1260</v>
      </c>
      <c r="X78" s="192" t="s">
        <v>1261</v>
      </c>
      <c r="Y78" s="192" t="s">
        <v>814</v>
      </c>
      <c r="Z78" s="192">
        <v>4</v>
      </c>
      <c r="AA78" s="192" t="s">
        <v>410</v>
      </c>
      <c r="AB78" s="192" t="s">
        <v>786</v>
      </c>
      <c r="AC78" s="192" t="s">
        <v>319</v>
      </c>
      <c r="AD78" s="192" t="s">
        <v>786</v>
      </c>
      <c r="AE78" s="192" t="s">
        <v>855</v>
      </c>
      <c r="AF78" s="192" t="s">
        <v>653</v>
      </c>
      <c r="AG78" s="192" t="s">
        <v>818</v>
      </c>
      <c r="AH78" s="192">
        <v>4</v>
      </c>
      <c r="AI78" s="192" t="s">
        <v>321</v>
      </c>
      <c r="AJ78" s="192" t="s">
        <v>310</v>
      </c>
      <c r="AK78" s="192" t="s">
        <v>556</v>
      </c>
      <c r="AL78" s="192" t="s">
        <v>556</v>
      </c>
      <c r="AM78" s="192" t="s">
        <v>353</v>
      </c>
      <c r="AN78" s="192" t="s">
        <v>312</v>
      </c>
      <c r="AO78" s="192" t="s">
        <v>821</v>
      </c>
      <c r="AP78" s="192">
        <v>3</v>
      </c>
      <c r="AQ78" s="192" t="s">
        <v>530</v>
      </c>
      <c r="AR78" s="192" t="s">
        <v>1035</v>
      </c>
      <c r="AS78" s="192" t="s">
        <v>1036</v>
      </c>
      <c r="AT78" s="192" t="s">
        <v>530</v>
      </c>
      <c r="AU78" s="192" t="s">
        <v>272</v>
      </c>
      <c r="AV78" s="192" t="s">
        <v>1036</v>
      </c>
      <c r="AW78" s="192" t="s">
        <v>827</v>
      </c>
      <c r="AX78" s="192">
        <v>3</v>
      </c>
      <c r="AY78" s="192" t="s">
        <v>179</v>
      </c>
      <c r="AZ78" s="192" t="s">
        <v>412</v>
      </c>
      <c r="BA78" s="192" t="s">
        <v>648</v>
      </c>
      <c r="BB78" s="192" t="s">
        <v>179</v>
      </c>
      <c r="BC78" s="192" t="s">
        <v>831</v>
      </c>
      <c r="BD78" s="192" t="s">
        <v>1037</v>
      </c>
      <c r="BE78" s="192" t="s">
        <v>832</v>
      </c>
      <c r="BF78" s="192">
        <v>3</v>
      </c>
      <c r="BG78" s="192" t="s">
        <v>186</v>
      </c>
      <c r="BH78" s="192" t="s">
        <v>185</v>
      </c>
      <c r="BI78" s="192" t="s">
        <v>761</v>
      </c>
      <c r="BJ78" s="192" t="s">
        <v>186</v>
      </c>
      <c r="BK78" s="192" t="s">
        <v>185</v>
      </c>
      <c r="BL78" s="192" t="s">
        <v>235</v>
      </c>
      <c r="BM78" s="192" t="s">
        <v>198</v>
      </c>
      <c r="BN78" s="192">
        <v>3</v>
      </c>
      <c r="BO78" s="192" t="s">
        <v>199</v>
      </c>
      <c r="BP78" s="192" t="s">
        <v>1038</v>
      </c>
      <c r="BQ78" s="192" t="s">
        <v>311</v>
      </c>
      <c r="BR78" s="192" t="s">
        <v>199</v>
      </c>
      <c r="BS78" s="192" t="s">
        <v>202</v>
      </c>
      <c r="BT78" s="192" t="s">
        <v>1038</v>
      </c>
    </row>
    <row r="79" spans="1:72" x14ac:dyDescent="0.25">
      <c r="A79" s="192">
        <v>27</v>
      </c>
      <c r="B79" s="192" t="s">
        <v>385</v>
      </c>
      <c r="C79" s="192" t="s">
        <v>570</v>
      </c>
      <c r="D79" s="192" t="s">
        <v>1262</v>
      </c>
      <c r="E79" s="192" t="s">
        <v>1263</v>
      </c>
      <c r="F79" s="192" t="s">
        <v>1264</v>
      </c>
      <c r="G79" s="192" t="s">
        <v>1265</v>
      </c>
      <c r="H79" s="192" t="s">
        <v>1266</v>
      </c>
      <c r="I79" s="192" t="s">
        <v>1267</v>
      </c>
      <c r="J79" s="192" t="s">
        <v>1268</v>
      </c>
      <c r="K79" s="192" t="s">
        <v>1269</v>
      </c>
      <c r="L79" s="192" t="s">
        <v>805</v>
      </c>
      <c r="M79" s="192" t="s">
        <v>1026</v>
      </c>
      <c r="N79" s="192" t="s">
        <v>807</v>
      </c>
      <c r="O79" s="192">
        <v>20</v>
      </c>
      <c r="P79" s="192" t="s">
        <v>259</v>
      </c>
      <c r="Q79" s="192" t="s">
        <v>1270</v>
      </c>
      <c r="R79" s="192" t="s">
        <v>1271</v>
      </c>
      <c r="S79" s="192" t="s">
        <v>1272</v>
      </c>
      <c r="T79" s="192" t="s">
        <v>1273</v>
      </c>
      <c r="U79" s="192" t="s">
        <v>1274</v>
      </c>
      <c r="V79" s="192" t="s">
        <v>1275</v>
      </c>
      <c r="W79" s="192" t="s">
        <v>1276</v>
      </c>
      <c r="X79" s="192" t="s">
        <v>1277</v>
      </c>
      <c r="Y79" s="192" t="s">
        <v>814</v>
      </c>
      <c r="Z79" s="192">
        <v>4</v>
      </c>
      <c r="AA79" s="192" t="s">
        <v>410</v>
      </c>
      <c r="AB79" s="192" t="s">
        <v>786</v>
      </c>
      <c r="AC79" s="192" t="s">
        <v>319</v>
      </c>
      <c r="AD79" s="192" t="s">
        <v>786</v>
      </c>
      <c r="AE79" s="192" t="s">
        <v>855</v>
      </c>
      <c r="AF79" s="192" t="s">
        <v>653</v>
      </c>
      <c r="AG79" s="192" t="s">
        <v>818</v>
      </c>
      <c r="AH79" s="192">
        <v>4</v>
      </c>
      <c r="AI79" s="192" t="s">
        <v>321</v>
      </c>
      <c r="AJ79" s="192" t="s">
        <v>310</v>
      </c>
      <c r="AK79" s="192" t="s">
        <v>556</v>
      </c>
      <c r="AL79" s="192" t="s">
        <v>556</v>
      </c>
      <c r="AM79" s="192" t="s">
        <v>353</v>
      </c>
      <c r="AN79" s="192" t="s">
        <v>312</v>
      </c>
      <c r="AO79" s="192" t="s">
        <v>821</v>
      </c>
      <c r="AP79" s="192">
        <v>3</v>
      </c>
      <c r="AQ79" s="192" t="s">
        <v>530</v>
      </c>
      <c r="AR79" s="192" t="s">
        <v>1035</v>
      </c>
      <c r="AS79" s="192" t="s">
        <v>1036</v>
      </c>
      <c r="AT79" s="192" t="s">
        <v>530</v>
      </c>
      <c r="AU79" s="192" t="s">
        <v>272</v>
      </c>
      <c r="AV79" s="192" t="s">
        <v>1036</v>
      </c>
      <c r="AW79" s="192" t="s">
        <v>827</v>
      </c>
      <c r="AX79" s="192">
        <v>3</v>
      </c>
      <c r="AY79" s="192" t="s">
        <v>179</v>
      </c>
      <c r="AZ79" s="192" t="s">
        <v>412</v>
      </c>
      <c r="BA79" s="192" t="s">
        <v>648</v>
      </c>
      <c r="BB79" s="192" t="s">
        <v>179</v>
      </c>
      <c r="BC79" s="192" t="s">
        <v>831</v>
      </c>
      <c r="BD79" s="192" t="s">
        <v>1037</v>
      </c>
      <c r="BE79" s="192" t="s">
        <v>832</v>
      </c>
      <c r="BF79" s="192">
        <v>3</v>
      </c>
      <c r="BG79" s="192" t="s">
        <v>186</v>
      </c>
      <c r="BH79" s="192" t="s">
        <v>185</v>
      </c>
      <c r="BI79" s="192" t="s">
        <v>761</v>
      </c>
      <c r="BJ79" s="192" t="s">
        <v>186</v>
      </c>
      <c r="BK79" s="192" t="s">
        <v>185</v>
      </c>
      <c r="BL79" s="192" t="s">
        <v>235</v>
      </c>
      <c r="BM79" s="192" t="s">
        <v>198</v>
      </c>
      <c r="BN79" s="192">
        <v>3</v>
      </c>
      <c r="BO79" s="192" t="s">
        <v>199</v>
      </c>
      <c r="BP79" s="192" t="s">
        <v>1038</v>
      </c>
      <c r="BQ79" s="192" t="s">
        <v>311</v>
      </c>
      <c r="BR79" s="192" t="s">
        <v>199</v>
      </c>
      <c r="BS79" s="192" t="s">
        <v>202</v>
      </c>
      <c r="BT79" s="192" t="s">
        <v>1038</v>
      </c>
    </row>
    <row r="80" spans="1:72" x14ac:dyDescent="0.25">
      <c r="A80" s="192">
        <v>28</v>
      </c>
      <c r="B80" s="192" t="s">
        <v>959</v>
      </c>
      <c r="C80" s="192" t="s">
        <v>325</v>
      </c>
      <c r="D80" s="192" t="s">
        <v>1278</v>
      </c>
      <c r="E80" s="192" t="s">
        <v>1279</v>
      </c>
      <c r="F80" s="192" t="s">
        <v>1280</v>
      </c>
      <c r="G80" s="192" t="s">
        <v>1281</v>
      </c>
      <c r="H80" s="192" t="s">
        <v>1282</v>
      </c>
      <c r="I80" s="192" t="s">
        <v>1283</v>
      </c>
      <c r="J80" s="192" t="s">
        <v>1284</v>
      </c>
      <c r="K80" s="192" t="s">
        <v>1285</v>
      </c>
      <c r="L80" s="192" t="s">
        <v>805</v>
      </c>
      <c r="M80" s="192" t="s">
        <v>1026</v>
      </c>
      <c r="N80" s="192" t="s">
        <v>807</v>
      </c>
      <c r="O80" s="192">
        <v>20</v>
      </c>
      <c r="P80" s="192" t="s">
        <v>164</v>
      </c>
      <c r="Q80" s="192" t="s">
        <v>1286</v>
      </c>
      <c r="R80" s="192" t="s">
        <v>1287</v>
      </c>
      <c r="S80" s="192" t="s">
        <v>1288</v>
      </c>
      <c r="T80" s="192" t="s">
        <v>705</v>
      </c>
      <c r="U80" s="192" t="s">
        <v>1106</v>
      </c>
      <c r="V80" s="192" t="s">
        <v>1289</v>
      </c>
      <c r="W80" s="192" t="s">
        <v>1290</v>
      </c>
      <c r="X80" s="192" t="s">
        <v>1291</v>
      </c>
      <c r="Y80" s="192" t="s">
        <v>814</v>
      </c>
      <c r="Z80" s="192">
        <v>4</v>
      </c>
      <c r="AA80" s="192" t="s">
        <v>410</v>
      </c>
      <c r="AB80" s="192" t="s">
        <v>786</v>
      </c>
      <c r="AC80" s="192" t="s">
        <v>319</v>
      </c>
      <c r="AD80" s="192" t="s">
        <v>786</v>
      </c>
      <c r="AE80" s="192" t="s">
        <v>855</v>
      </c>
      <c r="AF80" s="192" t="s">
        <v>653</v>
      </c>
      <c r="AG80" s="192" t="s">
        <v>818</v>
      </c>
      <c r="AH80" s="192">
        <v>4</v>
      </c>
      <c r="AI80" s="192" t="s">
        <v>321</v>
      </c>
      <c r="AJ80" s="192" t="s">
        <v>310</v>
      </c>
      <c r="AK80" s="192" t="s">
        <v>556</v>
      </c>
      <c r="AL80" s="192" t="s">
        <v>556</v>
      </c>
      <c r="AM80" s="192" t="s">
        <v>353</v>
      </c>
      <c r="AN80" s="192" t="s">
        <v>312</v>
      </c>
      <c r="AO80" s="192" t="s">
        <v>821</v>
      </c>
      <c r="AP80" s="192">
        <v>3</v>
      </c>
      <c r="AQ80" s="192" t="s">
        <v>530</v>
      </c>
      <c r="AR80" s="192" t="s">
        <v>1035</v>
      </c>
      <c r="AS80" s="192" t="s">
        <v>1036</v>
      </c>
      <c r="AT80" s="192" t="s">
        <v>530</v>
      </c>
      <c r="AU80" s="192" t="s">
        <v>272</v>
      </c>
      <c r="AV80" s="192" t="s">
        <v>1036</v>
      </c>
      <c r="AW80" s="192" t="s">
        <v>827</v>
      </c>
      <c r="AX80" s="192">
        <v>3</v>
      </c>
      <c r="AY80" s="192" t="s">
        <v>179</v>
      </c>
      <c r="AZ80" s="192" t="s">
        <v>412</v>
      </c>
      <c r="BA80" s="192" t="s">
        <v>648</v>
      </c>
      <c r="BB80" s="192" t="s">
        <v>179</v>
      </c>
      <c r="BC80" s="192" t="s">
        <v>831</v>
      </c>
      <c r="BD80" s="192" t="s">
        <v>1037</v>
      </c>
      <c r="BE80" s="192" t="s">
        <v>832</v>
      </c>
      <c r="BF80" s="192">
        <v>3</v>
      </c>
      <c r="BG80" s="192" t="s">
        <v>186</v>
      </c>
      <c r="BH80" s="192" t="s">
        <v>185</v>
      </c>
      <c r="BI80" s="192" t="s">
        <v>761</v>
      </c>
      <c r="BJ80" s="192" t="s">
        <v>186</v>
      </c>
      <c r="BK80" s="192" t="s">
        <v>185</v>
      </c>
      <c r="BL80" s="192" t="s">
        <v>235</v>
      </c>
      <c r="BM80" s="192" t="s">
        <v>198</v>
      </c>
      <c r="BN80" s="192">
        <v>3</v>
      </c>
      <c r="BO80" s="192" t="s">
        <v>199</v>
      </c>
      <c r="BP80" s="192" t="s">
        <v>1038</v>
      </c>
      <c r="BQ80" s="192" t="s">
        <v>311</v>
      </c>
      <c r="BR80" s="192" t="s">
        <v>199</v>
      </c>
      <c r="BS80" s="192" t="s">
        <v>202</v>
      </c>
      <c r="BT80" s="192" t="s">
        <v>1038</v>
      </c>
    </row>
    <row r="81" spans="1:72" x14ac:dyDescent="0.25">
      <c r="A81" s="192">
        <v>29</v>
      </c>
      <c r="B81" s="192" t="s">
        <v>978</v>
      </c>
      <c r="C81" s="192" t="s">
        <v>154</v>
      </c>
      <c r="D81" s="192" t="s">
        <v>1292</v>
      </c>
      <c r="E81" s="192" t="s">
        <v>1293</v>
      </c>
      <c r="F81" s="192" t="s">
        <v>1294</v>
      </c>
      <c r="G81" s="192" t="s">
        <v>1295</v>
      </c>
      <c r="H81" s="192" t="s">
        <v>1296</v>
      </c>
      <c r="I81" s="192" t="s">
        <v>1297</v>
      </c>
      <c r="J81" s="192" t="s">
        <v>1298</v>
      </c>
      <c r="K81" s="192" t="s">
        <v>1299</v>
      </c>
      <c r="L81" s="192" t="s">
        <v>805</v>
      </c>
      <c r="M81" s="192" t="s">
        <v>1026</v>
      </c>
      <c r="N81" s="192" t="s">
        <v>807</v>
      </c>
      <c r="O81" s="192">
        <v>20</v>
      </c>
      <c r="P81" s="192" t="s">
        <v>259</v>
      </c>
      <c r="Q81" s="192" t="s">
        <v>1300</v>
      </c>
      <c r="R81" s="192" t="s">
        <v>1301</v>
      </c>
      <c r="S81" s="192" t="s">
        <v>1302</v>
      </c>
      <c r="T81" s="192" t="s">
        <v>1303</v>
      </c>
      <c r="U81" s="192" t="s">
        <v>1304</v>
      </c>
      <c r="V81" s="192" t="s">
        <v>1305</v>
      </c>
      <c r="W81" s="192" t="s">
        <v>1306</v>
      </c>
      <c r="X81" s="192" t="s">
        <v>1307</v>
      </c>
      <c r="Y81" s="192" t="s">
        <v>814</v>
      </c>
      <c r="Z81" s="192">
        <v>4</v>
      </c>
      <c r="AA81" s="192" t="s">
        <v>410</v>
      </c>
      <c r="AB81" s="192" t="s">
        <v>786</v>
      </c>
      <c r="AC81" s="192" t="s">
        <v>319</v>
      </c>
      <c r="AD81" s="192" t="s">
        <v>786</v>
      </c>
      <c r="AE81" s="192" t="s">
        <v>855</v>
      </c>
      <c r="AF81" s="192" t="s">
        <v>653</v>
      </c>
      <c r="AG81" s="192" t="s">
        <v>818</v>
      </c>
      <c r="AH81" s="192">
        <v>4</v>
      </c>
      <c r="AI81" s="192" t="s">
        <v>321</v>
      </c>
      <c r="AJ81" s="192" t="s">
        <v>310</v>
      </c>
      <c r="AK81" s="192" t="s">
        <v>556</v>
      </c>
      <c r="AL81" s="192" t="s">
        <v>556</v>
      </c>
      <c r="AM81" s="192" t="s">
        <v>353</v>
      </c>
      <c r="AN81" s="192" t="s">
        <v>312</v>
      </c>
      <c r="AO81" s="192" t="s">
        <v>821</v>
      </c>
      <c r="AP81" s="192">
        <v>3</v>
      </c>
      <c r="AQ81" s="192" t="s">
        <v>530</v>
      </c>
      <c r="AR81" s="192" t="s">
        <v>1035</v>
      </c>
      <c r="AS81" s="192" t="s">
        <v>1036</v>
      </c>
      <c r="AT81" s="192" t="s">
        <v>530</v>
      </c>
      <c r="AU81" s="192" t="s">
        <v>272</v>
      </c>
      <c r="AV81" s="192" t="s">
        <v>1036</v>
      </c>
      <c r="AW81" s="192" t="s">
        <v>827</v>
      </c>
      <c r="AX81" s="192">
        <v>3</v>
      </c>
      <c r="AY81" s="192" t="s">
        <v>179</v>
      </c>
      <c r="AZ81" s="192" t="s">
        <v>412</v>
      </c>
      <c r="BA81" s="192" t="s">
        <v>648</v>
      </c>
      <c r="BB81" s="192" t="s">
        <v>179</v>
      </c>
      <c r="BC81" s="192" t="s">
        <v>831</v>
      </c>
      <c r="BD81" s="192" t="s">
        <v>1037</v>
      </c>
      <c r="BE81" s="192" t="s">
        <v>832</v>
      </c>
      <c r="BF81" s="192">
        <v>3</v>
      </c>
      <c r="BG81" s="192" t="s">
        <v>186</v>
      </c>
      <c r="BH81" s="192" t="s">
        <v>185</v>
      </c>
      <c r="BI81" s="192" t="s">
        <v>761</v>
      </c>
      <c r="BJ81" s="192" t="s">
        <v>186</v>
      </c>
      <c r="BK81" s="192" t="s">
        <v>185</v>
      </c>
      <c r="BL81" s="192" t="s">
        <v>235</v>
      </c>
      <c r="BM81" s="192" t="s">
        <v>198</v>
      </c>
      <c r="BN81" s="192">
        <v>3</v>
      </c>
      <c r="BO81" s="192" t="s">
        <v>199</v>
      </c>
      <c r="BP81" s="192" t="s">
        <v>1038</v>
      </c>
      <c r="BQ81" s="192" t="s">
        <v>311</v>
      </c>
      <c r="BR81" s="192" t="s">
        <v>199</v>
      </c>
      <c r="BS81" s="192" t="s">
        <v>202</v>
      </c>
      <c r="BT81" s="192" t="s">
        <v>1038</v>
      </c>
    </row>
    <row r="82" spans="1:72" x14ac:dyDescent="0.25">
      <c r="A82" s="192">
        <v>30</v>
      </c>
      <c r="B82" s="192" t="s">
        <v>472</v>
      </c>
      <c r="C82" s="192" t="s">
        <v>247</v>
      </c>
      <c r="D82" s="192" t="s">
        <v>1308</v>
      </c>
      <c r="E82" s="192" t="s">
        <v>1309</v>
      </c>
      <c r="F82" s="192" t="s">
        <v>1310</v>
      </c>
      <c r="G82" s="192" t="s">
        <v>1311</v>
      </c>
      <c r="H82" s="192" t="s">
        <v>1312</v>
      </c>
      <c r="I82" s="192" t="s">
        <v>1313</v>
      </c>
      <c r="J82" s="192" t="s">
        <v>1314</v>
      </c>
      <c r="K82" s="192" t="s">
        <v>1315</v>
      </c>
      <c r="L82" s="192" t="s">
        <v>805</v>
      </c>
      <c r="M82" s="192" t="s">
        <v>1026</v>
      </c>
      <c r="N82" s="192" t="s">
        <v>807</v>
      </c>
      <c r="O82" s="192">
        <v>20</v>
      </c>
      <c r="P82" s="192" t="s">
        <v>484</v>
      </c>
      <c r="Q82" s="192" t="s">
        <v>1316</v>
      </c>
      <c r="R82" s="192" t="s">
        <v>1317</v>
      </c>
      <c r="S82" s="192" t="s">
        <v>1318</v>
      </c>
      <c r="T82" s="192" t="s">
        <v>1319</v>
      </c>
      <c r="U82" s="192" t="s">
        <v>1304</v>
      </c>
      <c r="V82" s="192" t="s">
        <v>1320</v>
      </c>
      <c r="W82" s="192" t="s">
        <v>1321</v>
      </c>
      <c r="X82" s="192" t="s">
        <v>1322</v>
      </c>
      <c r="Y82" s="192" t="s">
        <v>814</v>
      </c>
      <c r="Z82" s="192">
        <v>4</v>
      </c>
      <c r="AA82" s="192" t="s">
        <v>410</v>
      </c>
      <c r="AB82" s="192" t="s">
        <v>786</v>
      </c>
      <c r="AC82" s="192" t="s">
        <v>319</v>
      </c>
      <c r="AD82" s="192" t="s">
        <v>786</v>
      </c>
      <c r="AE82" s="192" t="s">
        <v>855</v>
      </c>
      <c r="AF82" s="192" t="s">
        <v>653</v>
      </c>
      <c r="AG82" s="192" t="s">
        <v>818</v>
      </c>
      <c r="AH82" s="192">
        <v>4</v>
      </c>
      <c r="AI82" s="192" t="s">
        <v>321</v>
      </c>
      <c r="AJ82" s="192" t="s">
        <v>310</v>
      </c>
      <c r="AK82" s="192" t="s">
        <v>556</v>
      </c>
      <c r="AL82" s="192" t="s">
        <v>556</v>
      </c>
      <c r="AM82" s="192" t="s">
        <v>353</v>
      </c>
      <c r="AN82" s="192" t="s">
        <v>312</v>
      </c>
      <c r="AO82" s="192" t="s">
        <v>821</v>
      </c>
      <c r="AP82" s="192">
        <v>3</v>
      </c>
      <c r="AQ82" s="192" t="s">
        <v>530</v>
      </c>
      <c r="AR82" s="192" t="s">
        <v>1035</v>
      </c>
      <c r="AS82" s="192" t="s">
        <v>1036</v>
      </c>
      <c r="AT82" s="192" t="s">
        <v>530</v>
      </c>
      <c r="AU82" s="192" t="s">
        <v>272</v>
      </c>
      <c r="AV82" s="192" t="s">
        <v>1036</v>
      </c>
      <c r="AW82" s="192" t="s">
        <v>827</v>
      </c>
      <c r="AX82" s="192">
        <v>3</v>
      </c>
      <c r="AY82" s="192" t="s">
        <v>179</v>
      </c>
      <c r="AZ82" s="192" t="s">
        <v>412</v>
      </c>
      <c r="BA82" s="192" t="s">
        <v>648</v>
      </c>
      <c r="BB82" s="192" t="s">
        <v>179</v>
      </c>
      <c r="BC82" s="192" t="s">
        <v>831</v>
      </c>
      <c r="BD82" s="192" t="s">
        <v>1037</v>
      </c>
      <c r="BE82" s="192" t="s">
        <v>832</v>
      </c>
      <c r="BF82" s="192">
        <v>3</v>
      </c>
      <c r="BG82" s="192" t="s">
        <v>186</v>
      </c>
      <c r="BH82" s="192" t="s">
        <v>185</v>
      </c>
      <c r="BI82" s="192" t="s">
        <v>761</v>
      </c>
      <c r="BJ82" s="192" t="s">
        <v>186</v>
      </c>
      <c r="BK82" s="192" t="s">
        <v>185</v>
      </c>
      <c r="BL82" s="192" t="s">
        <v>235</v>
      </c>
      <c r="BM82" s="192" t="s">
        <v>198</v>
      </c>
      <c r="BN82" s="192">
        <v>3</v>
      </c>
      <c r="BO82" s="192" t="s">
        <v>199</v>
      </c>
      <c r="BP82" s="192" t="s">
        <v>1038</v>
      </c>
      <c r="BQ82" s="192" t="s">
        <v>311</v>
      </c>
      <c r="BR82" s="192" t="s">
        <v>199</v>
      </c>
      <c r="BS82" s="192" t="s">
        <v>202</v>
      </c>
      <c r="BT82" s="192" t="s">
        <v>1038</v>
      </c>
    </row>
  </sheetData>
  <mergeCells count="16">
    <mergeCell ref="I9:M9"/>
    <mergeCell ref="B11:F11"/>
    <mergeCell ref="I11:M11"/>
    <mergeCell ref="B12:F12"/>
    <mergeCell ref="I12:M12"/>
    <mergeCell ref="B19:F19"/>
    <mergeCell ref="I19:M19"/>
    <mergeCell ref="A11:A12"/>
    <mergeCell ref="A15:A16"/>
    <mergeCell ref="B15:F15"/>
    <mergeCell ref="I15:M15"/>
    <mergeCell ref="B16:F16"/>
    <mergeCell ref="I16:M16"/>
    <mergeCell ref="B17:F17"/>
    <mergeCell ref="I17:M17"/>
    <mergeCell ref="I13:M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D6EBC-B059-42E1-B52F-26B16584A42B}">
  <dimension ref="A1:BT82"/>
  <sheetViews>
    <sheetView workbookViewId="0">
      <selection activeCell="A52" sqref="A52:XFD82"/>
    </sheetView>
  </sheetViews>
  <sheetFormatPr baseColWidth="10" defaultColWidth="9" defaultRowHeight="15" x14ac:dyDescent="0.25"/>
  <cols>
    <col min="1" max="1" width="31.75" style="89" customWidth="1"/>
    <col min="2" max="2" width="37.625" style="89" customWidth="1"/>
    <col min="3" max="3" width="14.625" style="89" customWidth="1"/>
    <col min="4" max="4" width="37.625" style="89" customWidth="1"/>
    <col min="5" max="5" width="16.625" style="89" customWidth="1"/>
    <col min="6" max="6" width="33.625" style="89" customWidth="1"/>
    <col min="7" max="7" width="18" style="89" customWidth="1"/>
    <col min="8" max="8" width="31.625" style="89" customWidth="1"/>
    <col min="9" max="9" width="38.625" style="89" customWidth="1"/>
    <col min="10" max="10" width="31.625" style="89" customWidth="1"/>
    <col min="11" max="11" width="18.625" style="89" customWidth="1"/>
    <col min="12" max="12" width="31.625" style="89" customWidth="1"/>
    <col min="13" max="13" width="16" style="89" customWidth="1"/>
    <col min="14" max="15" width="18" style="89" customWidth="1"/>
    <col min="16" max="16" width="22" style="89" customWidth="1"/>
    <col min="17" max="17" width="18" style="89" customWidth="1"/>
    <col min="18" max="24" width="30" style="89" customWidth="1"/>
    <col min="25" max="26" width="14" style="85" customWidth="1"/>
    <col min="27" max="27" width="27.75" style="85" customWidth="1"/>
    <col min="28" max="34" width="14" style="85" customWidth="1"/>
    <col min="35" max="35" width="15" style="85" customWidth="1"/>
    <col min="36" max="72" width="14" style="85" customWidth="1"/>
    <col min="73" max="16384" width="9" style="89"/>
  </cols>
  <sheetData>
    <row r="1" spans="1:35" ht="24" customHeight="1" x14ac:dyDescent="0.25">
      <c r="A1" s="81" t="s">
        <v>4773</v>
      </c>
      <c r="B1" s="82"/>
      <c r="C1" s="83"/>
      <c r="D1" s="83"/>
      <c r="E1" s="83"/>
      <c r="F1" s="83"/>
      <c r="G1" s="83"/>
      <c r="H1" s="83"/>
      <c r="I1" s="83"/>
      <c r="J1" s="83"/>
      <c r="K1" s="83"/>
      <c r="L1" s="83"/>
      <c r="M1" s="83"/>
      <c r="N1" s="84"/>
      <c r="O1" s="84"/>
      <c r="P1" s="84"/>
      <c r="Q1" s="84"/>
      <c r="R1" s="84"/>
      <c r="S1" s="84"/>
      <c r="T1" s="84"/>
      <c r="U1" s="84"/>
      <c r="V1" s="84"/>
      <c r="W1" s="84"/>
      <c r="X1" s="84"/>
    </row>
    <row r="2" spans="1:35" ht="20.100000000000001" customHeight="1" x14ac:dyDescent="0.25">
      <c r="A2" s="86" t="s">
        <v>1323</v>
      </c>
      <c r="B2" s="87"/>
      <c r="C2" s="88"/>
      <c r="D2" s="88"/>
      <c r="E2" s="88"/>
      <c r="F2" s="88"/>
      <c r="G2" s="88"/>
      <c r="H2" s="88"/>
      <c r="I2" s="88"/>
      <c r="J2" s="88"/>
      <c r="K2" s="88"/>
      <c r="L2" s="88"/>
      <c r="M2" s="88"/>
      <c r="AA2" s="1186" t="s">
        <v>7939</v>
      </c>
      <c r="AI2" s="1186" t="s">
        <v>7939</v>
      </c>
    </row>
    <row r="3" spans="1:35" ht="18.75" x14ac:dyDescent="0.25">
      <c r="A3" s="90"/>
      <c r="B3" s="1187" t="s">
        <v>4756</v>
      </c>
      <c r="C3" s="90"/>
      <c r="D3" s="90"/>
      <c r="E3" s="90"/>
      <c r="F3" s="90"/>
      <c r="G3" s="90"/>
      <c r="H3" s="1188" t="s">
        <v>7941</v>
      </c>
      <c r="I3" s="90"/>
      <c r="J3" s="90"/>
      <c r="K3" s="90"/>
      <c r="L3" s="90"/>
      <c r="M3" s="90"/>
      <c r="AA3" s="91" t="s">
        <v>2</v>
      </c>
      <c r="AI3" s="91" t="s">
        <v>3</v>
      </c>
    </row>
    <row r="4" spans="1:35" ht="24" customHeight="1" x14ac:dyDescent="0.25">
      <c r="A4" s="92" t="s">
        <v>7940</v>
      </c>
      <c r="B4" s="40">
        <v>1</v>
      </c>
      <c r="C4" s="38" t="s">
        <v>5</v>
      </c>
      <c r="D4" s="39" t="str">
        <f>IFERROR(INDEX($B$53:$B$82,MATCH($B$4,$A$53:$A$82,0)),"")</f>
        <v>École primaire</v>
      </c>
      <c r="E4" s="38" t="s">
        <v>6</v>
      </c>
      <c r="F4" s="39" t="str">
        <f>IFERROR(INDEX($C$53:$C$82,MATCH($B$4,$A$53:$A$82,0)),"")</f>
        <v>Hiver</v>
      </c>
      <c r="G4" s="38" t="s">
        <v>7</v>
      </c>
      <c r="H4" s="138" t="s">
        <v>8</v>
      </c>
      <c r="I4" s="38" t="s">
        <v>9</v>
      </c>
      <c r="J4" s="39" t="str">
        <f>IFERROR(INDEX($Q$53:$Q$82,MATCH($B$4,$A$53:$A$82,0)),"")</f>
        <v>Trop blanc / sec</v>
      </c>
      <c r="K4" s="1"/>
      <c r="L4" s="92" t="s">
        <v>10</v>
      </c>
      <c r="M4" s="94" t="str">
        <f>IFERROR(INDEX($P$53:$P$82,MATCH($B$4,$A$53:$A$82,0)),"")</f>
        <v>Facile</v>
      </c>
      <c r="AA4" s="91"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"&amp;$B$12),CHAR(160)," ")," "," "),CHAR(10)," "),CHAR(13)," "),CHAR(9)," "),"’","'"),"."," "),","," "),";"," "),":"," "),"-"," "),"("," "),")"," "),"?"," "),"!"," "),"/"," "),"é","e"),"è","e"),"ê","e"),"ë","e"),"à","a"),"â","a"),"ä","a"),"ù","u"),"û","u"),"ü","u"),"ô","o"),"ö","o"),"î","i"),"ï","i"),"ç","c")))</f>
        <v>l'assiette presente une dominante blanche avec poisson riz chou fleur et fromage blanc il faut ajouter une couleur de contraste par exemple brocolis ou carottes</v>
      </c>
      <c r="AI4" s="91"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H$53:$H$82,MATCH($B$4,$A$53:$A$82,0)),"")),CHAR(160)," ")," "," "),CHAR(10)," "),CHAR(13)," "),CHAR(9)," "),"’","'"),"."," "),","," "),";"," "),":"," "),"-"," "),"("," "),")"," "),"?"," "),"!"," "),"/"," "),"é","e"),"è","e"),"ê","e"),"ë","e"),"à","a"),"â","a"),"ä","a"),"ù","u"),"û","u"),"ü","u"),"ô","o"),"ö","o"),"î","i"),"ï","i"),"ç","c")))</f>
        <v>l'assiette presente une dominante blanche avec poisson riz chou fleur et fromage blanc il faut ajouter une couleur de contraste par exemple brocolis ou carottes une sauce citron herbes pour limiter le sec et remplacer le dessert blanc par un fruit de saison colore</v>
      </c>
    </row>
    <row r="5" spans="1:35" ht="24" customHeight="1" x14ac:dyDescent="0.25">
      <c r="A5" s="95" t="s">
        <v>11</v>
      </c>
      <c r="B5" s="93" t="str">
        <f>IFERROR(INDEX($E$53:$E$82,MATCH($B$4,$A$53:$A$82,0)),"")</f>
        <v>Assiette trop blanche, sèche et peu attractive</v>
      </c>
      <c r="C5" s="96"/>
      <c r="D5" s="96"/>
      <c r="E5" s="97"/>
      <c r="F5" s="97"/>
      <c r="G5" s="98"/>
      <c r="H5" s="97"/>
      <c r="I5" s="97"/>
      <c r="J5" s="97"/>
      <c r="K5" s="97"/>
      <c r="L5" s="97"/>
      <c r="M5" s="97"/>
      <c r="O5" s="162" t="s">
        <v>4830</v>
      </c>
      <c r="AA5" s="91"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B$11&amp;" "&amp;$B$12&amp;" "&amp;$B$15&amp;" "&amp;$B$16),CHAR(160)," ")," "," "),CHAR(10)," "),CHAR(13)," "),CHAR(9)," "),"’","'"),"."," "),","," "),";"," "),":"," "),"-"," "),"("," "),")"," "),"?"," "),"!"," "),"/"," "),"é","e"),"è","e"),"ê","e"),"ë","e"),"à","a"),"â","a"),"ä","a"),"ù","u"),"û","u"),"ü","u"),"ô","o"),"ö","o"),"î","i"),"ï","i"),"ç","c")))</f>
        <v>l'assiette presente une dominante blanche avec poisson riz chou fleur et fromage blanc il faut ajouter une couleur de contraste par exemple brocolis ou carottes une sauce citron herbes pour limiter le sec et remplacer le dessert blanc par un fruit de saison colore</v>
      </c>
      <c r="AI5" s="91"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FERROR(INDEX($I$53:$I$82,MATCH($B$4,$A$53:$A$82,0)),"")),CHAR(160)," ")," "," "),CHAR(10)," "),CHAR(13)," "),CHAR(9)," "),"’","'"),"."," "),","," "),";"," "),":"," "),"-"," "),"("," "),")"," "),"?"," "),"!"," "),"/"," "),"é","e"),"è","e"),"ê","e"),"ë","e"),"à","a"),"â","a"),"ä","a"),"ù","u"),"û","u"),"ü","u"),"ô","o"),"ö","o"),"î","i"),"ï","i"),"ç","c")))</f>
        <v>c'est trop blanc et le poisson risque d'etre sec je mets une sauce un legume vert ou orange et je finis avec un fruit colore plutot qu'un fromage blanc</v>
      </c>
    </row>
    <row r="6" spans="1:35" ht="24" customHeight="1" x14ac:dyDescent="0.25">
      <c r="A6" s="95" t="s">
        <v>1324</v>
      </c>
      <c r="B6" s="99" t="str">
        <f>IFERROR(INDEX($D$53:$D$82,MATCH($B$4,$A$53:$A$82,0)),"")</f>
        <v>Poisson blanc vapeur ; riz ; chou-fleur ; fromage blanc</v>
      </c>
      <c r="C6" s="100"/>
      <c r="D6" s="100"/>
      <c r="E6" s="100"/>
      <c r="F6" s="100"/>
      <c r="G6" s="98"/>
      <c r="H6" s="97"/>
      <c r="I6" s="97"/>
      <c r="J6" s="97"/>
      <c r="K6" s="97"/>
      <c r="L6" s="97"/>
      <c r="M6" s="97"/>
      <c r="O6" s="157" t="s">
        <v>4844</v>
      </c>
      <c r="AA6" s="91"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"&amp;$I$12),CHAR(160)," ")," "," "),CHAR(10)," "),CHAR(13)," "),CHAR(9)," "),"’","'"),"."," "),","," "),";"," "),":"," "),"-"," "),"("," "),")"," "),"?"," "),"!"," "),"/"," "),"é","e"),"è","e"),"ê","e"),"ë","e"),"à","a"),"â","a"),"ä","a"),"ù","u"),"û","u"),"ü","u"),"ô","o"),"ö","o"),"î","i"),"ï","i"),"ç","c")))</f>
        <v>c'est trop blanc et le poisson risque d'etre sec j</v>
      </c>
    </row>
    <row r="7" spans="1:35" ht="15.75" x14ac:dyDescent="0.25">
      <c r="A7" s="101"/>
      <c r="B7" s="102"/>
      <c r="C7" s="102"/>
      <c r="D7" s="102"/>
      <c r="E7" s="102"/>
      <c r="F7" s="102"/>
      <c r="G7" s="101"/>
      <c r="H7" s="101"/>
      <c r="I7" s="102"/>
      <c r="J7" s="102"/>
      <c r="K7" s="102"/>
      <c r="L7" s="102"/>
      <c r="M7" s="102"/>
      <c r="AA7" s="91" t="str">
        <f>TRIM(CLEAN(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LOWER($I$11&amp;" "&amp;$I$12&amp;" "&amp;$I$15&amp;" "&amp;$I$16),CHAR(160)," ")," "," "),CHAR(10)," "),CHAR(13)," "),CHAR(9)," "),"’","'"),"."," "),","," "),";"," "),":"," "),"-"," "),"("," "),")"," "),"?"," "),"!"," "),"/"," "),"é","e"),"è","e"),"ê","e"),"ë","e"),"à","a"),"â","a"),"ä","a"),"ù","u"),"û","u"),"ü","u"),"ô","o"),"ö","o"),"î","i"),"ï","i"),"ç","c")))</f>
        <v>c'est trop blanc et le poisson risque d'etre sec j je mets une sauce un legume vert ou orange et je finis avec un fruit colore plutot qu'un fromage blanc</v>
      </c>
    </row>
    <row r="8" spans="1:35" ht="24" customHeight="1" x14ac:dyDescent="0.25">
      <c r="A8" s="145" t="s">
        <v>1325</v>
      </c>
      <c r="B8" s="103"/>
      <c r="C8" s="103"/>
      <c r="D8" s="103"/>
      <c r="E8" s="103"/>
      <c r="F8" s="103"/>
      <c r="G8" s="104"/>
      <c r="H8" s="146" t="s">
        <v>1326</v>
      </c>
      <c r="I8" s="105"/>
      <c r="J8" s="105"/>
      <c r="K8" s="105"/>
      <c r="L8" s="105"/>
      <c r="M8" s="105"/>
      <c r="O8" s="106" t="s">
        <v>4829</v>
      </c>
      <c r="P8" s="107"/>
      <c r="Q8" s="107"/>
      <c r="R8" s="107"/>
      <c r="S8" s="107"/>
      <c r="T8" s="107"/>
      <c r="V8" s="85"/>
      <c r="W8" s="85"/>
      <c r="X8" s="85"/>
    </row>
    <row r="9" spans="1:35" ht="54.95" customHeight="1" x14ac:dyDescent="0.25">
      <c r="A9" s="108" t="s">
        <v>16</v>
      </c>
      <c r="B9" s="1556" t="str">
        <f>IFERROR(INDEX($F$53:$F$82,MATCH($B$4,$A$53:$A$82,0)),"")</f>
        <v>Analysez la dominante visuelle et la texture de cette assiette, puis proposez une correction réaliste par couleur, saison et texture.</v>
      </c>
      <c r="C9" s="1556"/>
      <c r="D9" s="1556"/>
      <c r="E9" s="1556"/>
      <c r="F9" s="1556"/>
      <c r="G9" s="104"/>
      <c r="H9" s="109" t="s">
        <v>17</v>
      </c>
      <c r="I9" s="1557" t="str">
        <f>IFERROR(INDEX($G$53:$G$82,MATCH($B$4,$A$53:$A$82,0)),"")</f>
        <v>Pourquoi cette assiette fait-elle trop blanche et sèche, et que peux-tu changer simplement ?</v>
      </c>
      <c r="J9" s="1557"/>
      <c r="K9" s="1557"/>
      <c r="L9" s="1557"/>
      <c r="M9" s="1557"/>
      <c r="O9" s="151" t="s">
        <v>18</v>
      </c>
      <c r="P9" s="152" t="s">
        <v>19</v>
      </c>
      <c r="Q9" s="153"/>
      <c r="R9" s="153"/>
      <c r="S9" s="110"/>
      <c r="T9" s="110"/>
      <c r="V9" s="111"/>
      <c r="W9" s="111"/>
      <c r="X9" s="111"/>
    </row>
    <row r="10" spans="1:35" ht="18.75" x14ac:dyDescent="0.25">
      <c r="A10" s="101"/>
      <c r="B10" s="102"/>
      <c r="C10" s="102"/>
      <c r="D10" s="102"/>
      <c r="E10" s="102"/>
      <c r="F10" s="102"/>
      <c r="G10" s="101"/>
      <c r="H10" s="101"/>
      <c r="I10" s="102"/>
      <c r="J10" s="102"/>
      <c r="K10" s="102"/>
      <c r="L10" s="102"/>
      <c r="M10" s="102"/>
      <c r="O10" s="151" t="s">
        <v>20</v>
      </c>
      <c r="P10" s="152" t="s">
        <v>1327</v>
      </c>
      <c r="Q10" s="153"/>
      <c r="R10" s="153"/>
      <c r="S10" s="110"/>
      <c r="T10" s="110"/>
      <c r="V10" s="111"/>
      <c r="W10" s="111"/>
      <c r="X10" s="111"/>
    </row>
    <row r="11" spans="1:35" ht="50.1" customHeight="1" x14ac:dyDescent="0.25">
      <c r="A11" s="1558" t="s">
        <v>22</v>
      </c>
      <c r="B11" s="1554" t="s">
        <v>4817</v>
      </c>
      <c r="C11" s="1554"/>
      <c r="D11" s="1554"/>
      <c r="E11" s="1554"/>
      <c r="F11" s="1554"/>
      <c r="G11" s="104"/>
      <c r="H11" s="1555" t="s">
        <v>23</v>
      </c>
      <c r="I11" s="1554" t="s">
        <v>4821</v>
      </c>
      <c r="J11" s="1554"/>
      <c r="K11" s="1554"/>
      <c r="L11" s="1554"/>
      <c r="M11" s="1554"/>
      <c r="O11" s="151" t="s">
        <v>25</v>
      </c>
      <c r="P11" s="152" t="s">
        <v>1330</v>
      </c>
      <c r="Q11" s="153"/>
      <c r="R11" s="153"/>
      <c r="S11" s="110"/>
      <c r="T11" s="110"/>
      <c r="V11" s="111"/>
      <c r="W11" s="111"/>
      <c r="X11" s="111"/>
    </row>
    <row r="12" spans="1:35" ht="50.1" customHeight="1" x14ac:dyDescent="0.25">
      <c r="A12" s="1558"/>
      <c r="B12" s="1554" t="s">
        <v>4818</v>
      </c>
      <c r="C12" s="1554"/>
      <c r="D12" s="1554"/>
      <c r="E12" s="1554"/>
      <c r="F12" s="1554"/>
      <c r="G12" s="104"/>
      <c r="H12" s="1555"/>
      <c r="I12" s="1554" t="s">
        <v>4822</v>
      </c>
      <c r="J12" s="1554"/>
      <c r="K12" s="1554"/>
      <c r="L12" s="1554"/>
      <c r="M12" s="1554"/>
      <c r="O12" s="151" t="s">
        <v>28</v>
      </c>
      <c r="P12" s="152" t="s">
        <v>1331</v>
      </c>
      <c r="Q12" s="153"/>
      <c r="R12" s="153"/>
      <c r="S12" s="110"/>
      <c r="T12" s="110"/>
      <c r="V12" s="111"/>
      <c r="W12" s="111"/>
      <c r="X12" s="111"/>
    </row>
    <row r="13" spans="1:35" ht="60" customHeight="1" x14ac:dyDescent="0.25">
      <c r="A13" s="108" t="s">
        <v>30</v>
      </c>
      <c r="B13" s="112" t="str">
        <f>IFERROR(INDEX($J$53:$J$82,MATCH($B$4,$A$53:$A$82,0)),"")</f>
        <v>Si la réponse dit seulement « ajouter un légume », demander quelle couleur manque et quel problème de texture est corrigé.</v>
      </c>
      <c r="C13" s="112"/>
      <c r="D13" s="112"/>
      <c r="E13" s="112"/>
      <c r="F13" s="112"/>
      <c r="G13" s="104"/>
      <c r="H13" s="109" t="s">
        <v>31</v>
      </c>
      <c r="I13" s="1549" t="str">
        <f>IFERROR(INDEX($K$53:$K$82,MATCH($B$4,$A$53:$A$82,0)),"")</f>
        <v>Demander : « Quelle couleur tu ajoutes ? Et comment tu évites que le poisson soit sec ? »</v>
      </c>
      <c r="J13" s="1549"/>
      <c r="K13" s="1549"/>
      <c r="L13" s="1549"/>
      <c r="M13" s="1549"/>
      <c r="O13" s="151" t="s">
        <v>32</v>
      </c>
      <c r="P13" s="152" t="s">
        <v>1332</v>
      </c>
      <c r="Q13" s="153"/>
      <c r="R13" s="153"/>
      <c r="S13" s="110"/>
      <c r="T13" s="110"/>
      <c r="V13" s="111"/>
      <c r="W13" s="111"/>
      <c r="X13" s="111"/>
    </row>
    <row r="14" spans="1:35" ht="18.75" x14ac:dyDescent="0.25">
      <c r="A14" s="101"/>
      <c r="B14" s="102"/>
      <c r="C14" s="102"/>
      <c r="D14" s="102"/>
      <c r="E14" s="102"/>
      <c r="F14" s="102"/>
      <c r="G14" s="101"/>
      <c r="H14" s="101"/>
      <c r="I14" s="102"/>
      <c r="J14" s="102"/>
      <c r="K14" s="102"/>
      <c r="L14" s="102"/>
      <c r="M14" s="102"/>
      <c r="O14" s="151" t="s">
        <v>34</v>
      </c>
      <c r="P14" s="152" t="s">
        <v>35</v>
      </c>
      <c r="Q14" s="153"/>
      <c r="R14" s="153"/>
      <c r="S14" s="110"/>
      <c r="T14" s="110"/>
      <c r="V14" s="111"/>
      <c r="W14" s="111"/>
      <c r="X14" s="111"/>
    </row>
    <row r="15" spans="1:35" ht="50.1" customHeight="1" x14ac:dyDescent="0.25">
      <c r="A15" s="1553" t="s">
        <v>1333</v>
      </c>
      <c r="B15" s="1554" t="s">
        <v>4819</v>
      </c>
      <c r="C15" s="1554"/>
      <c r="D15" s="1554"/>
      <c r="E15" s="1554"/>
      <c r="F15" s="1554"/>
      <c r="G15" s="104"/>
      <c r="H15" s="1555" t="s">
        <v>1334</v>
      </c>
      <c r="I15" s="1554" t="s">
        <v>4849</v>
      </c>
      <c r="J15" s="1554"/>
      <c r="K15" s="1554"/>
      <c r="L15" s="1554"/>
      <c r="M15" s="1554"/>
      <c r="O15" s="151" t="s">
        <v>39</v>
      </c>
      <c r="P15" s="152" t="s">
        <v>40</v>
      </c>
      <c r="Q15" s="153"/>
      <c r="R15" s="153"/>
      <c r="S15" s="110"/>
      <c r="T15" s="110"/>
      <c r="V15" s="111"/>
      <c r="W15" s="111"/>
      <c r="X15" s="111"/>
    </row>
    <row r="16" spans="1:35" ht="50.1" customHeight="1" x14ac:dyDescent="0.25">
      <c r="A16" s="1553"/>
      <c r="B16" s="1554" t="s">
        <v>4820</v>
      </c>
      <c r="C16" s="1554"/>
      <c r="D16" s="1554"/>
      <c r="E16" s="1554"/>
      <c r="F16" s="1554"/>
      <c r="G16" s="104"/>
      <c r="H16" s="1555"/>
      <c r="I16" s="1554" t="s">
        <v>4823</v>
      </c>
      <c r="J16" s="1554"/>
      <c r="K16" s="1554"/>
      <c r="L16" s="1554"/>
      <c r="M16" s="1554"/>
      <c r="O16" s="151" t="s">
        <v>42</v>
      </c>
      <c r="P16" s="152" t="s">
        <v>43</v>
      </c>
      <c r="Q16" s="153"/>
      <c r="R16" s="153"/>
      <c r="S16" s="110"/>
      <c r="T16" s="110"/>
      <c r="V16" s="111"/>
      <c r="W16" s="111"/>
      <c r="X16" s="111"/>
    </row>
    <row r="17" spans="1:34" ht="60" customHeight="1" x14ac:dyDescent="0.25">
      <c r="A17" s="108" t="s">
        <v>44</v>
      </c>
      <c r="B17" s="1548" t="str">
        <f>IF(UPPER($H$4)="X",IFERROR(INDEX($H$53:$H$82,MATCH($B$4,$A$53:$A$82,0)),""),"Réponse attendue masquée — saisir X en H4 pour afficher")</f>
        <v>L’assiette présente une dominante blanche avec poisson, riz, chou-fleur et fromage blanc. Il faut ajouter une couleur de contraste, par exemple brocolis ou carottes, une sauce citron-herbes pour limiter le sec, et remplacer le dessert blanc par un fruit de saison coloré.</v>
      </c>
      <c r="C17" s="1548"/>
      <c r="D17" s="1548"/>
      <c r="E17" s="1548"/>
      <c r="F17" s="1548"/>
      <c r="G17" s="104"/>
      <c r="H17" s="113" t="s">
        <v>45</v>
      </c>
      <c r="I17" s="1549" t="str">
        <f>IF(UPPER($H$4)="X",IFERROR(INDEX($I$53:$I$82,MATCH($B$4,$A$53:$A$82,0)),""),"Réponse attendue masquée — saisir X en H4 pour afficher")</f>
        <v>C’est trop blanc et le poisson risque d’être sec. Je mets une sauce, un légume vert ou orange, et je finis avec un fruit coloré plutôt qu’un fromage blanc.</v>
      </c>
      <c r="J17" s="1549"/>
      <c r="K17" s="1549"/>
      <c r="L17" s="1549"/>
      <c r="M17" s="1549"/>
      <c r="O17" s="151" t="s">
        <v>46</v>
      </c>
      <c r="P17" s="152" t="s">
        <v>1335</v>
      </c>
      <c r="Q17" s="153"/>
      <c r="R17" s="153"/>
      <c r="S17" s="110"/>
      <c r="T17" s="110"/>
      <c r="V17" s="111"/>
      <c r="W17" s="111"/>
      <c r="X17" s="111"/>
    </row>
    <row r="18" spans="1:34" ht="18.75" x14ac:dyDescent="0.25">
      <c r="A18" s="101"/>
      <c r="B18" s="102"/>
      <c r="C18" s="102"/>
      <c r="D18" s="102"/>
      <c r="E18" s="102"/>
      <c r="F18" s="102"/>
      <c r="G18" s="101"/>
      <c r="H18" s="101"/>
      <c r="I18" s="102"/>
      <c r="J18" s="102"/>
      <c r="K18" s="102"/>
      <c r="L18" s="102"/>
      <c r="M18" s="102"/>
      <c r="O18" s="151" t="s">
        <v>48</v>
      </c>
      <c r="P18" s="152" t="s">
        <v>49</v>
      </c>
      <c r="Q18" s="153"/>
      <c r="R18" s="153"/>
      <c r="S18" s="110"/>
      <c r="T18" s="110"/>
      <c r="U18" s="111"/>
      <c r="V18" s="111"/>
      <c r="W18" s="111"/>
      <c r="X18" s="111"/>
    </row>
    <row r="19" spans="1:34" ht="54.95" customHeight="1" x14ac:dyDescent="0.25">
      <c r="A19" s="108" t="s">
        <v>50</v>
      </c>
      <c r="B19" s="1550" t="str">
        <f>IF(ISBLANK(H4),"",IF(UPPER(TRIM($H$4))="X",IFERROR(INDEX($M$53:$M$82,MATCH($B$4,$A$53:$A$82,0)),""),"Mots-clés masqués — saisir X en H4 pour afficher"))</f>
        <v>blanc ; pâle ; sec ; brocolis ; carottes ; sauce ; citron ; herbes ; fruit ; contraste</v>
      </c>
      <c r="C19" s="1550"/>
      <c r="D19" s="1550"/>
      <c r="E19" s="1550"/>
      <c r="F19" s="1550"/>
      <c r="G19" s="104"/>
      <c r="H19" s="109" t="s">
        <v>1336</v>
      </c>
      <c r="I19" s="1551" t="str">
        <f>IFERROR(INDEX($X$53:$X$82,MATCH($B$4,$A$53:$A$82,0)),"")</f>
        <v>Trop blanc = couleur + sauce + fruit</v>
      </c>
      <c r="J19" s="1551"/>
      <c r="K19" s="1551"/>
      <c r="L19" s="1551"/>
      <c r="M19" s="1551"/>
      <c r="O19" s="151"/>
      <c r="P19" s="152"/>
      <c r="Q19" s="153"/>
      <c r="R19" s="153"/>
      <c r="S19" s="110"/>
      <c r="T19" s="110"/>
    </row>
    <row r="20" spans="1:34" ht="15.75" x14ac:dyDescent="0.25">
      <c r="A20" s="114"/>
      <c r="B20" s="102"/>
      <c r="C20" s="102"/>
      <c r="D20" s="102"/>
      <c r="E20" s="102"/>
      <c r="F20" s="102"/>
      <c r="G20" s="101"/>
      <c r="H20" s="104"/>
      <c r="I20" s="98"/>
      <c r="J20" s="98"/>
      <c r="K20" s="98"/>
      <c r="L20" s="98"/>
      <c r="M20" s="98"/>
    </row>
    <row r="21" spans="1:34" ht="18.75" customHeight="1" x14ac:dyDescent="0.25">
      <c r="A21" s="104"/>
      <c r="B21" s="104"/>
      <c r="C21" s="104"/>
      <c r="D21" s="104"/>
      <c r="E21" s="104"/>
      <c r="F21" s="104"/>
      <c r="G21" s="104"/>
      <c r="H21" s="104"/>
      <c r="I21" s="104"/>
      <c r="J21" s="104"/>
      <c r="K21" s="104"/>
      <c r="L21" s="104"/>
      <c r="M21" s="104"/>
    </row>
    <row r="22" spans="1:34" ht="24" customHeight="1" x14ac:dyDescent="0.25">
      <c r="A22" s="115" t="s">
        <v>1337</v>
      </c>
      <c r="B22" s="116"/>
      <c r="C22" s="116"/>
      <c r="D22" s="116"/>
      <c r="E22" s="116"/>
      <c r="F22" s="116"/>
      <c r="G22" s="116"/>
      <c r="H22" s="116"/>
      <c r="I22" s="116"/>
      <c r="J22" s="116"/>
      <c r="K22" s="116"/>
      <c r="L22" s="116"/>
      <c r="M22" s="116"/>
    </row>
    <row r="23" spans="1:34" ht="60" customHeight="1" x14ac:dyDescent="0.25">
      <c r="A23" s="147" t="s">
        <v>1338</v>
      </c>
      <c r="B23" s="148" t="str">
        <f>IF(UPPER($H$4)="X",IFERROR(INDEX($R$53:$R$82,MATCH($B$4,$A$53:$A$82,0)),""),"Masqué")</f>
        <v>Brocolis ou carottes pour créer le contraste</v>
      </c>
      <c r="C23" s="147" t="s">
        <v>1339</v>
      </c>
      <c r="D23" s="148" t="str">
        <f>IF(UPPER($H$4)="X",IFERROR(INDEX($S$53:$S$82,MATCH($B$4,$A$53:$A$82,0)),""),"Masqué")</f>
        <v>Sauce citron-herbes ou jus léger</v>
      </c>
      <c r="E23" s="147" t="s">
        <v>1340</v>
      </c>
      <c r="F23" s="148" t="str">
        <f>IF(UPPER($H$4)="X",IFERROR(INDEX($T$53:$T$82,MATCH($B$4,$A$53:$A$82,0)),""),"Masqué")</f>
        <v>Agrumes, pomme rouge ou carottes en hiver</v>
      </c>
      <c r="G23" s="147" t="s">
        <v>1341</v>
      </c>
      <c r="H23" s="148" t="str">
        <f>IF(UPPER($H$4)="X",IFERROR(INDEX($U$53:$U$82,MATCH($B$4,$A$53:$A$82,0)),""),"Masqué")</f>
        <v>Fruit coloré plutôt que fromage blanc</v>
      </c>
      <c r="I23" s="147" t="s">
        <v>57</v>
      </c>
      <c r="J23" s="148" t="str">
        <f>IF(UPPER($H$4)="X",IFERROR(INDEX($V$53:$V$82,MATCH($B$4,$A$53:$A$82,0)),""),"Masqué")</f>
        <v>Primaire : améliorer l’envie de manger</v>
      </c>
      <c r="K23" s="147" t="s">
        <v>58</v>
      </c>
      <c r="L23" s="148" t="str">
        <f>IF(UPPER($H$4)="X",IFERROR(INDEX($W$53:$W$82,MATCH($B$4,$A$53:$A$82,0)),""),"Masqué")</f>
        <v>Éviter le dessèchement du poisson au maintien chaud</v>
      </c>
      <c r="M23" s="104"/>
    </row>
    <row r="24" spans="1:34" ht="15.75" x14ac:dyDescent="0.25">
      <c r="A24" s="117"/>
      <c r="B24" s="118"/>
      <c r="C24" s="117"/>
      <c r="D24" s="118"/>
      <c r="E24" s="117"/>
      <c r="F24" s="118"/>
      <c r="G24" s="117"/>
      <c r="H24" s="118"/>
      <c r="I24" s="117"/>
      <c r="J24" s="118"/>
      <c r="K24" s="117"/>
      <c r="L24" s="118"/>
      <c r="M24" s="104"/>
    </row>
    <row r="25" spans="1:34" ht="15.75" x14ac:dyDescent="0.25">
      <c r="A25" s="104"/>
      <c r="B25" s="104"/>
      <c r="C25" s="104"/>
      <c r="D25" s="104"/>
      <c r="E25" s="104"/>
      <c r="F25" s="104"/>
      <c r="G25" s="104"/>
      <c r="H25" s="104"/>
      <c r="I25" s="104"/>
      <c r="J25" s="104"/>
      <c r="K25" s="104"/>
      <c r="L25" s="104"/>
      <c r="M25" s="104"/>
    </row>
    <row r="26" spans="1:34" ht="24" customHeight="1" x14ac:dyDescent="0.25">
      <c r="A26" s="1552" t="s">
        <v>1342</v>
      </c>
      <c r="B26" s="119" t="s">
        <v>60</v>
      </c>
      <c r="C26" s="119" t="s">
        <v>61</v>
      </c>
      <c r="D26" s="119" t="s">
        <v>62</v>
      </c>
      <c r="E26" s="119" t="s">
        <v>63</v>
      </c>
      <c r="F26" s="119" t="s">
        <v>64</v>
      </c>
      <c r="G26" s="120"/>
      <c r="H26" s="113" t="s">
        <v>65</v>
      </c>
      <c r="I26" s="113" t="s">
        <v>61</v>
      </c>
      <c r="J26" s="113" t="s">
        <v>62</v>
      </c>
      <c r="K26" s="113" t="s">
        <v>63</v>
      </c>
      <c r="L26" s="113" t="s">
        <v>64</v>
      </c>
      <c r="M26" s="104"/>
      <c r="AA26" s="1186" t="s">
        <v>7939</v>
      </c>
    </row>
    <row r="27" spans="1:34" ht="24" customHeight="1" x14ac:dyDescent="0.25">
      <c r="A27" s="1552"/>
      <c r="B27" s="119" t="s">
        <v>66</v>
      </c>
      <c r="C27" s="119" t="s">
        <v>67</v>
      </c>
      <c r="D27" s="119" t="s">
        <v>68</v>
      </c>
      <c r="E27" s="119" t="s">
        <v>69</v>
      </c>
      <c r="F27" s="119" t="s">
        <v>64</v>
      </c>
      <c r="G27" s="121"/>
      <c r="H27" s="113" t="s">
        <v>66</v>
      </c>
      <c r="I27" s="122" t="s">
        <v>67</v>
      </c>
      <c r="J27" s="122" t="s">
        <v>68</v>
      </c>
      <c r="K27" s="122" t="s">
        <v>69</v>
      </c>
      <c r="L27" s="122" t="s">
        <v>64</v>
      </c>
      <c r="M27" s="104"/>
      <c r="AA27" s="123" t="s">
        <v>70</v>
      </c>
      <c r="AB27" s="123" t="s">
        <v>61</v>
      </c>
      <c r="AC27" s="123" t="s">
        <v>71</v>
      </c>
      <c r="AD27" s="123" t="s">
        <v>72</v>
      </c>
      <c r="AE27" s="123" t="s">
        <v>73</v>
      </c>
      <c r="AF27" s="123" t="s">
        <v>74</v>
      </c>
      <c r="AG27" s="123" t="s">
        <v>75</v>
      </c>
      <c r="AH27" s="123" t="s">
        <v>76</v>
      </c>
    </row>
    <row r="28" spans="1:34" ht="24" customHeight="1" x14ac:dyDescent="0.25">
      <c r="A28" s="1552"/>
      <c r="B28" s="108" t="str">
        <f t="shared" ref="B28:B33" si="0">$AA28</f>
        <v>Diagnostic visuel ou texture</v>
      </c>
      <c r="C28" s="124">
        <f t="shared" ref="C28:C33" si="1">$AB28</f>
        <v>4</v>
      </c>
      <c r="D28" s="124">
        <f t="shared" ref="D28:D33" si="2">IF($B28="","",IF(OR(AND($AI$4&lt;&gt;"",ISNUMBER(SEARCH($AI$4,$AA$4))),AND($AC28&lt;&gt;"",ISNUMBER(SEARCH($AC28,$AA$4))),AND($AD28&lt;&gt;"",ISNUMBER(SEARCH($AD28,$AA$4))),AND($AE28&lt;&gt;"",ISNUMBER(SEARCH($AE28,$AA$4)))),$C28,0))</f>
        <v>4</v>
      </c>
      <c r="E28" s="124">
        <f t="shared" ref="E28:E33" si="3">IF(COUNTA($B$15:$B$16)=0,"",IF(OR(AND($AI$4&lt;&gt;"",ISNUMBER(SEARCH($AI$4,$AA$5))),AND($AC28&lt;&gt;"",ISNUMBER(SEARCH($AC28,$AA$5))),AND($AD28&lt;&gt;"",ISNUMBER(SEARCH($AD28,$AA$5))),AND($AE28&lt;&gt;"",ISNUMBER(SEARCH($AE28,$AA$5)))),$C28,0))</f>
        <v>4</v>
      </c>
      <c r="F28" s="125" t="str">
        <f t="shared" ref="F28:F33" si="4">IF(COUNTA($B$15:$B$16)=0,IF($D28&gt;0,"OK initial","Manque"),IF($E28&gt;0,IF($D28&gt;0,"OK","Corrigé"),"Manque"))</f>
        <v>OK</v>
      </c>
      <c r="G28" s="126"/>
      <c r="H28" s="109" t="str">
        <f t="shared" ref="H28:H33" si="5">$AA28</f>
        <v>Diagnostic visuel ou texture</v>
      </c>
      <c r="I28" s="124">
        <f t="shared" ref="I28:I33" si="6">$AB28</f>
        <v>4</v>
      </c>
      <c r="J28" s="124">
        <f t="shared" ref="J28:J33" si="7">IF($H28="","",IF(OR(AND($AI$5&lt;&gt;"",ISNUMBER(SEARCH($AI$5,$AA$6))),AND($AF28&lt;&gt;"",ISNUMBER(SEARCH($AF28,$AA$6))),AND($AG28&lt;&gt;"",ISNUMBER(SEARCH($AG28,$AA$6))),AND($AH28&lt;&gt;"",ISNUMBER(SEARCH($AH28,$AA$6)))),$I28,0))</f>
        <v>4</v>
      </c>
      <c r="K28" s="124">
        <f t="shared" ref="K28:K33" si="8">IF(COUNTA($I$15:$I$16)=0,"",IF(OR(AND($AI$5&lt;&gt;"",ISNUMBER(SEARCH($AI$5,$AA$7))),AND($AF28&lt;&gt;"",ISNUMBER(SEARCH($AF28,$AA$7))),AND($AG28&lt;&gt;"",ISNUMBER(SEARCH($AG28,$AA$7))),AND($AH28&lt;&gt;"",ISNUMBER(SEARCH($AH28,$AA$7)))),$I28,0))</f>
        <v>4</v>
      </c>
      <c r="L28" s="125" t="str">
        <f t="shared" ref="L28:L33" si="9">IF(COUNTA($I$15:$I$16)=0,IF($J28&gt;0,"OK initial","Manque"),IF($K28&gt;0,IF($J28&gt;0,"OK","Corrigé"),"Manque"))</f>
        <v>OK</v>
      </c>
      <c r="M28" s="104"/>
      <c r="AA28" s="91" t="str">
        <f>IFERROR(INDEX($Y$53:$Y$82,MATCH($B$4,$A$53:$A$82,0)),"")</f>
        <v>Diagnostic visuel ou texture</v>
      </c>
      <c r="AB28" s="127">
        <f>IFERROR(INDEX($Z$53:$Z$82,MATCH($B$4,$A$53:$A$82,0)),0)</f>
        <v>4</v>
      </c>
      <c r="AC28" s="127" t="str">
        <f>IFERROR(INDEX($AA$53:$AA$82,MATCH($B$4,$A$53:$A$82,0)),"")</f>
        <v>blanc</v>
      </c>
      <c r="AD28" s="127" t="str">
        <f>IFERROR(INDEX($AB$53:$AB$82,MATCH($B$4,$A$53:$A$82,0)),"")</f>
        <v>pale</v>
      </c>
      <c r="AE28" s="127" t="str">
        <f>IFERROR(INDEX($AC$53:$AC$82,MATCH($B$4,$A$53:$A$82,0)),"")</f>
        <v>sec</v>
      </c>
      <c r="AF28" s="127" t="str">
        <f>IFERROR(INDEX($AD$53:$AD$82,MATCH($B$4,$A$53:$A$82,0)),"")</f>
        <v>blanc</v>
      </c>
      <c r="AG28" s="127" t="str">
        <f>IFERROR(INDEX($AE$53:$AE$82,MATCH($B$4,$A$53:$A$82,0)),"")</f>
        <v>sec</v>
      </c>
      <c r="AH28" s="127" t="str">
        <f>IFERROR(INDEX($AF$53:$AF$82,MATCH($B$4,$A$53:$A$82,0)),"")</f>
        <v>pas envie</v>
      </c>
    </row>
    <row r="29" spans="1:34" ht="24" customHeight="1" x14ac:dyDescent="0.25">
      <c r="A29" s="1552"/>
      <c r="B29" s="108" t="str">
        <f t="shared" si="0"/>
        <v>Couleur de contraste</v>
      </c>
      <c r="C29" s="124">
        <f t="shared" si="1"/>
        <v>4</v>
      </c>
      <c r="D29" s="124">
        <f t="shared" si="2"/>
        <v>4</v>
      </c>
      <c r="E29" s="124">
        <f t="shared" si="3"/>
        <v>4</v>
      </c>
      <c r="F29" s="125" t="str">
        <f t="shared" si="4"/>
        <v>OK</v>
      </c>
      <c r="G29" s="126"/>
      <c r="H29" s="109" t="str">
        <f t="shared" si="5"/>
        <v>Couleur de contraste</v>
      </c>
      <c r="I29" s="124">
        <f t="shared" si="6"/>
        <v>4</v>
      </c>
      <c r="J29" s="124">
        <f t="shared" si="7"/>
        <v>0</v>
      </c>
      <c r="K29" s="124">
        <f t="shared" si="8"/>
        <v>4</v>
      </c>
      <c r="L29" s="125" t="str">
        <f t="shared" si="9"/>
        <v>Corrigé</v>
      </c>
      <c r="M29" s="104"/>
      <c r="AA29" s="91" t="str">
        <f>IFERROR(INDEX($AG$53:$AG$82,MATCH($B$4,$A$53:$A$82,0)),"")</f>
        <v>Couleur de contraste</v>
      </c>
      <c r="AB29" s="127">
        <f>IFERROR(INDEX($AH$53:$AH$82,MATCH($B$4,$A$53:$A$82,0)),0)</f>
        <v>4</v>
      </c>
      <c r="AC29" s="127" t="str">
        <f>IFERROR(INDEX($AI$53:$AI$82,MATCH($B$4,$A$53:$A$82,0)),"")</f>
        <v>brocolis</v>
      </c>
      <c r="AD29" s="127" t="str">
        <f>IFERROR(INDEX($AJ$53:$AJ$82,MATCH($B$4,$A$53:$A$82,0)),"")</f>
        <v>carottes</v>
      </c>
      <c r="AE29" s="127" t="str">
        <f>IFERROR(INDEX($AK$53:$AK$82,MATCH($B$4,$A$53:$A$82,0)),"")</f>
        <v>orange</v>
      </c>
      <c r="AF29" s="127" t="str">
        <f>IFERROR(INDEX($AL$53:$AL$82,MATCH($B$4,$A$53:$A$82,0)),"")</f>
        <v>vert</v>
      </c>
      <c r="AG29" s="127" t="str">
        <f>IFERROR(INDEX($AM$53:$AM$82,MATCH($B$4,$A$53:$A$82,0)),"")</f>
        <v>orange</v>
      </c>
      <c r="AH29" s="127" t="str">
        <f>IFERROR(INDEX($AN$53:$AN$82,MATCH($B$4,$A$53:$A$82,0)),"")</f>
        <v>couleur</v>
      </c>
    </row>
    <row r="30" spans="1:34" ht="24" customHeight="1" x14ac:dyDescent="0.25">
      <c r="A30" s="1552"/>
      <c r="B30" s="108" t="str">
        <f t="shared" si="0"/>
        <v>Saisonnalité vérifiée</v>
      </c>
      <c r="C30" s="124">
        <f t="shared" si="1"/>
        <v>3</v>
      </c>
      <c r="D30" s="124">
        <f t="shared" si="2"/>
        <v>0</v>
      </c>
      <c r="E30" s="124">
        <f t="shared" si="3"/>
        <v>3</v>
      </c>
      <c r="F30" s="125" t="str">
        <f t="shared" si="4"/>
        <v>Corrigé</v>
      </c>
      <c r="G30" s="126"/>
      <c r="H30" s="109" t="str">
        <f t="shared" si="5"/>
        <v>Saisonnalité vérifiée</v>
      </c>
      <c r="I30" s="124">
        <f t="shared" si="6"/>
        <v>3</v>
      </c>
      <c r="J30" s="124">
        <f t="shared" si="7"/>
        <v>0</v>
      </c>
      <c r="K30" s="124">
        <f t="shared" si="8"/>
        <v>3</v>
      </c>
      <c r="L30" s="125" t="str">
        <f t="shared" si="9"/>
        <v>Corrigé</v>
      </c>
      <c r="M30" s="104"/>
      <c r="AA30" s="91" t="str">
        <f>IFERROR(INDEX($AO$53:$AO$82,MATCH($B$4,$A$53:$A$82,0)),"")</f>
        <v>Saisonnalité vérifiée</v>
      </c>
      <c r="AB30" s="127">
        <f>IFERROR(INDEX($AP$53:$AP$82,MATCH($B$4,$A$53:$A$82,0)),0)</f>
        <v>3</v>
      </c>
      <c r="AC30" s="127" t="str">
        <f>IFERROR(INDEX($AQ$53:$AQ$82,MATCH($B$4,$A$53:$A$82,0)),"")</f>
        <v>hiver</v>
      </c>
      <c r="AD30" s="127" t="str">
        <f>IFERROR(INDEX($AR$53:$AR$82,MATCH($B$4,$A$53:$A$82,0)),"")</f>
        <v>saison</v>
      </c>
      <c r="AE30" s="127" t="str">
        <f>IFERROR(INDEX($AS$53:$AS$82,MATCH($B$4,$A$53:$A$82,0)),"")</f>
        <v>agrumes</v>
      </c>
      <c r="AF30" s="127" t="str">
        <f>IFERROR(INDEX($AT$53:$AT$82,MATCH($B$4,$A$53:$A$82,0)),"")</f>
        <v>hiver</v>
      </c>
      <c r="AG30" s="127" t="str">
        <f>IFERROR(INDEX($AU$53:$AU$82,MATCH($B$4,$A$53:$A$82,0)),"")</f>
        <v>saison</v>
      </c>
      <c r="AH30" s="127" t="str">
        <f>IFERROR(INDEX($AV$53:$AV$82,MATCH($B$4,$A$53:$A$82,0)),"")</f>
        <v>fruit</v>
      </c>
    </row>
    <row r="31" spans="1:34" ht="24" customHeight="1" x14ac:dyDescent="0.25">
      <c r="A31" s="1552"/>
      <c r="B31" s="108" t="str">
        <f t="shared" si="0"/>
        <v>Texture corrigée</v>
      </c>
      <c r="C31" s="124">
        <f t="shared" si="1"/>
        <v>4</v>
      </c>
      <c r="D31" s="124">
        <f t="shared" si="2"/>
        <v>0</v>
      </c>
      <c r="E31" s="124">
        <f t="shared" si="3"/>
        <v>4</v>
      </c>
      <c r="F31" s="125" t="str">
        <f t="shared" si="4"/>
        <v>Corrigé</v>
      </c>
      <c r="G31" s="126"/>
      <c r="H31" s="109" t="str">
        <f t="shared" si="5"/>
        <v>Texture corrigée</v>
      </c>
      <c r="I31" s="124">
        <f t="shared" si="6"/>
        <v>4</v>
      </c>
      <c r="J31" s="124">
        <f t="shared" si="7"/>
        <v>0</v>
      </c>
      <c r="K31" s="124">
        <f t="shared" si="8"/>
        <v>4</v>
      </c>
      <c r="L31" s="125" t="str">
        <f t="shared" si="9"/>
        <v>Corrigé</v>
      </c>
      <c r="M31" s="104"/>
      <c r="AA31" s="91" t="str">
        <f>IFERROR(INDEX($AW$53:$AW$82,MATCH($B$4,$A$53:$A$82,0)),"")</f>
        <v>Texture corrigée</v>
      </c>
      <c r="AB31" s="127">
        <f>IFERROR(INDEX($AX$53:$AX$82,MATCH($B$4,$A$53:$A$82,0)),0)</f>
        <v>4</v>
      </c>
      <c r="AC31" s="127" t="str">
        <f>IFERROR(INDEX($AY$53:$AY$82,MATCH($B$4,$A$53:$A$82,0)),"")</f>
        <v>sauce</v>
      </c>
      <c r="AD31" s="127" t="str">
        <f>IFERROR(INDEX($AZ$53:$AZ$82,MATCH($B$4,$A$53:$A$82,0)),"")</f>
        <v>jus</v>
      </c>
      <c r="AE31" s="127" t="str">
        <f>IFERROR(INDEX($BA$53:$BA$82,MATCH($B$4,$A$53:$A$82,0)),"")</f>
        <v>moelleux</v>
      </c>
      <c r="AF31" s="127" t="str">
        <f>IFERROR(INDEX($BB$53:$BB$82,MATCH($B$4,$A$53:$A$82,0)),"")</f>
        <v>sauce</v>
      </c>
      <c r="AG31" s="127" t="str">
        <f>IFERROR(INDEX($BC$53:$BC$82,MATCH($B$4,$A$53:$A$82,0)),"")</f>
        <v>jus</v>
      </c>
      <c r="AH31" s="127" t="str">
        <f>IFERROR(INDEX($BD$53:$BD$82,MATCH($B$4,$A$53:$A$82,0)),"")</f>
        <v>moins sec</v>
      </c>
    </row>
    <row r="32" spans="1:34" ht="24" customHeight="1" x14ac:dyDescent="0.25">
      <c r="A32" s="1552"/>
      <c r="B32" s="108" t="str">
        <f t="shared" si="0"/>
        <v>Correction réaliste</v>
      </c>
      <c r="C32" s="124">
        <f t="shared" si="1"/>
        <v>3</v>
      </c>
      <c r="D32" s="124">
        <f t="shared" si="2"/>
        <v>3</v>
      </c>
      <c r="E32" s="124">
        <f t="shared" si="3"/>
        <v>3</v>
      </c>
      <c r="F32" s="125" t="str">
        <f t="shared" si="4"/>
        <v>OK</v>
      </c>
      <c r="G32" s="126"/>
      <c r="H32" s="109" t="str">
        <f t="shared" si="5"/>
        <v>Correction réaliste</v>
      </c>
      <c r="I32" s="124">
        <f t="shared" si="6"/>
        <v>3</v>
      </c>
      <c r="J32" s="124">
        <f t="shared" si="7"/>
        <v>0</v>
      </c>
      <c r="K32" s="124">
        <f t="shared" si="8"/>
        <v>3</v>
      </c>
      <c r="L32" s="125" t="str">
        <f t="shared" si="9"/>
        <v>Corrigé</v>
      </c>
      <c r="M32" s="104"/>
      <c r="AA32" s="91" t="str">
        <f>IFERROR(INDEX($BE$53:$BE$82,MATCH($B$4,$A$53:$A$82,0)),"")</f>
        <v>Correction réaliste</v>
      </c>
      <c r="AB32" s="127">
        <f>IFERROR(INDEX($BF$53:$BF$82,MATCH($B$4,$A$53:$A$82,0)),0)</f>
        <v>3</v>
      </c>
      <c r="AC32" s="127" t="str">
        <f>IFERROR(INDEX($BG$53:$BG$82,MATCH($B$4,$A$53:$A$82,0)),"")</f>
        <v>ajouter</v>
      </c>
      <c r="AD32" s="127" t="str">
        <f>IFERROR(INDEX($BH$53:$BH$82,MATCH($B$4,$A$53:$A$82,0)),"")</f>
        <v>remplacer</v>
      </c>
      <c r="AE32" s="127" t="str">
        <f>IFERROR(INDEX($BI$53:$BI$82,MATCH($B$4,$A$53:$A$82,0)),"")</f>
        <v>exemple</v>
      </c>
      <c r="AF32" s="127" t="str">
        <f>IFERROR(INDEX($BJ$53:$BJ$82,MATCH($B$4,$A$53:$A$82,0)),"")</f>
        <v>mets</v>
      </c>
      <c r="AG32" s="127" t="str">
        <f>IFERROR(INDEX($BK$53:$BK$82,MATCH($B$4,$A$53:$A$82,0)),"")</f>
        <v>sauce</v>
      </c>
      <c r="AH32" s="127" t="str">
        <f>IFERROR(INDEX($BL$53:$BL$82,MATCH($B$4,$A$53:$A$82,0)),"")</f>
        <v>legume</v>
      </c>
    </row>
    <row r="33" spans="1:34" ht="24" customHeight="1" x14ac:dyDescent="0.25">
      <c r="A33" s="1552"/>
      <c r="B33" s="108" t="str">
        <f t="shared" si="0"/>
        <v>Justification claire</v>
      </c>
      <c r="C33" s="124">
        <f t="shared" si="1"/>
        <v>2</v>
      </c>
      <c r="D33" s="124">
        <f t="shared" si="2"/>
        <v>0</v>
      </c>
      <c r="E33" s="124">
        <f t="shared" si="3"/>
        <v>2</v>
      </c>
      <c r="F33" s="125" t="str">
        <f t="shared" si="4"/>
        <v>Corrigé</v>
      </c>
      <c r="G33" s="126"/>
      <c r="H33" s="109" t="str">
        <f t="shared" si="5"/>
        <v>Justification claire</v>
      </c>
      <c r="I33" s="124">
        <f t="shared" si="6"/>
        <v>2</v>
      </c>
      <c r="J33" s="124">
        <f t="shared" si="7"/>
        <v>0</v>
      </c>
      <c r="K33" s="124">
        <f t="shared" si="8"/>
        <v>2</v>
      </c>
      <c r="L33" s="125" t="str">
        <f t="shared" si="9"/>
        <v>Corrigé</v>
      </c>
      <c r="M33" s="104"/>
      <c r="AA33" s="91" t="str">
        <f>IFERROR(INDEX($BM$53:$BM$82,MATCH($B$4,$A$53:$A$82,0)),"")</f>
        <v>Justification claire</v>
      </c>
      <c r="AB33" s="127">
        <f>IFERROR(INDEX($BN$53:$BN$82,MATCH($B$4,$A$53:$A$82,0)),0)</f>
        <v>2</v>
      </c>
      <c r="AC33" s="127" t="str">
        <f>IFERROR(INDEX($BO$53:$BO$82,MATCH($B$4,$A$53:$A$82,0)),"")</f>
        <v>pour</v>
      </c>
      <c r="AD33" s="127" t="str">
        <f>IFERROR(INDEX($BP$53:$BP$82,MATCH($B$4,$A$53:$A$82,0)),"")</f>
        <v>limiter</v>
      </c>
      <c r="AE33" s="127" t="str">
        <f>IFERROR(INDEX($BQ$53:$BQ$82,MATCH($B$4,$A$53:$A$82,0)),"")</f>
        <v>remplacer</v>
      </c>
      <c r="AF33" s="127" t="str">
        <f>IFERROR(INDEX($BR$53:$BR$82,MATCH($B$4,$A$53:$A$82,0)),"")</f>
        <v>plutot</v>
      </c>
      <c r="AG33" s="127" t="str">
        <f>IFERROR(INDEX($BS$53:$BS$82,MATCH($B$4,$A$53:$A$82,0)),"")</f>
        <v>fromage</v>
      </c>
      <c r="AH33" s="127" t="str">
        <f>IFERROR(INDEX($BT$53:$BT$82,MATCH($B$4,$A$53:$A$82,0)),"")</f>
        <v>fruit</v>
      </c>
    </row>
    <row r="34" spans="1:34" ht="24" customHeight="1" x14ac:dyDescent="0.25">
      <c r="A34" s="1552"/>
      <c r="B34" s="108" t="s">
        <v>77</v>
      </c>
      <c r="C34" s="119">
        <f>SUM($D$28:$D$33)</f>
        <v>11</v>
      </c>
      <c r="D34" s="128"/>
      <c r="E34" s="128"/>
      <c r="F34" s="128"/>
      <c r="G34" s="129"/>
      <c r="H34" s="109" t="s">
        <v>78</v>
      </c>
      <c r="I34" s="113">
        <f>SUM($J$28:$J$33)</f>
        <v>4</v>
      </c>
      <c r="J34" s="128"/>
      <c r="K34" s="128"/>
      <c r="L34" s="128"/>
      <c r="M34" s="104"/>
    </row>
    <row r="35" spans="1:34" ht="24" customHeight="1" x14ac:dyDescent="0.25">
      <c r="A35" s="1552"/>
      <c r="B35" s="108" t="s">
        <v>79</v>
      </c>
      <c r="C35" s="119">
        <f>IF(COUNTA($B$15:$B$16)=0,"",SUM($E$28:$E$33))</f>
        <v>20</v>
      </c>
      <c r="D35" s="128"/>
      <c r="E35" s="128"/>
      <c r="F35" s="128"/>
      <c r="G35" s="129"/>
      <c r="H35" s="109" t="s">
        <v>80</v>
      </c>
      <c r="I35" s="113">
        <f>IF(COUNTA($I$15:$I$16)=0,"",SUM($K$28:$K$33))</f>
        <v>20</v>
      </c>
      <c r="J35" s="128"/>
      <c r="K35" s="128"/>
      <c r="L35" s="128"/>
      <c r="M35" s="104"/>
    </row>
    <row r="36" spans="1:34" ht="24" customHeight="1" x14ac:dyDescent="0.25">
      <c r="A36" s="1552"/>
      <c r="B36" s="149" t="s">
        <v>81</v>
      </c>
      <c r="C36" s="150">
        <f>IF($C$35="","",$C$35-$C$34)</f>
        <v>9</v>
      </c>
      <c r="D36" s="130"/>
      <c r="E36" s="130"/>
      <c r="F36" s="130"/>
      <c r="G36" s="101"/>
      <c r="H36" s="149" t="s">
        <v>82</v>
      </c>
      <c r="I36" s="150">
        <f>IF($I$35="","",$I$35-$I$34)</f>
        <v>16</v>
      </c>
      <c r="J36" s="130"/>
      <c r="K36" s="130"/>
      <c r="L36" s="130"/>
      <c r="M36" s="104"/>
    </row>
    <row r="37" spans="1:34" ht="15.75" x14ac:dyDescent="0.25">
      <c r="A37" s="88"/>
      <c r="B37" s="87"/>
      <c r="C37" s="88"/>
      <c r="D37" s="88"/>
      <c r="E37" s="88"/>
      <c r="F37" s="88"/>
      <c r="G37" s="88"/>
      <c r="H37" s="88"/>
      <c r="I37" s="88"/>
      <c r="J37" s="131"/>
      <c r="K37" s="131"/>
      <c r="L37" s="131"/>
      <c r="M37" s="131"/>
    </row>
    <row r="52" spans="1:72" ht="27.95" customHeight="1" x14ac:dyDescent="0.25">
      <c r="A52" s="132" t="s">
        <v>83</v>
      </c>
      <c r="B52" s="132" t="s">
        <v>5</v>
      </c>
      <c r="C52" s="132" t="s">
        <v>6</v>
      </c>
      <c r="D52" s="132" t="s">
        <v>84</v>
      </c>
      <c r="E52" s="132" t="s">
        <v>85</v>
      </c>
      <c r="F52" s="132" t="s">
        <v>86</v>
      </c>
      <c r="G52" s="132" t="s">
        <v>87</v>
      </c>
      <c r="H52" s="132" t="s">
        <v>88</v>
      </c>
      <c r="I52" s="132" t="s">
        <v>89</v>
      </c>
      <c r="J52" s="132" t="s">
        <v>90</v>
      </c>
      <c r="K52" s="132" t="s">
        <v>91</v>
      </c>
      <c r="L52" s="132" t="s">
        <v>92</v>
      </c>
      <c r="M52" s="132" t="s">
        <v>93</v>
      </c>
      <c r="N52" s="132" t="s">
        <v>94</v>
      </c>
      <c r="O52" s="132" t="s">
        <v>95</v>
      </c>
      <c r="P52" s="132" t="s">
        <v>96</v>
      </c>
      <c r="Q52" s="132" t="s">
        <v>97</v>
      </c>
      <c r="R52" s="132" t="s">
        <v>98</v>
      </c>
      <c r="S52" s="132" t="s">
        <v>99</v>
      </c>
      <c r="T52" s="132" t="s">
        <v>100</v>
      </c>
      <c r="U52" s="132" t="s">
        <v>101</v>
      </c>
      <c r="V52" s="132" t="s">
        <v>102</v>
      </c>
      <c r="W52" s="132" t="s">
        <v>103</v>
      </c>
      <c r="X52" s="132" t="s">
        <v>104</v>
      </c>
      <c r="Y52" s="133" t="s">
        <v>105</v>
      </c>
      <c r="Z52" s="133" t="s">
        <v>106</v>
      </c>
      <c r="AA52" s="133" t="s">
        <v>107</v>
      </c>
      <c r="AB52" s="133" t="s">
        <v>108</v>
      </c>
      <c r="AC52" s="133" t="s">
        <v>109</v>
      </c>
      <c r="AD52" s="133" t="s">
        <v>110</v>
      </c>
      <c r="AE52" s="133" t="s">
        <v>111</v>
      </c>
      <c r="AF52" s="133" t="s">
        <v>112</v>
      </c>
      <c r="AG52" s="133" t="s">
        <v>113</v>
      </c>
      <c r="AH52" s="133" t="s">
        <v>114</v>
      </c>
      <c r="AI52" s="133" t="s">
        <v>115</v>
      </c>
      <c r="AJ52" s="133" t="s">
        <v>116</v>
      </c>
      <c r="AK52" s="133" t="s">
        <v>117</v>
      </c>
      <c r="AL52" s="133" t="s">
        <v>118</v>
      </c>
      <c r="AM52" s="133" t="s">
        <v>119</v>
      </c>
      <c r="AN52" s="133" t="s">
        <v>120</v>
      </c>
      <c r="AO52" s="133" t="s">
        <v>121</v>
      </c>
      <c r="AP52" s="133" t="s">
        <v>122</v>
      </c>
      <c r="AQ52" s="133" t="s">
        <v>123</v>
      </c>
      <c r="AR52" s="133" t="s">
        <v>124</v>
      </c>
      <c r="AS52" s="133" t="s">
        <v>125</v>
      </c>
      <c r="AT52" s="133" t="s">
        <v>126</v>
      </c>
      <c r="AU52" s="133" t="s">
        <v>127</v>
      </c>
      <c r="AV52" s="133" t="s">
        <v>128</v>
      </c>
      <c r="AW52" s="133" t="s">
        <v>129</v>
      </c>
      <c r="AX52" s="133" t="s">
        <v>130</v>
      </c>
      <c r="AY52" s="133" t="s">
        <v>131</v>
      </c>
      <c r="AZ52" s="133" t="s">
        <v>132</v>
      </c>
      <c r="BA52" s="133" t="s">
        <v>133</v>
      </c>
      <c r="BB52" s="133" t="s">
        <v>134</v>
      </c>
      <c r="BC52" s="133" t="s">
        <v>135</v>
      </c>
      <c r="BD52" s="133" t="s">
        <v>136</v>
      </c>
      <c r="BE52" s="133" t="s">
        <v>137</v>
      </c>
      <c r="BF52" s="133" t="s">
        <v>138</v>
      </c>
      <c r="BG52" s="133" t="s">
        <v>139</v>
      </c>
      <c r="BH52" s="133" t="s">
        <v>140</v>
      </c>
      <c r="BI52" s="133" t="s">
        <v>141</v>
      </c>
      <c r="BJ52" s="133" t="s">
        <v>142</v>
      </c>
      <c r="BK52" s="133" t="s">
        <v>143</v>
      </c>
      <c r="BL52" s="133" t="s">
        <v>144</v>
      </c>
      <c r="BM52" s="133" t="s">
        <v>145</v>
      </c>
      <c r="BN52" s="133" t="s">
        <v>146</v>
      </c>
      <c r="BO52" s="133" t="s">
        <v>147</v>
      </c>
      <c r="BP52" s="133" t="s">
        <v>148</v>
      </c>
      <c r="BQ52" s="133" t="s">
        <v>149</v>
      </c>
      <c r="BR52" s="133" t="s">
        <v>150</v>
      </c>
      <c r="BS52" s="133" t="s">
        <v>151</v>
      </c>
      <c r="BT52" s="133" t="s">
        <v>152</v>
      </c>
    </row>
    <row r="53" spans="1:72" s="186" customFormat="1" ht="54.95" customHeight="1" x14ac:dyDescent="0.25">
      <c r="A53" s="156">
        <v>1</v>
      </c>
      <c r="B53" s="186" t="s">
        <v>153</v>
      </c>
      <c r="C53" s="186" t="s">
        <v>154</v>
      </c>
      <c r="D53" s="186" t="s">
        <v>1343</v>
      </c>
      <c r="E53" s="186" t="s">
        <v>1344</v>
      </c>
      <c r="F53" s="186" t="s">
        <v>1345</v>
      </c>
      <c r="G53" s="186" t="s">
        <v>1346</v>
      </c>
      <c r="H53" s="186" t="s">
        <v>1328</v>
      </c>
      <c r="I53" s="186" t="s">
        <v>1329</v>
      </c>
      <c r="J53" s="186" t="s">
        <v>1347</v>
      </c>
      <c r="K53" s="186" t="s">
        <v>1348</v>
      </c>
      <c r="L53" s="186" t="s">
        <v>1349</v>
      </c>
      <c r="M53" s="186" t="s">
        <v>1350</v>
      </c>
      <c r="N53" s="186" t="s">
        <v>163</v>
      </c>
      <c r="O53" s="186">
        <v>20</v>
      </c>
      <c r="P53" s="186" t="s">
        <v>164</v>
      </c>
      <c r="Q53" s="186" t="s">
        <v>1351</v>
      </c>
      <c r="R53" s="186" t="s">
        <v>1352</v>
      </c>
      <c r="S53" s="186" t="s">
        <v>1353</v>
      </c>
      <c r="T53" s="186" t="s">
        <v>1354</v>
      </c>
      <c r="U53" s="186" t="s">
        <v>1355</v>
      </c>
      <c r="V53" s="186" t="s">
        <v>1356</v>
      </c>
      <c r="W53" s="186" t="s">
        <v>171</v>
      </c>
      <c r="X53" s="186" t="s">
        <v>1357</v>
      </c>
      <c r="Y53" s="187" t="s">
        <v>1358</v>
      </c>
      <c r="Z53" s="187">
        <v>4</v>
      </c>
      <c r="AA53" s="187" t="s">
        <v>174</v>
      </c>
      <c r="AB53" s="187" t="s">
        <v>175</v>
      </c>
      <c r="AC53" s="187" t="s">
        <v>176</v>
      </c>
      <c r="AD53" s="187" t="s">
        <v>174</v>
      </c>
      <c r="AE53" s="187" t="s">
        <v>176</v>
      </c>
      <c r="AF53" s="187" t="s">
        <v>177</v>
      </c>
      <c r="AG53" s="187" t="s">
        <v>1359</v>
      </c>
      <c r="AH53" s="187">
        <v>4</v>
      </c>
      <c r="AI53" s="187" t="s">
        <v>181</v>
      </c>
      <c r="AJ53" s="187" t="s">
        <v>182</v>
      </c>
      <c r="AK53" s="187" t="s">
        <v>407</v>
      </c>
      <c r="AL53" s="187" t="s">
        <v>406</v>
      </c>
      <c r="AM53" s="187" t="s">
        <v>407</v>
      </c>
      <c r="AN53" s="187" t="s">
        <v>437</v>
      </c>
      <c r="AO53" s="187" t="s">
        <v>1360</v>
      </c>
      <c r="AP53" s="187">
        <v>3</v>
      </c>
      <c r="AQ53" s="187" t="s">
        <v>619</v>
      </c>
      <c r="AR53" s="187" t="s">
        <v>411</v>
      </c>
      <c r="AS53" s="187" t="s">
        <v>1361</v>
      </c>
      <c r="AT53" s="187" t="s">
        <v>619</v>
      </c>
      <c r="AU53" s="187" t="s">
        <v>411</v>
      </c>
      <c r="AV53" s="187" t="s">
        <v>185</v>
      </c>
      <c r="AW53" s="187" t="s">
        <v>1362</v>
      </c>
      <c r="AX53" s="187">
        <v>4</v>
      </c>
      <c r="AY53" s="187" t="s">
        <v>179</v>
      </c>
      <c r="AZ53" s="187" t="s">
        <v>231</v>
      </c>
      <c r="BA53" s="187" t="s">
        <v>314</v>
      </c>
      <c r="BB53" s="187" t="s">
        <v>179</v>
      </c>
      <c r="BC53" s="187" t="s">
        <v>231</v>
      </c>
      <c r="BD53" s="187" t="s">
        <v>442</v>
      </c>
      <c r="BE53" s="187" t="s">
        <v>1363</v>
      </c>
      <c r="BF53" s="187">
        <v>3</v>
      </c>
      <c r="BG53" s="187" t="s">
        <v>1403</v>
      </c>
      <c r="BH53" s="187" t="s">
        <v>1484</v>
      </c>
      <c r="BI53" s="187" t="s">
        <v>4771</v>
      </c>
      <c r="BJ53" s="187" t="s">
        <v>4827</v>
      </c>
      <c r="BK53" s="187" t="s">
        <v>179</v>
      </c>
      <c r="BL53" s="187" t="s">
        <v>408</v>
      </c>
      <c r="BM53" s="187" t="s">
        <v>198</v>
      </c>
      <c r="BN53" s="187">
        <v>2</v>
      </c>
      <c r="BO53" s="187" t="s">
        <v>202</v>
      </c>
      <c r="BP53" s="187" t="s">
        <v>4772</v>
      </c>
      <c r="BQ53" s="187" t="s">
        <v>1484</v>
      </c>
      <c r="BR53" s="187" t="s">
        <v>4828</v>
      </c>
      <c r="BS53" s="187" t="s">
        <v>529</v>
      </c>
      <c r="BT53" s="187" t="s">
        <v>185</v>
      </c>
    </row>
    <row r="54" spans="1:72" s="186" customFormat="1" ht="54.95" customHeight="1" x14ac:dyDescent="0.25">
      <c r="A54" s="156">
        <v>2</v>
      </c>
      <c r="B54" s="186" t="s">
        <v>204</v>
      </c>
      <c r="C54" s="186" t="s">
        <v>205</v>
      </c>
      <c r="D54" s="186" t="s">
        <v>1366</v>
      </c>
      <c r="E54" s="186" t="s">
        <v>1367</v>
      </c>
      <c r="F54" s="186" t="s">
        <v>1368</v>
      </c>
      <c r="G54" s="186" t="s">
        <v>1369</v>
      </c>
      <c r="H54" s="186" t="s">
        <v>1370</v>
      </c>
      <c r="I54" s="186" t="s">
        <v>1371</v>
      </c>
      <c r="J54" s="186" t="s">
        <v>1372</v>
      </c>
      <c r="K54" s="186" t="s">
        <v>1373</v>
      </c>
      <c r="L54" s="186" t="s">
        <v>1349</v>
      </c>
      <c r="M54" s="186" t="s">
        <v>1374</v>
      </c>
      <c r="N54" s="186" t="s">
        <v>163</v>
      </c>
      <c r="O54" s="186">
        <v>20</v>
      </c>
      <c r="P54" s="186" t="s">
        <v>164</v>
      </c>
      <c r="Q54" s="186" t="s">
        <v>1375</v>
      </c>
      <c r="R54" s="186" t="s">
        <v>1376</v>
      </c>
      <c r="S54" s="186" t="s">
        <v>1377</v>
      </c>
      <c r="T54" s="186" t="s">
        <v>1378</v>
      </c>
      <c r="U54" s="186" t="s">
        <v>400</v>
      </c>
      <c r="V54" s="186" t="s">
        <v>1379</v>
      </c>
      <c r="W54" s="186" t="s">
        <v>1380</v>
      </c>
      <c r="X54" s="186" t="s">
        <v>1381</v>
      </c>
      <c r="Y54" s="187" t="s">
        <v>1358</v>
      </c>
      <c r="Z54" s="187">
        <v>4</v>
      </c>
      <c r="AA54" s="187" t="s">
        <v>404</v>
      </c>
      <c r="AB54" s="187" t="s">
        <v>405</v>
      </c>
      <c r="AC54" s="187" t="s">
        <v>226</v>
      </c>
      <c r="AD54" s="187" t="s">
        <v>405</v>
      </c>
      <c r="AE54" s="187" t="s">
        <v>404</v>
      </c>
      <c r="AF54" s="187" t="s">
        <v>226</v>
      </c>
      <c r="AG54" s="187" t="s">
        <v>1359</v>
      </c>
      <c r="AH54" s="187">
        <v>4</v>
      </c>
      <c r="AI54" s="187" t="s">
        <v>406</v>
      </c>
      <c r="AJ54" s="187" t="s">
        <v>407</v>
      </c>
      <c r="AK54" s="187" t="s">
        <v>182</v>
      </c>
      <c r="AL54" s="187" t="s">
        <v>406</v>
      </c>
      <c r="AM54" s="187" t="s">
        <v>407</v>
      </c>
      <c r="AN54" s="187" t="s">
        <v>437</v>
      </c>
      <c r="AO54" s="187" t="s">
        <v>1360</v>
      </c>
      <c r="AP54" s="187">
        <v>3</v>
      </c>
      <c r="AQ54" s="187" t="s">
        <v>409</v>
      </c>
      <c r="AR54" s="187" t="s">
        <v>411</v>
      </c>
      <c r="AS54" s="187" t="s">
        <v>624</v>
      </c>
      <c r="AT54" s="187" t="s">
        <v>409</v>
      </c>
      <c r="AU54" s="187" t="s">
        <v>411</v>
      </c>
      <c r="AV54" s="187" t="s">
        <v>185</v>
      </c>
      <c r="AW54" s="187" t="s">
        <v>1362</v>
      </c>
      <c r="AX54" s="187">
        <v>4</v>
      </c>
      <c r="AY54" s="187" t="s">
        <v>179</v>
      </c>
      <c r="AZ54" s="187" t="s">
        <v>620</v>
      </c>
      <c r="BA54" s="187" t="s">
        <v>226</v>
      </c>
      <c r="BB54" s="187" t="s">
        <v>179</v>
      </c>
      <c r="BC54" s="187" t="s">
        <v>226</v>
      </c>
      <c r="BD54" s="187" t="s">
        <v>528</v>
      </c>
      <c r="BE54" s="187" t="s">
        <v>1363</v>
      </c>
      <c r="BF54" s="187">
        <v>3</v>
      </c>
      <c r="BG54" s="187" t="s">
        <v>185</v>
      </c>
      <c r="BH54" s="187" t="s">
        <v>244</v>
      </c>
      <c r="BI54" s="187" t="s">
        <v>383</v>
      </c>
      <c r="BJ54" s="187" t="s">
        <v>185</v>
      </c>
      <c r="BK54" s="187" t="s">
        <v>414</v>
      </c>
      <c r="BL54" s="187" t="s">
        <v>384</v>
      </c>
      <c r="BM54" s="187" t="s">
        <v>198</v>
      </c>
      <c r="BN54" s="187">
        <v>2</v>
      </c>
      <c r="BO54" s="187" t="s">
        <v>199</v>
      </c>
      <c r="BP54" s="187" t="s">
        <v>1365</v>
      </c>
      <c r="BQ54" s="187" t="s">
        <v>201</v>
      </c>
      <c r="BR54" s="187" t="s">
        <v>199</v>
      </c>
      <c r="BS54" s="187" t="s">
        <v>202</v>
      </c>
      <c r="BT54" s="187" t="s">
        <v>203</v>
      </c>
    </row>
    <row r="55" spans="1:72" s="186" customFormat="1" ht="54.95" customHeight="1" x14ac:dyDescent="0.25">
      <c r="A55" s="156">
        <v>3</v>
      </c>
      <c r="B55" s="186" t="s">
        <v>246</v>
      </c>
      <c r="C55" s="186" t="s">
        <v>247</v>
      </c>
      <c r="D55" s="186" t="s">
        <v>416</v>
      </c>
      <c r="E55" s="186" t="s">
        <v>1382</v>
      </c>
      <c r="F55" s="186" t="s">
        <v>1383</v>
      </c>
      <c r="G55" s="186" t="s">
        <v>1384</v>
      </c>
      <c r="H55" s="186" t="s">
        <v>1385</v>
      </c>
      <c r="I55" s="186" t="s">
        <v>1386</v>
      </c>
      <c r="J55" s="186" t="s">
        <v>1387</v>
      </c>
      <c r="K55" s="186" t="s">
        <v>423</v>
      </c>
      <c r="L55" s="186" t="s">
        <v>1349</v>
      </c>
      <c r="M55" s="186" t="s">
        <v>1388</v>
      </c>
      <c r="N55" s="186" t="s">
        <v>163</v>
      </c>
      <c r="O55" s="186">
        <v>20</v>
      </c>
      <c r="P55" s="186" t="s">
        <v>164</v>
      </c>
      <c r="Q55" s="186" t="s">
        <v>1389</v>
      </c>
      <c r="R55" s="186" t="s">
        <v>1390</v>
      </c>
      <c r="S55" s="186" t="s">
        <v>428</v>
      </c>
      <c r="T55" s="186" t="s">
        <v>1391</v>
      </c>
      <c r="U55" s="186" t="s">
        <v>1392</v>
      </c>
      <c r="V55" s="186" t="s">
        <v>1393</v>
      </c>
      <c r="W55" s="186" t="s">
        <v>1394</v>
      </c>
      <c r="X55" s="186" t="s">
        <v>1395</v>
      </c>
      <c r="Y55" s="187" t="s">
        <v>1358</v>
      </c>
      <c r="Z55" s="187">
        <v>4</v>
      </c>
      <c r="AA55" s="187" t="s">
        <v>176</v>
      </c>
      <c r="AB55" s="187" t="s">
        <v>1396</v>
      </c>
      <c r="AC55" s="187" t="s">
        <v>1397</v>
      </c>
      <c r="AD55" s="187" t="s">
        <v>176</v>
      </c>
      <c r="AE55" s="187" t="s">
        <v>1398</v>
      </c>
      <c r="AF55" s="187" t="s">
        <v>176</v>
      </c>
      <c r="AG55" s="187" t="s">
        <v>1359</v>
      </c>
      <c r="AH55" s="187">
        <v>4</v>
      </c>
      <c r="AI55" s="187" t="s">
        <v>437</v>
      </c>
      <c r="AJ55" s="187" t="s">
        <v>232</v>
      </c>
      <c r="AK55" s="187" t="s">
        <v>182</v>
      </c>
      <c r="AL55" s="187" t="s">
        <v>437</v>
      </c>
      <c r="AM55" s="187" t="s">
        <v>232</v>
      </c>
      <c r="AN55" s="187" t="s">
        <v>407</v>
      </c>
      <c r="AO55" s="187" t="s">
        <v>1360</v>
      </c>
      <c r="AP55" s="187">
        <v>3</v>
      </c>
      <c r="AQ55" s="187" t="s">
        <v>411</v>
      </c>
      <c r="AR55" s="187" t="s">
        <v>1399</v>
      </c>
      <c r="AS55" s="187" t="s">
        <v>1400</v>
      </c>
      <c r="AT55" s="187" t="s">
        <v>411</v>
      </c>
      <c r="AU55" s="187" t="s">
        <v>408</v>
      </c>
      <c r="AV55" s="187" t="s">
        <v>1401</v>
      </c>
      <c r="AW55" s="187" t="s">
        <v>1362</v>
      </c>
      <c r="AX55" s="187">
        <v>4</v>
      </c>
      <c r="AY55" s="187" t="s">
        <v>179</v>
      </c>
      <c r="AZ55" s="187" t="s">
        <v>231</v>
      </c>
      <c r="BA55" s="187" t="s">
        <v>1402</v>
      </c>
      <c r="BB55" s="187" t="s">
        <v>179</v>
      </c>
      <c r="BC55" s="187" t="s">
        <v>231</v>
      </c>
      <c r="BD55" s="187" t="s">
        <v>442</v>
      </c>
      <c r="BE55" s="187" t="s">
        <v>1363</v>
      </c>
      <c r="BF55" s="187">
        <v>3</v>
      </c>
      <c r="BG55" s="187" t="s">
        <v>1364</v>
      </c>
      <c r="BH55" s="187" t="s">
        <v>919</v>
      </c>
      <c r="BI55" s="187" t="s">
        <v>717</v>
      </c>
      <c r="BJ55" s="187" t="s">
        <v>1403</v>
      </c>
      <c r="BK55" s="187" t="s">
        <v>1404</v>
      </c>
      <c r="BL55" s="187" t="s">
        <v>919</v>
      </c>
      <c r="BM55" s="187" t="s">
        <v>198</v>
      </c>
      <c r="BN55" s="187">
        <v>2</v>
      </c>
      <c r="BO55" s="187" t="s">
        <v>199</v>
      </c>
      <c r="BP55" s="187" t="s">
        <v>1365</v>
      </c>
      <c r="BQ55" s="187" t="s">
        <v>201</v>
      </c>
      <c r="BR55" s="187" t="s">
        <v>199</v>
      </c>
      <c r="BS55" s="187" t="s">
        <v>202</v>
      </c>
      <c r="BT55" s="187" t="s">
        <v>203</v>
      </c>
    </row>
    <row r="56" spans="1:72" s="186" customFormat="1" ht="54.95" customHeight="1" x14ac:dyDescent="0.25">
      <c r="A56" s="156">
        <v>4</v>
      </c>
      <c r="B56" s="186" t="s">
        <v>978</v>
      </c>
      <c r="C56" s="186" t="s">
        <v>154</v>
      </c>
      <c r="D56" s="186" t="s">
        <v>1405</v>
      </c>
      <c r="E56" s="186" t="s">
        <v>1406</v>
      </c>
      <c r="F56" s="186" t="s">
        <v>1407</v>
      </c>
      <c r="G56" s="186" t="s">
        <v>1408</v>
      </c>
      <c r="H56" s="186" t="s">
        <v>1409</v>
      </c>
      <c r="I56" s="186" t="s">
        <v>1410</v>
      </c>
      <c r="J56" s="186" t="s">
        <v>1411</v>
      </c>
      <c r="K56" s="186" t="s">
        <v>1412</v>
      </c>
      <c r="L56" s="186" t="s">
        <v>1349</v>
      </c>
      <c r="M56" s="186" t="s">
        <v>1413</v>
      </c>
      <c r="N56" s="186" t="s">
        <v>163</v>
      </c>
      <c r="O56" s="186">
        <v>20</v>
      </c>
      <c r="P56" s="186" t="s">
        <v>259</v>
      </c>
      <c r="Q56" s="186" t="s">
        <v>1414</v>
      </c>
      <c r="R56" s="186" t="s">
        <v>1415</v>
      </c>
      <c r="S56" s="186" t="s">
        <v>1416</v>
      </c>
      <c r="T56" s="186" t="s">
        <v>1417</v>
      </c>
      <c r="U56" s="186" t="s">
        <v>1418</v>
      </c>
      <c r="V56" s="186" t="s">
        <v>1419</v>
      </c>
      <c r="W56" s="186" t="s">
        <v>1420</v>
      </c>
      <c r="X56" s="186" t="s">
        <v>1421</v>
      </c>
      <c r="Y56" s="187" t="s">
        <v>1358</v>
      </c>
      <c r="Z56" s="187">
        <v>4</v>
      </c>
      <c r="AA56" s="187" t="s">
        <v>373</v>
      </c>
      <c r="AB56" s="187" t="s">
        <v>1422</v>
      </c>
      <c r="AC56" s="187" t="s">
        <v>321</v>
      </c>
      <c r="AD56" s="187" t="s">
        <v>373</v>
      </c>
      <c r="AE56" s="187" t="s">
        <v>375</v>
      </c>
      <c r="AF56" s="187" t="s">
        <v>321</v>
      </c>
      <c r="AG56" s="187" t="s">
        <v>1359</v>
      </c>
      <c r="AH56" s="187">
        <v>4</v>
      </c>
      <c r="AI56" s="187" t="s">
        <v>437</v>
      </c>
      <c r="AJ56" s="187" t="s">
        <v>1423</v>
      </c>
      <c r="AK56" s="187" t="s">
        <v>1424</v>
      </c>
      <c r="AL56" s="187" t="s">
        <v>437</v>
      </c>
      <c r="AM56" s="187" t="s">
        <v>1423</v>
      </c>
      <c r="AN56" s="187" t="s">
        <v>831</v>
      </c>
      <c r="AO56" s="187" t="s">
        <v>1360</v>
      </c>
      <c r="AP56" s="187">
        <v>3</v>
      </c>
      <c r="AQ56" s="187" t="s">
        <v>619</v>
      </c>
      <c r="AR56" s="187" t="s">
        <v>411</v>
      </c>
      <c r="AS56" s="187" t="s">
        <v>621</v>
      </c>
      <c r="AT56" s="187" t="s">
        <v>619</v>
      </c>
      <c r="AU56" s="187" t="s">
        <v>411</v>
      </c>
      <c r="AV56" s="187" t="s">
        <v>1425</v>
      </c>
      <c r="AW56" s="187" t="s">
        <v>1362</v>
      </c>
      <c r="AX56" s="187">
        <v>4</v>
      </c>
      <c r="AY56" s="187" t="s">
        <v>179</v>
      </c>
      <c r="AZ56" s="187" t="s">
        <v>1402</v>
      </c>
      <c r="BA56" s="187" t="s">
        <v>310</v>
      </c>
      <c r="BB56" s="187" t="s">
        <v>179</v>
      </c>
      <c r="BC56" s="187" t="s">
        <v>323</v>
      </c>
      <c r="BD56" s="187" t="s">
        <v>353</v>
      </c>
      <c r="BE56" s="187" t="s">
        <v>1363</v>
      </c>
      <c r="BF56" s="187">
        <v>3</v>
      </c>
      <c r="BG56" s="187" t="s">
        <v>978</v>
      </c>
      <c r="BH56" s="187" t="s">
        <v>1038</v>
      </c>
      <c r="BI56" s="187" t="s">
        <v>1364</v>
      </c>
      <c r="BJ56" s="187" t="s">
        <v>318</v>
      </c>
      <c r="BK56" s="187" t="s">
        <v>503</v>
      </c>
      <c r="BL56" s="187" t="s">
        <v>568</v>
      </c>
      <c r="BM56" s="187" t="s">
        <v>198</v>
      </c>
      <c r="BN56" s="187">
        <v>2</v>
      </c>
      <c r="BO56" s="187" t="s">
        <v>199</v>
      </c>
      <c r="BP56" s="187" t="s">
        <v>1365</v>
      </c>
      <c r="BQ56" s="187" t="s">
        <v>1426</v>
      </c>
      <c r="BR56" s="187" t="s">
        <v>199</v>
      </c>
      <c r="BS56" s="187" t="s">
        <v>202</v>
      </c>
      <c r="BT56" s="187" t="s">
        <v>203</v>
      </c>
    </row>
    <row r="57" spans="1:72" s="186" customFormat="1" ht="54.95" customHeight="1" x14ac:dyDescent="0.25">
      <c r="A57" s="156">
        <v>5</v>
      </c>
      <c r="B57" s="186" t="s">
        <v>385</v>
      </c>
      <c r="C57" s="186" t="s">
        <v>570</v>
      </c>
      <c r="D57" s="186" t="s">
        <v>571</v>
      </c>
      <c r="E57" s="186" t="s">
        <v>1427</v>
      </c>
      <c r="F57" s="186" t="s">
        <v>573</v>
      </c>
      <c r="G57" s="186" t="s">
        <v>574</v>
      </c>
      <c r="H57" s="186" t="s">
        <v>1428</v>
      </c>
      <c r="I57" s="186" t="s">
        <v>1429</v>
      </c>
      <c r="J57" s="186" t="s">
        <v>1430</v>
      </c>
      <c r="K57" s="186" t="s">
        <v>1431</v>
      </c>
      <c r="L57" s="186" t="s">
        <v>1349</v>
      </c>
      <c r="M57" s="186" t="s">
        <v>1432</v>
      </c>
      <c r="N57" s="186" t="s">
        <v>163</v>
      </c>
      <c r="O57" s="186">
        <v>20</v>
      </c>
      <c r="P57" s="186" t="s">
        <v>164</v>
      </c>
      <c r="Q57" s="186" t="s">
        <v>1433</v>
      </c>
      <c r="R57" s="186" t="s">
        <v>1434</v>
      </c>
      <c r="S57" s="186" t="s">
        <v>1435</v>
      </c>
      <c r="T57" s="186" t="s">
        <v>1436</v>
      </c>
      <c r="U57" s="186" t="s">
        <v>1437</v>
      </c>
      <c r="V57" s="186" t="s">
        <v>1438</v>
      </c>
      <c r="W57" s="186" t="s">
        <v>1439</v>
      </c>
      <c r="X57" s="186" t="s">
        <v>588</v>
      </c>
      <c r="Y57" s="187" t="s">
        <v>1358</v>
      </c>
      <c r="Z57" s="187">
        <v>4</v>
      </c>
      <c r="AA57" s="187" t="s">
        <v>589</v>
      </c>
      <c r="AB57" s="187" t="s">
        <v>590</v>
      </c>
      <c r="AC57" s="187" t="s">
        <v>591</v>
      </c>
      <c r="AD57" s="187" t="s">
        <v>589</v>
      </c>
      <c r="AE57" s="187" t="s">
        <v>590</v>
      </c>
      <c r="AF57" s="187" t="s">
        <v>592</v>
      </c>
      <c r="AG57" s="187" t="s">
        <v>1359</v>
      </c>
      <c r="AH57" s="187">
        <v>4</v>
      </c>
      <c r="AI57" s="187" t="s">
        <v>406</v>
      </c>
      <c r="AJ57" s="187" t="s">
        <v>1440</v>
      </c>
      <c r="AK57" s="187" t="s">
        <v>349</v>
      </c>
      <c r="AL57" s="187" t="s">
        <v>406</v>
      </c>
      <c r="AM57" s="187" t="s">
        <v>1440</v>
      </c>
      <c r="AN57" s="187" t="s">
        <v>593</v>
      </c>
      <c r="AO57" s="187" t="s">
        <v>1360</v>
      </c>
      <c r="AP57" s="187">
        <v>3</v>
      </c>
      <c r="AQ57" s="187" t="s">
        <v>598</v>
      </c>
      <c r="AR57" s="187" t="s">
        <v>411</v>
      </c>
      <c r="AS57" s="187" t="s">
        <v>594</v>
      </c>
      <c r="AT57" s="187" t="s">
        <v>598</v>
      </c>
      <c r="AU57" s="187" t="s">
        <v>411</v>
      </c>
      <c r="AV57" s="187" t="s">
        <v>593</v>
      </c>
      <c r="AW57" s="187" t="s">
        <v>1362</v>
      </c>
      <c r="AX57" s="187">
        <v>4</v>
      </c>
      <c r="AY57" s="187" t="s">
        <v>1441</v>
      </c>
      <c r="AZ57" s="187" t="s">
        <v>321</v>
      </c>
      <c r="BA57" s="187" t="s">
        <v>1442</v>
      </c>
      <c r="BB57" s="187" t="s">
        <v>1443</v>
      </c>
      <c r="BC57" s="187" t="s">
        <v>528</v>
      </c>
      <c r="BD57" s="187" t="s">
        <v>599</v>
      </c>
      <c r="BE57" s="187" t="s">
        <v>1363</v>
      </c>
      <c r="BF57" s="187">
        <v>3</v>
      </c>
      <c r="BG57" s="187" t="s">
        <v>599</v>
      </c>
      <c r="BH57" s="187" t="s">
        <v>383</v>
      </c>
      <c r="BI57" s="187" t="s">
        <v>1364</v>
      </c>
      <c r="BJ57" s="187" t="s">
        <v>384</v>
      </c>
      <c r="BK57" s="187" t="s">
        <v>599</v>
      </c>
      <c r="BL57" s="187" t="s">
        <v>860</v>
      </c>
      <c r="BM57" s="187" t="s">
        <v>198</v>
      </c>
      <c r="BN57" s="187">
        <v>2</v>
      </c>
      <c r="BO57" s="187" t="s">
        <v>199</v>
      </c>
      <c r="BP57" s="187" t="s">
        <v>1365</v>
      </c>
      <c r="BQ57" s="187" t="s">
        <v>201</v>
      </c>
      <c r="BR57" s="187" t="s">
        <v>199</v>
      </c>
      <c r="BS57" s="187" t="s">
        <v>202</v>
      </c>
      <c r="BT57" s="187" t="s">
        <v>203</v>
      </c>
    </row>
    <row r="58" spans="1:72" s="186" customFormat="1" ht="54.95" customHeight="1" x14ac:dyDescent="0.25">
      <c r="A58" s="156">
        <v>6</v>
      </c>
      <c r="B58" s="186" t="s">
        <v>324</v>
      </c>
      <c r="C58" s="186" t="s">
        <v>325</v>
      </c>
      <c r="D58" s="186" t="s">
        <v>1444</v>
      </c>
      <c r="E58" s="186" t="s">
        <v>1445</v>
      </c>
      <c r="F58" s="186" t="s">
        <v>1446</v>
      </c>
      <c r="G58" s="186" t="s">
        <v>1447</v>
      </c>
      <c r="H58" s="186" t="s">
        <v>1448</v>
      </c>
      <c r="I58" s="186" t="s">
        <v>1449</v>
      </c>
      <c r="J58" s="186" t="s">
        <v>1450</v>
      </c>
      <c r="K58" s="186" t="s">
        <v>1451</v>
      </c>
      <c r="L58" s="186" t="s">
        <v>1349</v>
      </c>
      <c r="M58" s="186" t="s">
        <v>1452</v>
      </c>
      <c r="N58" s="186" t="s">
        <v>163</v>
      </c>
      <c r="O58" s="186">
        <v>20</v>
      </c>
      <c r="P58" s="186" t="s">
        <v>164</v>
      </c>
      <c r="Q58" s="186" t="s">
        <v>1453</v>
      </c>
      <c r="R58" s="186" t="s">
        <v>1454</v>
      </c>
      <c r="S58" s="186" t="s">
        <v>1455</v>
      </c>
      <c r="T58" s="186" t="s">
        <v>1456</v>
      </c>
      <c r="U58" s="186" t="s">
        <v>1457</v>
      </c>
      <c r="V58" s="186" t="s">
        <v>1458</v>
      </c>
      <c r="W58" s="186" t="s">
        <v>1459</v>
      </c>
      <c r="X58" s="186" t="s">
        <v>1460</v>
      </c>
      <c r="Y58" s="187" t="s">
        <v>1358</v>
      </c>
      <c r="Z58" s="187">
        <v>4</v>
      </c>
      <c r="AA58" s="187" t="s">
        <v>860</v>
      </c>
      <c r="AB58" s="187" t="s">
        <v>1461</v>
      </c>
      <c r="AC58" s="187" t="s">
        <v>935</v>
      </c>
      <c r="AD58" s="187" t="s">
        <v>860</v>
      </c>
      <c r="AE58" s="187" t="s">
        <v>935</v>
      </c>
      <c r="AF58" s="187" t="s">
        <v>177</v>
      </c>
      <c r="AG58" s="187" t="s">
        <v>1359</v>
      </c>
      <c r="AH58" s="187">
        <v>4</v>
      </c>
      <c r="AI58" s="187" t="s">
        <v>437</v>
      </c>
      <c r="AJ58" s="187" t="s">
        <v>180</v>
      </c>
      <c r="AK58" s="187" t="s">
        <v>232</v>
      </c>
      <c r="AL58" s="187" t="s">
        <v>437</v>
      </c>
      <c r="AM58" s="187" t="s">
        <v>180</v>
      </c>
      <c r="AN58" s="187" t="s">
        <v>232</v>
      </c>
      <c r="AO58" s="187" t="s">
        <v>1360</v>
      </c>
      <c r="AP58" s="187">
        <v>3</v>
      </c>
      <c r="AQ58" s="187" t="s">
        <v>1462</v>
      </c>
      <c r="AR58" s="187" t="s">
        <v>411</v>
      </c>
      <c r="AS58" s="187" t="s">
        <v>563</v>
      </c>
      <c r="AT58" s="187" t="s">
        <v>1462</v>
      </c>
      <c r="AU58" s="187" t="s">
        <v>411</v>
      </c>
      <c r="AV58" s="187" t="s">
        <v>348</v>
      </c>
      <c r="AW58" s="187" t="s">
        <v>1362</v>
      </c>
      <c r="AX58" s="187">
        <v>4</v>
      </c>
      <c r="AY58" s="187" t="s">
        <v>176</v>
      </c>
      <c r="AZ58" s="187" t="s">
        <v>314</v>
      </c>
      <c r="BA58" s="187" t="s">
        <v>321</v>
      </c>
      <c r="BB58" s="187" t="s">
        <v>176</v>
      </c>
      <c r="BC58" s="187" t="s">
        <v>314</v>
      </c>
      <c r="BD58" s="187" t="s">
        <v>241</v>
      </c>
      <c r="BE58" s="187" t="s">
        <v>1363</v>
      </c>
      <c r="BF58" s="187">
        <v>3</v>
      </c>
      <c r="BG58" s="187" t="s">
        <v>1463</v>
      </c>
      <c r="BH58" s="187" t="s">
        <v>1364</v>
      </c>
      <c r="BI58" s="187" t="s">
        <v>919</v>
      </c>
      <c r="BJ58" s="187" t="s">
        <v>1403</v>
      </c>
      <c r="BK58" s="187" t="s">
        <v>471</v>
      </c>
      <c r="BL58" s="187" t="s">
        <v>384</v>
      </c>
      <c r="BM58" s="187" t="s">
        <v>198</v>
      </c>
      <c r="BN58" s="187">
        <v>2</v>
      </c>
      <c r="BO58" s="187" t="s">
        <v>199</v>
      </c>
      <c r="BP58" s="187" t="s">
        <v>1365</v>
      </c>
      <c r="BQ58" s="187" t="s">
        <v>201</v>
      </c>
      <c r="BR58" s="187" t="s">
        <v>199</v>
      </c>
      <c r="BS58" s="187" t="s">
        <v>202</v>
      </c>
      <c r="BT58" s="187" t="s">
        <v>203</v>
      </c>
    </row>
    <row r="59" spans="1:72" s="186" customFormat="1" ht="54.95" customHeight="1" x14ac:dyDescent="0.25">
      <c r="A59" s="156">
        <v>7</v>
      </c>
      <c r="B59" s="186" t="s">
        <v>506</v>
      </c>
      <c r="C59" s="186" t="s">
        <v>154</v>
      </c>
      <c r="D59" s="186" t="s">
        <v>1464</v>
      </c>
      <c r="E59" s="186" t="s">
        <v>1465</v>
      </c>
      <c r="F59" s="186" t="s">
        <v>1466</v>
      </c>
      <c r="G59" s="186" t="s">
        <v>1467</v>
      </c>
      <c r="H59" s="186" t="s">
        <v>1468</v>
      </c>
      <c r="I59" s="186" t="s">
        <v>1469</v>
      </c>
      <c r="J59" s="186" t="s">
        <v>1470</v>
      </c>
      <c r="K59" s="186" t="s">
        <v>1471</v>
      </c>
      <c r="L59" s="186" t="s">
        <v>1349</v>
      </c>
      <c r="M59" s="186" t="s">
        <v>1472</v>
      </c>
      <c r="N59" s="186" t="s">
        <v>163</v>
      </c>
      <c r="O59" s="186">
        <v>20</v>
      </c>
      <c r="P59" s="186" t="s">
        <v>164</v>
      </c>
      <c r="Q59" s="186" t="s">
        <v>1473</v>
      </c>
      <c r="R59" s="186" t="s">
        <v>1474</v>
      </c>
      <c r="S59" s="186" t="s">
        <v>1475</v>
      </c>
      <c r="T59" s="186" t="s">
        <v>1476</v>
      </c>
      <c r="U59" s="186" t="s">
        <v>1477</v>
      </c>
      <c r="V59" s="186" t="s">
        <v>1478</v>
      </c>
      <c r="W59" s="186" t="s">
        <v>1479</v>
      </c>
      <c r="X59" s="186" t="s">
        <v>1480</v>
      </c>
      <c r="Y59" s="187" t="s">
        <v>1358</v>
      </c>
      <c r="Z59" s="187">
        <v>4</v>
      </c>
      <c r="AA59" s="187" t="s">
        <v>1481</v>
      </c>
      <c r="AB59" s="187" t="s">
        <v>226</v>
      </c>
      <c r="AC59" s="187" t="s">
        <v>1482</v>
      </c>
      <c r="AD59" s="187" t="s">
        <v>1481</v>
      </c>
      <c r="AE59" s="187" t="s">
        <v>226</v>
      </c>
      <c r="AF59" s="187" t="s">
        <v>228</v>
      </c>
      <c r="AG59" s="187" t="s">
        <v>1359</v>
      </c>
      <c r="AH59" s="187">
        <v>4</v>
      </c>
      <c r="AI59" s="187" t="s">
        <v>232</v>
      </c>
      <c r="AJ59" s="187" t="s">
        <v>182</v>
      </c>
      <c r="AK59" s="187" t="s">
        <v>406</v>
      </c>
      <c r="AL59" s="187" t="s">
        <v>232</v>
      </c>
      <c r="AM59" s="187" t="s">
        <v>437</v>
      </c>
      <c r="AN59" s="187" t="s">
        <v>185</v>
      </c>
      <c r="AO59" s="187" t="s">
        <v>1360</v>
      </c>
      <c r="AP59" s="187">
        <v>3</v>
      </c>
      <c r="AQ59" s="187" t="s">
        <v>619</v>
      </c>
      <c r="AR59" s="187" t="s">
        <v>411</v>
      </c>
      <c r="AS59" s="187" t="s">
        <v>182</v>
      </c>
      <c r="AT59" s="187" t="s">
        <v>619</v>
      </c>
      <c r="AU59" s="187" t="s">
        <v>411</v>
      </c>
      <c r="AV59" s="187" t="s">
        <v>235</v>
      </c>
      <c r="AW59" s="187" t="s">
        <v>1362</v>
      </c>
      <c r="AX59" s="187">
        <v>4</v>
      </c>
      <c r="AY59" s="187" t="s">
        <v>620</v>
      </c>
      <c r="AZ59" s="187" t="s">
        <v>176</v>
      </c>
      <c r="BA59" s="187" t="s">
        <v>321</v>
      </c>
      <c r="BB59" s="187" t="s">
        <v>226</v>
      </c>
      <c r="BC59" s="187" t="s">
        <v>176</v>
      </c>
      <c r="BD59" s="187" t="s">
        <v>1483</v>
      </c>
      <c r="BE59" s="187" t="s">
        <v>1363</v>
      </c>
      <c r="BF59" s="187">
        <v>3</v>
      </c>
      <c r="BG59" s="187" t="s">
        <v>1364</v>
      </c>
      <c r="BH59" s="187" t="s">
        <v>185</v>
      </c>
      <c r="BI59" s="187" t="s">
        <v>919</v>
      </c>
      <c r="BJ59" s="187" t="s">
        <v>717</v>
      </c>
      <c r="BK59" s="187" t="s">
        <v>1484</v>
      </c>
      <c r="BL59" s="187" t="s">
        <v>919</v>
      </c>
      <c r="BM59" s="187" t="s">
        <v>198</v>
      </c>
      <c r="BN59" s="187">
        <v>2</v>
      </c>
      <c r="BO59" s="187" t="s">
        <v>199</v>
      </c>
      <c r="BP59" s="187" t="s">
        <v>1365</v>
      </c>
      <c r="BQ59" s="187" t="s">
        <v>201</v>
      </c>
      <c r="BR59" s="187" t="s">
        <v>199</v>
      </c>
      <c r="BS59" s="187" t="s">
        <v>202</v>
      </c>
      <c r="BT59" s="187" t="s">
        <v>203</v>
      </c>
    </row>
    <row r="60" spans="1:72" s="186" customFormat="1" ht="54.95" customHeight="1" x14ac:dyDescent="0.25">
      <c r="A60" s="156">
        <v>8</v>
      </c>
      <c r="B60" s="186" t="s">
        <v>444</v>
      </c>
      <c r="C60" s="186" t="s">
        <v>205</v>
      </c>
      <c r="D60" s="186" t="s">
        <v>1485</v>
      </c>
      <c r="E60" s="186" t="s">
        <v>1486</v>
      </c>
      <c r="F60" s="186" t="s">
        <v>1487</v>
      </c>
      <c r="G60" s="186" t="s">
        <v>1488</v>
      </c>
      <c r="H60" s="186" t="s">
        <v>1489</v>
      </c>
      <c r="I60" s="186" t="s">
        <v>1490</v>
      </c>
      <c r="J60" s="186" t="s">
        <v>1491</v>
      </c>
      <c r="K60" s="186" t="s">
        <v>725</v>
      </c>
      <c r="L60" s="186" t="s">
        <v>1349</v>
      </c>
      <c r="M60" s="186" t="s">
        <v>1492</v>
      </c>
      <c r="N60" s="186" t="s">
        <v>163</v>
      </c>
      <c r="O60" s="186">
        <v>20</v>
      </c>
      <c r="P60" s="186" t="s">
        <v>259</v>
      </c>
      <c r="Q60" s="186" t="s">
        <v>1493</v>
      </c>
      <c r="R60" s="186" t="s">
        <v>1494</v>
      </c>
      <c r="S60" s="186" t="s">
        <v>1495</v>
      </c>
      <c r="T60" s="186" t="s">
        <v>1496</v>
      </c>
      <c r="U60" s="186" t="s">
        <v>1497</v>
      </c>
      <c r="V60" s="186" t="s">
        <v>1498</v>
      </c>
      <c r="W60" s="186" t="s">
        <v>1499</v>
      </c>
      <c r="X60" s="186" t="s">
        <v>1500</v>
      </c>
      <c r="Y60" s="187" t="s">
        <v>1358</v>
      </c>
      <c r="Z60" s="187">
        <v>4</v>
      </c>
      <c r="AA60" s="187" t="s">
        <v>373</v>
      </c>
      <c r="AB60" s="187" t="s">
        <v>1402</v>
      </c>
      <c r="AC60" s="187" t="s">
        <v>321</v>
      </c>
      <c r="AD60" s="187" t="s">
        <v>373</v>
      </c>
      <c r="AE60" s="187" t="s">
        <v>375</v>
      </c>
      <c r="AF60" s="187" t="s">
        <v>1501</v>
      </c>
      <c r="AG60" s="187" t="s">
        <v>1359</v>
      </c>
      <c r="AH60" s="187">
        <v>4</v>
      </c>
      <c r="AI60" s="187" t="s">
        <v>383</v>
      </c>
      <c r="AJ60" s="187" t="s">
        <v>377</v>
      </c>
      <c r="AK60" s="187" t="s">
        <v>279</v>
      </c>
      <c r="AL60" s="187" t="s">
        <v>377</v>
      </c>
      <c r="AM60" s="187" t="s">
        <v>383</v>
      </c>
      <c r="AN60" s="187" t="s">
        <v>531</v>
      </c>
      <c r="AO60" s="187" t="s">
        <v>1360</v>
      </c>
      <c r="AP60" s="187">
        <v>3</v>
      </c>
      <c r="AQ60" s="187" t="s">
        <v>409</v>
      </c>
      <c r="AR60" s="187" t="s">
        <v>411</v>
      </c>
      <c r="AS60" s="187" t="s">
        <v>1425</v>
      </c>
      <c r="AT60" s="187" t="s">
        <v>409</v>
      </c>
      <c r="AU60" s="187" t="s">
        <v>411</v>
      </c>
      <c r="AV60" s="187" t="s">
        <v>624</v>
      </c>
      <c r="AW60" s="187" t="s">
        <v>1362</v>
      </c>
      <c r="AX60" s="187">
        <v>4</v>
      </c>
      <c r="AY60" s="187" t="s">
        <v>321</v>
      </c>
      <c r="AZ60" s="187" t="s">
        <v>1502</v>
      </c>
      <c r="BA60" s="187" t="s">
        <v>681</v>
      </c>
      <c r="BB60" s="187" t="s">
        <v>1502</v>
      </c>
      <c r="BC60" s="187" t="s">
        <v>681</v>
      </c>
      <c r="BD60" s="187" t="s">
        <v>235</v>
      </c>
      <c r="BE60" s="187" t="s">
        <v>1363</v>
      </c>
      <c r="BF60" s="187">
        <v>3</v>
      </c>
      <c r="BG60" s="187" t="s">
        <v>1364</v>
      </c>
      <c r="BH60" s="187" t="s">
        <v>503</v>
      </c>
      <c r="BI60" s="187" t="s">
        <v>786</v>
      </c>
      <c r="BJ60" s="187" t="s">
        <v>717</v>
      </c>
      <c r="BK60" s="187" t="s">
        <v>1403</v>
      </c>
      <c r="BL60" s="187" t="s">
        <v>503</v>
      </c>
      <c r="BM60" s="187" t="s">
        <v>198</v>
      </c>
      <c r="BN60" s="187">
        <v>2</v>
      </c>
      <c r="BO60" s="187" t="s">
        <v>199</v>
      </c>
      <c r="BP60" s="187" t="s">
        <v>1365</v>
      </c>
      <c r="BQ60" s="187" t="s">
        <v>201</v>
      </c>
      <c r="BR60" s="187" t="s">
        <v>199</v>
      </c>
      <c r="BS60" s="187" t="s">
        <v>202</v>
      </c>
      <c r="BT60" s="187" t="s">
        <v>203</v>
      </c>
    </row>
    <row r="61" spans="1:72" s="186" customFormat="1" ht="54.95" customHeight="1" x14ac:dyDescent="0.25">
      <c r="A61" s="156">
        <v>9</v>
      </c>
      <c r="B61" s="186" t="s">
        <v>385</v>
      </c>
      <c r="C61" s="186" t="s">
        <v>325</v>
      </c>
      <c r="D61" s="186" t="s">
        <v>1503</v>
      </c>
      <c r="E61" s="186" t="s">
        <v>1504</v>
      </c>
      <c r="F61" s="186" t="s">
        <v>1505</v>
      </c>
      <c r="G61" s="186" t="s">
        <v>1506</v>
      </c>
      <c r="H61" s="186" t="s">
        <v>1507</v>
      </c>
      <c r="I61" s="186" t="s">
        <v>1508</v>
      </c>
      <c r="J61" s="186" t="s">
        <v>1509</v>
      </c>
      <c r="K61" s="186" t="s">
        <v>1510</v>
      </c>
      <c r="L61" s="186" t="s">
        <v>1349</v>
      </c>
      <c r="M61" s="186" t="s">
        <v>1511</v>
      </c>
      <c r="N61" s="186" t="s">
        <v>163</v>
      </c>
      <c r="O61" s="186">
        <v>20</v>
      </c>
      <c r="P61" s="186" t="s">
        <v>259</v>
      </c>
      <c r="Q61" s="186" t="s">
        <v>1512</v>
      </c>
      <c r="R61" s="186" t="s">
        <v>1513</v>
      </c>
      <c r="S61" s="186" t="s">
        <v>1514</v>
      </c>
      <c r="T61" s="186" t="s">
        <v>1515</v>
      </c>
      <c r="U61" s="186" t="s">
        <v>1516</v>
      </c>
      <c r="V61" s="186" t="s">
        <v>1517</v>
      </c>
      <c r="W61" s="186" t="s">
        <v>1518</v>
      </c>
      <c r="X61" s="186" t="s">
        <v>1519</v>
      </c>
      <c r="Y61" s="187" t="s">
        <v>1358</v>
      </c>
      <c r="Z61" s="187">
        <v>4</v>
      </c>
      <c r="AA61" s="187" t="s">
        <v>407</v>
      </c>
      <c r="AB61" s="187" t="s">
        <v>590</v>
      </c>
      <c r="AC61" s="187" t="s">
        <v>591</v>
      </c>
      <c r="AD61" s="187" t="s">
        <v>407</v>
      </c>
      <c r="AE61" s="187" t="s">
        <v>590</v>
      </c>
      <c r="AF61" s="187" t="s">
        <v>1520</v>
      </c>
      <c r="AG61" s="187" t="s">
        <v>1359</v>
      </c>
      <c r="AH61" s="187">
        <v>4</v>
      </c>
      <c r="AI61" s="187" t="s">
        <v>406</v>
      </c>
      <c r="AJ61" s="187" t="s">
        <v>279</v>
      </c>
      <c r="AK61" s="187" t="s">
        <v>383</v>
      </c>
      <c r="AL61" s="187" t="s">
        <v>406</v>
      </c>
      <c r="AM61" s="187" t="s">
        <v>279</v>
      </c>
      <c r="AN61" s="187" t="s">
        <v>383</v>
      </c>
      <c r="AO61" s="187" t="s">
        <v>1360</v>
      </c>
      <c r="AP61" s="187">
        <v>3</v>
      </c>
      <c r="AQ61" s="187" t="s">
        <v>1462</v>
      </c>
      <c r="AR61" s="187" t="s">
        <v>411</v>
      </c>
      <c r="AS61" s="187" t="s">
        <v>185</v>
      </c>
      <c r="AT61" s="187" t="s">
        <v>1462</v>
      </c>
      <c r="AU61" s="187" t="s">
        <v>411</v>
      </c>
      <c r="AV61" s="187" t="s">
        <v>1521</v>
      </c>
      <c r="AW61" s="187" t="s">
        <v>1362</v>
      </c>
      <c r="AX61" s="187">
        <v>4</v>
      </c>
      <c r="AY61" s="187" t="s">
        <v>321</v>
      </c>
      <c r="AZ61" s="187" t="s">
        <v>466</v>
      </c>
      <c r="BA61" s="187" t="s">
        <v>179</v>
      </c>
      <c r="BB61" s="187" t="s">
        <v>321</v>
      </c>
      <c r="BC61" s="187" t="s">
        <v>179</v>
      </c>
      <c r="BD61" s="187" t="s">
        <v>466</v>
      </c>
      <c r="BE61" s="187" t="s">
        <v>1363</v>
      </c>
      <c r="BF61" s="187">
        <v>3</v>
      </c>
      <c r="BG61" s="187" t="s">
        <v>919</v>
      </c>
      <c r="BH61" s="187" t="s">
        <v>1364</v>
      </c>
      <c r="BI61" s="187" t="s">
        <v>505</v>
      </c>
      <c r="BJ61" s="187" t="s">
        <v>384</v>
      </c>
      <c r="BK61" s="187" t="s">
        <v>505</v>
      </c>
      <c r="BL61" s="187" t="s">
        <v>503</v>
      </c>
      <c r="BM61" s="187" t="s">
        <v>198</v>
      </c>
      <c r="BN61" s="187">
        <v>2</v>
      </c>
      <c r="BO61" s="187" t="s">
        <v>199</v>
      </c>
      <c r="BP61" s="187" t="s">
        <v>1365</v>
      </c>
      <c r="BQ61" s="187" t="s">
        <v>201</v>
      </c>
      <c r="BR61" s="187" t="s">
        <v>199</v>
      </c>
      <c r="BS61" s="187" t="s">
        <v>202</v>
      </c>
      <c r="BT61" s="187" t="s">
        <v>203</v>
      </c>
    </row>
    <row r="62" spans="1:72" s="186" customFormat="1" ht="54.95" customHeight="1" x14ac:dyDescent="0.25">
      <c r="A62" s="156">
        <v>10</v>
      </c>
      <c r="B62" s="186" t="s">
        <v>978</v>
      </c>
      <c r="C62" s="186" t="s">
        <v>570</v>
      </c>
      <c r="D62" s="186" t="s">
        <v>1522</v>
      </c>
      <c r="E62" s="186" t="s">
        <v>1523</v>
      </c>
      <c r="F62" s="186" t="s">
        <v>1524</v>
      </c>
      <c r="G62" s="186" t="s">
        <v>1525</v>
      </c>
      <c r="H62" s="186" t="s">
        <v>1526</v>
      </c>
      <c r="I62" s="186" t="s">
        <v>1527</v>
      </c>
      <c r="J62" s="186" t="s">
        <v>1528</v>
      </c>
      <c r="K62" s="186" t="s">
        <v>1529</v>
      </c>
      <c r="L62" s="186" t="s">
        <v>1349</v>
      </c>
      <c r="M62" s="186" t="s">
        <v>1530</v>
      </c>
      <c r="N62" s="186" t="s">
        <v>163</v>
      </c>
      <c r="O62" s="186">
        <v>20</v>
      </c>
      <c r="P62" s="186" t="s">
        <v>259</v>
      </c>
      <c r="Q62" s="186" t="s">
        <v>1531</v>
      </c>
      <c r="R62" s="186" t="s">
        <v>1532</v>
      </c>
      <c r="S62" s="186" t="s">
        <v>1533</v>
      </c>
      <c r="T62" s="186" t="s">
        <v>1534</v>
      </c>
      <c r="U62" s="186" t="s">
        <v>1535</v>
      </c>
      <c r="V62" s="186" t="s">
        <v>1536</v>
      </c>
      <c r="W62" s="186" t="s">
        <v>1537</v>
      </c>
      <c r="X62" s="186" t="s">
        <v>1538</v>
      </c>
      <c r="Y62" s="187" t="s">
        <v>1358</v>
      </c>
      <c r="Z62" s="187">
        <v>4</v>
      </c>
      <c r="AA62" s="187" t="s">
        <v>174</v>
      </c>
      <c r="AB62" s="187" t="s">
        <v>1539</v>
      </c>
      <c r="AC62" s="187" t="s">
        <v>1540</v>
      </c>
      <c r="AD62" s="187" t="s">
        <v>174</v>
      </c>
      <c r="AE62" s="187" t="s">
        <v>646</v>
      </c>
      <c r="AF62" s="187" t="s">
        <v>177</v>
      </c>
      <c r="AG62" s="187" t="s">
        <v>1359</v>
      </c>
      <c r="AH62" s="187">
        <v>4</v>
      </c>
      <c r="AI62" s="187" t="s">
        <v>621</v>
      </c>
      <c r="AJ62" s="187" t="s">
        <v>406</v>
      </c>
      <c r="AK62" s="187" t="s">
        <v>437</v>
      </c>
      <c r="AL62" s="187" t="s">
        <v>407</v>
      </c>
      <c r="AM62" s="187" t="s">
        <v>406</v>
      </c>
      <c r="AN62" s="187" t="s">
        <v>437</v>
      </c>
      <c r="AO62" s="187" t="s">
        <v>1360</v>
      </c>
      <c r="AP62" s="187">
        <v>3</v>
      </c>
      <c r="AQ62" s="187" t="s">
        <v>598</v>
      </c>
      <c r="AR62" s="187" t="s">
        <v>411</v>
      </c>
      <c r="AS62" s="187" t="s">
        <v>594</v>
      </c>
      <c r="AT62" s="187" t="s">
        <v>598</v>
      </c>
      <c r="AU62" s="187" t="s">
        <v>411</v>
      </c>
      <c r="AV62" s="187" t="s">
        <v>185</v>
      </c>
      <c r="AW62" s="187" t="s">
        <v>1362</v>
      </c>
      <c r="AX62" s="187">
        <v>4</v>
      </c>
      <c r="AY62" s="187" t="s">
        <v>321</v>
      </c>
      <c r="AZ62" s="187" t="s">
        <v>179</v>
      </c>
      <c r="BA62" s="187" t="s">
        <v>1423</v>
      </c>
      <c r="BB62" s="187" t="s">
        <v>321</v>
      </c>
      <c r="BC62" s="187" t="s">
        <v>179</v>
      </c>
      <c r="BD62" s="187" t="s">
        <v>1423</v>
      </c>
      <c r="BE62" s="187" t="s">
        <v>1363</v>
      </c>
      <c r="BF62" s="187">
        <v>3</v>
      </c>
      <c r="BG62" s="187" t="s">
        <v>978</v>
      </c>
      <c r="BH62" s="187" t="s">
        <v>566</v>
      </c>
      <c r="BI62" s="187" t="s">
        <v>652</v>
      </c>
      <c r="BJ62" s="187" t="s">
        <v>318</v>
      </c>
      <c r="BK62" s="187" t="s">
        <v>503</v>
      </c>
      <c r="BL62" s="187" t="s">
        <v>566</v>
      </c>
      <c r="BM62" s="187" t="s">
        <v>198</v>
      </c>
      <c r="BN62" s="187">
        <v>2</v>
      </c>
      <c r="BO62" s="187" t="s">
        <v>199</v>
      </c>
      <c r="BP62" s="187" t="s">
        <v>1365</v>
      </c>
      <c r="BQ62" s="187" t="s">
        <v>1426</v>
      </c>
      <c r="BR62" s="187" t="s">
        <v>199</v>
      </c>
      <c r="BS62" s="187" t="s">
        <v>202</v>
      </c>
      <c r="BT62" s="187" t="s">
        <v>203</v>
      </c>
    </row>
    <row r="63" spans="1:72" s="186" customFormat="1" ht="54.95" customHeight="1" x14ac:dyDescent="0.25">
      <c r="A63" s="156">
        <v>11</v>
      </c>
      <c r="B63" s="186" t="s">
        <v>385</v>
      </c>
      <c r="C63" s="186" t="s">
        <v>154</v>
      </c>
      <c r="D63" s="186" t="s">
        <v>1541</v>
      </c>
      <c r="E63" s="186" t="s">
        <v>1542</v>
      </c>
      <c r="F63" s="186" t="s">
        <v>1543</v>
      </c>
      <c r="G63" s="186" t="s">
        <v>1544</v>
      </c>
      <c r="H63" s="186" t="s">
        <v>1545</v>
      </c>
      <c r="I63" s="186" t="s">
        <v>1546</v>
      </c>
      <c r="J63" s="186" t="s">
        <v>1547</v>
      </c>
      <c r="K63" s="186" t="s">
        <v>1548</v>
      </c>
      <c r="L63" s="186" t="s">
        <v>1349</v>
      </c>
      <c r="M63" s="186" t="s">
        <v>1549</v>
      </c>
      <c r="N63" s="186" t="s">
        <v>163</v>
      </c>
      <c r="O63" s="186">
        <v>20</v>
      </c>
      <c r="P63" s="186" t="s">
        <v>259</v>
      </c>
      <c r="Q63" s="186" t="s">
        <v>1550</v>
      </c>
      <c r="R63" s="186" t="s">
        <v>1551</v>
      </c>
      <c r="S63" s="186" t="s">
        <v>778</v>
      </c>
      <c r="T63" s="186" t="s">
        <v>1552</v>
      </c>
      <c r="U63" s="186" t="s">
        <v>1553</v>
      </c>
      <c r="V63" s="186" t="s">
        <v>1554</v>
      </c>
      <c r="W63" s="186" t="s">
        <v>1555</v>
      </c>
      <c r="X63" s="186" t="s">
        <v>1556</v>
      </c>
      <c r="Y63" s="187" t="s">
        <v>1358</v>
      </c>
      <c r="Z63" s="187">
        <v>4</v>
      </c>
      <c r="AA63" s="187" t="s">
        <v>1461</v>
      </c>
      <c r="AB63" s="187" t="s">
        <v>176</v>
      </c>
      <c r="AC63" s="187" t="s">
        <v>1557</v>
      </c>
      <c r="AD63" s="187" t="s">
        <v>1461</v>
      </c>
      <c r="AE63" s="187" t="s">
        <v>176</v>
      </c>
      <c r="AF63" s="187" t="s">
        <v>1557</v>
      </c>
      <c r="AG63" s="187" t="s">
        <v>1359</v>
      </c>
      <c r="AH63" s="187">
        <v>4</v>
      </c>
      <c r="AI63" s="187" t="s">
        <v>621</v>
      </c>
      <c r="AJ63" s="187" t="s">
        <v>1425</v>
      </c>
      <c r="AK63" s="187" t="s">
        <v>407</v>
      </c>
      <c r="AL63" s="187" t="s">
        <v>407</v>
      </c>
      <c r="AM63" s="187" t="s">
        <v>621</v>
      </c>
      <c r="AN63" s="187" t="s">
        <v>437</v>
      </c>
      <c r="AO63" s="187" t="s">
        <v>1360</v>
      </c>
      <c r="AP63" s="187">
        <v>3</v>
      </c>
      <c r="AQ63" s="187" t="s">
        <v>619</v>
      </c>
      <c r="AR63" s="187" t="s">
        <v>411</v>
      </c>
      <c r="AS63" s="187" t="s">
        <v>623</v>
      </c>
      <c r="AT63" s="187" t="s">
        <v>619</v>
      </c>
      <c r="AU63" s="187" t="s">
        <v>411</v>
      </c>
      <c r="AV63" s="187" t="s">
        <v>624</v>
      </c>
      <c r="AW63" s="187" t="s">
        <v>1362</v>
      </c>
      <c r="AX63" s="187">
        <v>4</v>
      </c>
      <c r="AY63" s="187" t="s">
        <v>231</v>
      </c>
      <c r="AZ63" s="187" t="s">
        <v>179</v>
      </c>
      <c r="BA63" s="187" t="s">
        <v>314</v>
      </c>
      <c r="BB63" s="187" t="s">
        <v>231</v>
      </c>
      <c r="BC63" s="187" t="s">
        <v>179</v>
      </c>
      <c r="BD63" s="187" t="s">
        <v>442</v>
      </c>
      <c r="BE63" s="187" t="s">
        <v>1363</v>
      </c>
      <c r="BF63" s="187">
        <v>3</v>
      </c>
      <c r="BG63" s="187" t="s">
        <v>1364</v>
      </c>
      <c r="BH63" s="187" t="s">
        <v>919</v>
      </c>
      <c r="BI63" s="187" t="s">
        <v>1558</v>
      </c>
      <c r="BJ63" s="187" t="s">
        <v>1403</v>
      </c>
      <c r="BK63" s="187" t="s">
        <v>384</v>
      </c>
      <c r="BL63" s="187" t="s">
        <v>919</v>
      </c>
      <c r="BM63" s="187" t="s">
        <v>198</v>
      </c>
      <c r="BN63" s="187">
        <v>2</v>
      </c>
      <c r="BO63" s="187" t="s">
        <v>199</v>
      </c>
      <c r="BP63" s="187" t="s">
        <v>1365</v>
      </c>
      <c r="BQ63" s="187" t="s">
        <v>201</v>
      </c>
      <c r="BR63" s="187" t="s">
        <v>199</v>
      </c>
      <c r="BS63" s="187" t="s">
        <v>202</v>
      </c>
      <c r="BT63" s="187" t="s">
        <v>203</v>
      </c>
    </row>
    <row r="64" spans="1:72" s="186" customFormat="1" ht="54.95" customHeight="1" x14ac:dyDescent="0.25">
      <c r="A64" s="156">
        <v>12</v>
      </c>
      <c r="B64" s="186" t="s">
        <v>324</v>
      </c>
      <c r="C64" s="186" t="s">
        <v>205</v>
      </c>
      <c r="D64" s="186" t="s">
        <v>1559</v>
      </c>
      <c r="E64" s="186" t="s">
        <v>1560</v>
      </c>
      <c r="F64" s="186" t="s">
        <v>1561</v>
      </c>
      <c r="G64" s="186" t="s">
        <v>1562</v>
      </c>
      <c r="H64" s="186" t="s">
        <v>1563</v>
      </c>
      <c r="I64" s="186" t="s">
        <v>1564</v>
      </c>
      <c r="J64" s="186" t="s">
        <v>1565</v>
      </c>
      <c r="K64" s="186" t="s">
        <v>1566</v>
      </c>
      <c r="L64" s="186" t="s">
        <v>1349</v>
      </c>
      <c r="M64" s="186" t="s">
        <v>1567</v>
      </c>
      <c r="N64" s="186" t="s">
        <v>163</v>
      </c>
      <c r="O64" s="186">
        <v>20</v>
      </c>
      <c r="P64" s="186" t="s">
        <v>164</v>
      </c>
      <c r="Q64" s="186" t="s">
        <v>1568</v>
      </c>
      <c r="R64" s="186" t="s">
        <v>1569</v>
      </c>
      <c r="S64" s="186" t="s">
        <v>671</v>
      </c>
      <c r="T64" s="186" t="s">
        <v>1570</v>
      </c>
      <c r="U64" s="186" t="s">
        <v>1571</v>
      </c>
      <c r="V64" s="186" t="s">
        <v>1572</v>
      </c>
      <c r="W64" s="186" t="s">
        <v>1573</v>
      </c>
      <c r="X64" s="186" t="s">
        <v>1574</v>
      </c>
      <c r="Y64" s="187" t="s">
        <v>1358</v>
      </c>
      <c r="Z64" s="187">
        <v>4</v>
      </c>
      <c r="AA64" s="187" t="s">
        <v>405</v>
      </c>
      <c r="AB64" s="187" t="s">
        <v>1481</v>
      </c>
      <c r="AC64" s="187" t="s">
        <v>373</v>
      </c>
      <c r="AD64" s="187" t="s">
        <v>405</v>
      </c>
      <c r="AE64" s="187" t="s">
        <v>1481</v>
      </c>
      <c r="AF64" s="187" t="s">
        <v>373</v>
      </c>
      <c r="AG64" s="187" t="s">
        <v>1359</v>
      </c>
      <c r="AH64" s="187">
        <v>4</v>
      </c>
      <c r="AI64" s="187" t="s">
        <v>406</v>
      </c>
      <c r="AJ64" s="187" t="s">
        <v>407</v>
      </c>
      <c r="AK64" s="187" t="s">
        <v>182</v>
      </c>
      <c r="AL64" s="187" t="s">
        <v>437</v>
      </c>
      <c r="AM64" s="187" t="s">
        <v>406</v>
      </c>
      <c r="AN64" s="187" t="s">
        <v>407</v>
      </c>
      <c r="AO64" s="187" t="s">
        <v>1360</v>
      </c>
      <c r="AP64" s="187">
        <v>3</v>
      </c>
      <c r="AQ64" s="187" t="s">
        <v>409</v>
      </c>
      <c r="AR64" s="187" t="s">
        <v>411</v>
      </c>
      <c r="AS64" s="187" t="s">
        <v>624</v>
      </c>
      <c r="AT64" s="187" t="s">
        <v>409</v>
      </c>
      <c r="AU64" s="187" t="s">
        <v>411</v>
      </c>
      <c r="AV64" s="187" t="s">
        <v>185</v>
      </c>
      <c r="AW64" s="187" t="s">
        <v>1362</v>
      </c>
      <c r="AX64" s="187">
        <v>4</v>
      </c>
      <c r="AY64" s="187" t="s">
        <v>231</v>
      </c>
      <c r="AZ64" s="187" t="s">
        <v>321</v>
      </c>
      <c r="BA64" s="187" t="s">
        <v>176</v>
      </c>
      <c r="BB64" s="187" t="s">
        <v>231</v>
      </c>
      <c r="BC64" s="187" t="s">
        <v>176</v>
      </c>
      <c r="BD64" s="187" t="s">
        <v>499</v>
      </c>
      <c r="BE64" s="187" t="s">
        <v>1363</v>
      </c>
      <c r="BF64" s="187">
        <v>3</v>
      </c>
      <c r="BG64" s="187" t="s">
        <v>1364</v>
      </c>
      <c r="BH64" s="187" t="s">
        <v>189</v>
      </c>
      <c r="BI64" s="187" t="s">
        <v>919</v>
      </c>
      <c r="BJ64" s="187" t="s">
        <v>1403</v>
      </c>
      <c r="BK64" s="187" t="s">
        <v>384</v>
      </c>
      <c r="BL64" s="187" t="s">
        <v>919</v>
      </c>
      <c r="BM64" s="187" t="s">
        <v>198</v>
      </c>
      <c r="BN64" s="187">
        <v>2</v>
      </c>
      <c r="BO64" s="187" t="s">
        <v>199</v>
      </c>
      <c r="BP64" s="187" t="s">
        <v>1365</v>
      </c>
      <c r="BQ64" s="187" t="s">
        <v>201</v>
      </c>
      <c r="BR64" s="187" t="s">
        <v>199</v>
      </c>
      <c r="BS64" s="187" t="s">
        <v>202</v>
      </c>
      <c r="BT64" s="187" t="s">
        <v>203</v>
      </c>
    </row>
    <row r="65" spans="1:72" s="186" customFormat="1" ht="54.95" customHeight="1" x14ac:dyDescent="0.25">
      <c r="A65" s="156">
        <v>13</v>
      </c>
      <c r="B65" s="186" t="s">
        <v>444</v>
      </c>
      <c r="C65" s="186" t="s">
        <v>154</v>
      </c>
      <c r="D65" s="186" t="s">
        <v>1575</v>
      </c>
      <c r="E65" s="186" t="s">
        <v>1576</v>
      </c>
      <c r="F65" s="186" t="s">
        <v>1577</v>
      </c>
      <c r="G65" s="186" t="s">
        <v>1578</v>
      </c>
      <c r="H65" s="186" t="s">
        <v>1579</v>
      </c>
      <c r="I65" s="186" t="s">
        <v>1580</v>
      </c>
      <c r="J65" s="186" t="s">
        <v>1581</v>
      </c>
      <c r="K65" s="186" t="s">
        <v>1582</v>
      </c>
      <c r="L65" s="186" t="s">
        <v>1349</v>
      </c>
      <c r="M65" s="186" t="s">
        <v>1583</v>
      </c>
      <c r="N65" s="186" t="s">
        <v>163</v>
      </c>
      <c r="O65" s="186">
        <v>20</v>
      </c>
      <c r="P65" s="186" t="s">
        <v>259</v>
      </c>
      <c r="Q65" s="186" t="s">
        <v>1584</v>
      </c>
      <c r="R65" s="186" t="s">
        <v>1585</v>
      </c>
      <c r="S65" s="186" t="s">
        <v>1586</v>
      </c>
      <c r="T65" s="186" t="s">
        <v>1587</v>
      </c>
      <c r="U65" s="186" t="s">
        <v>1588</v>
      </c>
      <c r="V65" s="186" t="s">
        <v>1589</v>
      </c>
      <c r="W65" s="186" t="s">
        <v>1590</v>
      </c>
      <c r="X65" s="186" t="s">
        <v>1591</v>
      </c>
      <c r="Y65" s="187" t="s">
        <v>1358</v>
      </c>
      <c r="Z65" s="187">
        <v>4</v>
      </c>
      <c r="AA65" s="187" t="s">
        <v>1461</v>
      </c>
      <c r="AB65" s="187" t="s">
        <v>174</v>
      </c>
      <c r="AC65" s="187" t="s">
        <v>268</v>
      </c>
      <c r="AD65" s="187" t="s">
        <v>1461</v>
      </c>
      <c r="AE65" s="187" t="s">
        <v>1592</v>
      </c>
      <c r="AF65" s="187" t="s">
        <v>271</v>
      </c>
      <c r="AG65" s="187" t="s">
        <v>1359</v>
      </c>
      <c r="AH65" s="187">
        <v>4</v>
      </c>
      <c r="AI65" s="187" t="s">
        <v>406</v>
      </c>
      <c r="AJ65" s="187" t="s">
        <v>407</v>
      </c>
      <c r="AK65" s="187" t="s">
        <v>621</v>
      </c>
      <c r="AL65" s="187" t="s">
        <v>406</v>
      </c>
      <c r="AM65" s="187" t="s">
        <v>407</v>
      </c>
      <c r="AN65" s="187" t="s">
        <v>437</v>
      </c>
      <c r="AO65" s="187" t="s">
        <v>1360</v>
      </c>
      <c r="AP65" s="187">
        <v>3</v>
      </c>
      <c r="AQ65" s="187" t="s">
        <v>619</v>
      </c>
      <c r="AR65" s="187" t="s">
        <v>411</v>
      </c>
      <c r="AS65" s="187" t="s">
        <v>1425</v>
      </c>
      <c r="AT65" s="187" t="s">
        <v>619</v>
      </c>
      <c r="AU65" s="187" t="s">
        <v>411</v>
      </c>
      <c r="AV65" s="187" t="s">
        <v>621</v>
      </c>
      <c r="AW65" s="187" t="s">
        <v>1362</v>
      </c>
      <c r="AX65" s="187">
        <v>4</v>
      </c>
      <c r="AY65" s="187" t="s">
        <v>179</v>
      </c>
      <c r="AZ65" s="187" t="s">
        <v>321</v>
      </c>
      <c r="BA65" s="187" t="s">
        <v>466</v>
      </c>
      <c r="BB65" s="187" t="s">
        <v>179</v>
      </c>
      <c r="BC65" s="187" t="s">
        <v>466</v>
      </c>
      <c r="BD65" s="187" t="s">
        <v>1593</v>
      </c>
      <c r="BE65" s="187" t="s">
        <v>1363</v>
      </c>
      <c r="BF65" s="187">
        <v>3</v>
      </c>
      <c r="BG65" s="187" t="s">
        <v>1364</v>
      </c>
      <c r="BH65" s="187" t="s">
        <v>383</v>
      </c>
      <c r="BI65" s="187" t="s">
        <v>1594</v>
      </c>
      <c r="BJ65" s="187" t="s">
        <v>1403</v>
      </c>
      <c r="BK65" s="187" t="s">
        <v>717</v>
      </c>
      <c r="BL65" s="187" t="s">
        <v>919</v>
      </c>
      <c r="BM65" s="187" t="s">
        <v>198</v>
      </c>
      <c r="BN65" s="187">
        <v>2</v>
      </c>
      <c r="BO65" s="187" t="s">
        <v>199</v>
      </c>
      <c r="BP65" s="187" t="s">
        <v>1365</v>
      </c>
      <c r="BQ65" s="187" t="s">
        <v>201</v>
      </c>
      <c r="BR65" s="187" t="s">
        <v>199</v>
      </c>
      <c r="BS65" s="187" t="s">
        <v>202</v>
      </c>
      <c r="BT65" s="187" t="s">
        <v>203</v>
      </c>
    </row>
    <row r="66" spans="1:72" s="186" customFormat="1" ht="54.95" customHeight="1" x14ac:dyDescent="0.25">
      <c r="A66" s="156">
        <v>14</v>
      </c>
      <c r="B66" s="186" t="s">
        <v>385</v>
      </c>
      <c r="C66" s="186" t="s">
        <v>325</v>
      </c>
      <c r="D66" s="186" t="s">
        <v>1595</v>
      </c>
      <c r="E66" s="186" t="s">
        <v>1596</v>
      </c>
      <c r="F66" s="186" t="s">
        <v>1597</v>
      </c>
      <c r="G66" s="186" t="s">
        <v>1598</v>
      </c>
      <c r="H66" s="186" t="s">
        <v>1599</v>
      </c>
      <c r="I66" s="186" t="s">
        <v>1600</v>
      </c>
      <c r="J66" s="186" t="s">
        <v>1601</v>
      </c>
      <c r="K66" s="186" t="s">
        <v>1602</v>
      </c>
      <c r="L66" s="186" t="s">
        <v>1349</v>
      </c>
      <c r="M66" s="186" t="s">
        <v>1603</v>
      </c>
      <c r="N66" s="186" t="s">
        <v>163</v>
      </c>
      <c r="O66" s="186">
        <v>20</v>
      </c>
      <c r="P66" s="186" t="s">
        <v>259</v>
      </c>
      <c r="Q66" s="186" t="s">
        <v>1604</v>
      </c>
      <c r="R66" s="186" t="s">
        <v>1605</v>
      </c>
      <c r="S66" s="186" t="s">
        <v>1606</v>
      </c>
      <c r="T66" s="186" t="s">
        <v>1607</v>
      </c>
      <c r="U66" s="186" t="s">
        <v>1608</v>
      </c>
      <c r="V66" s="186" t="s">
        <v>1609</v>
      </c>
      <c r="W66" s="186" t="s">
        <v>1610</v>
      </c>
      <c r="X66" s="186" t="s">
        <v>1611</v>
      </c>
      <c r="Y66" s="187" t="s">
        <v>1358</v>
      </c>
      <c r="Z66" s="187">
        <v>4</v>
      </c>
      <c r="AA66" s="187" t="s">
        <v>1612</v>
      </c>
      <c r="AB66" s="187" t="s">
        <v>1402</v>
      </c>
      <c r="AC66" s="187" t="s">
        <v>1613</v>
      </c>
      <c r="AD66" s="187" t="s">
        <v>1612</v>
      </c>
      <c r="AE66" s="187" t="s">
        <v>1402</v>
      </c>
      <c r="AF66" s="187" t="s">
        <v>373</v>
      </c>
      <c r="AG66" s="187" t="s">
        <v>1359</v>
      </c>
      <c r="AH66" s="187">
        <v>4</v>
      </c>
      <c r="AI66" s="187" t="s">
        <v>279</v>
      </c>
      <c r="AJ66" s="187" t="s">
        <v>234</v>
      </c>
      <c r="AK66" s="187" t="s">
        <v>377</v>
      </c>
      <c r="AL66" s="187" t="s">
        <v>234</v>
      </c>
      <c r="AM66" s="187" t="s">
        <v>279</v>
      </c>
      <c r="AN66" s="187" t="s">
        <v>377</v>
      </c>
      <c r="AO66" s="187" t="s">
        <v>1360</v>
      </c>
      <c r="AP66" s="187">
        <v>3</v>
      </c>
      <c r="AQ66" s="187" t="s">
        <v>1462</v>
      </c>
      <c r="AR66" s="187" t="s">
        <v>411</v>
      </c>
      <c r="AS66" s="187" t="s">
        <v>563</v>
      </c>
      <c r="AT66" s="187" t="s">
        <v>1462</v>
      </c>
      <c r="AU66" s="187" t="s">
        <v>411</v>
      </c>
      <c r="AV66" s="187" t="s">
        <v>1614</v>
      </c>
      <c r="AW66" s="187" t="s">
        <v>1362</v>
      </c>
      <c r="AX66" s="187">
        <v>4</v>
      </c>
      <c r="AY66" s="187" t="s">
        <v>321</v>
      </c>
      <c r="AZ66" s="187" t="s">
        <v>1615</v>
      </c>
      <c r="BA66" s="187" t="s">
        <v>1613</v>
      </c>
      <c r="BB66" s="187" t="s">
        <v>321</v>
      </c>
      <c r="BC66" s="187" t="s">
        <v>381</v>
      </c>
      <c r="BD66" s="187" t="s">
        <v>1501</v>
      </c>
      <c r="BE66" s="187" t="s">
        <v>1363</v>
      </c>
      <c r="BF66" s="187">
        <v>3</v>
      </c>
      <c r="BG66" s="187" t="s">
        <v>1364</v>
      </c>
      <c r="BH66" s="187" t="s">
        <v>383</v>
      </c>
      <c r="BI66" s="187" t="s">
        <v>503</v>
      </c>
      <c r="BJ66" s="187" t="s">
        <v>1403</v>
      </c>
      <c r="BK66" s="187" t="s">
        <v>384</v>
      </c>
      <c r="BL66" s="187" t="s">
        <v>503</v>
      </c>
      <c r="BM66" s="187" t="s">
        <v>198</v>
      </c>
      <c r="BN66" s="187">
        <v>2</v>
      </c>
      <c r="BO66" s="187" t="s">
        <v>199</v>
      </c>
      <c r="BP66" s="187" t="s">
        <v>1365</v>
      </c>
      <c r="BQ66" s="187" t="s">
        <v>201</v>
      </c>
      <c r="BR66" s="187" t="s">
        <v>199</v>
      </c>
      <c r="BS66" s="187" t="s">
        <v>202</v>
      </c>
      <c r="BT66" s="187" t="s">
        <v>203</v>
      </c>
    </row>
    <row r="67" spans="1:72" s="186" customFormat="1" ht="54.95" customHeight="1" x14ac:dyDescent="0.25">
      <c r="A67" s="156">
        <v>15</v>
      </c>
      <c r="B67" s="186" t="s">
        <v>506</v>
      </c>
      <c r="C67" s="186" t="s">
        <v>570</v>
      </c>
      <c r="D67" s="186" t="s">
        <v>1616</v>
      </c>
      <c r="E67" s="186" t="s">
        <v>1617</v>
      </c>
      <c r="F67" s="186" t="s">
        <v>1618</v>
      </c>
      <c r="G67" s="186" t="s">
        <v>1619</v>
      </c>
      <c r="H67" s="186" t="s">
        <v>1620</v>
      </c>
      <c r="I67" s="186" t="s">
        <v>1621</v>
      </c>
      <c r="J67" s="186" t="s">
        <v>1622</v>
      </c>
      <c r="K67" s="186" t="s">
        <v>966</v>
      </c>
      <c r="L67" s="186" t="s">
        <v>1349</v>
      </c>
      <c r="M67" s="186" t="s">
        <v>1623</v>
      </c>
      <c r="N67" s="186" t="s">
        <v>163</v>
      </c>
      <c r="O67" s="186">
        <v>20</v>
      </c>
      <c r="P67" s="186" t="s">
        <v>164</v>
      </c>
      <c r="Q67" s="186" t="s">
        <v>1624</v>
      </c>
      <c r="R67" s="186" t="s">
        <v>1625</v>
      </c>
      <c r="S67" s="186" t="s">
        <v>1626</v>
      </c>
      <c r="T67" s="186" t="s">
        <v>1627</v>
      </c>
      <c r="U67" s="186" t="s">
        <v>1628</v>
      </c>
      <c r="V67" s="186" t="s">
        <v>1629</v>
      </c>
      <c r="W67" s="186" t="s">
        <v>1630</v>
      </c>
      <c r="X67" s="186" t="s">
        <v>1631</v>
      </c>
      <c r="Y67" s="187" t="s">
        <v>1358</v>
      </c>
      <c r="Z67" s="187">
        <v>4</v>
      </c>
      <c r="AA67" s="187" t="s">
        <v>1440</v>
      </c>
      <c r="AB67" s="187" t="s">
        <v>404</v>
      </c>
      <c r="AC67" s="187" t="s">
        <v>225</v>
      </c>
      <c r="AD67" s="187" t="s">
        <v>1440</v>
      </c>
      <c r="AE67" s="187" t="s">
        <v>404</v>
      </c>
      <c r="AF67" s="187" t="s">
        <v>225</v>
      </c>
      <c r="AG67" s="187" t="s">
        <v>1359</v>
      </c>
      <c r="AH67" s="187">
        <v>4</v>
      </c>
      <c r="AI67" s="187" t="s">
        <v>406</v>
      </c>
      <c r="AJ67" s="187" t="s">
        <v>279</v>
      </c>
      <c r="AK67" s="187" t="s">
        <v>590</v>
      </c>
      <c r="AL67" s="187" t="s">
        <v>279</v>
      </c>
      <c r="AM67" s="187" t="s">
        <v>406</v>
      </c>
      <c r="AN67" s="187" t="s">
        <v>589</v>
      </c>
      <c r="AO67" s="187" t="s">
        <v>1360</v>
      </c>
      <c r="AP67" s="187">
        <v>3</v>
      </c>
      <c r="AQ67" s="187" t="s">
        <v>598</v>
      </c>
      <c r="AR67" s="187" t="s">
        <v>411</v>
      </c>
      <c r="AS67" s="187" t="s">
        <v>349</v>
      </c>
      <c r="AT67" s="187" t="s">
        <v>598</v>
      </c>
      <c r="AU67" s="187" t="s">
        <v>411</v>
      </c>
      <c r="AV67" s="187" t="s">
        <v>593</v>
      </c>
      <c r="AW67" s="187" t="s">
        <v>1362</v>
      </c>
      <c r="AX67" s="187">
        <v>4</v>
      </c>
      <c r="AY67" s="187" t="s">
        <v>713</v>
      </c>
      <c r="AZ67" s="187" t="s">
        <v>225</v>
      </c>
      <c r="BA67" s="187" t="s">
        <v>321</v>
      </c>
      <c r="BB67" s="187" t="s">
        <v>1632</v>
      </c>
      <c r="BC67" s="187" t="s">
        <v>225</v>
      </c>
      <c r="BD67" s="187" t="s">
        <v>528</v>
      </c>
      <c r="BE67" s="187" t="s">
        <v>1363</v>
      </c>
      <c r="BF67" s="187">
        <v>3</v>
      </c>
      <c r="BG67" s="187" t="s">
        <v>1364</v>
      </c>
      <c r="BH67" s="187" t="s">
        <v>919</v>
      </c>
      <c r="BI67" s="187" t="s">
        <v>185</v>
      </c>
      <c r="BJ67" s="187" t="s">
        <v>1403</v>
      </c>
      <c r="BK67" s="187" t="s">
        <v>1484</v>
      </c>
      <c r="BL67" s="187" t="s">
        <v>919</v>
      </c>
      <c r="BM67" s="187" t="s">
        <v>198</v>
      </c>
      <c r="BN67" s="187">
        <v>2</v>
      </c>
      <c r="BO67" s="187" t="s">
        <v>199</v>
      </c>
      <c r="BP67" s="187" t="s">
        <v>1365</v>
      </c>
      <c r="BQ67" s="187" t="s">
        <v>201</v>
      </c>
      <c r="BR67" s="187" t="s">
        <v>199</v>
      </c>
      <c r="BS67" s="187" t="s">
        <v>202</v>
      </c>
      <c r="BT67" s="187" t="s">
        <v>203</v>
      </c>
    </row>
    <row r="68" spans="1:72" s="186" customFormat="1" ht="54.95" customHeight="1" x14ac:dyDescent="0.25">
      <c r="A68" s="156">
        <v>16</v>
      </c>
      <c r="B68" s="186" t="s">
        <v>472</v>
      </c>
      <c r="C68" s="186" t="s">
        <v>247</v>
      </c>
      <c r="D68" s="186" t="s">
        <v>1633</v>
      </c>
      <c r="E68" s="186" t="s">
        <v>1634</v>
      </c>
      <c r="F68" s="186" t="s">
        <v>1635</v>
      </c>
      <c r="G68" s="186" t="s">
        <v>1636</v>
      </c>
      <c r="H68" s="186" t="s">
        <v>1637</v>
      </c>
      <c r="I68" s="186" t="s">
        <v>1638</v>
      </c>
      <c r="J68" s="186" t="s">
        <v>1639</v>
      </c>
      <c r="K68" s="186" t="s">
        <v>1640</v>
      </c>
      <c r="L68" s="186" t="s">
        <v>1349</v>
      </c>
      <c r="M68" s="186" t="s">
        <v>1641</v>
      </c>
      <c r="N68" s="186" t="s">
        <v>163</v>
      </c>
      <c r="O68" s="186">
        <v>20</v>
      </c>
      <c r="P68" s="186" t="s">
        <v>259</v>
      </c>
      <c r="Q68" s="186" t="s">
        <v>1642</v>
      </c>
      <c r="R68" s="186" t="s">
        <v>1643</v>
      </c>
      <c r="S68" s="186" t="s">
        <v>487</v>
      </c>
      <c r="T68" s="186" t="s">
        <v>1644</v>
      </c>
      <c r="U68" s="186" t="s">
        <v>1645</v>
      </c>
      <c r="V68" s="186" t="s">
        <v>1646</v>
      </c>
      <c r="W68" s="186" t="s">
        <v>1647</v>
      </c>
      <c r="X68" s="186" t="s">
        <v>1648</v>
      </c>
      <c r="Y68" s="187" t="s">
        <v>1358</v>
      </c>
      <c r="Z68" s="187">
        <v>4</v>
      </c>
      <c r="AA68" s="187" t="s">
        <v>493</v>
      </c>
      <c r="AB68" s="187" t="s">
        <v>321</v>
      </c>
      <c r="AC68" s="187" t="s">
        <v>494</v>
      </c>
      <c r="AD68" s="187" t="s">
        <v>496</v>
      </c>
      <c r="AE68" s="187" t="s">
        <v>321</v>
      </c>
      <c r="AF68" s="187" t="s">
        <v>501</v>
      </c>
      <c r="AG68" s="187" t="s">
        <v>1359</v>
      </c>
      <c r="AH68" s="187">
        <v>4</v>
      </c>
      <c r="AI68" s="187" t="s">
        <v>437</v>
      </c>
      <c r="AJ68" s="187" t="s">
        <v>232</v>
      </c>
      <c r="AK68" s="187" t="s">
        <v>1038</v>
      </c>
      <c r="AL68" s="187" t="s">
        <v>232</v>
      </c>
      <c r="AM68" s="187" t="s">
        <v>503</v>
      </c>
      <c r="AN68" s="187" t="s">
        <v>860</v>
      </c>
      <c r="AO68" s="187" t="s">
        <v>1360</v>
      </c>
      <c r="AP68" s="187">
        <v>3</v>
      </c>
      <c r="AQ68" s="187" t="s">
        <v>411</v>
      </c>
      <c r="AR68" s="187" t="s">
        <v>1399</v>
      </c>
      <c r="AS68" s="187" t="s">
        <v>1400</v>
      </c>
      <c r="AT68" s="187" t="s">
        <v>411</v>
      </c>
      <c r="AU68" s="187" t="s">
        <v>1400</v>
      </c>
      <c r="AV68" s="187" t="s">
        <v>1401</v>
      </c>
      <c r="AW68" s="187" t="s">
        <v>1362</v>
      </c>
      <c r="AX68" s="187">
        <v>4</v>
      </c>
      <c r="AY68" s="187" t="s">
        <v>310</v>
      </c>
      <c r="AZ68" s="187" t="s">
        <v>1649</v>
      </c>
      <c r="BA68" s="187" t="s">
        <v>710</v>
      </c>
      <c r="BB68" s="187" t="s">
        <v>353</v>
      </c>
      <c r="BC68" s="187" t="s">
        <v>558</v>
      </c>
      <c r="BD68" s="187" t="s">
        <v>710</v>
      </c>
      <c r="BE68" s="187" t="s">
        <v>1363</v>
      </c>
      <c r="BF68" s="187">
        <v>3</v>
      </c>
      <c r="BG68" s="187" t="s">
        <v>1364</v>
      </c>
      <c r="BH68" s="187" t="s">
        <v>494</v>
      </c>
      <c r="BI68" s="187" t="s">
        <v>503</v>
      </c>
      <c r="BJ68" s="187" t="s">
        <v>505</v>
      </c>
      <c r="BK68" s="187" t="s">
        <v>503</v>
      </c>
      <c r="BL68" s="187" t="s">
        <v>497</v>
      </c>
      <c r="BM68" s="187" t="s">
        <v>198</v>
      </c>
      <c r="BN68" s="187">
        <v>2</v>
      </c>
      <c r="BO68" s="187" t="s">
        <v>199</v>
      </c>
      <c r="BP68" s="187" t="s">
        <v>1365</v>
      </c>
      <c r="BQ68" s="187" t="s">
        <v>1426</v>
      </c>
      <c r="BR68" s="187" t="s">
        <v>199</v>
      </c>
      <c r="BS68" s="187" t="s">
        <v>202</v>
      </c>
      <c r="BT68" s="187" t="s">
        <v>203</v>
      </c>
    </row>
    <row r="69" spans="1:72" s="186" customFormat="1" ht="54.95" customHeight="1" x14ac:dyDescent="0.25">
      <c r="A69" s="156">
        <v>17</v>
      </c>
      <c r="B69" s="186" t="s">
        <v>385</v>
      </c>
      <c r="C69" s="186" t="s">
        <v>205</v>
      </c>
      <c r="D69" s="186" t="s">
        <v>1650</v>
      </c>
      <c r="E69" s="186" t="s">
        <v>1651</v>
      </c>
      <c r="F69" s="186" t="s">
        <v>1652</v>
      </c>
      <c r="G69" s="186" t="s">
        <v>1653</v>
      </c>
      <c r="H69" s="186" t="s">
        <v>1654</v>
      </c>
      <c r="I69" s="186" t="s">
        <v>1655</v>
      </c>
      <c r="J69" s="186" t="s">
        <v>1656</v>
      </c>
      <c r="K69" s="186" t="s">
        <v>1657</v>
      </c>
      <c r="L69" s="186" t="s">
        <v>1349</v>
      </c>
      <c r="M69" s="186" t="s">
        <v>1658</v>
      </c>
      <c r="N69" s="186" t="s">
        <v>163</v>
      </c>
      <c r="O69" s="186">
        <v>20</v>
      </c>
      <c r="P69" s="186" t="s">
        <v>259</v>
      </c>
      <c r="Q69" s="186" t="s">
        <v>1659</v>
      </c>
      <c r="R69" s="186" t="s">
        <v>1660</v>
      </c>
      <c r="S69" s="186" t="s">
        <v>1661</v>
      </c>
      <c r="T69" s="186" t="s">
        <v>1662</v>
      </c>
      <c r="U69" s="186" t="s">
        <v>1663</v>
      </c>
      <c r="V69" s="186" t="s">
        <v>1664</v>
      </c>
      <c r="W69" s="186" t="s">
        <v>1665</v>
      </c>
      <c r="X69" s="186" t="s">
        <v>1666</v>
      </c>
      <c r="Y69" s="187" t="s">
        <v>1358</v>
      </c>
      <c r="Z69" s="187">
        <v>4</v>
      </c>
      <c r="AA69" s="187" t="s">
        <v>227</v>
      </c>
      <c r="AB69" s="187" t="s">
        <v>226</v>
      </c>
      <c r="AC69" s="187" t="s">
        <v>1667</v>
      </c>
      <c r="AD69" s="187" t="s">
        <v>227</v>
      </c>
      <c r="AE69" s="187" t="s">
        <v>226</v>
      </c>
      <c r="AF69" s="187" t="s">
        <v>228</v>
      </c>
      <c r="AG69" s="187" t="s">
        <v>1359</v>
      </c>
      <c r="AH69" s="187">
        <v>4</v>
      </c>
      <c r="AI69" s="187" t="s">
        <v>406</v>
      </c>
      <c r="AJ69" s="187" t="s">
        <v>279</v>
      </c>
      <c r="AK69" s="187" t="s">
        <v>590</v>
      </c>
      <c r="AL69" s="187" t="s">
        <v>528</v>
      </c>
      <c r="AM69" s="187" t="s">
        <v>406</v>
      </c>
      <c r="AN69" s="187" t="s">
        <v>279</v>
      </c>
      <c r="AO69" s="187" t="s">
        <v>1360</v>
      </c>
      <c r="AP69" s="187">
        <v>3</v>
      </c>
      <c r="AQ69" s="187" t="s">
        <v>409</v>
      </c>
      <c r="AR69" s="187" t="s">
        <v>411</v>
      </c>
      <c r="AS69" s="187" t="s">
        <v>622</v>
      </c>
      <c r="AT69" s="187" t="s">
        <v>409</v>
      </c>
      <c r="AU69" s="187" t="s">
        <v>411</v>
      </c>
      <c r="AV69" s="187" t="s">
        <v>624</v>
      </c>
      <c r="AW69" s="187" t="s">
        <v>1362</v>
      </c>
      <c r="AX69" s="187">
        <v>4</v>
      </c>
      <c r="AY69" s="187" t="s">
        <v>321</v>
      </c>
      <c r="AZ69" s="187" t="s">
        <v>1668</v>
      </c>
      <c r="BA69" s="187" t="s">
        <v>1482</v>
      </c>
      <c r="BB69" s="187" t="s">
        <v>1668</v>
      </c>
      <c r="BC69" s="187" t="s">
        <v>1482</v>
      </c>
      <c r="BD69" s="187" t="s">
        <v>529</v>
      </c>
      <c r="BE69" s="187" t="s">
        <v>1363</v>
      </c>
      <c r="BF69" s="187">
        <v>3</v>
      </c>
      <c r="BG69" s="187" t="s">
        <v>1364</v>
      </c>
      <c r="BH69" s="187" t="s">
        <v>1669</v>
      </c>
      <c r="BI69" s="187" t="s">
        <v>528</v>
      </c>
      <c r="BJ69" s="187" t="s">
        <v>384</v>
      </c>
      <c r="BK69" s="187" t="s">
        <v>1669</v>
      </c>
      <c r="BL69" s="187" t="s">
        <v>919</v>
      </c>
      <c r="BM69" s="187" t="s">
        <v>198</v>
      </c>
      <c r="BN69" s="187">
        <v>2</v>
      </c>
      <c r="BO69" s="187" t="s">
        <v>199</v>
      </c>
      <c r="BP69" s="187" t="s">
        <v>1365</v>
      </c>
      <c r="BQ69" s="187" t="s">
        <v>201</v>
      </c>
      <c r="BR69" s="187" t="s">
        <v>199</v>
      </c>
      <c r="BS69" s="187" t="s">
        <v>202</v>
      </c>
      <c r="BT69" s="187" t="s">
        <v>203</v>
      </c>
    </row>
    <row r="70" spans="1:72" s="186" customFormat="1" ht="54.95" customHeight="1" x14ac:dyDescent="0.25">
      <c r="A70" s="156">
        <v>18</v>
      </c>
      <c r="B70" s="186" t="s">
        <v>415</v>
      </c>
      <c r="C70" s="186" t="s">
        <v>325</v>
      </c>
      <c r="D70" s="186" t="s">
        <v>1670</v>
      </c>
      <c r="E70" s="186" t="s">
        <v>1671</v>
      </c>
      <c r="F70" s="186" t="s">
        <v>1672</v>
      </c>
      <c r="G70" s="186" t="s">
        <v>1673</v>
      </c>
      <c r="H70" s="186" t="s">
        <v>1674</v>
      </c>
      <c r="I70" s="186" t="s">
        <v>1675</v>
      </c>
      <c r="J70" s="186" t="s">
        <v>1676</v>
      </c>
      <c r="K70" s="186" t="s">
        <v>1677</v>
      </c>
      <c r="L70" s="186" t="s">
        <v>1349</v>
      </c>
      <c r="M70" s="186" t="s">
        <v>1678</v>
      </c>
      <c r="N70" s="186" t="s">
        <v>163</v>
      </c>
      <c r="O70" s="186">
        <v>20</v>
      </c>
      <c r="P70" s="186" t="s">
        <v>164</v>
      </c>
      <c r="Q70" s="186" t="s">
        <v>1679</v>
      </c>
      <c r="R70" s="186" t="s">
        <v>1680</v>
      </c>
      <c r="S70" s="186" t="s">
        <v>1681</v>
      </c>
      <c r="T70" s="186" t="s">
        <v>1682</v>
      </c>
      <c r="U70" s="186" t="s">
        <v>1683</v>
      </c>
      <c r="V70" s="186" t="s">
        <v>1684</v>
      </c>
      <c r="W70" s="186" t="s">
        <v>1685</v>
      </c>
      <c r="X70" s="186" t="s">
        <v>1686</v>
      </c>
      <c r="Y70" s="187" t="s">
        <v>1358</v>
      </c>
      <c r="Z70" s="187">
        <v>4</v>
      </c>
      <c r="AA70" s="187" t="s">
        <v>176</v>
      </c>
      <c r="AB70" s="187" t="s">
        <v>1687</v>
      </c>
      <c r="AC70" s="187" t="s">
        <v>1688</v>
      </c>
      <c r="AD70" s="187" t="s">
        <v>176</v>
      </c>
      <c r="AE70" s="187" t="s">
        <v>1687</v>
      </c>
      <c r="AF70" s="187" t="s">
        <v>1398</v>
      </c>
      <c r="AG70" s="187" t="s">
        <v>1359</v>
      </c>
      <c r="AH70" s="187">
        <v>4</v>
      </c>
      <c r="AI70" s="187" t="s">
        <v>232</v>
      </c>
      <c r="AJ70" s="187" t="s">
        <v>437</v>
      </c>
      <c r="AK70" s="187" t="s">
        <v>182</v>
      </c>
      <c r="AL70" s="187" t="s">
        <v>437</v>
      </c>
      <c r="AM70" s="187" t="s">
        <v>232</v>
      </c>
      <c r="AN70" s="187" t="s">
        <v>185</v>
      </c>
      <c r="AO70" s="187" t="s">
        <v>1360</v>
      </c>
      <c r="AP70" s="187">
        <v>3</v>
      </c>
      <c r="AQ70" s="187" t="s">
        <v>1462</v>
      </c>
      <c r="AR70" s="187" t="s">
        <v>411</v>
      </c>
      <c r="AS70" s="187" t="s">
        <v>563</v>
      </c>
      <c r="AT70" s="187" t="s">
        <v>1462</v>
      </c>
      <c r="AU70" s="187" t="s">
        <v>411</v>
      </c>
      <c r="AV70" s="187" t="s">
        <v>348</v>
      </c>
      <c r="AW70" s="187" t="s">
        <v>1362</v>
      </c>
      <c r="AX70" s="187">
        <v>4</v>
      </c>
      <c r="AY70" s="187" t="s">
        <v>179</v>
      </c>
      <c r="AZ70" s="187" t="s">
        <v>278</v>
      </c>
      <c r="BA70" s="187" t="s">
        <v>180</v>
      </c>
      <c r="BB70" s="187" t="s">
        <v>179</v>
      </c>
      <c r="BC70" s="187" t="s">
        <v>231</v>
      </c>
      <c r="BD70" s="187" t="s">
        <v>442</v>
      </c>
      <c r="BE70" s="187" t="s">
        <v>1363</v>
      </c>
      <c r="BF70" s="187">
        <v>3</v>
      </c>
      <c r="BG70" s="187" t="s">
        <v>1364</v>
      </c>
      <c r="BH70" s="187" t="s">
        <v>919</v>
      </c>
      <c r="BI70" s="187" t="s">
        <v>717</v>
      </c>
      <c r="BJ70" s="187" t="s">
        <v>1403</v>
      </c>
      <c r="BK70" s="187" t="s">
        <v>919</v>
      </c>
      <c r="BL70" s="187" t="s">
        <v>860</v>
      </c>
      <c r="BM70" s="187" t="s">
        <v>198</v>
      </c>
      <c r="BN70" s="187">
        <v>2</v>
      </c>
      <c r="BO70" s="187" t="s">
        <v>199</v>
      </c>
      <c r="BP70" s="187" t="s">
        <v>1365</v>
      </c>
      <c r="BQ70" s="187" t="s">
        <v>201</v>
      </c>
      <c r="BR70" s="187" t="s">
        <v>199</v>
      </c>
      <c r="BS70" s="187" t="s">
        <v>202</v>
      </c>
      <c r="BT70" s="187" t="s">
        <v>203</v>
      </c>
    </row>
    <row r="71" spans="1:72" s="186" customFormat="1" ht="54.95" customHeight="1" x14ac:dyDescent="0.25">
      <c r="A71" s="156">
        <v>19</v>
      </c>
      <c r="B71" s="186" t="s">
        <v>324</v>
      </c>
      <c r="C71" s="186" t="s">
        <v>154</v>
      </c>
      <c r="D71" s="186" t="s">
        <v>1689</v>
      </c>
      <c r="E71" s="186" t="s">
        <v>1690</v>
      </c>
      <c r="F71" s="186" t="s">
        <v>1691</v>
      </c>
      <c r="G71" s="186" t="s">
        <v>1692</v>
      </c>
      <c r="H71" s="186" t="s">
        <v>1693</v>
      </c>
      <c r="I71" s="186" t="s">
        <v>1694</v>
      </c>
      <c r="J71" s="186" t="s">
        <v>1695</v>
      </c>
      <c r="K71" s="186" t="s">
        <v>1696</v>
      </c>
      <c r="L71" s="186" t="s">
        <v>1349</v>
      </c>
      <c r="M71" s="186" t="s">
        <v>1697</v>
      </c>
      <c r="N71" s="186" t="s">
        <v>163</v>
      </c>
      <c r="O71" s="186">
        <v>20</v>
      </c>
      <c r="P71" s="186" t="s">
        <v>164</v>
      </c>
      <c r="Q71" s="186" t="s">
        <v>1698</v>
      </c>
      <c r="R71" s="186" t="s">
        <v>1699</v>
      </c>
      <c r="S71" s="186" t="s">
        <v>1700</v>
      </c>
      <c r="T71" s="186" t="s">
        <v>1701</v>
      </c>
      <c r="U71" s="186" t="s">
        <v>1702</v>
      </c>
      <c r="V71" s="186" t="s">
        <v>1703</v>
      </c>
      <c r="W71" s="186" t="s">
        <v>1704</v>
      </c>
      <c r="X71" s="186" t="s">
        <v>1705</v>
      </c>
      <c r="Y71" s="187" t="s">
        <v>1358</v>
      </c>
      <c r="Z71" s="187">
        <v>4</v>
      </c>
      <c r="AA71" s="187" t="s">
        <v>174</v>
      </c>
      <c r="AB71" s="187" t="s">
        <v>1481</v>
      </c>
      <c r="AC71" s="187" t="s">
        <v>620</v>
      </c>
      <c r="AD71" s="187" t="s">
        <v>174</v>
      </c>
      <c r="AE71" s="187" t="s">
        <v>1481</v>
      </c>
      <c r="AF71" s="187" t="s">
        <v>226</v>
      </c>
      <c r="AG71" s="187" t="s">
        <v>1359</v>
      </c>
      <c r="AH71" s="187">
        <v>4</v>
      </c>
      <c r="AI71" s="187" t="s">
        <v>182</v>
      </c>
      <c r="AJ71" s="187" t="s">
        <v>1706</v>
      </c>
      <c r="AK71" s="187" t="s">
        <v>406</v>
      </c>
      <c r="AL71" s="187" t="s">
        <v>182</v>
      </c>
      <c r="AM71" s="187" t="s">
        <v>437</v>
      </c>
      <c r="AN71" s="187" t="s">
        <v>185</v>
      </c>
      <c r="AO71" s="187" t="s">
        <v>1360</v>
      </c>
      <c r="AP71" s="187">
        <v>3</v>
      </c>
      <c r="AQ71" s="187" t="s">
        <v>619</v>
      </c>
      <c r="AR71" s="187" t="s">
        <v>411</v>
      </c>
      <c r="AS71" s="187" t="s">
        <v>623</v>
      </c>
      <c r="AT71" s="187" t="s">
        <v>619</v>
      </c>
      <c r="AU71" s="187" t="s">
        <v>411</v>
      </c>
      <c r="AV71" s="187" t="s">
        <v>622</v>
      </c>
      <c r="AW71" s="187" t="s">
        <v>1362</v>
      </c>
      <c r="AX71" s="187">
        <v>4</v>
      </c>
      <c r="AY71" s="187" t="s">
        <v>321</v>
      </c>
      <c r="AZ71" s="187" t="s">
        <v>681</v>
      </c>
      <c r="BA71" s="187" t="s">
        <v>977</v>
      </c>
      <c r="BB71" s="187" t="s">
        <v>681</v>
      </c>
      <c r="BC71" s="187" t="s">
        <v>466</v>
      </c>
      <c r="BD71" s="187" t="s">
        <v>373</v>
      </c>
      <c r="BE71" s="187" t="s">
        <v>1363</v>
      </c>
      <c r="BF71" s="187">
        <v>3</v>
      </c>
      <c r="BG71" s="187" t="s">
        <v>1364</v>
      </c>
      <c r="BH71" s="187" t="s">
        <v>919</v>
      </c>
      <c r="BI71" s="187" t="s">
        <v>185</v>
      </c>
      <c r="BJ71" s="187" t="s">
        <v>1707</v>
      </c>
      <c r="BK71" s="187" t="s">
        <v>203</v>
      </c>
      <c r="BL71" s="187" t="s">
        <v>384</v>
      </c>
      <c r="BM71" s="187" t="s">
        <v>198</v>
      </c>
      <c r="BN71" s="187">
        <v>2</v>
      </c>
      <c r="BO71" s="187" t="s">
        <v>199</v>
      </c>
      <c r="BP71" s="187" t="s">
        <v>1365</v>
      </c>
      <c r="BQ71" s="187" t="s">
        <v>201</v>
      </c>
      <c r="BR71" s="187" t="s">
        <v>199</v>
      </c>
      <c r="BS71" s="187" t="s">
        <v>202</v>
      </c>
      <c r="BT71" s="187" t="s">
        <v>203</v>
      </c>
    </row>
    <row r="72" spans="1:72" s="186" customFormat="1" ht="54.95" customHeight="1" x14ac:dyDescent="0.25">
      <c r="A72" s="156">
        <v>20</v>
      </c>
      <c r="B72" s="186" t="s">
        <v>385</v>
      </c>
      <c r="C72" s="186" t="s">
        <v>570</v>
      </c>
      <c r="D72" s="186" t="s">
        <v>1708</v>
      </c>
      <c r="E72" s="186" t="s">
        <v>1709</v>
      </c>
      <c r="F72" s="186" t="s">
        <v>1710</v>
      </c>
      <c r="G72" s="186" t="s">
        <v>1711</v>
      </c>
      <c r="H72" s="186" t="s">
        <v>1712</v>
      </c>
      <c r="I72" s="186" t="s">
        <v>1713</v>
      </c>
      <c r="J72" s="186" t="s">
        <v>1714</v>
      </c>
      <c r="K72" s="186" t="s">
        <v>1715</v>
      </c>
      <c r="L72" s="186" t="s">
        <v>1349</v>
      </c>
      <c r="M72" s="186" t="s">
        <v>1716</v>
      </c>
      <c r="N72" s="186" t="s">
        <v>163</v>
      </c>
      <c r="O72" s="186">
        <v>20</v>
      </c>
      <c r="P72" s="186" t="s">
        <v>259</v>
      </c>
      <c r="Q72" s="186" t="s">
        <v>1717</v>
      </c>
      <c r="R72" s="186" t="s">
        <v>1718</v>
      </c>
      <c r="S72" s="186" t="s">
        <v>1719</v>
      </c>
      <c r="T72" s="186" t="s">
        <v>1720</v>
      </c>
      <c r="U72" s="186" t="s">
        <v>1721</v>
      </c>
      <c r="V72" s="186" t="s">
        <v>1722</v>
      </c>
      <c r="W72" s="186" t="s">
        <v>1723</v>
      </c>
      <c r="X72" s="186" t="s">
        <v>1724</v>
      </c>
      <c r="Y72" s="187" t="s">
        <v>1358</v>
      </c>
      <c r="Z72" s="187">
        <v>4</v>
      </c>
      <c r="AA72" s="187" t="s">
        <v>1725</v>
      </c>
      <c r="AB72" s="187" t="s">
        <v>1726</v>
      </c>
      <c r="AC72" s="187" t="s">
        <v>1422</v>
      </c>
      <c r="AD72" s="187" t="s">
        <v>1725</v>
      </c>
      <c r="AE72" s="187" t="s">
        <v>373</v>
      </c>
      <c r="AF72" s="187" t="s">
        <v>1727</v>
      </c>
      <c r="AG72" s="187" t="s">
        <v>1359</v>
      </c>
      <c r="AH72" s="187">
        <v>4</v>
      </c>
      <c r="AI72" s="187" t="s">
        <v>377</v>
      </c>
      <c r="AJ72" s="187" t="s">
        <v>232</v>
      </c>
      <c r="AK72" s="187" t="s">
        <v>437</v>
      </c>
      <c r="AL72" s="187" t="s">
        <v>377</v>
      </c>
      <c r="AM72" s="187" t="s">
        <v>232</v>
      </c>
      <c r="AN72" s="187" t="s">
        <v>437</v>
      </c>
      <c r="AO72" s="187" t="s">
        <v>1360</v>
      </c>
      <c r="AP72" s="187">
        <v>3</v>
      </c>
      <c r="AQ72" s="187" t="s">
        <v>598</v>
      </c>
      <c r="AR72" s="187" t="s">
        <v>411</v>
      </c>
      <c r="AS72" s="187" t="s">
        <v>349</v>
      </c>
      <c r="AT72" s="187" t="s">
        <v>598</v>
      </c>
      <c r="AU72" s="187" t="s">
        <v>411</v>
      </c>
      <c r="AV72" s="187" t="s">
        <v>593</v>
      </c>
      <c r="AW72" s="187" t="s">
        <v>1362</v>
      </c>
      <c r="AX72" s="187">
        <v>4</v>
      </c>
      <c r="AY72" s="187" t="s">
        <v>321</v>
      </c>
      <c r="AZ72" s="187" t="s">
        <v>1728</v>
      </c>
      <c r="BA72" s="187" t="s">
        <v>1729</v>
      </c>
      <c r="BB72" s="187" t="s">
        <v>321</v>
      </c>
      <c r="BC72" s="187" t="s">
        <v>1728</v>
      </c>
      <c r="BD72" s="187" t="s">
        <v>1501</v>
      </c>
      <c r="BE72" s="187" t="s">
        <v>1363</v>
      </c>
      <c r="BF72" s="187">
        <v>3</v>
      </c>
      <c r="BG72" s="187" t="s">
        <v>1364</v>
      </c>
      <c r="BH72" s="187" t="s">
        <v>528</v>
      </c>
      <c r="BI72" s="187" t="s">
        <v>919</v>
      </c>
      <c r="BJ72" s="187" t="s">
        <v>1707</v>
      </c>
      <c r="BK72" s="187" t="s">
        <v>1403</v>
      </c>
      <c r="BL72" s="187" t="s">
        <v>384</v>
      </c>
      <c r="BM72" s="187" t="s">
        <v>198</v>
      </c>
      <c r="BN72" s="187">
        <v>2</v>
      </c>
      <c r="BO72" s="187" t="s">
        <v>199</v>
      </c>
      <c r="BP72" s="187" t="s">
        <v>1365</v>
      </c>
      <c r="BQ72" s="187" t="s">
        <v>201</v>
      </c>
      <c r="BR72" s="187" t="s">
        <v>199</v>
      </c>
      <c r="BS72" s="187" t="s">
        <v>202</v>
      </c>
      <c r="BT72" s="187" t="s">
        <v>203</v>
      </c>
    </row>
    <row r="73" spans="1:72" s="186" customFormat="1" ht="54.95" customHeight="1" x14ac:dyDescent="0.25">
      <c r="A73" s="156">
        <v>21</v>
      </c>
      <c r="B73" s="186" t="s">
        <v>153</v>
      </c>
      <c r="C73" s="186" t="s">
        <v>325</v>
      </c>
      <c r="D73" s="186" t="s">
        <v>1730</v>
      </c>
      <c r="E73" s="186" t="s">
        <v>1731</v>
      </c>
      <c r="F73" s="186" t="s">
        <v>1732</v>
      </c>
      <c r="G73" s="186" t="s">
        <v>1733</v>
      </c>
      <c r="H73" s="186" t="s">
        <v>1734</v>
      </c>
      <c r="I73" s="186" t="s">
        <v>1735</v>
      </c>
      <c r="J73" s="186" t="s">
        <v>1736</v>
      </c>
      <c r="K73" s="186" t="s">
        <v>1737</v>
      </c>
      <c r="L73" s="186" t="s">
        <v>1349</v>
      </c>
      <c r="M73" s="186" t="s">
        <v>1738</v>
      </c>
      <c r="N73" s="186" t="s">
        <v>163</v>
      </c>
      <c r="O73" s="186">
        <v>20</v>
      </c>
      <c r="P73" s="186" t="s">
        <v>259</v>
      </c>
      <c r="Q73" s="186" t="s">
        <v>1739</v>
      </c>
      <c r="R73" s="186" t="s">
        <v>1740</v>
      </c>
      <c r="S73" s="186" t="s">
        <v>1741</v>
      </c>
      <c r="T73" s="186" t="s">
        <v>1742</v>
      </c>
      <c r="U73" s="186" t="s">
        <v>1743</v>
      </c>
      <c r="V73" s="186" t="s">
        <v>1744</v>
      </c>
      <c r="W73" s="186" t="s">
        <v>1745</v>
      </c>
      <c r="X73" s="186" t="s">
        <v>1746</v>
      </c>
      <c r="Y73" s="187" t="s">
        <v>1358</v>
      </c>
      <c r="Z73" s="187">
        <v>4</v>
      </c>
      <c r="AA73" s="187" t="s">
        <v>345</v>
      </c>
      <c r="AB73" s="187" t="s">
        <v>347</v>
      </c>
      <c r="AC73" s="187" t="s">
        <v>346</v>
      </c>
      <c r="AD73" s="187" t="s">
        <v>346</v>
      </c>
      <c r="AE73" s="187" t="s">
        <v>347</v>
      </c>
      <c r="AF73" s="187" t="s">
        <v>1747</v>
      </c>
      <c r="AG73" s="187" t="s">
        <v>1359</v>
      </c>
      <c r="AH73" s="187">
        <v>4</v>
      </c>
      <c r="AI73" s="187" t="s">
        <v>437</v>
      </c>
      <c r="AJ73" s="187" t="s">
        <v>182</v>
      </c>
      <c r="AK73" s="187" t="s">
        <v>348</v>
      </c>
      <c r="AL73" s="187" t="s">
        <v>182</v>
      </c>
      <c r="AM73" s="187" t="s">
        <v>437</v>
      </c>
      <c r="AN73" s="187" t="s">
        <v>323</v>
      </c>
      <c r="AO73" s="187" t="s">
        <v>1360</v>
      </c>
      <c r="AP73" s="187">
        <v>3</v>
      </c>
      <c r="AQ73" s="187" t="s">
        <v>1462</v>
      </c>
      <c r="AR73" s="187" t="s">
        <v>411</v>
      </c>
      <c r="AS73" s="187" t="s">
        <v>348</v>
      </c>
      <c r="AT73" s="187" t="s">
        <v>1462</v>
      </c>
      <c r="AU73" s="187" t="s">
        <v>411</v>
      </c>
      <c r="AV73" s="187" t="s">
        <v>182</v>
      </c>
      <c r="AW73" s="187" t="s">
        <v>1362</v>
      </c>
      <c r="AX73" s="187">
        <v>4</v>
      </c>
      <c r="AY73" s="187" t="s">
        <v>179</v>
      </c>
      <c r="AZ73" s="187" t="s">
        <v>830</v>
      </c>
      <c r="BA73" s="187" t="s">
        <v>442</v>
      </c>
      <c r="BB73" s="187" t="s">
        <v>179</v>
      </c>
      <c r="BC73" s="187" t="s">
        <v>828</v>
      </c>
      <c r="BD73" s="187" t="s">
        <v>1748</v>
      </c>
      <c r="BE73" s="187" t="s">
        <v>1363</v>
      </c>
      <c r="BF73" s="187">
        <v>3</v>
      </c>
      <c r="BG73" s="187" t="s">
        <v>188</v>
      </c>
      <c r="BH73" s="187" t="s">
        <v>1749</v>
      </c>
      <c r="BI73" s="187" t="s">
        <v>1364</v>
      </c>
      <c r="BJ73" s="187" t="s">
        <v>188</v>
      </c>
      <c r="BK73" s="187" t="s">
        <v>1749</v>
      </c>
      <c r="BL73" s="187" t="s">
        <v>919</v>
      </c>
      <c r="BM73" s="187" t="s">
        <v>198</v>
      </c>
      <c r="BN73" s="187">
        <v>2</v>
      </c>
      <c r="BO73" s="187" t="s">
        <v>199</v>
      </c>
      <c r="BP73" s="187" t="s">
        <v>1365</v>
      </c>
      <c r="BQ73" s="187" t="s">
        <v>201</v>
      </c>
      <c r="BR73" s="187" t="s">
        <v>199</v>
      </c>
      <c r="BS73" s="187" t="s">
        <v>202</v>
      </c>
      <c r="BT73" s="187" t="s">
        <v>203</v>
      </c>
    </row>
    <row r="74" spans="1:72" s="186" customFormat="1" ht="54.95" customHeight="1" x14ac:dyDescent="0.25">
      <c r="A74" s="156">
        <v>22</v>
      </c>
      <c r="B74" s="186" t="s">
        <v>385</v>
      </c>
      <c r="C74" s="186" t="s">
        <v>154</v>
      </c>
      <c r="D74" s="186" t="s">
        <v>1750</v>
      </c>
      <c r="E74" s="186" t="s">
        <v>1751</v>
      </c>
      <c r="F74" s="186" t="s">
        <v>1752</v>
      </c>
      <c r="G74" s="186" t="s">
        <v>1753</v>
      </c>
      <c r="H74" s="186" t="s">
        <v>1754</v>
      </c>
      <c r="I74" s="186" t="s">
        <v>1755</v>
      </c>
      <c r="J74" s="186" t="s">
        <v>1756</v>
      </c>
      <c r="K74" s="186" t="s">
        <v>1757</v>
      </c>
      <c r="L74" s="186" t="s">
        <v>1349</v>
      </c>
      <c r="M74" s="186" t="s">
        <v>1758</v>
      </c>
      <c r="N74" s="186" t="s">
        <v>163</v>
      </c>
      <c r="O74" s="186">
        <v>20</v>
      </c>
      <c r="P74" s="186" t="s">
        <v>164</v>
      </c>
      <c r="Q74" s="186" t="s">
        <v>1759</v>
      </c>
      <c r="R74" s="186" t="s">
        <v>1760</v>
      </c>
      <c r="S74" s="186" t="s">
        <v>1761</v>
      </c>
      <c r="T74" s="186" t="s">
        <v>1762</v>
      </c>
      <c r="U74" s="186" t="s">
        <v>1355</v>
      </c>
      <c r="V74" s="186" t="s">
        <v>1763</v>
      </c>
      <c r="W74" s="186" t="s">
        <v>1764</v>
      </c>
      <c r="X74" s="186" t="s">
        <v>1765</v>
      </c>
      <c r="Y74" s="187" t="s">
        <v>1358</v>
      </c>
      <c r="Z74" s="187">
        <v>4</v>
      </c>
      <c r="AA74" s="187" t="s">
        <v>1461</v>
      </c>
      <c r="AB74" s="187" t="s">
        <v>174</v>
      </c>
      <c r="AC74" s="187" t="s">
        <v>1557</v>
      </c>
      <c r="AD74" s="187" t="s">
        <v>1461</v>
      </c>
      <c r="AE74" s="187" t="s">
        <v>174</v>
      </c>
      <c r="AF74" s="187" t="s">
        <v>1557</v>
      </c>
      <c r="AG74" s="187" t="s">
        <v>1359</v>
      </c>
      <c r="AH74" s="187">
        <v>4</v>
      </c>
      <c r="AI74" s="187" t="s">
        <v>182</v>
      </c>
      <c r="AJ74" s="187" t="s">
        <v>622</v>
      </c>
      <c r="AK74" s="187" t="s">
        <v>437</v>
      </c>
      <c r="AL74" s="187" t="s">
        <v>437</v>
      </c>
      <c r="AM74" s="187" t="s">
        <v>182</v>
      </c>
      <c r="AN74" s="187" t="s">
        <v>185</v>
      </c>
      <c r="AO74" s="187" t="s">
        <v>1360</v>
      </c>
      <c r="AP74" s="187">
        <v>3</v>
      </c>
      <c r="AQ74" s="187" t="s">
        <v>619</v>
      </c>
      <c r="AR74" s="187" t="s">
        <v>411</v>
      </c>
      <c r="AS74" s="187" t="s">
        <v>623</v>
      </c>
      <c r="AT74" s="187" t="s">
        <v>619</v>
      </c>
      <c r="AU74" s="187" t="s">
        <v>411</v>
      </c>
      <c r="AV74" s="187" t="s">
        <v>622</v>
      </c>
      <c r="AW74" s="187" t="s">
        <v>1362</v>
      </c>
      <c r="AX74" s="187">
        <v>4</v>
      </c>
      <c r="AY74" s="187" t="s">
        <v>179</v>
      </c>
      <c r="AZ74" s="187" t="s">
        <v>321</v>
      </c>
      <c r="BA74" s="187" t="s">
        <v>1766</v>
      </c>
      <c r="BB74" s="187" t="s">
        <v>179</v>
      </c>
      <c r="BC74" s="187" t="s">
        <v>174</v>
      </c>
      <c r="BD74" s="187" t="s">
        <v>1483</v>
      </c>
      <c r="BE74" s="187" t="s">
        <v>1363</v>
      </c>
      <c r="BF74" s="187">
        <v>3</v>
      </c>
      <c r="BG74" s="187" t="s">
        <v>1364</v>
      </c>
      <c r="BH74" s="187" t="s">
        <v>919</v>
      </c>
      <c r="BI74" s="187" t="s">
        <v>528</v>
      </c>
      <c r="BJ74" s="187" t="s">
        <v>1707</v>
      </c>
      <c r="BK74" s="187" t="s">
        <v>384</v>
      </c>
      <c r="BL74" s="187" t="s">
        <v>919</v>
      </c>
      <c r="BM74" s="187" t="s">
        <v>198</v>
      </c>
      <c r="BN74" s="187">
        <v>2</v>
      </c>
      <c r="BO74" s="187" t="s">
        <v>199</v>
      </c>
      <c r="BP74" s="187" t="s">
        <v>1365</v>
      </c>
      <c r="BQ74" s="187" t="s">
        <v>201</v>
      </c>
      <c r="BR74" s="187" t="s">
        <v>199</v>
      </c>
      <c r="BS74" s="187" t="s">
        <v>202</v>
      </c>
      <c r="BT74" s="187" t="s">
        <v>203</v>
      </c>
    </row>
    <row r="75" spans="1:72" s="186" customFormat="1" ht="54.95" customHeight="1" x14ac:dyDescent="0.25">
      <c r="A75" s="156">
        <v>23</v>
      </c>
      <c r="B75" s="186" t="s">
        <v>506</v>
      </c>
      <c r="C75" s="186" t="s">
        <v>205</v>
      </c>
      <c r="D75" s="186" t="s">
        <v>1767</v>
      </c>
      <c r="E75" s="186" t="s">
        <v>1768</v>
      </c>
      <c r="F75" s="186" t="s">
        <v>1769</v>
      </c>
      <c r="G75" s="186" t="s">
        <v>1770</v>
      </c>
      <c r="H75" s="186" t="s">
        <v>1771</v>
      </c>
      <c r="I75" s="186" t="s">
        <v>1772</v>
      </c>
      <c r="J75" s="186" t="s">
        <v>1773</v>
      </c>
      <c r="K75" s="186" t="s">
        <v>1774</v>
      </c>
      <c r="L75" s="186" t="s">
        <v>1349</v>
      </c>
      <c r="M75" s="186" t="s">
        <v>1775</v>
      </c>
      <c r="N75" s="186" t="s">
        <v>163</v>
      </c>
      <c r="O75" s="186">
        <v>20</v>
      </c>
      <c r="P75" s="186" t="s">
        <v>259</v>
      </c>
      <c r="Q75" s="186" t="s">
        <v>1776</v>
      </c>
      <c r="R75" s="186" t="s">
        <v>1777</v>
      </c>
      <c r="S75" s="186" t="s">
        <v>1778</v>
      </c>
      <c r="T75" s="186" t="s">
        <v>1779</v>
      </c>
      <c r="U75" s="186" t="s">
        <v>1780</v>
      </c>
      <c r="V75" s="186" t="s">
        <v>1781</v>
      </c>
      <c r="W75" s="186" t="s">
        <v>1782</v>
      </c>
      <c r="X75" s="186" t="s">
        <v>1783</v>
      </c>
      <c r="Y75" s="187" t="s">
        <v>1358</v>
      </c>
      <c r="Z75" s="187">
        <v>4</v>
      </c>
      <c r="AA75" s="187" t="s">
        <v>435</v>
      </c>
      <c r="AB75" s="187" t="s">
        <v>373</v>
      </c>
      <c r="AC75" s="187" t="s">
        <v>268</v>
      </c>
      <c r="AD75" s="187" t="s">
        <v>435</v>
      </c>
      <c r="AE75" s="187" t="s">
        <v>373</v>
      </c>
      <c r="AF75" s="187" t="s">
        <v>271</v>
      </c>
      <c r="AG75" s="187" t="s">
        <v>1359</v>
      </c>
      <c r="AH75" s="187">
        <v>4</v>
      </c>
      <c r="AI75" s="187" t="s">
        <v>232</v>
      </c>
      <c r="AJ75" s="187" t="s">
        <v>275</v>
      </c>
      <c r="AK75" s="187" t="s">
        <v>437</v>
      </c>
      <c r="AL75" s="187" t="s">
        <v>232</v>
      </c>
      <c r="AM75" s="187" t="s">
        <v>437</v>
      </c>
      <c r="AN75" s="187" t="s">
        <v>275</v>
      </c>
      <c r="AO75" s="187" t="s">
        <v>1360</v>
      </c>
      <c r="AP75" s="187">
        <v>3</v>
      </c>
      <c r="AQ75" s="187" t="s">
        <v>409</v>
      </c>
      <c r="AR75" s="187" t="s">
        <v>411</v>
      </c>
      <c r="AS75" s="187" t="s">
        <v>1425</v>
      </c>
      <c r="AT75" s="187" t="s">
        <v>409</v>
      </c>
      <c r="AU75" s="187" t="s">
        <v>411</v>
      </c>
      <c r="AV75" s="187" t="s">
        <v>621</v>
      </c>
      <c r="AW75" s="187" t="s">
        <v>1362</v>
      </c>
      <c r="AX75" s="187">
        <v>4</v>
      </c>
      <c r="AY75" s="187" t="s">
        <v>179</v>
      </c>
      <c r="AZ75" s="187" t="s">
        <v>1784</v>
      </c>
      <c r="BA75" s="187" t="s">
        <v>321</v>
      </c>
      <c r="BB75" s="187" t="s">
        <v>179</v>
      </c>
      <c r="BC75" s="187" t="s">
        <v>1784</v>
      </c>
      <c r="BD75" s="187" t="s">
        <v>176</v>
      </c>
      <c r="BE75" s="187" t="s">
        <v>1363</v>
      </c>
      <c r="BF75" s="187">
        <v>3</v>
      </c>
      <c r="BG75" s="187" t="s">
        <v>1364</v>
      </c>
      <c r="BH75" s="187" t="s">
        <v>1785</v>
      </c>
      <c r="BI75" s="187" t="s">
        <v>715</v>
      </c>
      <c r="BJ75" s="187" t="s">
        <v>1786</v>
      </c>
      <c r="BK75" s="187" t="s">
        <v>1707</v>
      </c>
      <c r="BL75" s="187" t="s">
        <v>919</v>
      </c>
      <c r="BM75" s="187" t="s">
        <v>198</v>
      </c>
      <c r="BN75" s="187">
        <v>2</v>
      </c>
      <c r="BO75" s="187" t="s">
        <v>199</v>
      </c>
      <c r="BP75" s="187" t="s">
        <v>1365</v>
      </c>
      <c r="BQ75" s="187" t="s">
        <v>201</v>
      </c>
      <c r="BR75" s="187" t="s">
        <v>199</v>
      </c>
      <c r="BS75" s="187" t="s">
        <v>202</v>
      </c>
      <c r="BT75" s="187" t="s">
        <v>203</v>
      </c>
    </row>
    <row r="76" spans="1:72" s="186" customFormat="1" ht="54.95" customHeight="1" x14ac:dyDescent="0.25">
      <c r="A76" s="156">
        <v>24</v>
      </c>
      <c r="B76" s="186" t="s">
        <v>1787</v>
      </c>
      <c r="C76" s="186" t="s">
        <v>325</v>
      </c>
      <c r="D76" s="186" t="s">
        <v>1788</v>
      </c>
      <c r="E76" s="186" t="s">
        <v>1789</v>
      </c>
      <c r="F76" s="186" t="s">
        <v>1790</v>
      </c>
      <c r="G76" s="186" t="s">
        <v>1791</v>
      </c>
      <c r="H76" s="186" t="s">
        <v>1792</v>
      </c>
      <c r="I76" s="186" t="s">
        <v>1793</v>
      </c>
      <c r="J76" s="186" t="s">
        <v>1794</v>
      </c>
      <c r="K76" s="186" t="s">
        <v>1795</v>
      </c>
      <c r="L76" s="186" t="s">
        <v>1349</v>
      </c>
      <c r="M76" s="186" t="s">
        <v>1796</v>
      </c>
      <c r="N76" s="186" t="s">
        <v>163</v>
      </c>
      <c r="O76" s="186">
        <v>20</v>
      </c>
      <c r="P76" s="186" t="s">
        <v>259</v>
      </c>
      <c r="Q76" s="186" t="s">
        <v>1797</v>
      </c>
      <c r="R76" s="186" t="s">
        <v>1798</v>
      </c>
      <c r="S76" s="186" t="s">
        <v>1799</v>
      </c>
      <c r="T76" s="186" t="s">
        <v>1800</v>
      </c>
      <c r="U76" s="186" t="s">
        <v>1801</v>
      </c>
      <c r="V76" s="186" t="s">
        <v>1802</v>
      </c>
      <c r="W76" s="186" t="s">
        <v>1803</v>
      </c>
      <c r="X76" s="186" t="s">
        <v>1804</v>
      </c>
      <c r="Y76" s="187" t="s">
        <v>1358</v>
      </c>
      <c r="Z76" s="187">
        <v>4</v>
      </c>
      <c r="AA76" s="187" t="s">
        <v>174</v>
      </c>
      <c r="AB76" s="187" t="s">
        <v>1483</v>
      </c>
      <c r="AC76" s="187" t="s">
        <v>591</v>
      </c>
      <c r="AD76" s="187" t="s">
        <v>174</v>
      </c>
      <c r="AE76" s="187" t="s">
        <v>1483</v>
      </c>
      <c r="AF76" s="187" t="s">
        <v>466</v>
      </c>
      <c r="AG76" s="187" t="s">
        <v>1359</v>
      </c>
      <c r="AH76" s="187">
        <v>4</v>
      </c>
      <c r="AI76" s="187" t="s">
        <v>182</v>
      </c>
      <c r="AJ76" s="187" t="s">
        <v>181</v>
      </c>
      <c r="AK76" s="187" t="s">
        <v>437</v>
      </c>
      <c r="AL76" s="187" t="s">
        <v>437</v>
      </c>
      <c r="AM76" s="187" t="s">
        <v>182</v>
      </c>
      <c r="AN76" s="187" t="s">
        <v>406</v>
      </c>
      <c r="AO76" s="187" t="s">
        <v>1360</v>
      </c>
      <c r="AP76" s="187">
        <v>3</v>
      </c>
      <c r="AQ76" s="187" t="s">
        <v>1462</v>
      </c>
      <c r="AR76" s="187" t="s">
        <v>411</v>
      </c>
      <c r="AS76" s="187" t="s">
        <v>348</v>
      </c>
      <c r="AT76" s="187" t="s">
        <v>1462</v>
      </c>
      <c r="AU76" s="187" t="s">
        <v>411</v>
      </c>
      <c r="AV76" s="187" t="s">
        <v>1614</v>
      </c>
      <c r="AW76" s="187" t="s">
        <v>1362</v>
      </c>
      <c r="AX76" s="187">
        <v>4</v>
      </c>
      <c r="AY76" s="187" t="s">
        <v>179</v>
      </c>
      <c r="AZ76" s="187" t="s">
        <v>321</v>
      </c>
      <c r="BA76" s="187" t="s">
        <v>1483</v>
      </c>
      <c r="BB76" s="187" t="s">
        <v>179</v>
      </c>
      <c r="BC76" s="187" t="s">
        <v>353</v>
      </c>
      <c r="BD76" s="187" t="s">
        <v>323</v>
      </c>
      <c r="BE76" s="187" t="s">
        <v>1363</v>
      </c>
      <c r="BF76" s="187">
        <v>3</v>
      </c>
      <c r="BG76" s="187" t="s">
        <v>1805</v>
      </c>
      <c r="BH76" s="187" t="s">
        <v>1038</v>
      </c>
      <c r="BI76" s="187" t="s">
        <v>1364</v>
      </c>
      <c r="BJ76" s="187" t="s">
        <v>318</v>
      </c>
      <c r="BK76" s="187" t="s">
        <v>503</v>
      </c>
      <c r="BL76" s="187" t="s">
        <v>919</v>
      </c>
      <c r="BM76" s="187" t="s">
        <v>198</v>
      </c>
      <c r="BN76" s="187">
        <v>2</v>
      </c>
      <c r="BO76" s="187" t="s">
        <v>199</v>
      </c>
      <c r="BP76" s="187" t="s">
        <v>1365</v>
      </c>
      <c r="BQ76" s="187" t="s">
        <v>201</v>
      </c>
      <c r="BR76" s="187" t="s">
        <v>199</v>
      </c>
      <c r="BS76" s="187" t="s">
        <v>202</v>
      </c>
      <c r="BT76" s="187" t="s">
        <v>203</v>
      </c>
    </row>
    <row r="77" spans="1:72" s="186" customFormat="1" ht="54.95" customHeight="1" x14ac:dyDescent="0.25">
      <c r="A77" s="156">
        <v>25</v>
      </c>
      <c r="B77" s="186" t="s">
        <v>385</v>
      </c>
      <c r="C77" s="186" t="s">
        <v>247</v>
      </c>
      <c r="D77" s="186" t="s">
        <v>1806</v>
      </c>
      <c r="E77" s="186" t="s">
        <v>1807</v>
      </c>
      <c r="F77" s="186" t="s">
        <v>1808</v>
      </c>
      <c r="G77" s="186" t="s">
        <v>1809</v>
      </c>
      <c r="H77" s="186" t="s">
        <v>1810</v>
      </c>
      <c r="I77" s="186" t="s">
        <v>1811</v>
      </c>
      <c r="J77" s="186" t="s">
        <v>1812</v>
      </c>
      <c r="K77" s="186" t="s">
        <v>1813</v>
      </c>
      <c r="L77" s="186" t="s">
        <v>1349</v>
      </c>
      <c r="M77" s="186" t="s">
        <v>1814</v>
      </c>
      <c r="N77" s="186" t="s">
        <v>163</v>
      </c>
      <c r="O77" s="186">
        <v>20</v>
      </c>
      <c r="P77" s="186" t="s">
        <v>259</v>
      </c>
      <c r="Q77" s="186" t="s">
        <v>1815</v>
      </c>
      <c r="R77" s="186" t="s">
        <v>1816</v>
      </c>
      <c r="S77" s="186" t="s">
        <v>1817</v>
      </c>
      <c r="T77" s="186" t="s">
        <v>1818</v>
      </c>
      <c r="U77" s="186" t="s">
        <v>1819</v>
      </c>
      <c r="V77" s="186" t="s">
        <v>1820</v>
      </c>
      <c r="W77" s="186" t="s">
        <v>1821</v>
      </c>
      <c r="X77" s="186" t="s">
        <v>1822</v>
      </c>
      <c r="Y77" s="187" t="s">
        <v>1358</v>
      </c>
      <c r="Z77" s="187">
        <v>4</v>
      </c>
      <c r="AA77" s="187" t="s">
        <v>176</v>
      </c>
      <c r="AB77" s="187" t="s">
        <v>1823</v>
      </c>
      <c r="AC77" s="187" t="s">
        <v>1824</v>
      </c>
      <c r="AD77" s="187" t="s">
        <v>176</v>
      </c>
      <c r="AE77" s="187" t="s">
        <v>1823</v>
      </c>
      <c r="AF77" s="187" t="s">
        <v>1825</v>
      </c>
      <c r="AG77" s="187" t="s">
        <v>1359</v>
      </c>
      <c r="AH77" s="187">
        <v>4</v>
      </c>
      <c r="AI77" s="187" t="s">
        <v>232</v>
      </c>
      <c r="AJ77" s="187" t="s">
        <v>437</v>
      </c>
      <c r="AK77" s="187" t="s">
        <v>179</v>
      </c>
      <c r="AL77" s="187" t="s">
        <v>437</v>
      </c>
      <c r="AM77" s="187" t="s">
        <v>232</v>
      </c>
      <c r="AN77" s="187" t="s">
        <v>470</v>
      </c>
      <c r="AO77" s="187" t="s">
        <v>1360</v>
      </c>
      <c r="AP77" s="187">
        <v>3</v>
      </c>
      <c r="AQ77" s="187" t="s">
        <v>411</v>
      </c>
      <c r="AR77" s="187" t="s">
        <v>1399</v>
      </c>
      <c r="AS77" s="187" t="s">
        <v>1400</v>
      </c>
      <c r="AT77" s="187" t="s">
        <v>411</v>
      </c>
      <c r="AU77" s="187" t="s">
        <v>408</v>
      </c>
      <c r="AV77" s="187" t="s">
        <v>1401</v>
      </c>
      <c r="AW77" s="187" t="s">
        <v>1362</v>
      </c>
      <c r="AX77" s="187">
        <v>4</v>
      </c>
      <c r="AY77" s="187" t="s">
        <v>179</v>
      </c>
      <c r="AZ77" s="187" t="s">
        <v>321</v>
      </c>
      <c r="BA77" s="187" t="s">
        <v>1826</v>
      </c>
      <c r="BB77" s="187" t="s">
        <v>179</v>
      </c>
      <c r="BC77" s="187" t="s">
        <v>442</v>
      </c>
      <c r="BD77" s="187" t="s">
        <v>1501</v>
      </c>
      <c r="BE77" s="187" t="s">
        <v>1363</v>
      </c>
      <c r="BF77" s="187">
        <v>3</v>
      </c>
      <c r="BG77" s="187" t="s">
        <v>1364</v>
      </c>
      <c r="BH77" s="187" t="s">
        <v>412</v>
      </c>
      <c r="BI77" s="187" t="s">
        <v>1594</v>
      </c>
      <c r="BJ77" s="187" t="s">
        <v>1037</v>
      </c>
      <c r="BK77" s="187" t="s">
        <v>919</v>
      </c>
      <c r="BL77" s="187" t="s">
        <v>470</v>
      </c>
      <c r="BM77" s="187" t="s">
        <v>198</v>
      </c>
      <c r="BN77" s="187">
        <v>2</v>
      </c>
      <c r="BO77" s="187" t="s">
        <v>199</v>
      </c>
      <c r="BP77" s="187" t="s">
        <v>1365</v>
      </c>
      <c r="BQ77" s="187" t="s">
        <v>201</v>
      </c>
      <c r="BR77" s="187" t="s">
        <v>199</v>
      </c>
      <c r="BS77" s="187" t="s">
        <v>202</v>
      </c>
      <c r="BT77" s="187" t="s">
        <v>203</v>
      </c>
    </row>
    <row r="78" spans="1:72" s="186" customFormat="1" ht="54.95" customHeight="1" x14ac:dyDescent="0.25">
      <c r="A78" s="156">
        <v>26</v>
      </c>
      <c r="B78" s="186" t="s">
        <v>153</v>
      </c>
      <c r="C78" s="186" t="s">
        <v>570</v>
      </c>
      <c r="D78" s="186" t="s">
        <v>1827</v>
      </c>
      <c r="E78" s="186" t="s">
        <v>1828</v>
      </c>
      <c r="F78" s="186" t="s">
        <v>1829</v>
      </c>
      <c r="G78" s="186" t="s">
        <v>1830</v>
      </c>
      <c r="H78" s="186" t="s">
        <v>1831</v>
      </c>
      <c r="I78" s="186" t="s">
        <v>1832</v>
      </c>
      <c r="J78" s="186" t="s">
        <v>1833</v>
      </c>
      <c r="K78" s="186" t="s">
        <v>1834</v>
      </c>
      <c r="L78" s="186" t="s">
        <v>1349</v>
      </c>
      <c r="M78" s="186" t="s">
        <v>1835</v>
      </c>
      <c r="N78" s="186" t="s">
        <v>163</v>
      </c>
      <c r="O78" s="186">
        <v>20</v>
      </c>
      <c r="P78" s="186" t="s">
        <v>164</v>
      </c>
      <c r="Q78" s="186" t="s">
        <v>1836</v>
      </c>
      <c r="R78" s="186" t="s">
        <v>1837</v>
      </c>
      <c r="S78" s="186" t="s">
        <v>1838</v>
      </c>
      <c r="T78" s="186" t="s">
        <v>1839</v>
      </c>
      <c r="U78" s="186" t="s">
        <v>1840</v>
      </c>
      <c r="V78" s="186" t="s">
        <v>1841</v>
      </c>
      <c r="W78" s="186" t="s">
        <v>1842</v>
      </c>
      <c r="X78" s="186" t="s">
        <v>1843</v>
      </c>
      <c r="Y78" s="187" t="s">
        <v>1358</v>
      </c>
      <c r="Z78" s="187">
        <v>4</v>
      </c>
      <c r="AA78" s="187" t="s">
        <v>1461</v>
      </c>
      <c r="AB78" s="187" t="s">
        <v>1397</v>
      </c>
      <c r="AC78" s="187" t="s">
        <v>174</v>
      </c>
      <c r="AD78" s="187" t="s">
        <v>1397</v>
      </c>
      <c r="AE78" s="187" t="s">
        <v>1461</v>
      </c>
      <c r="AF78" s="187" t="s">
        <v>1844</v>
      </c>
      <c r="AG78" s="187" t="s">
        <v>1359</v>
      </c>
      <c r="AH78" s="187">
        <v>4</v>
      </c>
      <c r="AI78" s="187" t="s">
        <v>589</v>
      </c>
      <c r="AJ78" s="187" t="s">
        <v>180</v>
      </c>
      <c r="AK78" s="187" t="s">
        <v>437</v>
      </c>
      <c r="AL78" s="187" t="s">
        <v>437</v>
      </c>
      <c r="AM78" s="187" t="s">
        <v>589</v>
      </c>
      <c r="AN78" s="187" t="s">
        <v>180</v>
      </c>
      <c r="AO78" s="187" t="s">
        <v>1360</v>
      </c>
      <c r="AP78" s="187">
        <v>3</v>
      </c>
      <c r="AQ78" s="187" t="s">
        <v>598</v>
      </c>
      <c r="AR78" s="187" t="s">
        <v>411</v>
      </c>
      <c r="AS78" s="187" t="s">
        <v>596</v>
      </c>
      <c r="AT78" s="187" t="s">
        <v>598</v>
      </c>
      <c r="AU78" s="187" t="s">
        <v>411</v>
      </c>
      <c r="AV78" s="187" t="s">
        <v>185</v>
      </c>
      <c r="AW78" s="187" t="s">
        <v>1362</v>
      </c>
      <c r="AX78" s="187">
        <v>4</v>
      </c>
      <c r="AY78" s="187" t="s">
        <v>321</v>
      </c>
      <c r="AZ78" s="187" t="s">
        <v>1845</v>
      </c>
      <c r="BA78" s="187" t="s">
        <v>1442</v>
      </c>
      <c r="BB78" s="187" t="s">
        <v>1845</v>
      </c>
      <c r="BC78" s="187" t="s">
        <v>373</v>
      </c>
      <c r="BD78" s="187" t="s">
        <v>1442</v>
      </c>
      <c r="BE78" s="187" t="s">
        <v>1363</v>
      </c>
      <c r="BF78" s="187">
        <v>3</v>
      </c>
      <c r="BG78" s="187" t="s">
        <v>1364</v>
      </c>
      <c r="BH78" s="187" t="s">
        <v>1846</v>
      </c>
      <c r="BI78" s="187" t="s">
        <v>919</v>
      </c>
      <c r="BJ78" s="187" t="s">
        <v>1403</v>
      </c>
      <c r="BK78" s="187" t="s">
        <v>919</v>
      </c>
      <c r="BL78" s="187" t="s">
        <v>384</v>
      </c>
      <c r="BM78" s="187" t="s">
        <v>198</v>
      </c>
      <c r="BN78" s="187">
        <v>2</v>
      </c>
      <c r="BO78" s="187" t="s">
        <v>199</v>
      </c>
      <c r="BP78" s="187" t="s">
        <v>1365</v>
      </c>
      <c r="BQ78" s="187" t="s">
        <v>201</v>
      </c>
      <c r="BR78" s="187" t="s">
        <v>199</v>
      </c>
      <c r="BS78" s="187" t="s">
        <v>202</v>
      </c>
      <c r="BT78" s="187" t="s">
        <v>203</v>
      </c>
    </row>
    <row r="79" spans="1:72" s="186" customFormat="1" ht="54.95" customHeight="1" x14ac:dyDescent="0.25">
      <c r="A79" s="156">
        <v>27</v>
      </c>
      <c r="B79" s="186" t="s">
        <v>385</v>
      </c>
      <c r="C79" s="186" t="s">
        <v>154</v>
      </c>
      <c r="D79" s="186" t="s">
        <v>1847</v>
      </c>
      <c r="E79" s="186" t="s">
        <v>1848</v>
      </c>
      <c r="F79" s="186" t="s">
        <v>1849</v>
      </c>
      <c r="G79" s="186" t="s">
        <v>1850</v>
      </c>
      <c r="H79" s="186" t="s">
        <v>1851</v>
      </c>
      <c r="I79" s="186" t="s">
        <v>1852</v>
      </c>
      <c r="J79" s="186" t="s">
        <v>1853</v>
      </c>
      <c r="K79" s="186" t="s">
        <v>1854</v>
      </c>
      <c r="L79" s="186" t="s">
        <v>1349</v>
      </c>
      <c r="M79" s="186" t="s">
        <v>1855</v>
      </c>
      <c r="N79" s="186" t="s">
        <v>163</v>
      </c>
      <c r="O79" s="186">
        <v>20</v>
      </c>
      <c r="P79" s="186" t="s">
        <v>164</v>
      </c>
      <c r="Q79" s="186" t="s">
        <v>1856</v>
      </c>
      <c r="R79" s="186" t="s">
        <v>1857</v>
      </c>
      <c r="S79" s="186" t="s">
        <v>1661</v>
      </c>
      <c r="T79" s="186" t="s">
        <v>1858</v>
      </c>
      <c r="U79" s="186" t="s">
        <v>221</v>
      </c>
      <c r="V79" s="186" t="s">
        <v>1859</v>
      </c>
      <c r="W79" s="186" t="s">
        <v>1860</v>
      </c>
      <c r="X79" s="186" t="s">
        <v>1861</v>
      </c>
      <c r="Y79" s="187" t="s">
        <v>1358</v>
      </c>
      <c r="Z79" s="187">
        <v>4</v>
      </c>
      <c r="AA79" s="187" t="s">
        <v>226</v>
      </c>
      <c r="AB79" s="187" t="s">
        <v>529</v>
      </c>
      <c r="AC79" s="187" t="s">
        <v>225</v>
      </c>
      <c r="AD79" s="187" t="s">
        <v>226</v>
      </c>
      <c r="AE79" s="187" t="s">
        <v>228</v>
      </c>
      <c r="AF79" s="187" t="s">
        <v>529</v>
      </c>
      <c r="AG79" s="187" t="s">
        <v>1359</v>
      </c>
      <c r="AH79" s="187">
        <v>4</v>
      </c>
      <c r="AI79" s="187" t="s">
        <v>234</v>
      </c>
      <c r="AJ79" s="187" t="s">
        <v>528</v>
      </c>
      <c r="AK79" s="187" t="s">
        <v>185</v>
      </c>
      <c r="AL79" s="187" t="s">
        <v>528</v>
      </c>
      <c r="AM79" s="187" t="s">
        <v>234</v>
      </c>
      <c r="AN79" s="187" t="s">
        <v>185</v>
      </c>
      <c r="AO79" s="187" t="s">
        <v>1360</v>
      </c>
      <c r="AP79" s="187">
        <v>3</v>
      </c>
      <c r="AQ79" s="187" t="s">
        <v>619</v>
      </c>
      <c r="AR79" s="187" t="s">
        <v>411</v>
      </c>
      <c r="AS79" s="187" t="s">
        <v>623</v>
      </c>
      <c r="AT79" s="187" t="s">
        <v>619</v>
      </c>
      <c r="AU79" s="187" t="s">
        <v>411</v>
      </c>
      <c r="AV79" s="187" t="s">
        <v>624</v>
      </c>
      <c r="AW79" s="187" t="s">
        <v>1362</v>
      </c>
      <c r="AX79" s="187">
        <v>4</v>
      </c>
      <c r="AY79" s="187" t="s">
        <v>321</v>
      </c>
      <c r="AZ79" s="187" t="s">
        <v>620</v>
      </c>
      <c r="BA79" s="187" t="s">
        <v>225</v>
      </c>
      <c r="BB79" s="187" t="s">
        <v>620</v>
      </c>
      <c r="BC79" s="187" t="s">
        <v>225</v>
      </c>
      <c r="BD79" s="187" t="s">
        <v>226</v>
      </c>
      <c r="BE79" s="187" t="s">
        <v>1363</v>
      </c>
      <c r="BF79" s="187">
        <v>3</v>
      </c>
      <c r="BG79" s="187" t="s">
        <v>1364</v>
      </c>
      <c r="BH79" s="187" t="s">
        <v>244</v>
      </c>
      <c r="BI79" s="187" t="s">
        <v>919</v>
      </c>
      <c r="BJ79" s="187" t="s">
        <v>717</v>
      </c>
      <c r="BK79" s="187" t="s">
        <v>245</v>
      </c>
      <c r="BL79" s="187" t="s">
        <v>384</v>
      </c>
      <c r="BM79" s="187" t="s">
        <v>198</v>
      </c>
      <c r="BN79" s="187">
        <v>2</v>
      </c>
      <c r="BO79" s="187" t="s">
        <v>199</v>
      </c>
      <c r="BP79" s="187" t="s">
        <v>1365</v>
      </c>
      <c r="BQ79" s="187" t="s">
        <v>201</v>
      </c>
      <c r="BR79" s="187" t="s">
        <v>199</v>
      </c>
      <c r="BS79" s="187" t="s">
        <v>202</v>
      </c>
      <c r="BT79" s="187" t="s">
        <v>203</v>
      </c>
    </row>
    <row r="80" spans="1:72" s="186" customFormat="1" ht="54.95" customHeight="1" x14ac:dyDescent="0.25">
      <c r="A80" s="156">
        <v>28</v>
      </c>
      <c r="B80" s="186" t="s">
        <v>506</v>
      </c>
      <c r="C80" s="186" t="s">
        <v>325</v>
      </c>
      <c r="D80" s="186" t="s">
        <v>1862</v>
      </c>
      <c r="E80" s="186" t="s">
        <v>1863</v>
      </c>
      <c r="F80" s="186" t="s">
        <v>1864</v>
      </c>
      <c r="G80" s="186" t="s">
        <v>1865</v>
      </c>
      <c r="H80" s="186" t="s">
        <v>1866</v>
      </c>
      <c r="I80" s="186" t="s">
        <v>1867</v>
      </c>
      <c r="J80" s="186" t="s">
        <v>1868</v>
      </c>
      <c r="K80" s="186" t="s">
        <v>1869</v>
      </c>
      <c r="L80" s="186" t="s">
        <v>1349</v>
      </c>
      <c r="M80" s="186" t="s">
        <v>1870</v>
      </c>
      <c r="N80" s="186" t="s">
        <v>163</v>
      </c>
      <c r="O80" s="186">
        <v>20</v>
      </c>
      <c r="P80" s="186" t="s">
        <v>259</v>
      </c>
      <c r="Q80" s="186" t="s">
        <v>1871</v>
      </c>
      <c r="R80" s="186" t="s">
        <v>1872</v>
      </c>
      <c r="S80" s="186" t="s">
        <v>1873</v>
      </c>
      <c r="T80" s="186" t="s">
        <v>1874</v>
      </c>
      <c r="U80" s="186" t="s">
        <v>1875</v>
      </c>
      <c r="V80" s="186" t="s">
        <v>1781</v>
      </c>
      <c r="W80" s="186" t="s">
        <v>1876</v>
      </c>
      <c r="X80" s="186" t="s">
        <v>1877</v>
      </c>
      <c r="Y80" s="187" t="s">
        <v>1358</v>
      </c>
      <c r="Z80" s="187">
        <v>4</v>
      </c>
      <c r="AA80" s="187" t="s">
        <v>268</v>
      </c>
      <c r="AB80" s="187" t="s">
        <v>1878</v>
      </c>
      <c r="AC80" s="187" t="s">
        <v>1879</v>
      </c>
      <c r="AD80" s="187" t="s">
        <v>271</v>
      </c>
      <c r="AE80" s="187" t="s">
        <v>1878</v>
      </c>
      <c r="AF80" s="187" t="s">
        <v>272</v>
      </c>
      <c r="AG80" s="187" t="s">
        <v>1359</v>
      </c>
      <c r="AH80" s="187">
        <v>4</v>
      </c>
      <c r="AI80" s="187" t="s">
        <v>437</v>
      </c>
      <c r="AJ80" s="187" t="s">
        <v>279</v>
      </c>
      <c r="AK80" s="187" t="s">
        <v>234</v>
      </c>
      <c r="AL80" s="187" t="s">
        <v>437</v>
      </c>
      <c r="AM80" s="187" t="s">
        <v>279</v>
      </c>
      <c r="AN80" s="187" t="s">
        <v>185</v>
      </c>
      <c r="AO80" s="187" t="s">
        <v>1360</v>
      </c>
      <c r="AP80" s="187">
        <v>3</v>
      </c>
      <c r="AQ80" s="187" t="s">
        <v>1462</v>
      </c>
      <c r="AR80" s="187" t="s">
        <v>411</v>
      </c>
      <c r="AS80" s="187" t="s">
        <v>563</v>
      </c>
      <c r="AT80" s="187" t="s">
        <v>1462</v>
      </c>
      <c r="AU80" s="187" t="s">
        <v>411</v>
      </c>
      <c r="AV80" s="187" t="s">
        <v>279</v>
      </c>
      <c r="AW80" s="187" t="s">
        <v>1362</v>
      </c>
      <c r="AX80" s="187">
        <v>4</v>
      </c>
      <c r="AY80" s="187" t="s">
        <v>321</v>
      </c>
      <c r="AZ80" s="187" t="s">
        <v>525</v>
      </c>
      <c r="BA80" s="187" t="s">
        <v>531</v>
      </c>
      <c r="BB80" s="187" t="s">
        <v>525</v>
      </c>
      <c r="BC80" s="187" t="s">
        <v>1878</v>
      </c>
      <c r="BD80" s="187" t="s">
        <v>373</v>
      </c>
      <c r="BE80" s="187" t="s">
        <v>1363</v>
      </c>
      <c r="BF80" s="187">
        <v>3</v>
      </c>
      <c r="BG80" s="187" t="s">
        <v>1364</v>
      </c>
      <c r="BH80" s="187" t="s">
        <v>505</v>
      </c>
      <c r="BI80" s="187" t="s">
        <v>527</v>
      </c>
      <c r="BJ80" s="187" t="s">
        <v>505</v>
      </c>
      <c r="BK80" s="187" t="s">
        <v>470</v>
      </c>
      <c r="BL80" s="187" t="s">
        <v>919</v>
      </c>
      <c r="BM80" s="187" t="s">
        <v>198</v>
      </c>
      <c r="BN80" s="187">
        <v>2</v>
      </c>
      <c r="BO80" s="187" t="s">
        <v>199</v>
      </c>
      <c r="BP80" s="187" t="s">
        <v>1365</v>
      </c>
      <c r="BQ80" s="187" t="s">
        <v>201</v>
      </c>
      <c r="BR80" s="187" t="s">
        <v>199</v>
      </c>
      <c r="BS80" s="187" t="s">
        <v>202</v>
      </c>
      <c r="BT80" s="187" t="s">
        <v>203</v>
      </c>
    </row>
    <row r="81" spans="1:72" s="186" customFormat="1" ht="54.95" customHeight="1" x14ac:dyDescent="0.25">
      <c r="A81" s="156">
        <v>29</v>
      </c>
      <c r="B81" s="186" t="s">
        <v>978</v>
      </c>
      <c r="C81" s="186" t="s">
        <v>205</v>
      </c>
      <c r="D81" s="186" t="s">
        <v>1880</v>
      </c>
      <c r="E81" s="186" t="s">
        <v>1881</v>
      </c>
      <c r="F81" s="186" t="s">
        <v>1882</v>
      </c>
      <c r="G81" s="186" t="s">
        <v>1883</v>
      </c>
      <c r="H81" s="186" t="s">
        <v>1884</v>
      </c>
      <c r="I81" s="186" t="s">
        <v>1885</v>
      </c>
      <c r="J81" s="186" t="s">
        <v>1886</v>
      </c>
      <c r="K81" s="186" t="s">
        <v>1887</v>
      </c>
      <c r="L81" s="186" t="s">
        <v>1349</v>
      </c>
      <c r="M81" s="186" t="s">
        <v>1888</v>
      </c>
      <c r="N81" s="186" t="s">
        <v>163</v>
      </c>
      <c r="O81" s="186">
        <v>20</v>
      </c>
      <c r="P81" s="186" t="s">
        <v>259</v>
      </c>
      <c r="Q81" s="186" t="s">
        <v>1889</v>
      </c>
      <c r="R81" s="186" t="s">
        <v>1890</v>
      </c>
      <c r="S81" s="186" t="s">
        <v>1891</v>
      </c>
      <c r="T81" s="186" t="s">
        <v>1892</v>
      </c>
      <c r="U81" s="186" t="s">
        <v>1893</v>
      </c>
      <c r="V81" s="186" t="s">
        <v>1894</v>
      </c>
      <c r="W81" s="186" t="s">
        <v>1895</v>
      </c>
      <c r="X81" s="186" t="s">
        <v>1896</v>
      </c>
      <c r="Y81" s="187" t="s">
        <v>1358</v>
      </c>
      <c r="Z81" s="187">
        <v>4</v>
      </c>
      <c r="AA81" s="187" t="s">
        <v>373</v>
      </c>
      <c r="AB81" s="187" t="s">
        <v>1422</v>
      </c>
      <c r="AC81" s="187" t="s">
        <v>978</v>
      </c>
      <c r="AD81" s="187" t="s">
        <v>373</v>
      </c>
      <c r="AE81" s="187" t="s">
        <v>323</v>
      </c>
      <c r="AF81" s="187" t="s">
        <v>1422</v>
      </c>
      <c r="AG81" s="187" t="s">
        <v>1359</v>
      </c>
      <c r="AH81" s="187">
        <v>4</v>
      </c>
      <c r="AI81" s="187" t="s">
        <v>437</v>
      </c>
      <c r="AJ81" s="187" t="s">
        <v>1423</v>
      </c>
      <c r="AK81" s="187" t="s">
        <v>1424</v>
      </c>
      <c r="AL81" s="187" t="s">
        <v>437</v>
      </c>
      <c r="AM81" s="187" t="s">
        <v>1423</v>
      </c>
      <c r="AN81" s="187" t="s">
        <v>831</v>
      </c>
      <c r="AO81" s="187" t="s">
        <v>1360</v>
      </c>
      <c r="AP81" s="187">
        <v>3</v>
      </c>
      <c r="AQ81" s="187" t="s">
        <v>409</v>
      </c>
      <c r="AR81" s="187" t="s">
        <v>411</v>
      </c>
      <c r="AS81" s="187" t="s">
        <v>621</v>
      </c>
      <c r="AT81" s="187" t="s">
        <v>409</v>
      </c>
      <c r="AU81" s="187" t="s">
        <v>411</v>
      </c>
      <c r="AV81" s="187" t="s">
        <v>624</v>
      </c>
      <c r="AW81" s="187" t="s">
        <v>1362</v>
      </c>
      <c r="AX81" s="187">
        <v>4</v>
      </c>
      <c r="AY81" s="187" t="s">
        <v>179</v>
      </c>
      <c r="AZ81" s="187" t="s">
        <v>321</v>
      </c>
      <c r="BA81" s="187" t="s">
        <v>1897</v>
      </c>
      <c r="BB81" s="187" t="s">
        <v>179</v>
      </c>
      <c r="BC81" s="187" t="s">
        <v>1897</v>
      </c>
      <c r="BD81" s="187" t="s">
        <v>499</v>
      </c>
      <c r="BE81" s="187" t="s">
        <v>1363</v>
      </c>
      <c r="BF81" s="187">
        <v>3</v>
      </c>
      <c r="BG81" s="187" t="s">
        <v>978</v>
      </c>
      <c r="BH81" s="187" t="s">
        <v>566</v>
      </c>
      <c r="BI81" s="187" t="s">
        <v>1364</v>
      </c>
      <c r="BJ81" s="187" t="s">
        <v>503</v>
      </c>
      <c r="BK81" s="187" t="s">
        <v>656</v>
      </c>
      <c r="BL81" s="187" t="s">
        <v>318</v>
      </c>
      <c r="BM81" s="187" t="s">
        <v>198</v>
      </c>
      <c r="BN81" s="187">
        <v>2</v>
      </c>
      <c r="BO81" s="187" t="s">
        <v>199</v>
      </c>
      <c r="BP81" s="187" t="s">
        <v>1365</v>
      </c>
      <c r="BQ81" s="187" t="s">
        <v>1426</v>
      </c>
      <c r="BR81" s="187" t="s">
        <v>199</v>
      </c>
      <c r="BS81" s="187" t="s">
        <v>202</v>
      </c>
      <c r="BT81" s="187" t="s">
        <v>203</v>
      </c>
    </row>
    <row r="82" spans="1:72" s="186" customFormat="1" ht="54.95" customHeight="1" x14ac:dyDescent="0.25">
      <c r="A82" s="156">
        <v>30</v>
      </c>
      <c r="B82" s="186" t="s">
        <v>385</v>
      </c>
      <c r="C82" s="186" t="s">
        <v>247</v>
      </c>
      <c r="D82" s="186" t="s">
        <v>1898</v>
      </c>
      <c r="E82" s="186" t="s">
        <v>1899</v>
      </c>
      <c r="F82" s="186" t="s">
        <v>1900</v>
      </c>
      <c r="G82" s="186" t="s">
        <v>1901</v>
      </c>
      <c r="H82" s="186" t="s">
        <v>1902</v>
      </c>
      <c r="I82" s="186" t="s">
        <v>1903</v>
      </c>
      <c r="J82" s="186" t="s">
        <v>1904</v>
      </c>
      <c r="K82" s="186" t="s">
        <v>1905</v>
      </c>
      <c r="L82" s="186" t="s">
        <v>1349</v>
      </c>
      <c r="M82" s="186" t="s">
        <v>1906</v>
      </c>
      <c r="N82" s="186" t="s">
        <v>163</v>
      </c>
      <c r="O82" s="186">
        <v>20</v>
      </c>
      <c r="P82" s="186" t="s">
        <v>164</v>
      </c>
      <c r="Q82" s="186" t="s">
        <v>1907</v>
      </c>
      <c r="R82" s="186" t="s">
        <v>1908</v>
      </c>
      <c r="S82" s="186" t="s">
        <v>1909</v>
      </c>
      <c r="T82" s="186" t="s">
        <v>1910</v>
      </c>
      <c r="U82" s="186" t="s">
        <v>1259</v>
      </c>
      <c r="V82" s="186" t="s">
        <v>1911</v>
      </c>
      <c r="W82" s="186" t="s">
        <v>1912</v>
      </c>
      <c r="X82" s="186" t="s">
        <v>1913</v>
      </c>
      <c r="Y82" s="187" t="s">
        <v>1358</v>
      </c>
      <c r="Z82" s="187">
        <v>4</v>
      </c>
      <c r="AA82" s="187" t="s">
        <v>227</v>
      </c>
      <c r="AB82" s="187" t="s">
        <v>226</v>
      </c>
      <c r="AC82" s="187" t="s">
        <v>1914</v>
      </c>
      <c r="AD82" s="187" t="s">
        <v>226</v>
      </c>
      <c r="AE82" s="187" t="s">
        <v>1914</v>
      </c>
      <c r="AF82" s="187" t="s">
        <v>1915</v>
      </c>
      <c r="AG82" s="187" t="s">
        <v>1359</v>
      </c>
      <c r="AH82" s="187">
        <v>4</v>
      </c>
      <c r="AI82" s="187" t="s">
        <v>1823</v>
      </c>
      <c r="AJ82" s="187" t="s">
        <v>279</v>
      </c>
      <c r="AK82" s="187" t="s">
        <v>185</v>
      </c>
      <c r="AL82" s="187" t="s">
        <v>279</v>
      </c>
      <c r="AM82" s="187" t="s">
        <v>1823</v>
      </c>
      <c r="AN82" s="187" t="s">
        <v>185</v>
      </c>
      <c r="AO82" s="187" t="s">
        <v>1360</v>
      </c>
      <c r="AP82" s="187">
        <v>3</v>
      </c>
      <c r="AQ82" s="187" t="s">
        <v>411</v>
      </c>
      <c r="AR82" s="187" t="s">
        <v>1399</v>
      </c>
      <c r="AS82" s="187" t="s">
        <v>234</v>
      </c>
      <c r="AT82" s="187" t="s">
        <v>411</v>
      </c>
      <c r="AU82" s="187" t="s">
        <v>232</v>
      </c>
      <c r="AV82" s="187" t="s">
        <v>1401</v>
      </c>
      <c r="AW82" s="187" t="s">
        <v>1362</v>
      </c>
      <c r="AX82" s="187">
        <v>4</v>
      </c>
      <c r="AY82" s="187" t="s">
        <v>321</v>
      </c>
      <c r="AZ82" s="187" t="s">
        <v>225</v>
      </c>
      <c r="BA82" s="187" t="s">
        <v>1916</v>
      </c>
      <c r="BB82" s="187" t="s">
        <v>225</v>
      </c>
      <c r="BC82" s="187" t="s">
        <v>1916</v>
      </c>
      <c r="BD82" s="187" t="s">
        <v>226</v>
      </c>
      <c r="BE82" s="187" t="s">
        <v>1363</v>
      </c>
      <c r="BF82" s="187">
        <v>3</v>
      </c>
      <c r="BG82" s="187" t="s">
        <v>1364</v>
      </c>
      <c r="BH82" s="187" t="s">
        <v>919</v>
      </c>
      <c r="BI82" s="187" t="s">
        <v>236</v>
      </c>
      <c r="BJ82" s="187" t="s">
        <v>384</v>
      </c>
      <c r="BK82" s="187" t="s">
        <v>245</v>
      </c>
      <c r="BL82" s="187" t="s">
        <v>919</v>
      </c>
      <c r="BM82" s="187" t="s">
        <v>198</v>
      </c>
      <c r="BN82" s="187">
        <v>2</v>
      </c>
      <c r="BO82" s="187" t="s">
        <v>199</v>
      </c>
      <c r="BP82" s="187" t="s">
        <v>1365</v>
      </c>
      <c r="BQ82" s="187" t="s">
        <v>201</v>
      </c>
      <c r="BR82" s="187" t="s">
        <v>199</v>
      </c>
      <c r="BS82" s="187" t="s">
        <v>202</v>
      </c>
      <c r="BT82" s="187" t="s">
        <v>203</v>
      </c>
    </row>
  </sheetData>
  <mergeCells count="20">
    <mergeCell ref="B9:F9"/>
    <mergeCell ref="I9:M9"/>
    <mergeCell ref="A11:A12"/>
    <mergeCell ref="B11:F11"/>
    <mergeCell ref="H11:H12"/>
    <mergeCell ref="I11:M11"/>
    <mergeCell ref="B12:F12"/>
    <mergeCell ref="I12:M12"/>
    <mergeCell ref="I13:M13"/>
    <mergeCell ref="A15:A16"/>
    <mergeCell ref="B15:F15"/>
    <mergeCell ref="H15:H16"/>
    <mergeCell ref="I15:M15"/>
    <mergeCell ref="B16:F16"/>
    <mergeCell ref="I16:M16"/>
    <mergeCell ref="B17:F17"/>
    <mergeCell ref="I17:M17"/>
    <mergeCell ref="B19:F19"/>
    <mergeCell ref="I19:M19"/>
    <mergeCell ref="A26:A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27</vt:i4>
      </vt:variant>
    </vt:vector>
  </HeadingPairs>
  <TitlesOfParts>
    <vt:vector size="27" baseType="lpstr">
      <vt:lpstr>Nota</vt:lpstr>
      <vt:lpstr>00_MODE_EMPLOI</vt:lpstr>
      <vt:lpstr>01_AUDIT_FEUILLES</vt:lpstr>
      <vt:lpstr>01_ACCUEIL</vt:lpstr>
      <vt:lpstr>01_QR_METHODE</vt:lpstr>
      <vt:lpstr>01_Equilibre.Semaine</vt:lpstr>
      <vt:lpstr>01_ATELIER_ACTIF </vt:lpstr>
      <vt:lpstr>01_CONVIVES</vt:lpstr>
      <vt:lpstr>01_COULEURS</vt:lpstr>
      <vt:lpstr>01_PLAT_PRINCIPAL</vt:lpstr>
      <vt:lpstr>01_VEGETARIENS</vt:lpstr>
      <vt:lpstr>01_DESSERTS</vt:lpstr>
      <vt:lpstr>01_FINAL_1</vt:lpstr>
      <vt:lpstr>01_FINAL_2</vt:lpstr>
      <vt:lpstr>01_Questions_Réponses.1</vt:lpstr>
      <vt:lpstr>02_COMPOSER_UN_MENU</vt:lpstr>
      <vt:lpstr>02_GRILLE_20_REPAS_SCOLAIRE</vt:lpstr>
      <vt:lpstr>02_MODELE_20_REPAS_SCOLAIRE</vt:lpstr>
      <vt:lpstr>02_GRILLE_28_REPAS_EHPAD</vt:lpstr>
      <vt:lpstr>02_MODELE_28_REPAS_EHPAD</vt:lpstr>
      <vt:lpstr>02_SAISONS</vt:lpstr>
      <vt:lpstr>02_VUE_MOIS</vt:lpstr>
      <vt:lpstr>02_Base de données </vt:lpstr>
      <vt:lpstr>02_Identité.FR-EN-ES. </vt:lpstr>
      <vt:lpstr>02_Contrôles</vt:lpstr>
      <vt:lpstr>ALLERGENES.9.Aout.2026</vt:lpstr>
      <vt:lpstr>02_Guide.pratique.Belge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2026-08-23T12:35:13Z</dcterms:created>
  <dcterms:modified xsi:type="dcterms:W3CDTF">2026-08-23T12:35:13Z</dcterms:modified>
</cp:coreProperties>
</file>